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6.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8.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1.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1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9.xml" ContentType="application/vnd.openxmlformats-officedocument.spreadsheetml.comments+xml"/>
  <Override PartName="/xl/threadedComments/threadedComment9.xml" ContentType="application/vnd.ms-excel.threadedcomments+xml"/>
  <Override PartName="/xl/drawings/drawing1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catrockcap.sharepoint.com/sites/allstaff/Shared Documents/Portfolio/Work/AI/Technical Case Materials/Technical Case Questions/Technical Case Question 1/3Q24/Models/"/>
    </mc:Choice>
  </mc:AlternateContent>
  <xr:revisionPtr revIDLastSave="38" documentId="8_{2AE45912-8688-46ED-A56A-05DC2AB197AC}" xr6:coauthVersionLast="47" xr6:coauthVersionMax="47" xr10:uidLastSave="{39420C2D-4751-42B7-9606-B50F91FB13C1}"/>
  <bookViews>
    <workbookView xWindow="-110" yWindow="-110" windowWidth="19420" windowHeight="11500" firstSheet="1" activeTab="1" xr2:uid="{1BD14238-83DE-4D1E-BDFC-A183EB682DB1}"/>
  </bookViews>
  <sheets>
    <sheet name="__snloffice" sheetId="709" state="veryHidden" r:id="rId1"/>
    <sheet name="Simple - 5%" sheetId="597" r:id="rId2"/>
    <sheet name="Simple - 3%" sheetId="723" r:id="rId3"/>
    <sheet name="Simple - 1%" sheetId="724" r:id="rId4"/>
    <sheet name="Historical - USD" sheetId="30" r:id="rId5"/>
    <sheet name="Q4 FY21e analysis" sheetId="114" r:id="rId6"/>
    <sheet name="Detailed Disclosures - USD" sheetId="29" r:id="rId7"/>
    <sheet name="AUD disclosed &gt;&gt;" sheetId="28" r:id="rId8"/>
    <sheet name="Historical" sheetId="2" r:id="rId9"/>
    <sheet name="Detailed Disclosure" sheetId="1" r:id="rId10"/>
    <sheet name="Upside" sheetId="598" r:id="rId11"/>
    <sheet name="Down" sheetId="31" r:id="rId12"/>
    <sheet name="_CIQHiddenCacheSheet" sheetId="707" state="veryHidden" r:id="rId13"/>
    <sheet name="Credibility" sheetId="712" r:id="rId14"/>
    <sheet name="Monthly FQ4" sheetId="722" r:id="rId15"/>
    <sheet name="AOVs" sheetId="727" r:id="rId16"/>
    <sheet name="Merchant Fees" sheetId="721" r:id="rId17"/>
    <sheet name="Receipts analysis" sheetId="720" r:id="rId18"/>
    <sheet name="Comp Table" sheetId="725" r:id="rId19"/>
    <sheet name="2Q24 Webinar Charts" sheetId="726" r:id="rId20"/>
    <sheet name="Guidance Commentary" sheetId="708" r:id="rId21"/>
    <sheet name="AOV analysis" sheetId="728" r:id="rId22"/>
    <sheet name="Simple" sheetId="3" r:id="rId23"/>
    <sheet name="YNAP" sheetId="729" r:id="rId24"/>
    <sheet name="PF to Statutory Historicals" sheetId="710" r:id="rId25"/>
    <sheet name="Tracking Pack - Quarterly" sheetId="719" r:id="rId26"/>
    <sheet name="Tracking Pack - Monthly" sheetId="716" r:id="rId27"/>
    <sheet name="Google Trends Raw" sheetId="717" r:id="rId28"/>
    <sheet name="SEM Rush Raw" sheetId="718" r:id="rId29"/>
    <sheet name="Webinar Charts" sheetId="711" r:id="rId30"/>
    <sheet name="FTCH margin comp 1" sheetId="714" r:id="rId31"/>
    <sheet name="FTCH margin comp 2" sheetId="713" r:id="rId32"/>
    <sheet name="FTCH margin comp 4" sheetId="715" r:id="rId33"/>
    <sheet name="SEM Rush Traffic" sheetId="115" r:id="rId34"/>
    <sheet name="Cohort Analysis" sheetId="367" r:id="rId35"/>
  </sheets>
  <definedNames>
    <definedName name="a" localSheetId="33">'SEM Rush Traffic'!$K$144</definedName>
    <definedName name="b" localSheetId="33">'SEM Rush Traffic'!$K$206</definedName>
    <definedName name="CIQWBGuid" hidden="1">"2f4e3e33-0230-4d17-afa7-d3f206b26823"</definedName>
    <definedName name="CIQWBInfo" hidden="1">"{ ""CIQVersion"":""9.45.614.5792"" }"</definedName>
    <definedName name="d" localSheetId="33">'SEM Rush Traffic'!$K$306</definedName>
    <definedName name="e" localSheetId="33">'SEM Rush Traffic'!$K$334</definedName>
    <definedName name="f" localSheetId="33">'SEM Rush Traffic'!$K$359</definedName>
    <definedName name="g" localSheetId="33">'SEM Rush Traffic'!$K$381</definedName>
    <definedName name="h" localSheetId="33">'SEM Rush Traffic'!$K$404</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44767.4675462963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j" localSheetId="33">'SEM Rush Traffic'!$K$433</definedName>
    <definedName name="k" localSheetId="33">'SEM Rush Traffic'!$K$451</definedName>
    <definedName name="l" localSheetId="33">'SEM Rush Traffic'!$K$465</definedName>
    <definedName name="m" localSheetId="33">'SEM Rush Traffic'!$K$490</definedName>
    <definedName name="n" localSheetId="33">'SEM Rush Traffic'!$K$565</definedName>
    <definedName name="o" localSheetId="33">'SEM Rush Traffic'!$K$587</definedName>
    <definedName name="_xlnm.Print_Area" localSheetId="7">'AUD disclosed &gt;&gt;'!$A$1:$H$14</definedName>
    <definedName name="_xlnm.Print_Area" localSheetId="18">'Comp Table'!$A$1:$AT$119</definedName>
    <definedName name="_xlnm.Print_Area" localSheetId="13">Credibility!$A$1:$H$54</definedName>
    <definedName name="_xlnm.Print_Area" localSheetId="9">'Detailed Disclosure'!$A$1:$AP$291</definedName>
    <definedName name="_xlnm.Print_Area" localSheetId="6">'Detailed Disclosures - USD'!$A$1:$AP$306</definedName>
    <definedName name="_xlnm.Print_Area" localSheetId="11">Down!$A$1:$U$89</definedName>
    <definedName name="_xlnm.Print_Area" localSheetId="30">'FTCH margin comp 1'!$A$1:$L$132</definedName>
    <definedName name="_xlnm.Print_Area" localSheetId="31">'FTCH margin comp 2'!$A$1:$L$139</definedName>
    <definedName name="_xlnm.Print_Area" localSheetId="32">'FTCH margin comp 4'!$A$1:$L$109</definedName>
    <definedName name="_xlnm.Print_Area" localSheetId="8">Historical!$A$1:$X$167</definedName>
    <definedName name="_xlnm.Print_Area" localSheetId="4">'Historical - USD'!$A$1:$X$173</definedName>
    <definedName name="_xlnm.Print_Area" localSheetId="24">'PF to Statutory Historicals'!$A$1:$L$31</definedName>
    <definedName name="_xlnm.Print_Area" localSheetId="5">'Q4 FY21e analysis'!$A$1:$BA$131</definedName>
    <definedName name="_xlnm.Print_Area" localSheetId="17">'Receipts analysis'!$A$1:$W$59</definedName>
    <definedName name="_xlnm.Print_Area" localSheetId="33">'SEM Rush Traffic'!$A$1:$AZ$117</definedName>
    <definedName name="_xlnm.Print_Area" localSheetId="22">Simple!$A$1:$S$79</definedName>
    <definedName name="_xlnm.Print_Area" localSheetId="3">'Simple - 1%'!$A$1:$U$89</definedName>
    <definedName name="_xlnm.Print_Area" localSheetId="2">'Simple - 3%'!$A$1:$U$89</definedName>
    <definedName name="_xlnm.Print_Area" localSheetId="1">'Simple - 5%'!$A$1:$U$89</definedName>
    <definedName name="_xlnm.Print_Area" localSheetId="26">'Tracking Pack - Monthly'!$A$1:$AA$90</definedName>
    <definedName name="_xlnm.Print_Area" localSheetId="25">'Tracking Pack - Quarterly'!$A$1:$R$123</definedName>
    <definedName name="_xlnm.Print_Area" localSheetId="10">Upside!$A$1:$U$89</definedName>
    <definedName name="_xlnm.Print_Titles" localSheetId="9">'Detailed Disclosure'!$1:$5</definedName>
    <definedName name="_xlnm.Print_Titles" localSheetId="6">'Detailed Disclosures - USD'!$1:$5</definedName>
    <definedName name="_xlnm.Print_Titles" localSheetId="30">'FTCH margin comp 1'!$1:$4</definedName>
    <definedName name="_xlnm.Print_Titles" localSheetId="31">'FTCH margin comp 2'!$1:$4</definedName>
    <definedName name="_xlnm.Print_Titles" localSheetId="33">'SEM Rush Traffic'!$1:$5</definedName>
    <definedName name="_xlnm.Print_Titles" localSheetId="25">'Tracking Pack - Quarterly'!$1:$4</definedName>
    <definedName name="s" localSheetId="33">'SEM Rush Traffic'!$K$672</definedName>
    <definedName name="t" localSheetId="33">'SEM Rush Traffic'!$K$714</definedName>
    <definedName name="u" localSheetId="33">'SEM Rush Traffic'!$K$742</definedName>
    <definedName name="v" localSheetId="33">'SEM Rush Traffic'!$K$751</definedName>
    <definedName name="w" localSheetId="33">'SEM Rush Traffic'!$K$769</definedName>
    <definedName name="y" localSheetId="33">'SEM Rush Traffic'!$K$778</definedName>
    <definedName name="z" localSheetId="33">'SEM Rush Traffic'!$K$786</definedName>
  </definedNames>
  <calcPr calcId="191029"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 i="3" l="1"/>
  <c r="AP1" i="1"/>
  <c r="X1" i="2"/>
  <c r="AP1" i="29"/>
  <c r="BA1" i="114"/>
  <c r="N178" i="30"/>
  <c r="N179" i="30"/>
  <c r="M179" i="30"/>
  <c r="X1" i="30"/>
  <c r="J3" i="724"/>
  <c r="U1" i="724"/>
  <c r="J3" i="723"/>
  <c r="U1" i="723"/>
  <c r="J3" i="597"/>
  <c r="AZ31" i="114"/>
  <c r="AZ30" i="114"/>
  <c r="AZ25" i="114"/>
  <c r="AZ24" i="114"/>
  <c r="AZ19" i="114"/>
  <c r="AZ18" i="114"/>
  <c r="AZ13" i="114"/>
  <c r="AZ12" i="114"/>
  <c r="D76" i="3"/>
  <c r="E10" i="729" l="1"/>
  <c r="E14" i="729"/>
  <c r="C15" i="729"/>
  <c r="C34" i="729" l="1"/>
  <c r="C32" i="729" s="1"/>
  <c r="C12" i="729" s="1"/>
  <c r="A3" i="729"/>
  <c r="N7" i="729"/>
  <c r="M7" i="729"/>
  <c r="L7" i="729"/>
  <c r="K7" i="729"/>
  <c r="J7" i="729"/>
  <c r="L11" i="729"/>
  <c r="K11" i="729"/>
  <c r="J11" i="729"/>
  <c r="I11" i="729"/>
  <c r="K9" i="729"/>
  <c r="J9" i="729"/>
  <c r="I9" i="729"/>
  <c r="L9" i="729"/>
  <c r="N10" i="729"/>
  <c r="N11" i="729" s="1"/>
  <c r="M10" i="729"/>
  <c r="M11" i="729" s="1"/>
  <c r="C31" i="729" l="1"/>
  <c r="C11" i="729" s="1"/>
  <c r="C14" i="729"/>
  <c r="C30" i="729"/>
  <c r="F1" i="729"/>
  <c r="F3" i="729"/>
  <c r="E13" i="729"/>
  <c r="E9" i="729"/>
  <c r="E25" i="729"/>
  <c r="E15" i="729" s="1"/>
  <c r="AA9" i="30"/>
  <c r="A14" i="728"/>
  <c r="A22" i="728" s="1"/>
  <c r="C10" i="728"/>
  <c r="D10" i="728"/>
  <c r="E10" i="728"/>
  <c r="B8" i="728"/>
  <c r="B15" i="728" s="1"/>
  <c r="C8" i="728"/>
  <c r="C15" i="728" s="1"/>
  <c r="D8" i="728"/>
  <c r="D15" i="728" s="1"/>
  <c r="B9" i="728"/>
  <c r="B17" i="728" s="1"/>
  <c r="C9" i="728"/>
  <c r="C17" i="728" s="1"/>
  <c r="D9" i="728"/>
  <c r="D17" i="728" s="1"/>
  <c r="E9" i="728"/>
  <c r="E17" i="728" s="1"/>
  <c r="E8" i="728"/>
  <c r="E15" i="728" s="1"/>
  <c r="B7" i="728"/>
  <c r="B14" i="728" s="1"/>
  <c r="B22" i="728" s="1"/>
  <c r="C7" i="728"/>
  <c r="C14" i="728" s="1"/>
  <c r="C22" i="728" s="1"/>
  <c r="D7" i="728"/>
  <c r="D14" i="728" s="1"/>
  <c r="D22" i="728" s="1"/>
  <c r="E7" i="728"/>
  <c r="E14" i="728" s="1"/>
  <c r="E22" i="728" s="1"/>
  <c r="B5" i="728"/>
  <c r="C5" i="728"/>
  <c r="D5" i="728"/>
  <c r="E5" i="728"/>
  <c r="AP283" i="29"/>
  <c r="AO283" i="29"/>
  <c r="AN283" i="29"/>
  <c r="AM283" i="29"/>
  <c r="AL283" i="29"/>
  <c r="AP282" i="29"/>
  <c r="AO282" i="29"/>
  <c r="AN282" i="29"/>
  <c r="AM282" i="29"/>
  <c r="AL282" i="29"/>
  <c r="AP281" i="29"/>
  <c r="AO281" i="29"/>
  <c r="AN281" i="29"/>
  <c r="AM281" i="29"/>
  <c r="AL281" i="29"/>
  <c r="AP280" i="29"/>
  <c r="AO280" i="29"/>
  <c r="AN280" i="29"/>
  <c r="AM280" i="29"/>
  <c r="AL280" i="29"/>
  <c r="AP279" i="29"/>
  <c r="AO279" i="29"/>
  <c r="AN279" i="29"/>
  <c r="AM279" i="29"/>
  <c r="AL279" i="29"/>
  <c r="AP278" i="29"/>
  <c r="AO278" i="29"/>
  <c r="AN278" i="29"/>
  <c r="AM278" i="29"/>
  <c r="AL278" i="29"/>
  <c r="AP275" i="29"/>
  <c r="AO275" i="29"/>
  <c r="AN275" i="29"/>
  <c r="AM275" i="29"/>
  <c r="AL275" i="29"/>
  <c r="AP274" i="29"/>
  <c r="AO274" i="29"/>
  <c r="AN274" i="29"/>
  <c r="AM274" i="29"/>
  <c r="AL274" i="29"/>
  <c r="AP273" i="29"/>
  <c r="AO273" i="29"/>
  <c r="AN273" i="29"/>
  <c r="AM273" i="29"/>
  <c r="AL273" i="29"/>
  <c r="AO269" i="29"/>
  <c r="AN269" i="29"/>
  <c r="AM269" i="29"/>
  <c r="AL269" i="29"/>
  <c r="AP269" i="29"/>
  <c r="AL270" i="29"/>
  <c r="V148" i="29"/>
  <c r="V147" i="29"/>
  <c r="V146" i="29"/>
  <c r="V138" i="29"/>
  <c r="V136" i="29"/>
  <c r="P86" i="597"/>
  <c r="AO92" i="29"/>
  <c r="AN92" i="29"/>
  <c r="AP92" i="29"/>
  <c r="D89" i="724"/>
  <c r="P89" i="724" s="1"/>
  <c r="P86" i="724"/>
  <c r="X84" i="724"/>
  <c r="W84" i="724" s="1"/>
  <c r="N83" i="724"/>
  <c r="T79" i="724"/>
  <c r="L56" i="724"/>
  <c r="M56" i="724" s="1"/>
  <c r="N56" i="724" s="1"/>
  <c r="O56" i="724" s="1"/>
  <c r="P56" i="724" s="1"/>
  <c r="Q56" i="724" s="1"/>
  <c r="R56" i="724" s="1"/>
  <c r="S56" i="724" s="1"/>
  <c r="T56" i="724" s="1"/>
  <c r="U56" i="724" s="1"/>
  <c r="L55" i="724"/>
  <c r="M55" i="724" s="1"/>
  <c r="N55" i="724" s="1"/>
  <c r="O55" i="724" s="1"/>
  <c r="P55" i="724" s="1"/>
  <c r="Q55" i="724" s="1"/>
  <c r="R55" i="724" s="1"/>
  <c r="S55" i="724" s="1"/>
  <c r="T55" i="724" s="1"/>
  <c r="U55" i="724" s="1"/>
  <c r="D44" i="724"/>
  <c r="E44" i="724" s="1"/>
  <c r="F44" i="724" s="1"/>
  <c r="G44" i="724" s="1"/>
  <c r="H41" i="724"/>
  <c r="I41" i="724" s="1"/>
  <c r="J41" i="724" s="1"/>
  <c r="K41" i="724" s="1"/>
  <c r="L41" i="724" s="1"/>
  <c r="M41" i="724" s="1"/>
  <c r="N41" i="724" s="1"/>
  <c r="O41" i="724" s="1"/>
  <c r="P41" i="724" s="1"/>
  <c r="C4" i="724"/>
  <c r="H3" i="724"/>
  <c r="D89" i="723"/>
  <c r="P89" i="723" s="1"/>
  <c r="P86" i="723"/>
  <c r="X84" i="723"/>
  <c r="W84" i="723" s="1"/>
  <c r="N83" i="723"/>
  <c r="T79" i="723"/>
  <c r="L56" i="723"/>
  <c r="M56" i="723" s="1"/>
  <c r="N56" i="723" s="1"/>
  <c r="O56" i="723" s="1"/>
  <c r="P56" i="723" s="1"/>
  <c r="Q56" i="723" s="1"/>
  <c r="R56" i="723" s="1"/>
  <c r="S56" i="723" s="1"/>
  <c r="T56" i="723" s="1"/>
  <c r="U56" i="723" s="1"/>
  <c r="L55" i="723"/>
  <c r="M55" i="723" s="1"/>
  <c r="N55" i="723" s="1"/>
  <c r="O55" i="723" s="1"/>
  <c r="P55" i="723" s="1"/>
  <c r="Q55" i="723" s="1"/>
  <c r="R55" i="723" s="1"/>
  <c r="S55" i="723" s="1"/>
  <c r="T55" i="723" s="1"/>
  <c r="U55" i="723" s="1"/>
  <c r="D44" i="723"/>
  <c r="E44" i="723" s="1"/>
  <c r="F44" i="723" s="1"/>
  <c r="G44" i="723" s="1"/>
  <c r="H44" i="723" s="1"/>
  <c r="I44" i="723" s="1"/>
  <c r="J44" i="723" s="1"/>
  <c r="K44" i="723" s="1"/>
  <c r="L44" i="723" s="1"/>
  <c r="M44" i="723" s="1"/>
  <c r="N44" i="723" s="1"/>
  <c r="O44" i="723" s="1"/>
  <c r="P44" i="723" s="1"/>
  <c r="Q44" i="723" s="1"/>
  <c r="R44" i="723" s="1"/>
  <c r="S44" i="723" s="1"/>
  <c r="T44" i="723" s="1"/>
  <c r="U44" i="723" s="1"/>
  <c r="H41" i="723"/>
  <c r="I41" i="723" s="1"/>
  <c r="J41" i="723" s="1"/>
  <c r="K41" i="723" s="1"/>
  <c r="L41" i="723" s="1"/>
  <c r="M41" i="723" s="1"/>
  <c r="N41" i="723" s="1"/>
  <c r="O41" i="723" s="1"/>
  <c r="P41" i="723" s="1"/>
  <c r="U8" i="723"/>
  <c r="U8" i="724" s="1"/>
  <c r="T8" i="723"/>
  <c r="T8" i="724" s="1"/>
  <c r="S8" i="723"/>
  <c r="S8" i="724" s="1"/>
  <c r="R8" i="723"/>
  <c r="R8" i="724" s="1"/>
  <c r="Q8" i="723"/>
  <c r="Q8" i="724" s="1"/>
  <c r="P8" i="723"/>
  <c r="P8" i="724" s="1"/>
  <c r="O8" i="723"/>
  <c r="O8" i="724" s="1"/>
  <c r="N8" i="723"/>
  <c r="N8" i="724" s="1"/>
  <c r="M8" i="723"/>
  <c r="M8" i="724" s="1"/>
  <c r="L8" i="723"/>
  <c r="L8" i="724" s="1"/>
  <c r="K8" i="723"/>
  <c r="K8" i="724" s="1"/>
  <c r="J8" i="723"/>
  <c r="J8" i="724" s="1"/>
  <c r="C4" i="723"/>
  <c r="H3" i="723"/>
  <c r="V128" i="29"/>
  <c r="V127" i="29"/>
  <c r="V126" i="29"/>
  <c r="V137" i="1"/>
  <c r="V137" i="29" s="1"/>
  <c r="W146" i="2"/>
  <c r="AP116" i="1"/>
  <c r="AP111" i="1"/>
  <c r="W12" i="2"/>
  <c r="AP266" i="1"/>
  <c r="AP240" i="1"/>
  <c r="AP221" i="1"/>
  <c r="AP228" i="1" s="1"/>
  <c r="AP214" i="1"/>
  <c r="AP212" i="1"/>
  <c r="AP202" i="1"/>
  <c r="AP195" i="1"/>
  <c r="AP183" i="1"/>
  <c r="AP178" i="1"/>
  <c r="AP107" i="1"/>
  <c r="AP90" i="1"/>
  <c r="AP231" i="1"/>
  <c r="AG65" i="1"/>
  <c r="AP60" i="1"/>
  <c r="AP59" i="1"/>
  <c r="AP47" i="1"/>
  <c r="AP37" i="1"/>
  <c r="AP39" i="1" s="1"/>
  <c r="AP40" i="1" s="1"/>
  <c r="AP16" i="1"/>
  <c r="AP31" i="1"/>
  <c r="X146" i="30"/>
  <c r="C33" i="729" l="1"/>
  <c r="C13" i="729" s="1"/>
  <c r="C10" i="729"/>
  <c r="C28" i="729"/>
  <c r="C27" i="729"/>
  <c r="C7" i="729" s="1"/>
  <c r="F15" i="729"/>
  <c r="F14" i="729"/>
  <c r="F10" i="729"/>
  <c r="E7" i="729"/>
  <c r="E11" i="729"/>
  <c r="F13" i="729"/>
  <c r="AP242" i="1"/>
  <c r="E16" i="728"/>
  <c r="E18" i="728" s="1"/>
  <c r="C16" i="728"/>
  <c r="C18" i="728" s="1"/>
  <c r="D11" i="728"/>
  <c r="D23" i="728" s="1"/>
  <c r="D24" i="728" s="1"/>
  <c r="B16" i="728"/>
  <c r="B18" i="728" s="1"/>
  <c r="C11" i="728"/>
  <c r="C23" i="728" s="1"/>
  <c r="C24" i="728" s="1"/>
  <c r="D16" i="728"/>
  <c r="D18" i="728" s="1"/>
  <c r="E11" i="728"/>
  <c r="E23" i="728" s="1"/>
  <c r="E24" i="728" s="1"/>
  <c r="AP184" i="1"/>
  <c r="AG184" i="1" s="1"/>
  <c r="AP203" i="1"/>
  <c r="AG203" i="1" s="1"/>
  <c r="AP52" i="1"/>
  <c r="AP58" i="1" s="1"/>
  <c r="AP61" i="1" s="1"/>
  <c r="H44" i="724"/>
  <c r="O86" i="724"/>
  <c r="O86" i="723"/>
  <c r="J3" i="31"/>
  <c r="U1" i="31"/>
  <c r="T79" i="598"/>
  <c r="T79" i="31" s="1"/>
  <c r="J3" i="598"/>
  <c r="U1" i="598"/>
  <c r="V130" i="1"/>
  <c r="V140" i="1" s="1"/>
  <c r="AG244" i="1"/>
  <c r="AG239" i="1"/>
  <c r="AG238" i="1"/>
  <c r="AG237" i="1"/>
  <c r="AG236" i="1"/>
  <c r="AG235" i="1"/>
  <c r="AG231" i="1"/>
  <c r="AG230" i="1"/>
  <c r="AG227" i="1"/>
  <c r="AG226" i="1"/>
  <c r="AG225" i="1"/>
  <c r="AG224" i="1"/>
  <c r="AG223" i="1"/>
  <c r="AG220" i="1"/>
  <c r="AG219" i="1"/>
  <c r="AG214" i="1"/>
  <c r="AG212" i="1"/>
  <c r="AG211" i="1"/>
  <c r="AG210" i="1"/>
  <c r="AG209" i="1"/>
  <c r="U209" i="1" s="1"/>
  <c r="AG208" i="1"/>
  <c r="U208" i="1" s="1"/>
  <c r="AG202" i="1"/>
  <c r="AG201" i="1"/>
  <c r="U201" i="1" s="1"/>
  <c r="AG200" i="1"/>
  <c r="U200" i="1" s="1"/>
  <c r="AG199" i="1"/>
  <c r="U199" i="1" s="1"/>
  <c r="AG198" i="1"/>
  <c r="U198" i="1" s="1"/>
  <c r="AG195" i="1"/>
  <c r="U195" i="1" s="1"/>
  <c r="AG194" i="1"/>
  <c r="AG193" i="1"/>
  <c r="U193" i="1" s="1"/>
  <c r="AG192" i="1"/>
  <c r="U192" i="1" s="1"/>
  <c r="AG191" i="1"/>
  <c r="U191" i="1" s="1"/>
  <c r="AG190" i="1"/>
  <c r="U190" i="1" s="1"/>
  <c r="AG189" i="1"/>
  <c r="AG188" i="1"/>
  <c r="AG183" i="1"/>
  <c r="AG182" i="1"/>
  <c r="AG181" i="1"/>
  <c r="U181" i="1" s="1"/>
  <c r="AG178" i="1"/>
  <c r="U178" i="1" s="1"/>
  <c r="AG177" i="1"/>
  <c r="U177" i="1" s="1"/>
  <c r="AG176" i="1"/>
  <c r="U176" i="1" s="1"/>
  <c r="AG175" i="1"/>
  <c r="U175" i="1" s="1"/>
  <c r="AG174" i="1"/>
  <c r="U174" i="1" s="1"/>
  <c r="AG173" i="1"/>
  <c r="U173" i="1" s="1"/>
  <c r="AG172" i="1"/>
  <c r="AP151" i="1"/>
  <c r="AP166" i="1"/>
  <c r="AP166" i="29" s="1"/>
  <c r="AG118" i="1"/>
  <c r="AG117" i="1"/>
  <c r="AP98" i="1"/>
  <c r="AP97" i="1"/>
  <c r="AG96" i="1"/>
  <c r="AG97" i="1" s="1"/>
  <c r="AP96" i="29"/>
  <c r="AO96" i="29"/>
  <c r="AP76" i="1"/>
  <c r="AP77" i="1" s="1"/>
  <c r="AP78" i="1" s="1"/>
  <c r="AO76" i="1"/>
  <c r="AG64" i="1"/>
  <c r="AG63" i="1"/>
  <c r="AG62" i="1"/>
  <c r="AG76" i="1" s="1"/>
  <c r="AG54" i="1"/>
  <c r="AG51" i="1"/>
  <c r="L130" i="2" s="1"/>
  <c r="AG50" i="1"/>
  <c r="AG49" i="1"/>
  <c r="AG48" i="1"/>
  <c r="AG46" i="1"/>
  <c r="L62" i="2" s="1"/>
  <c r="AG45" i="1"/>
  <c r="L61" i="2" s="1"/>
  <c r="AG43" i="1"/>
  <c r="L132" i="2" s="1"/>
  <c r="L142" i="2" s="1"/>
  <c r="AG42" i="1"/>
  <c r="L66" i="2" s="1"/>
  <c r="AG38" i="1"/>
  <c r="AP32" i="1"/>
  <c r="AP33" i="1" s="1"/>
  <c r="AP27" i="1"/>
  <c r="AP25" i="1"/>
  <c r="AP24" i="1"/>
  <c r="AG15" i="1"/>
  <c r="AG14" i="1"/>
  <c r="AG8" i="1"/>
  <c r="U8" i="1" s="1"/>
  <c r="U199" i="29"/>
  <c r="U180" i="29"/>
  <c r="AP226" i="29"/>
  <c r="AP199" i="29"/>
  <c r="AP165" i="29"/>
  <c r="AP114" i="29"/>
  <c r="AP80" i="29"/>
  <c r="AG80" i="29"/>
  <c r="C29" i="729" l="1"/>
  <c r="C9" i="729" s="1"/>
  <c r="F9" i="729" s="1"/>
  <c r="C8" i="729"/>
  <c r="F7" i="729"/>
  <c r="E8" i="729"/>
  <c r="F8" i="729" s="1"/>
  <c r="E12" i="729"/>
  <c r="F12" i="729" s="1"/>
  <c r="F11" i="729"/>
  <c r="AP55" i="1"/>
  <c r="D25" i="728"/>
  <c r="D26" i="728" s="1"/>
  <c r="D27" i="728" s="1"/>
  <c r="D19" i="728"/>
  <c r="E25" i="728"/>
  <c r="E26" i="728" s="1"/>
  <c r="E27" i="728" s="1"/>
  <c r="E19" i="728"/>
  <c r="B25" i="728"/>
  <c r="B19" i="728"/>
  <c r="C25" i="728"/>
  <c r="C26" i="728" s="1"/>
  <c r="C27" i="728" s="1"/>
  <c r="C19" i="728"/>
  <c r="AP205" i="1"/>
  <c r="AG205" i="1" s="1"/>
  <c r="U205" i="1" s="1"/>
  <c r="L155" i="2"/>
  <c r="I44" i="724"/>
  <c r="L157" i="2"/>
  <c r="U202" i="1"/>
  <c r="L154" i="2"/>
  <c r="L113" i="2"/>
  <c r="L27" i="2"/>
  <c r="L13" i="2" s="1"/>
  <c r="AG114" i="1"/>
  <c r="AG114" i="29" s="1"/>
  <c r="AG116" i="1"/>
  <c r="AG165" i="1"/>
  <c r="U210" i="1"/>
  <c r="U212" i="1"/>
  <c r="U203" i="1"/>
  <c r="U172" i="1"/>
  <c r="U214" i="1"/>
  <c r="C77" i="3" s="1"/>
  <c r="U188" i="1"/>
  <c r="AG96" i="29"/>
  <c r="U189" i="1"/>
  <c r="U183" i="1"/>
  <c r="U211" i="1"/>
  <c r="U182" i="1"/>
  <c r="U96" i="1"/>
  <c r="U184" i="1"/>
  <c r="U194" i="1"/>
  <c r="AP152" i="1"/>
  <c r="AP32" i="29"/>
  <c r="AP31" i="29"/>
  <c r="AP30" i="29"/>
  <c r="N142" i="30"/>
  <c r="M142" i="30"/>
  <c r="X132" i="30"/>
  <c r="X142" i="30" s="1"/>
  <c r="I119" i="597"/>
  <c r="N181" i="30"/>
  <c r="AG151" i="1" l="1"/>
  <c r="AG152" i="1" s="1"/>
  <c r="J40" i="724"/>
  <c r="J40" i="723"/>
  <c r="J40" i="597"/>
  <c r="O87" i="724"/>
  <c r="O87" i="723"/>
  <c r="J44" i="724"/>
  <c r="AG165" i="29"/>
  <c r="N146" i="2"/>
  <c r="N132" i="2"/>
  <c r="U96" i="29"/>
  <c r="U97" i="1"/>
  <c r="U116" i="1"/>
  <c r="AP153" i="1"/>
  <c r="H2416" i="727"/>
  <c r="R2416" i="727"/>
  <c r="Q2416" i="727"/>
  <c r="P2416" i="727"/>
  <c r="O2416" i="727"/>
  <c r="K2416" i="727"/>
  <c r="J2416" i="727"/>
  <c r="I2416" i="727"/>
  <c r="N2416" i="727"/>
  <c r="G2416" i="727"/>
  <c r="B9" i="727"/>
  <c r="AG153" i="1" l="1"/>
  <c r="P87" i="723"/>
  <c r="O88" i="723"/>
  <c r="P88" i="723" s="1"/>
  <c r="P87" i="724"/>
  <c r="O88" i="724"/>
  <c r="P88" i="724" s="1"/>
  <c r="K44" i="724"/>
  <c r="L44" i="724" s="1"/>
  <c r="M44" i="724" s="1"/>
  <c r="N44" i="724" s="1"/>
  <c r="O44" i="724" s="1"/>
  <c r="P44" i="724" s="1"/>
  <c r="Q44" i="724" s="1"/>
  <c r="R44" i="724" s="1"/>
  <c r="S44" i="724" s="1"/>
  <c r="T44" i="724" s="1"/>
  <c r="U44" i="724" s="1"/>
  <c r="N142" i="2"/>
  <c r="I2418" i="727"/>
  <c r="B15" i="727" s="1"/>
  <c r="J2418" i="727"/>
  <c r="B17" i="727" s="1"/>
  <c r="K2418" i="727"/>
  <c r="B18" i="727" s="1"/>
  <c r="H2418" i="727"/>
  <c r="B16" i="727" s="1"/>
  <c r="G2418" i="727"/>
  <c r="B14" i="727" s="1"/>
  <c r="B317" i="726" l="1"/>
  <c r="B316" i="726"/>
  <c r="B318" i="726"/>
  <c r="N318" i="726"/>
  <c r="M318" i="726"/>
  <c r="I318" i="726"/>
  <c r="H318" i="726"/>
  <c r="G318" i="726"/>
  <c r="F318" i="726"/>
  <c r="E318" i="726"/>
  <c r="D318" i="726"/>
  <c r="C318" i="726"/>
  <c r="N317" i="726"/>
  <c r="N316" i="726"/>
  <c r="N315" i="726"/>
  <c r="N314" i="726"/>
  <c r="N313" i="726"/>
  <c r="N312" i="726"/>
  <c r="N310" i="726"/>
  <c r="N311" i="726" s="1"/>
  <c r="N309" i="726"/>
  <c r="N308" i="726"/>
  <c r="N307" i="726"/>
  <c r="N306" i="726"/>
  <c r="N305" i="726"/>
  <c r="N304" i="726"/>
  <c r="N303" i="726"/>
  <c r="N302" i="726"/>
  <c r="N301" i="726"/>
  <c r="N299" i="726"/>
  <c r="N300" i="726" s="1"/>
  <c r="N298" i="726"/>
  <c r="N297" i="726"/>
  <c r="N296" i="726"/>
  <c r="N295" i="726"/>
  <c r="N294" i="726"/>
  <c r="N293" i="726"/>
  <c r="N292" i="726"/>
  <c r="N291" i="726"/>
  <c r="N290" i="726"/>
  <c r="N289" i="726"/>
  <c r="N288" i="726"/>
  <c r="N287" i="726"/>
  <c r="N286" i="726"/>
  <c r="N285" i="726"/>
  <c r="N284" i="726"/>
  <c r="N282" i="726"/>
  <c r="N283" i="726" s="1"/>
  <c r="N281" i="726"/>
  <c r="N280" i="726"/>
  <c r="N279" i="726"/>
  <c r="N278" i="726"/>
  <c r="N277" i="726"/>
  <c r="N276" i="726"/>
  <c r="N275" i="726"/>
  <c r="N274" i="726"/>
  <c r="N273" i="726"/>
  <c r="N272" i="726"/>
  <c r="N271" i="726"/>
  <c r="N270" i="726"/>
  <c r="N269" i="726"/>
  <c r="N268" i="726"/>
  <c r="N267" i="726"/>
  <c r="N266" i="726"/>
  <c r="N265" i="726"/>
  <c r="N264" i="726"/>
  <c r="N263" i="726"/>
  <c r="N262" i="726"/>
  <c r="N261" i="726"/>
  <c r="N260" i="726"/>
  <c r="N259" i="726"/>
  <c r="N258" i="726"/>
  <c r="N257" i="726"/>
  <c r="N256" i="726"/>
  <c r="N255" i="726"/>
  <c r="N254" i="726"/>
  <c r="N253" i="726"/>
  <c r="N252" i="726"/>
  <c r="N251" i="726"/>
  <c r="N250" i="726"/>
  <c r="N249" i="726"/>
  <c r="N248" i="726"/>
  <c r="N247" i="726"/>
  <c r="N246" i="726"/>
  <c r="N245" i="726"/>
  <c r="N244" i="726"/>
  <c r="N243" i="726"/>
  <c r="N242" i="726"/>
  <c r="N241" i="726"/>
  <c r="N240" i="726"/>
  <c r="N239" i="726"/>
  <c r="N238" i="726"/>
  <c r="N237" i="726"/>
  <c r="N236" i="726"/>
  <c r="N235" i="726"/>
  <c r="N234" i="726"/>
  <c r="N233" i="726"/>
  <c r="N232" i="726"/>
  <c r="N231" i="726"/>
  <c r="N230" i="726"/>
  <c r="N229" i="726"/>
  <c r="N228" i="726"/>
  <c r="N227" i="726"/>
  <c r="N226" i="726"/>
  <c r="N225" i="726"/>
  <c r="N224" i="726"/>
  <c r="N223" i="726"/>
  <c r="N222" i="726"/>
  <c r="N221" i="726"/>
  <c r="N220" i="726"/>
  <c r="N219" i="726"/>
  <c r="N218" i="726"/>
  <c r="N217" i="726"/>
  <c r="N216" i="726"/>
  <c r="N215" i="726"/>
  <c r="N213" i="726"/>
  <c r="N214" i="726" s="1"/>
  <c r="N212" i="726"/>
  <c r="N211" i="726"/>
  <c r="N210" i="726"/>
  <c r="N209" i="726"/>
  <c r="N208" i="726"/>
  <c r="N207" i="726"/>
  <c r="N206" i="726"/>
  <c r="N205" i="726"/>
  <c r="N204" i="726"/>
  <c r="N203" i="726"/>
  <c r="N202" i="726"/>
  <c r="N201" i="726"/>
  <c r="N200" i="726"/>
  <c r="N199" i="726"/>
  <c r="N198" i="726"/>
  <c r="N197" i="726"/>
  <c r="N196" i="726"/>
  <c r="N195" i="726"/>
  <c r="N194" i="726"/>
  <c r="N193" i="726"/>
  <c r="N192" i="726"/>
  <c r="N191" i="726"/>
  <c r="N190" i="726"/>
  <c r="N188" i="726"/>
  <c r="N189" i="726" s="1"/>
  <c r="N187" i="726"/>
  <c r="N186" i="726"/>
  <c r="N185" i="726"/>
  <c r="N184" i="726"/>
  <c r="N183" i="726"/>
  <c r="N182" i="726"/>
  <c r="N181" i="726"/>
  <c r="N180" i="726"/>
  <c r="M317" i="726"/>
  <c r="M316" i="726"/>
  <c r="M315" i="726"/>
  <c r="M314" i="726"/>
  <c r="M313" i="726"/>
  <c r="M312" i="726"/>
  <c r="M311" i="726"/>
  <c r="M310" i="726"/>
  <c r="M309" i="726"/>
  <c r="M308" i="726"/>
  <c r="M307" i="726"/>
  <c r="M306" i="726"/>
  <c r="M305" i="726"/>
  <c r="M304" i="726"/>
  <c r="M303" i="726"/>
  <c r="M302" i="726"/>
  <c r="M301" i="726"/>
  <c r="M300" i="726"/>
  <c r="M299" i="726"/>
  <c r="M298" i="726"/>
  <c r="M297" i="726"/>
  <c r="M296" i="726"/>
  <c r="M295" i="726"/>
  <c r="M294" i="726"/>
  <c r="M293" i="726"/>
  <c r="M292" i="726"/>
  <c r="M291" i="726"/>
  <c r="M290" i="726"/>
  <c r="M289" i="726"/>
  <c r="M288" i="726"/>
  <c r="M287" i="726"/>
  <c r="M286" i="726"/>
  <c r="M285" i="726"/>
  <c r="M284" i="726"/>
  <c r="M283" i="726"/>
  <c r="M282" i="726"/>
  <c r="M281" i="726"/>
  <c r="M280" i="726"/>
  <c r="M279" i="726"/>
  <c r="M278" i="726"/>
  <c r="M277" i="726"/>
  <c r="M276" i="726"/>
  <c r="M275" i="726"/>
  <c r="M274" i="726"/>
  <c r="M273" i="726"/>
  <c r="M272" i="726"/>
  <c r="M271" i="726"/>
  <c r="M270" i="726"/>
  <c r="M269" i="726"/>
  <c r="M268" i="726"/>
  <c r="M267" i="726"/>
  <c r="M266" i="726"/>
  <c r="M264" i="726"/>
  <c r="M265" i="726" s="1"/>
  <c r="M263" i="726"/>
  <c r="M262" i="726"/>
  <c r="M261" i="726"/>
  <c r="M260" i="726"/>
  <c r="M259" i="726"/>
  <c r="M258" i="726"/>
  <c r="M257" i="726"/>
  <c r="M256" i="726"/>
  <c r="M255" i="726"/>
  <c r="M254" i="726"/>
  <c r="M253" i="726"/>
  <c r="M252" i="726"/>
  <c r="M251" i="726"/>
  <c r="M250" i="726"/>
  <c r="M249" i="726"/>
  <c r="M248" i="726"/>
  <c r="M247" i="726"/>
  <c r="M246" i="726"/>
  <c r="M245" i="726"/>
  <c r="M244" i="726"/>
  <c r="M242" i="726"/>
  <c r="M243" i="726" s="1"/>
  <c r="M241" i="726"/>
  <c r="M240" i="726"/>
  <c r="M239" i="726"/>
  <c r="M238" i="726"/>
  <c r="M237" i="726"/>
  <c r="M236" i="726"/>
  <c r="M235" i="726"/>
  <c r="M234" i="726"/>
  <c r="M233" i="726"/>
  <c r="M232" i="726"/>
  <c r="M231" i="726"/>
  <c r="M230" i="726"/>
  <c r="M229" i="726"/>
  <c r="M228" i="726"/>
  <c r="M227" i="726"/>
  <c r="M226" i="726"/>
  <c r="M225" i="726"/>
  <c r="M224" i="726"/>
  <c r="M223" i="726"/>
  <c r="M222" i="726"/>
  <c r="M221" i="726"/>
  <c r="M220" i="726"/>
  <c r="M219" i="726"/>
  <c r="M218" i="726"/>
  <c r="M217" i="726"/>
  <c r="M216" i="726"/>
  <c r="M215" i="726"/>
  <c r="M214" i="726"/>
  <c r="M213" i="726"/>
  <c r="M212" i="726"/>
  <c r="M211" i="726"/>
  <c r="M210" i="726"/>
  <c r="M209" i="726"/>
  <c r="M208" i="726"/>
  <c r="M207" i="726"/>
  <c r="M206" i="726"/>
  <c r="M205" i="726"/>
  <c r="M204" i="726"/>
  <c r="M203" i="726"/>
  <c r="M202" i="726"/>
  <c r="M201" i="726"/>
  <c r="M200" i="726"/>
  <c r="M199" i="726"/>
  <c r="M198" i="726"/>
  <c r="M197" i="726"/>
  <c r="M196" i="726"/>
  <c r="M195" i="726"/>
  <c r="M194" i="726"/>
  <c r="M193" i="726"/>
  <c r="M192" i="726"/>
  <c r="M191" i="726"/>
  <c r="M190" i="726"/>
  <c r="M189" i="726"/>
  <c r="M188" i="726"/>
  <c r="M187" i="726"/>
  <c r="M186" i="726"/>
  <c r="M185" i="726"/>
  <c r="M184" i="726"/>
  <c r="M183" i="726"/>
  <c r="M182" i="726"/>
  <c r="M181" i="726"/>
  <c r="M180" i="726"/>
  <c r="L317" i="726"/>
  <c r="L318" i="726" s="1"/>
  <c r="K317" i="726"/>
  <c r="K318" i="726" s="1"/>
  <c r="J317" i="726"/>
  <c r="J318" i="726" s="1"/>
  <c r="I317" i="726"/>
  <c r="H317" i="726"/>
  <c r="G317" i="726"/>
  <c r="F317" i="726"/>
  <c r="E317" i="726"/>
  <c r="D317" i="726"/>
  <c r="C317" i="726"/>
  <c r="L316" i="726"/>
  <c r="K316" i="726"/>
  <c r="J316" i="726"/>
  <c r="I316" i="726"/>
  <c r="H316" i="726"/>
  <c r="G316" i="726"/>
  <c r="F316" i="726"/>
  <c r="E316" i="726"/>
  <c r="D316" i="726"/>
  <c r="C316" i="726"/>
  <c r="L315" i="726"/>
  <c r="K315" i="726"/>
  <c r="J315" i="726"/>
  <c r="I315" i="726"/>
  <c r="H315" i="726"/>
  <c r="G315" i="726"/>
  <c r="F315" i="726"/>
  <c r="E315" i="726"/>
  <c r="D315" i="726"/>
  <c r="C315" i="726"/>
  <c r="L314" i="726"/>
  <c r="K314" i="726"/>
  <c r="J314" i="726"/>
  <c r="I314" i="726"/>
  <c r="H314" i="726"/>
  <c r="G314" i="726"/>
  <c r="F314" i="726"/>
  <c r="E314" i="726"/>
  <c r="D314" i="726"/>
  <c r="C314" i="726"/>
  <c r="L313" i="726"/>
  <c r="K313" i="726"/>
  <c r="J313" i="726"/>
  <c r="I313" i="726"/>
  <c r="H313" i="726"/>
  <c r="G313" i="726"/>
  <c r="F313" i="726"/>
  <c r="E313" i="726"/>
  <c r="D313" i="726"/>
  <c r="C313" i="726"/>
  <c r="L312" i="726"/>
  <c r="K312" i="726"/>
  <c r="J312" i="726"/>
  <c r="I312" i="726"/>
  <c r="H312" i="726"/>
  <c r="G312" i="726"/>
  <c r="F312" i="726"/>
  <c r="E312" i="726"/>
  <c r="D312" i="726"/>
  <c r="C312" i="726"/>
  <c r="I311" i="726"/>
  <c r="H311" i="726"/>
  <c r="G311" i="726"/>
  <c r="F311" i="726"/>
  <c r="E311" i="726"/>
  <c r="D311" i="726"/>
  <c r="C311" i="726"/>
  <c r="L310" i="726"/>
  <c r="L311" i="726" s="1"/>
  <c r="K310" i="726"/>
  <c r="K311" i="726" s="1"/>
  <c r="J310" i="726"/>
  <c r="J311" i="726" s="1"/>
  <c r="I310" i="726"/>
  <c r="H310" i="726"/>
  <c r="G310" i="726"/>
  <c r="F310" i="726"/>
  <c r="E310" i="726"/>
  <c r="D310" i="726"/>
  <c r="C310" i="726"/>
  <c r="L309" i="726"/>
  <c r="K309" i="726"/>
  <c r="J309" i="726"/>
  <c r="I309" i="726"/>
  <c r="H309" i="726"/>
  <c r="G309" i="726"/>
  <c r="F309" i="726"/>
  <c r="E309" i="726"/>
  <c r="D309" i="726"/>
  <c r="C309" i="726"/>
  <c r="L308" i="726"/>
  <c r="K308" i="726"/>
  <c r="J308" i="726"/>
  <c r="I308" i="726"/>
  <c r="H308" i="726"/>
  <c r="G308" i="726"/>
  <c r="F308" i="726"/>
  <c r="E308" i="726"/>
  <c r="D308" i="726"/>
  <c r="C308" i="726"/>
  <c r="L307" i="726"/>
  <c r="K307" i="726"/>
  <c r="J307" i="726"/>
  <c r="I307" i="726"/>
  <c r="H307" i="726"/>
  <c r="G307" i="726"/>
  <c r="F307" i="726"/>
  <c r="E307" i="726"/>
  <c r="D307" i="726"/>
  <c r="C307" i="726"/>
  <c r="L306" i="726"/>
  <c r="K306" i="726"/>
  <c r="J306" i="726"/>
  <c r="I306" i="726"/>
  <c r="H306" i="726"/>
  <c r="G306" i="726"/>
  <c r="F306" i="726"/>
  <c r="E306" i="726"/>
  <c r="D306" i="726"/>
  <c r="C306" i="726"/>
  <c r="L305" i="726"/>
  <c r="K305" i="726"/>
  <c r="J305" i="726"/>
  <c r="I305" i="726"/>
  <c r="H305" i="726"/>
  <c r="G305" i="726"/>
  <c r="F305" i="726"/>
  <c r="E305" i="726"/>
  <c r="D305" i="726"/>
  <c r="C305" i="726"/>
  <c r="L304" i="726"/>
  <c r="K304" i="726"/>
  <c r="J304" i="726"/>
  <c r="I304" i="726"/>
  <c r="H304" i="726"/>
  <c r="G304" i="726"/>
  <c r="F304" i="726"/>
  <c r="E304" i="726"/>
  <c r="D304" i="726"/>
  <c r="C304" i="726"/>
  <c r="L303" i="726"/>
  <c r="K303" i="726"/>
  <c r="J303" i="726"/>
  <c r="I303" i="726"/>
  <c r="H303" i="726"/>
  <c r="G303" i="726"/>
  <c r="F303" i="726"/>
  <c r="E303" i="726"/>
  <c r="D303" i="726"/>
  <c r="C303" i="726"/>
  <c r="L302" i="726"/>
  <c r="K302" i="726"/>
  <c r="J302" i="726"/>
  <c r="I302" i="726"/>
  <c r="H302" i="726"/>
  <c r="G302" i="726"/>
  <c r="F302" i="726"/>
  <c r="E302" i="726"/>
  <c r="D302" i="726"/>
  <c r="C302" i="726"/>
  <c r="L301" i="726"/>
  <c r="K301" i="726"/>
  <c r="J301" i="726"/>
  <c r="I301" i="726"/>
  <c r="H301" i="726"/>
  <c r="G301" i="726"/>
  <c r="F301" i="726"/>
  <c r="E301" i="726"/>
  <c r="D301" i="726"/>
  <c r="C301" i="726"/>
  <c r="I300" i="726"/>
  <c r="H300" i="726"/>
  <c r="G300" i="726"/>
  <c r="F300" i="726"/>
  <c r="E300" i="726"/>
  <c r="D300" i="726"/>
  <c r="C300" i="726"/>
  <c r="L299" i="726"/>
  <c r="L300" i="726" s="1"/>
  <c r="K299" i="726"/>
  <c r="K300" i="726" s="1"/>
  <c r="J299" i="726"/>
  <c r="J300" i="726" s="1"/>
  <c r="I299" i="726"/>
  <c r="H299" i="726"/>
  <c r="G299" i="726"/>
  <c r="F299" i="726"/>
  <c r="E299" i="726"/>
  <c r="D299" i="726"/>
  <c r="C299" i="726"/>
  <c r="L298" i="726"/>
  <c r="K298" i="726"/>
  <c r="J298" i="726"/>
  <c r="I298" i="726"/>
  <c r="H298" i="726"/>
  <c r="G298" i="726"/>
  <c r="F298" i="726"/>
  <c r="E298" i="726"/>
  <c r="D298" i="726"/>
  <c r="C298" i="726"/>
  <c r="L297" i="726"/>
  <c r="K297" i="726"/>
  <c r="J297" i="726"/>
  <c r="I297" i="726"/>
  <c r="H297" i="726"/>
  <c r="G297" i="726"/>
  <c r="F297" i="726"/>
  <c r="E297" i="726"/>
  <c r="D297" i="726"/>
  <c r="C297" i="726"/>
  <c r="L296" i="726"/>
  <c r="K296" i="726"/>
  <c r="J296" i="726"/>
  <c r="I296" i="726"/>
  <c r="H296" i="726"/>
  <c r="G296" i="726"/>
  <c r="F296" i="726"/>
  <c r="E296" i="726"/>
  <c r="D296" i="726"/>
  <c r="C296" i="726"/>
  <c r="L295" i="726"/>
  <c r="K295" i="726"/>
  <c r="J295" i="726"/>
  <c r="I295" i="726"/>
  <c r="H295" i="726"/>
  <c r="G295" i="726"/>
  <c r="F295" i="726"/>
  <c r="E295" i="726"/>
  <c r="D295" i="726"/>
  <c r="C295" i="726"/>
  <c r="L294" i="726"/>
  <c r="K294" i="726"/>
  <c r="J294" i="726"/>
  <c r="I294" i="726"/>
  <c r="H294" i="726"/>
  <c r="G294" i="726"/>
  <c r="F294" i="726"/>
  <c r="E294" i="726"/>
  <c r="D294" i="726"/>
  <c r="C294" i="726"/>
  <c r="L293" i="726"/>
  <c r="K293" i="726"/>
  <c r="J293" i="726"/>
  <c r="I293" i="726"/>
  <c r="H293" i="726"/>
  <c r="G293" i="726"/>
  <c r="F293" i="726"/>
  <c r="E293" i="726"/>
  <c r="D293" i="726"/>
  <c r="C293" i="726"/>
  <c r="L292" i="726"/>
  <c r="K292" i="726"/>
  <c r="J292" i="726"/>
  <c r="I292" i="726"/>
  <c r="H292" i="726"/>
  <c r="G292" i="726"/>
  <c r="F292" i="726"/>
  <c r="E292" i="726"/>
  <c r="D292" i="726"/>
  <c r="C292" i="726"/>
  <c r="L291" i="726"/>
  <c r="K291" i="726"/>
  <c r="J291" i="726"/>
  <c r="I291" i="726"/>
  <c r="H291" i="726"/>
  <c r="G291" i="726"/>
  <c r="F291" i="726"/>
  <c r="E291" i="726"/>
  <c r="D291" i="726"/>
  <c r="C291" i="726"/>
  <c r="L290" i="726"/>
  <c r="K290" i="726"/>
  <c r="J290" i="726"/>
  <c r="I290" i="726"/>
  <c r="H290" i="726"/>
  <c r="G290" i="726"/>
  <c r="F290" i="726"/>
  <c r="E290" i="726"/>
  <c r="D290" i="726"/>
  <c r="C290" i="726"/>
  <c r="L289" i="726"/>
  <c r="K289" i="726"/>
  <c r="J289" i="726"/>
  <c r="I289" i="726"/>
  <c r="H289" i="726"/>
  <c r="G289" i="726"/>
  <c r="F289" i="726"/>
  <c r="E289" i="726"/>
  <c r="D289" i="726"/>
  <c r="C289" i="726"/>
  <c r="L288" i="726"/>
  <c r="K288" i="726"/>
  <c r="J288" i="726"/>
  <c r="I288" i="726"/>
  <c r="H288" i="726"/>
  <c r="G288" i="726"/>
  <c r="F288" i="726"/>
  <c r="E288" i="726"/>
  <c r="D288" i="726"/>
  <c r="C288" i="726"/>
  <c r="L287" i="726"/>
  <c r="K287" i="726"/>
  <c r="J287" i="726"/>
  <c r="I287" i="726"/>
  <c r="H287" i="726"/>
  <c r="G287" i="726"/>
  <c r="F287" i="726"/>
  <c r="E287" i="726"/>
  <c r="D287" i="726"/>
  <c r="C287" i="726"/>
  <c r="L286" i="726"/>
  <c r="K286" i="726"/>
  <c r="J286" i="726"/>
  <c r="I286" i="726"/>
  <c r="H286" i="726"/>
  <c r="G286" i="726"/>
  <c r="F286" i="726"/>
  <c r="E286" i="726"/>
  <c r="D286" i="726"/>
  <c r="C286" i="726"/>
  <c r="L285" i="726"/>
  <c r="K285" i="726"/>
  <c r="J285" i="726"/>
  <c r="I285" i="726"/>
  <c r="H285" i="726"/>
  <c r="G285" i="726"/>
  <c r="F285" i="726"/>
  <c r="E285" i="726"/>
  <c r="D285" i="726"/>
  <c r="C285" i="726"/>
  <c r="L284" i="726"/>
  <c r="K284" i="726"/>
  <c r="J284" i="726"/>
  <c r="I284" i="726"/>
  <c r="H284" i="726"/>
  <c r="G284" i="726"/>
  <c r="F284" i="726"/>
  <c r="E284" i="726"/>
  <c r="D284" i="726"/>
  <c r="C284" i="726"/>
  <c r="I283" i="726"/>
  <c r="H283" i="726"/>
  <c r="G283" i="726"/>
  <c r="F283" i="726"/>
  <c r="D283" i="726"/>
  <c r="C283" i="726"/>
  <c r="L282" i="726"/>
  <c r="L283" i="726" s="1"/>
  <c r="K282" i="726"/>
  <c r="K283" i="726" s="1"/>
  <c r="J282" i="726"/>
  <c r="J283" i="726" s="1"/>
  <c r="I282" i="726"/>
  <c r="H282" i="726"/>
  <c r="G282" i="726"/>
  <c r="F282" i="726"/>
  <c r="E282" i="726"/>
  <c r="E283" i="726" s="1"/>
  <c r="D282" i="726"/>
  <c r="C282" i="726"/>
  <c r="L281" i="726"/>
  <c r="K281" i="726"/>
  <c r="J281" i="726"/>
  <c r="I281" i="726"/>
  <c r="H281" i="726"/>
  <c r="G281" i="726"/>
  <c r="F281" i="726"/>
  <c r="E281" i="726"/>
  <c r="D281" i="726"/>
  <c r="C281" i="726"/>
  <c r="L280" i="726"/>
  <c r="K280" i="726"/>
  <c r="J280" i="726"/>
  <c r="I280" i="726"/>
  <c r="H280" i="726"/>
  <c r="G280" i="726"/>
  <c r="F280" i="726"/>
  <c r="E280" i="726"/>
  <c r="D280" i="726"/>
  <c r="C280" i="726"/>
  <c r="L279" i="726"/>
  <c r="K279" i="726"/>
  <c r="J279" i="726"/>
  <c r="I279" i="726"/>
  <c r="H279" i="726"/>
  <c r="G279" i="726"/>
  <c r="F279" i="726"/>
  <c r="E279" i="726"/>
  <c r="D279" i="726"/>
  <c r="C279" i="726"/>
  <c r="L278" i="726"/>
  <c r="K278" i="726"/>
  <c r="J278" i="726"/>
  <c r="H278" i="726"/>
  <c r="G278" i="726"/>
  <c r="E278" i="726"/>
  <c r="D278" i="726"/>
  <c r="C278" i="726"/>
  <c r="L277" i="726"/>
  <c r="K277" i="726"/>
  <c r="J277" i="726"/>
  <c r="I277" i="726"/>
  <c r="I278" i="726" s="1"/>
  <c r="H277" i="726"/>
  <c r="G277" i="726"/>
  <c r="F277" i="726"/>
  <c r="F278" i="726" s="1"/>
  <c r="E277" i="726"/>
  <c r="D277" i="726"/>
  <c r="C277" i="726"/>
  <c r="L276" i="726"/>
  <c r="K276" i="726"/>
  <c r="J276" i="726"/>
  <c r="I276" i="726"/>
  <c r="H276" i="726"/>
  <c r="G276" i="726"/>
  <c r="F276" i="726"/>
  <c r="E276" i="726"/>
  <c r="D276" i="726"/>
  <c r="C276" i="726"/>
  <c r="L275" i="726"/>
  <c r="K275" i="726"/>
  <c r="J275" i="726"/>
  <c r="I275" i="726"/>
  <c r="H275" i="726"/>
  <c r="G275" i="726"/>
  <c r="F275" i="726"/>
  <c r="E275" i="726"/>
  <c r="D275" i="726"/>
  <c r="C275" i="726"/>
  <c r="L274" i="726"/>
  <c r="K274" i="726"/>
  <c r="J274" i="726"/>
  <c r="I274" i="726"/>
  <c r="H274" i="726"/>
  <c r="G274" i="726"/>
  <c r="F274" i="726"/>
  <c r="E274" i="726"/>
  <c r="D274" i="726"/>
  <c r="C274" i="726"/>
  <c r="L273" i="726"/>
  <c r="K273" i="726"/>
  <c r="J273" i="726"/>
  <c r="I273" i="726"/>
  <c r="H273" i="726"/>
  <c r="G273" i="726"/>
  <c r="F273" i="726"/>
  <c r="E273" i="726"/>
  <c r="D273" i="726"/>
  <c r="C273" i="726"/>
  <c r="L272" i="726"/>
  <c r="K272" i="726"/>
  <c r="J272" i="726"/>
  <c r="I272" i="726"/>
  <c r="H272" i="726"/>
  <c r="G272" i="726"/>
  <c r="F272" i="726"/>
  <c r="E272" i="726"/>
  <c r="D272" i="726"/>
  <c r="C272" i="726"/>
  <c r="L271" i="726"/>
  <c r="K271" i="726"/>
  <c r="J271" i="726"/>
  <c r="H271" i="726"/>
  <c r="G271" i="726"/>
  <c r="E271" i="726"/>
  <c r="D271" i="726"/>
  <c r="C271" i="726"/>
  <c r="L270" i="726"/>
  <c r="K270" i="726"/>
  <c r="J270" i="726"/>
  <c r="I270" i="726"/>
  <c r="I271" i="726" s="1"/>
  <c r="H270" i="726"/>
  <c r="G270" i="726"/>
  <c r="F270" i="726"/>
  <c r="F271" i="726" s="1"/>
  <c r="E270" i="726"/>
  <c r="D270" i="726"/>
  <c r="C270" i="726"/>
  <c r="L269" i="726"/>
  <c r="K269" i="726"/>
  <c r="J269" i="726"/>
  <c r="I269" i="726"/>
  <c r="H269" i="726"/>
  <c r="G269" i="726"/>
  <c r="F269" i="726"/>
  <c r="E269" i="726"/>
  <c r="D269" i="726"/>
  <c r="C269" i="726"/>
  <c r="L268" i="726"/>
  <c r="K268" i="726"/>
  <c r="J268" i="726"/>
  <c r="I268" i="726"/>
  <c r="H268" i="726"/>
  <c r="G268" i="726"/>
  <c r="F268" i="726"/>
  <c r="D268" i="726"/>
  <c r="C268" i="726"/>
  <c r="L267" i="726"/>
  <c r="K267" i="726"/>
  <c r="J267" i="726"/>
  <c r="I267" i="726"/>
  <c r="H267" i="726"/>
  <c r="G267" i="726"/>
  <c r="F267" i="726"/>
  <c r="E267" i="726"/>
  <c r="E268" i="726" s="1"/>
  <c r="D267" i="726"/>
  <c r="C267" i="726"/>
  <c r="L266" i="726"/>
  <c r="K266" i="726"/>
  <c r="J266" i="726"/>
  <c r="I266" i="726"/>
  <c r="H266" i="726"/>
  <c r="G266" i="726"/>
  <c r="F266" i="726"/>
  <c r="E266" i="726"/>
  <c r="D266" i="726"/>
  <c r="C266" i="726"/>
  <c r="L265" i="726"/>
  <c r="K265" i="726"/>
  <c r="J265" i="726"/>
  <c r="E265" i="726"/>
  <c r="L264" i="726"/>
  <c r="K264" i="726"/>
  <c r="J264" i="726"/>
  <c r="I264" i="726"/>
  <c r="I265" i="726" s="1"/>
  <c r="H264" i="726"/>
  <c r="H265" i="726" s="1"/>
  <c r="G264" i="726"/>
  <c r="G265" i="726" s="1"/>
  <c r="F264" i="726"/>
  <c r="F265" i="726" s="1"/>
  <c r="E264" i="726"/>
  <c r="D264" i="726"/>
  <c r="D265" i="726" s="1"/>
  <c r="C264" i="726"/>
  <c r="C265" i="726" s="1"/>
  <c r="L263" i="726"/>
  <c r="K263" i="726"/>
  <c r="J263" i="726"/>
  <c r="I263" i="726"/>
  <c r="H263" i="726"/>
  <c r="G263" i="726"/>
  <c r="F263" i="726"/>
  <c r="E263" i="726"/>
  <c r="D263" i="726"/>
  <c r="C263" i="726"/>
  <c r="L262" i="726"/>
  <c r="K262" i="726"/>
  <c r="J262" i="726"/>
  <c r="I262" i="726"/>
  <c r="H262" i="726"/>
  <c r="G262" i="726"/>
  <c r="F262" i="726"/>
  <c r="E262" i="726"/>
  <c r="D262" i="726"/>
  <c r="C262" i="726"/>
  <c r="L261" i="726"/>
  <c r="K261" i="726"/>
  <c r="J261" i="726"/>
  <c r="I261" i="726"/>
  <c r="H261" i="726"/>
  <c r="G261" i="726"/>
  <c r="F261" i="726"/>
  <c r="E261" i="726"/>
  <c r="D261" i="726"/>
  <c r="C261" i="726"/>
  <c r="L260" i="726"/>
  <c r="K260" i="726"/>
  <c r="J260" i="726"/>
  <c r="I260" i="726"/>
  <c r="H260" i="726"/>
  <c r="G260" i="726"/>
  <c r="F260" i="726"/>
  <c r="E260" i="726"/>
  <c r="D260" i="726"/>
  <c r="C260" i="726"/>
  <c r="L259" i="726"/>
  <c r="K259" i="726"/>
  <c r="J259" i="726"/>
  <c r="I259" i="726"/>
  <c r="H259" i="726"/>
  <c r="G259" i="726"/>
  <c r="F259" i="726"/>
  <c r="E259" i="726"/>
  <c r="D259" i="726"/>
  <c r="C259" i="726"/>
  <c r="L258" i="726"/>
  <c r="K258" i="726"/>
  <c r="J258" i="726"/>
  <c r="I258" i="726"/>
  <c r="H258" i="726"/>
  <c r="G258" i="726"/>
  <c r="F258" i="726"/>
  <c r="E258" i="726"/>
  <c r="D258" i="726"/>
  <c r="C258" i="726"/>
  <c r="L257" i="726"/>
  <c r="K257" i="726"/>
  <c r="J257" i="726"/>
  <c r="I257" i="726"/>
  <c r="H257" i="726"/>
  <c r="G257" i="726"/>
  <c r="F257" i="726"/>
  <c r="E257" i="726"/>
  <c r="D257" i="726"/>
  <c r="C257" i="726"/>
  <c r="L256" i="726"/>
  <c r="K256" i="726"/>
  <c r="J256" i="726"/>
  <c r="I256" i="726"/>
  <c r="H256" i="726"/>
  <c r="G256" i="726"/>
  <c r="F256" i="726"/>
  <c r="E256" i="726"/>
  <c r="D256" i="726"/>
  <c r="C256" i="726"/>
  <c r="L255" i="726"/>
  <c r="K255" i="726"/>
  <c r="J255" i="726"/>
  <c r="I255" i="726"/>
  <c r="H255" i="726"/>
  <c r="G255" i="726"/>
  <c r="F255" i="726"/>
  <c r="E255" i="726"/>
  <c r="D255" i="726"/>
  <c r="C255" i="726"/>
  <c r="L254" i="726"/>
  <c r="K254" i="726"/>
  <c r="J254" i="726"/>
  <c r="I254" i="726"/>
  <c r="H254" i="726"/>
  <c r="G254" i="726"/>
  <c r="F254" i="726"/>
  <c r="E254" i="726"/>
  <c r="D254" i="726"/>
  <c r="C254" i="726"/>
  <c r="L253" i="726"/>
  <c r="K253" i="726"/>
  <c r="J253" i="726"/>
  <c r="I253" i="726"/>
  <c r="H253" i="726"/>
  <c r="G253" i="726"/>
  <c r="F253" i="726"/>
  <c r="E253" i="726"/>
  <c r="D253" i="726"/>
  <c r="C253" i="726"/>
  <c r="L252" i="726"/>
  <c r="K252" i="726"/>
  <c r="J252" i="726"/>
  <c r="I252" i="726"/>
  <c r="H252" i="726"/>
  <c r="G252" i="726"/>
  <c r="F252" i="726"/>
  <c r="E252" i="726"/>
  <c r="D252" i="726"/>
  <c r="C252" i="726"/>
  <c r="L251" i="726"/>
  <c r="K251" i="726"/>
  <c r="J251" i="726"/>
  <c r="I251" i="726"/>
  <c r="H251" i="726"/>
  <c r="G251" i="726"/>
  <c r="F251" i="726"/>
  <c r="E251" i="726"/>
  <c r="D251" i="726"/>
  <c r="C251" i="726"/>
  <c r="L250" i="726"/>
  <c r="K250" i="726"/>
  <c r="J250" i="726"/>
  <c r="I250" i="726"/>
  <c r="H250" i="726"/>
  <c r="G250" i="726"/>
  <c r="F250" i="726"/>
  <c r="E250" i="726"/>
  <c r="D250" i="726"/>
  <c r="C250" i="726"/>
  <c r="L249" i="726"/>
  <c r="K249" i="726"/>
  <c r="J249" i="726"/>
  <c r="I249" i="726"/>
  <c r="H249" i="726"/>
  <c r="G249" i="726"/>
  <c r="F249" i="726"/>
  <c r="E249" i="726"/>
  <c r="D249" i="726"/>
  <c r="C249" i="726"/>
  <c r="L248" i="726"/>
  <c r="K248" i="726"/>
  <c r="J248" i="726"/>
  <c r="I248" i="726"/>
  <c r="H248" i="726"/>
  <c r="G248" i="726"/>
  <c r="F248" i="726"/>
  <c r="E248" i="726"/>
  <c r="D248" i="726"/>
  <c r="C248" i="726"/>
  <c r="L247" i="726"/>
  <c r="K247" i="726"/>
  <c r="J247" i="726"/>
  <c r="I247" i="726"/>
  <c r="H247" i="726"/>
  <c r="G247" i="726"/>
  <c r="F247" i="726"/>
  <c r="E247" i="726"/>
  <c r="D247" i="726"/>
  <c r="C247" i="726"/>
  <c r="L246" i="726"/>
  <c r="K246" i="726"/>
  <c r="J246" i="726"/>
  <c r="I246" i="726"/>
  <c r="H246" i="726"/>
  <c r="G246" i="726"/>
  <c r="F246" i="726"/>
  <c r="E246" i="726"/>
  <c r="D246" i="726"/>
  <c r="C246" i="726"/>
  <c r="L245" i="726"/>
  <c r="K245" i="726"/>
  <c r="J245" i="726"/>
  <c r="I245" i="726"/>
  <c r="H245" i="726"/>
  <c r="G245" i="726"/>
  <c r="F245" i="726"/>
  <c r="E245" i="726"/>
  <c r="D245" i="726"/>
  <c r="C245" i="726"/>
  <c r="L244" i="726"/>
  <c r="K244" i="726"/>
  <c r="J244" i="726"/>
  <c r="I244" i="726"/>
  <c r="H244" i="726"/>
  <c r="G244" i="726"/>
  <c r="F244" i="726"/>
  <c r="E244" i="726"/>
  <c r="D244" i="726"/>
  <c r="C244" i="726"/>
  <c r="L243" i="726"/>
  <c r="K243" i="726"/>
  <c r="J243" i="726"/>
  <c r="L242" i="726"/>
  <c r="K242" i="726"/>
  <c r="J242" i="726"/>
  <c r="I242" i="726"/>
  <c r="I243" i="726" s="1"/>
  <c r="H242" i="726"/>
  <c r="H243" i="726" s="1"/>
  <c r="G242" i="726"/>
  <c r="G243" i="726" s="1"/>
  <c r="F242" i="726"/>
  <c r="F243" i="726" s="1"/>
  <c r="E242" i="726"/>
  <c r="E243" i="726" s="1"/>
  <c r="D242" i="726"/>
  <c r="D243" i="726" s="1"/>
  <c r="C242" i="726"/>
  <c r="C243" i="726" s="1"/>
  <c r="L241" i="726"/>
  <c r="K241" i="726"/>
  <c r="J241" i="726"/>
  <c r="I241" i="726"/>
  <c r="H241" i="726"/>
  <c r="G241" i="726"/>
  <c r="F241" i="726"/>
  <c r="E241" i="726"/>
  <c r="D241" i="726"/>
  <c r="C241" i="726"/>
  <c r="L240" i="726"/>
  <c r="K240" i="726"/>
  <c r="J240" i="726"/>
  <c r="I240" i="726"/>
  <c r="H240" i="726"/>
  <c r="G240" i="726"/>
  <c r="F240" i="726"/>
  <c r="E240" i="726"/>
  <c r="D240" i="726"/>
  <c r="C240" i="726"/>
  <c r="L239" i="726"/>
  <c r="K239" i="726"/>
  <c r="J239" i="726"/>
  <c r="I239" i="726"/>
  <c r="H239" i="726"/>
  <c r="G239" i="726"/>
  <c r="F239" i="726"/>
  <c r="E239" i="726"/>
  <c r="D239" i="726"/>
  <c r="C239" i="726"/>
  <c r="L238" i="726"/>
  <c r="K238" i="726"/>
  <c r="J238" i="726"/>
  <c r="I238" i="726"/>
  <c r="H238" i="726"/>
  <c r="G238" i="726"/>
  <c r="F238" i="726"/>
  <c r="E238" i="726"/>
  <c r="D238" i="726"/>
  <c r="C238" i="726"/>
  <c r="L237" i="726"/>
  <c r="K237" i="726"/>
  <c r="J237" i="726"/>
  <c r="I237" i="726"/>
  <c r="H237" i="726"/>
  <c r="G237" i="726"/>
  <c r="F237" i="726"/>
  <c r="E237" i="726"/>
  <c r="D237" i="726"/>
  <c r="C237" i="726"/>
  <c r="L236" i="726"/>
  <c r="K236" i="726"/>
  <c r="J236" i="726"/>
  <c r="I236" i="726"/>
  <c r="H236" i="726"/>
  <c r="G236" i="726"/>
  <c r="F236" i="726"/>
  <c r="E236" i="726"/>
  <c r="D236" i="726"/>
  <c r="C236" i="726"/>
  <c r="L235" i="726"/>
  <c r="K235" i="726"/>
  <c r="J235" i="726"/>
  <c r="I235" i="726"/>
  <c r="H235" i="726"/>
  <c r="G235" i="726"/>
  <c r="F235" i="726"/>
  <c r="E235" i="726"/>
  <c r="D235" i="726"/>
  <c r="C235" i="726"/>
  <c r="L234" i="726"/>
  <c r="K234" i="726"/>
  <c r="J234" i="726"/>
  <c r="I234" i="726"/>
  <c r="H234" i="726"/>
  <c r="G234" i="726"/>
  <c r="F234" i="726"/>
  <c r="E234" i="726"/>
  <c r="D234" i="726"/>
  <c r="C234" i="726"/>
  <c r="L233" i="726"/>
  <c r="K233" i="726"/>
  <c r="J233" i="726"/>
  <c r="I233" i="726"/>
  <c r="H233" i="726"/>
  <c r="G233" i="726"/>
  <c r="F233" i="726"/>
  <c r="E233" i="726"/>
  <c r="D233" i="726"/>
  <c r="C233" i="726"/>
  <c r="L232" i="726"/>
  <c r="K232" i="726"/>
  <c r="J232" i="726"/>
  <c r="I232" i="726"/>
  <c r="H232" i="726"/>
  <c r="G232" i="726"/>
  <c r="F232" i="726"/>
  <c r="E232" i="726"/>
  <c r="D232" i="726"/>
  <c r="C232" i="726"/>
  <c r="L231" i="726"/>
  <c r="K231" i="726"/>
  <c r="J231" i="726"/>
  <c r="I231" i="726"/>
  <c r="H231" i="726"/>
  <c r="G231" i="726"/>
  <c r="F231" i="726"/>
  <c r="E231" i="726"/>
  <c r="D231" i="726"/>
  <c r="C231" i="726"/>
  <c r="L230" i="726"/>
  <c r="K230" i="726"/>
  <c r="J230" i="726"/>
  <c r="I230" i="726"/>
  <c r="H230" i="726"/>
  <c r="G230" i="726"/>
  <c r="F230" i="726"/>
  <c r="E230" i="726"/>
  <c r="D230" i="726"/>
  <c r="C230" i="726"/>
  <c r="L229" i="726"/>
  <c r="K229" i="726"/>
  <c r="J229" i="726"/>
  <c r="I229" i="726"/>
  <c r="H229" i="726"/>
  <c r="G229" i="726"/>
  <c r="F229" i="726"/>
  <c r="E229" i="726"/>
  <c r="D229" i="726"/>
  <c r="C229" i="726"/>
  <c r="L228" i="726"/>
  <c r="K228" i="726"/>
  <c r="J228" i="726"/>
  <c r="I228" i="726"/>
  <c r="H228" i="726"/>
  <c r="G228" i="726"/>
  <c r="F228" i="726"/>
  <c r="E228" i="726"/>
  <c r="D228" i="726"/>
  <c r="C228" i="726"/>
  <c r="L227" i="726"/>
  <c r="K227" i="726"/>
  <c r="J227" i="726"/>
  <c r="I227" i="726"/>
  <c r="H227" i="726"/>
  <c r="G227" i="726"/>
  <c r="F227" i="726"/>
  <c r="E227" i="726"/>
  <c r="D227" i="726"/>
  <c r="C227" i="726"/>
  <c r="L226" i="726"/>
  <c r="K226" i="726"/>
  <c r="J226" i="726"/>
  <c r="I226" i="726"/>
  <c r="H226" i="726"/>
  <c r="G226" i="726"/>
  <c r="F226" i="726"/>
  <c r="E226" i="726"/>
  <c r="D226" i="726"/>
  <c r="C226" i="726"/>
  <c r="L225" i="726"/>
  <c r="K225" i="726"/>
  <c r="J225" i="726"/>
  <c r="I225" i="726"/>
  <c r="H225" i="726"/>
  <c r="G225" i="726"/>
  <c r="F225" i="726"/>
  <c r="E225" i="726"/>
  <c r="D225" i="726"/>
  <c r="C225" i="726"/>
  <c r="L224" i="726"/>
  <c r="K224" i="726"/>
  <c r="J224" i="726"/>
  <c r="I224" i="726"/>
  <c r="H224" i="726"/>
  <c r="G224" i="726"/>
  <c r="F224" i="726"/>
  <c r="E224" i="726"/>
  <c r="D224" i="726"/>
  <c r="C224" i="726"/>
  <c r="L223" i="726"/>
  <c r="K223" i="726"/>
  <c r="J223" i="726"/>
  <c r="I223" i="726"/>
  <c r="H223" i="726"/>
  <c r="G223" i="726"/>
  <c r="F223" i="726"/>
  <c r="E223" i="726"/>
  <c r="D223" i="726"/>
  <c r="C223" i="726"/>
  <c r="L222" i="726"/>
  <c r="K222" i="726"/>
  <c r="J222" i="726"/>
  <c r="I222" i="726"/>
  <c r="H222" i="726"/>
  <c r="G222" i="726"/>
  <c r="F222" i="726"/>
  <c r="E222" i="726"/>
  <c r="D222" i="726"/>
  <c r="C222" i="726"/>
  <c r="L221" i="726"/>
  <c r="K221" i="726"/>
  <c r="J221" i="726"/>
  <c r="I221" i="726"/>
  <c r="H221" i="726"/>
  <c r="G221" i="726"/>
  <c r="F221" i="726"/>
  <c r="E221" i="726"/>
  <c r="D221" i="726"/>
  <c r="C221" i="726"/>
  <c r="L220" i="726"/>
  <c r="K220" i="726"/>
  <c r="J220" i="726"/>
  <c r="I220" i="726"/>
  <c r="H220" i="726"/>
  <c r="G220" i="726"/>
  <c r="F220" i="726"/>
  <c r="E220" i="726"/>
  <c r="D220" i="726"/>
  <c r="C220" i="726"/>
  <c r="L219" i="726"/>
  <c r="K219" i="726"/>
  <c r="J219" i="726"/>
  <c r="I219" i="726"/>
  <c r="H219" i="726"/>
  <c r="G219" i="726"/>
  <c r="F219" i="726"/>
  <c r="E219" i="726"/>
  <c r="D219" i="726"/>
  <c r="C219" i="726"/>
  <c r="L218" i="726"/>
  <c r="K218" i="726"/>
  <c r="J218" i="726"/>
  <c r="I218" i="726"/>
  <c r="H218" i="726"/>
  <c r="G218" i="726"/>
  <c r="F218" i="726"/>
  <c r="E218" i="726"/>
  <c r="D218" i="726"/>
  <c r="C218" i="726"/>
  <c r="L217" i="726"/>
  <c r="K217" i="726"/>
  <c r="J217" i="726"/>
  <c r="I217" i="726"/>
  <c r="H217" i="726"/>
  <c r="G217" i="726"/>
  <c r="F217" i="726"/>
  <c r="E217" i="726"/>
  <c r="D217" i="726"/>
  <c r="C217" i="726"/>
  <c r="L216" i="726"/>
  <c r="K216" i="726"/>
  <c r="J216" i="726"/>
  <c r="I216" i="726"/>
  <c r="H216" i="726"/>
  <c r="G216" i="726"/>
  <c r="F216" i="726"/>
  <c r="E216" i="726"/>
  <c r="D216" i="726"/>
  <c r="C216" i="726"/>
  <c r="L215" i="726"/>
  <c r="K215" i="726"/>
  <c r="J215" i="726"/>
  <c r="I215" i="726"/>
  <c r="H215" i="726"/>
  <c r="G215" i="726"/>
  <c r="F215" i="726"/>
  <c r="E215" i="726"/>
  <c r="D215" i="726"/>
  <c r="C215" i="726"/>
  <c r="I214" i="726"/>
  <c r="H214" i="726"/>
  <c r="G214" i="726"/>
  <c r="F214" i="726"/>
  <c r="E214" i="726"/>
  <c r="D214" i="726"/>
  <c r="C214" i="726"/>
  <c r="L213" i="726"/>
  <c r="L214" i="726" s="1"/>
  <c r="K213" i="726"/>
  <c r="K214" i="726" s="1"/>
  <c r="J213" i="726"/>
  <c r="J214" i="726" s="1"/>
  <c r="I213" i="726"/>
  <c r="H213" i="726"/>
  <c r="G213" i="726"/>
  <c r="F213" i="726"/>
  <c r="E213" i="726"/>
  <c r="D213" i="726"/>
  <c r="C213" i="726"/>
  <c r="L212" i="726"/>
  <c r="K212" i="726"/>
  <c r="J212" i="726"/>
  <c r="I212" i="726"/>
  <c r="H212" i="726"/>
  <c r="G212" i="726"/>
  <c r="F212" i="726"/>
  <c r="E212" i="726"/>
  <c r="D212" i="726"/>
  <c r="C212" i="726"/>
  <c r="L211" i="726"/>
  <c r="K211" i="726"/>
  <c r="J211" i="726"/>
  <c r="I211" i="726"/>
  <c r="H211" i="726"/>
  <c r="G211" i="726"/>
  <c r="F211" i="726"/>
  <c r="E211" i="726"/>
  <c r="D211" i="726"/>
  <c r="C211" i="726"/>
  <c r="L210" i="726"/>
  <c r="K210" i="726"/>
  <c r="J210" i="726"/>
  <c r="I210" i="726"/>
  <c r="H210" i="726"/>
  <c r="G210" i="726"/>
  <c r="F210" i="726"/>
  <c r="E210" i="726"/>
  <c r="D210" i="726"/>
  <c r="C210" i="726"/>
  <c r="L209" i="726"/>
  <c r="K209" i="726"/>
  <c r="J209" i="726"/>
  <c r="I209" i="726"/>
  <c r="H209" i="726"/>
  <c r="G209" i="726"/>
  <c r="F209" i="726"/>
  <c r="E209" i="726"/>
  <c r="D209" i="726"/>
  <c r="C209" i="726"/>
  <c r="L208" i="726"/>
  <c r="K208" i="726"/>
  <c r="J208" i="726"/>
  <c r="I208" i="726"/>
  <c r="H208" i="726"/>
  <c r="G208" i="726"/>
  <c r="F208" i="726"/>
  <c r="E208" i="726"/>
  <c r="D208" i="726"/>
  <c r="C208" i="726"/>
  <c r="L207" i="726"/>
  <c r="K207" i="726"/>
  <c r="J207" i="726"/>
  <c r="I207" i="726"/>
  <c r="H207" i="726"/>
  <c r="G207" i="726"/>
  <c r="F207" i="726"/>
  <c r="E207" i="726"/>
  <c r="D207" i="726"/>
  <c r="C207" i="726"/>
  <c r="L206" i="726"/>
  <c r="K206" i="726"/>
  <c r="J206" i="726"/>
  <c r="I206" i="726"/>
  <c r="H206" i="726"/>
  <c r="G206" i="726"/>
  <c r="F206" i="726"/>
  <c r="E206" i="726"/>
  <c r="D206" i="726"/>
  <c r="C206" i="726"/>
  <c r="L205" i="726"/>
  <c r="K205" i="726"/>
  <c r="J205" i="726"/>
  <c r="I205" i="726"/>
  <c r="H205" i="726"/>
  <c r="G205" i="726"/>
  <c r="F205" i="726"/>
  <c r="E205" i="726"/>
  <c r="D205" i="726"/>
  <c r="C205" i="726"/>
  <c r="L204" i="726"/>
  <c r="K204" i="726"/>
  <c r="J204" i="726"/>
  <c r="I204" i="726"/>
  <c r="H204" i="726"/>
  <c r="G204" i="726"/>
  <c r="F204" i="726"/>
  <c r="E204" i="726"/>
  <c r="D204" i="726"/>
  <c r="C204" i="726"/>
  <c r="L203" i="726"/>
  <c r="K203" i="726"/>
  <c r="J203" i="726"/>
  <c r="I203" i="726"/>
  <c r="H203" i="726"/>
  <c r="G203" i="726"/>
  <c r="F203" i="726"/>
  <c r="E203" i="726"/>
  <c r="D203" i="726"/>
  <c r="C203" i="726"/>
  <c r="L202" i="726"/>
  <c r="K202" i="726"/>
  <c r="J202" i="726"/>
  <c r="I202" i="726"/>
  <c r="H202" i="726"/>
  <c r="G202" i="726"/>
  <c r="F202" i="726"/>
  <c r="E202" i="726"/>
  <c r="D202" i="726"/>
  <c r="C202" i="726"/>
  <c r="L201" i="726"/>
  <c r="K201" i="726"/>
  <c r="J201" i="726"/>
  <c r="I201" i="726"/>
  <c r="H201" i="726"/>
  <c r="G201" i="726"/>
  <c r="F201" i="726"/>
  <c r="E201" i="726"/>
  <c r="D201" i="726"/>
  <c r="C201" i="726"/>
  <c r="L200" i="726"/>
  <c r="K200" i="726"/>
  <c r="J200" i="726"/>
  <c r="I200" i="726"/>
  <c r="H200" i="726"/>
  <c r="G200" i="726"/>
  <c r="F200" i="726"/>
  <c r="E200" i="726"/>
  <c r="D200" i="726"/>
  <c r="C200" i="726"/>
  <c r="L199" i="726"/>
  <c r="K199" i="726"/>
  <c r="J199" i="726"/>
  <c r="I199" i="726"/>
  <c r="H199" i="726"/>
  <c r="G199" i="726"/>
  <c r="F199" i="726"/>
  <c r="E199" i="726"/>
  <c r="D199" i="726"/>
  <c r="C199" i="726"/>
  <c r="L198" i="726"/>
  <c r="K198" i="726"/>
  <c r="J198" i="726"/>
  <c r="I198" i="726"/>
  <c r="H198" i="726"/>
  <c r="G198" i="726"/>
  <c r="F198" i="726"/>
  <c r="E198" i="726"/>
  <c r="D198" i="726"/>
  <c r="C198" i="726"/>
  <c r="L197" i="726"/>
  <c r="K197" i="726"/>
  <c r="J197" i="726"/>
  <c r="I197" i="726"/>
  <c r="H197" i="726"/>
  <c r="G197" i="726"/>
  <c r="F197" i="726"/>
  <c r="E197" i="726"/>
  <c r="D197" i="726"/>
  <c r="C197" i="726"/>
  <c r="L196" i="726"/>
  <c r="K196" i="726"/>
  <c r="J196" i="726"/>
  <c r="I196" i="726"/>
  <c r="H196" i="726"/>
  <c r="G196" i="726"/>
  <c r="F196" i="726"/>
  <c r="E196" i="726"/>
  <c r="D196" i="726"/>
  <c r="C196" i="726"/>
  <c r="L195" i="726"/>
  <c r="K195" i="726"/>
  <c r="J195" i="726"/>
  <c r="I195" i="726"/>
  <c r="H195" i="726"/>
  <c r="G195" i="726"/>
  <c r="F195" i="726"/>
  <c r="E195" i="726"/>
  <c r="D195" i="726"/>
  <c r="C195" i="726"/>
  <c r="L194" i="726"/>
  <c r="K194" i="726"/>
  <c r="J194" i="726"/>
  <c r="I194" i="726"/>
  <c r="H194" i="726"/>
  <c r="G194" i="726"/>
  <c r="F194" i="726"/>
  <c r="E194" i="726"/>
  <c r="D194" i="726"/>
  <c r="C194" i="726"/>
  <c r="L193" i="726"/>
  <c r="K193" i="726"/>
  <c r="J193" i="726"/>
  <c r="I193" i="726"/>
  <c r="H193" i="726"/>
  <c r="G193" i="726"/>
  <c r="F193" i="726"/>
  <c r="E193" i="726"/>
  <c r="D193" i="726"/>
  <c r="C193" i="726"/>
  <c r="L192" i="726"/>
  <c r="K192" i="726"/>
  <c r="J192" i="726"/>
  <c r="I192" i="726"/>
  <c r="H192" i="726"/>
  <c r="G192" i="726"/>
  <c r="F192" i="726"/>
  <c r="E192" i="726"/>
  <c r="D192" i="726"/>
  <c r="C192" i="726"/>
  <c r="L191" i="726"/>
  <c r="K191" i="726"/>
  <c r="J191" i="726"/>
  <c r="I191" i="726"/>
  <c r="H191" i="726"/>
  <c r="G191" i="726"/>
  <c r="F191" i="726"/>
  <c r="E191" i="726"/>
  <c r="D191" i="726"/>
  <c r="C191" i="726"/>
  <c r="L190" i="726"/>
  <c r="K190" i="726"/>
  <c r="J190" i="726"/>
  <c r="I190" i="726"/>
  <c r="H190" i="726"/>
  <c r="G190" i="726"/>
  <c r="F190" i="726"/>
  <c r="E190" i="726"/>
  <c r="D190" i="726"/>
  <c r="C190" i="726"/>
  <c r="I189" i="726"/>
  <c r="H189" i="726"/>
  <c r="G189" i="726"/>
  <c r="F189" i="726"/>
  <c r="E189" i="726"/>
  <c r="D189" i="726"/>
  <c r="C189" i="726"/>
  <c r="L188" i="726"/>
  <c r="L189" i="726" s="1"/>
  <c r="K188" i="726"/>
  <c r="K189" i="726" s="1"/>
  <c r="J188" i="726"/>
  <c r="J189" i="726" s="1"/>
  <c r="I188" i="726"/>
  <c r="H188" i="726"/>
  <c r="G188" i="726"/>
  <c r="F188" i="726"/>
  <c r="E188" i="726"/>
  <c r="D188" i="726"/>
  <c r="C188" i="726"/>
  <c r="L187" i="726"/>
  <c r="K187" i="726"/>
  <c r="J187" i="726"/>
  <c r="I187" i="726"/>
  <c r="H187" i="726"/>
  <c r="G187" i="726"/>
  <c r="F187" i="726"/>
  <c r="E187" i="726"/>
  <c r="D187" i="726"/>
  <c r="C187" i="726"/>
  <c r="L186" i="726"/>
  <c r="K186" i="726"/>
  <c r="J186" i="726"/>
  <c r="I186" i="726"/>
  <c r="H186" i="726"/>
  <c r="G186" i="726"/>
  <c r="F186" i="726"/>
  <c r="E186" i="726"/>
  <c r="D186" i="726"/>
  <c r="C186" i="726"/>
  <c r="L185" i="726"/>
  <c r="K185" i="726"/>
  <c r="J185" i="726"/>
  <c r="I185" i="726"/>
  <c r="H185" i="726"/>
  <c r="G185" i="726"/>
  <c r="F185" i="726"/>
  <c r="E185" i="726"/>
  <c r="D185" i="726"/>
  <c r="C185" i="726"/>
  <c r="L184" i="726"/>
  <c r="K184" i="726"/>
  <c r="J184" i="726"/>
  <c r="I184" i="726"/>
  <c r="H184" i="726"/>
  <c r="G184" i="726"/>
  <c r="F184" i="726"/>
  <c r="E184" i="726"/>
  <c r="D184" i="726"/>
  <c r="C184" i="726"/>
  <c r="L183" i="726"/>
  <c r="K183" i="726"/>
  <c r="J183" i="726"/>
  <c r="I183" i="726"/>
  <c r="H183" i="726"/>
  <c r="G183" i="726"/>
  <c r="F183" i="726"/>
  <c r="E183" i="726"/>
  <c r="D183" i="726"/>
  <c r="C183" i="726"/>
  <c r="L182" i="726"/>
  <c r="K182" i="726"/>
  <c r="J182" i="726"/>
  <c r="I182" i="726"/>
  <c r="H182" i="726"/>
  <c r="G182" i="726"/>
  <c r="F182" i="726"/>
  <c r="E182" i="726"/>
  <c r="D182" i="726"/>
  <c r="C182" i="726"/>
  <c r="L181" i="726"/>
  <c r="K181" i="726"/>
  <c r="J181" i="726"/>
  <c r="I181" i="726"/>
  <c r="H181" i="726"/>
  <c r="G181" i="726"/>
  <c r="F181" i="726"/>
  <c r="E181" i="726"/>
  <c r="D181" i="726"/>
  <c r="C181" i="726"/>
  <c r="L180" i="726"/>
  <c r="K180" i="726"/>
  <c r="J180" i="726"/>
  <c r="I180" i="726"/>
  <c r="H180" i="726"/>
  <c r="G180" i="726"/>
  <c r="F180" i="726"/>
  <c r="E180" i="726"/>
  <c r="D180" i="726"/>
  <c r="C180" i="726"/>
  <c r="D162" i="2" l="1"/>
  <c r="A20" i="725" l="1"/>
  <c r="O20" i="725"/>
  <c r="N20" i="725"/>
  <c r="M20" i="725"/>
  <c r="L20" i="725"/>
  <c r="K20" i="725"/>
  <c r="J20" i="725"/>
  <c r="I20" i="725"/>
  <c r="H20" i="725"/>
  <c r="G20" i="725"/>
  <c r="AG12" i="725"/>
  <c r="AF12" i="725"/>
  <c r="AR12" i="725" s="1"/>
  <c r="AE12" i="725"/>
  <c r="AD12" i="725"/>
  <c r="AC12" i="725"/>
  <c r="AB12" i="725"/>
  <c r="AP12" i="725" l="1"/>
  <c r="AD20" i="725"/>
  <c r="AF20" i="725"/>
  <c r="AE20" i="725"/>
  <c r="AQ12" i="725"/>
  <c r="AG20" i="725"/>
  <c r="AQ20" i="725" l="1"/>
  <c r="AR20" i="725"/>
  <c r="T100" i="725"/>
  <c r="T107" i="725" s="1"/>
  <c r="S100" i="725"/>
  <c r="S107" i="725" s="1"/>
  <c r="R100" i="725"/>
  <c r="R107" i="725" s="1"/>
  <c r="Q100" i="725"/>
  <c r="Q107" i="725" s="1"/>
  <c r="P100" i="725"/>
  <c r="P107" i="725" s="1"/>
  <c r="O100" i="725"/>
  <c r="O107" i="725" s="1"/>
  <c r="N100" i="725"/>
  <c r="N107" i="725" s="1"/>
  <c r="M100" i="725"/>
  <c r="M107" i="725" s="1"/>
  <c r="L100" i="725"/>
  <c r="L107" i="725" s="1"/>
  <c r="K100" i="725"/>
  <c r="K107" i="725" s="1"/>
  <c r="J100" i="725"/>
  <c r="J107" i="725" s="1"/>
  <c r="I100" i="725"/>
  <c r="AE100" i="725" s="1"/>
  <c r="H100" i="725"/>
  <c r="H107" i="725" s="1"/>
  <c r="G100" i="725"/>
  <c r="G107" i="725" s="1"/>
  <c r="F100" i="725"/>
  <c r="F107" i="725" s="1"/>
  <c r="E100" i="725"/>
  <c r="E107" i="725" s="1"/>
  <c r="D100" i="725"/>
  <c r="D107" i="725" s="1"/>
  <c r="C100" i="725"/>
  <c r="C107" i="725" s="1"/>
  <c r="W99" i="725"/>
  <c r="W106" i="725" s="1"/>
  <c r="V99" i="725"/>
  <c r="V106" i="725" s="1"/>
  <c r="U99" i="725"/>
  <c r="U106" i="725" s="1"/>
  <c r="T99" i="725"/>
  <c r="T106" i="725" s="1"/>
  <c r="S99" i="725"/>
  <c r="R99" i="725"/>
  <c r="R106" i="725" s="1"/>
  <c r="Q99" i="725"/>
  <c r="AI99" i="725" s="1"/>
  <c r="P99" i="725"/>
  <c r="O99" i="725"/>
  <c r="O106" i="725" s="1"/>
  <c r="N99" i="725"/>
  <c r="M99" i="725"/>
  <c r="M106" i="725" s="1"/>
  <c r="L99" i="725"/>
  <c r="L106" i="725" s="1"/>
  <c r="K99" i="725"/>
  <c r="J99" i="725"/>
  <c r="I99" i="725"/>
  <c r="I106" i="725" s="1"/>
  <c r="H99" i="725"/>
  <c r="H106" i="725" s="1"/>
  <c r="G99" i="725"/>
  <c r="G106" i="725" s="1"/>
  <c r="F99" i="725"/>
  <c r="F106" i="725" s="1"/>
  <c r="E99" i="725"/>
  <c r="E106" i="725" s="1"/>
  <c r="D99" i="725"/>
  <c r="D106" i="725" s="1"/>
  <c r="C99" i="725"/>
  <c r="C106" i="725" s="1"/>
  <c r="A107" i="725"/>
  <c r="A106" i="725"/>
  <c r="A105" i="725"/>
  <c r="T76" i="725"/>
  <c r="S76" i="725"/>
  <c r="R76" i="725"/>
  <c r="Q76" i="725"/>
  <c r="P76" i="725"/>
  <c r="O76" i="725"/>
  <c r="N76" i="725"/>
  <c r="M76" i="725"/>
  <c r="L76" i="725"/>
  <c r="K76" i="725"/>
  <c r="J76" i="725"/>
  <c r="I76" i="725"/>
  <c r="H76" i="725"/>
  <c r="G76" i="725"/>
  <c r="F76" i="725"/>
  <c r="E76" i="725"/>
  <c r="D76" i="725"/>
  <c r="C76" i="725"/>
  <c r="W75" i="725"/>
  <c r="V75" i="725"/>
  <c r="U75" i="725"/>
  <c r="T75" i="725"/>
  <c r="S75" i="725"/>
  <c r="R75" i="725"/>
  <c r="Q75" i="725"/>
  <c r="P75" i="725"/>
  <c r="O75" i="725"/>
  <c r="N75" i="725"/>
  <c r="M75" i="725"/>
  <c r="L75" i="725"/>
  <c r="K75" i="725"/>
  <c r="J75" i="725"/>
  <c r="I75" i="725"/>
  <c r="H75" i="725"/>
  <c r="G75" i="725"/>
  <c r="F75" i="725"/>
  <c r="E75" i="725"/>
  <c r="D75" i="725"/>
  <c r="C75" i="725"/>
  <c r="X47" i="725"/>
  <c r="W47" i="725"/>
  <c r="V47" i="725"/>
  <c r="U47" i="725"/>
  <c r="T47" i="725"/>
  <c r="S47" i="725"/>
  <c r="R47" i="725"/>
  <c r="Q47" i="725"/>
  <c r="P47" i="725"/>
  <c r="O47" i="725"/>
  <c r="N47" i="725"/>
  <c r="M47" i="725"/>
  <c r="L47" i="725"/>
  <c r="K47" i="725"/>
  <c r="J47" i="725"/>
  <c r="I47" i="725"/>
  <c r="H47" i="725"/>
  <c r="G47" i="725"/>
  <c r="F47" i="725"/>
  <c r="E47" i="725"/>
  <c r="D47" i="725"/>
  <c r="A58" i="725"/>
  <c r="A57" i="725"/>
  <c r="X49" i="725"/>
  <c r="X58" i="725" s="1"/>
  <c r="W49" i="725"/>
  <c r="W58" i="725" s="1"/>
  <c r="V49" i="725"/>
  <c r="V58" i="725" s="1"/>
  <c r="U49" i="725"/>
  <c r="T50" i="725"/>
  <c r="S50" i="725"/>
  <c r="R50" i="725"/>
  <c r="Q50" i="725"/>
  <c r="P50" i="725"/>
  <c r="O50" i="725"/>
  <c r="N50" i="725"/>
  <c r="M50" i="725"/>
  <c r="L50" i="725"/>
  <c r="K50" i="725"/>
  <c r="J50" i="725"/>
  <c r="I50" i="725"/>
  <c r="H50" i="725"/>
  <c r="G50" i="725"/>
  <c r="F50" i="725"/>
  <c r="E50" i="725"/>
  <c r="D50" i="725"/>
  <c r="T49" i="725"/>
  <c r="T58" i="725" s="1"/>
  <c r="S49" i="725"/>
  <c r="S58" i="725" s="1"/>
  <c r="R49" i="725"/>
  <c r="R58" i="725" s="1"/>
  <c r="Q49" i="725"/>
  <c r="Q58" i="725" s="1"/>
  <c r="P49" i="725"/>
  <c r="P58" i="725" s="1"/>
  <c r="O49" i="725"/>
  <c r="N49" i="725"/>
  <c r="N58" i="725" s="1"/>
  <c r="M49" i="725"/>
  <c r="L49" i="725"/>
  <c r="L58" i="725" s="1"/>
  <c r="K49" i="725"/>
  <c r="J49" i="725"/>
  <c r="J58" i="725" s="1"/>
  <c r="I49" i="725"/>
  <c r="H49" i="725"/>
  <c r="H58" i="725" s="1"/>
  <c r="G49" i="725"/>
  <c r="G58" i="725" s="1"/>
  <c r="F49" i="725"/>
  <c r="F48" i="725" s="1"/>
  <c r="F57" i="725" s="1"/>
  <c r="E49" i="725"/>
  <c r="D49" i="725"/>
  <c r="D58" i="725" s="1"/>
  <c r="C50" i="725"/>
  <c r="C49" i="725"/>
  <c r="C58" i="725" s="1"/>
  <c r="C47" i="725"/>
  <c r="C48" i="725" l="1"/>
  <c r="AF49" i="725"/>
  <c r="AH49" i="725"/>
  <c r="AE49" i="725"/>
  <c r="AB99" i="725"/>
  <c r="AE99" i="725"/>
  <c r="D48" i="725"/>
  <c r="D57" i="725" s="1"/>
  <c r="E48" i="725"/>
  <c r="E57" i="725" s="1"/>
  <c r="AG49" i="725"/>
  <c r="AF99" i="725"/>
  <c r="AJ99" i="725"/>
  <c r="AI49" i="725"/>
  <c r="AS49" i="725" s="1"/>
  <c r="AK49" i="725"/>
  <c r="AG99" i="725"/>
  <c r="J106" i="725"/>
  <c r="K106" i="725"/>
  <c r="Q106" i="725"/>
  <c r="S106" i="725"/>
  <c r="AB49" i="725"/>
  <c r="K58" i="725"/>
  <c r="AD100" i="725"/>
  <c r="AQ100" i="725" s="1"/>
  <c r="I58" i="725"/>
  <c r="AH100" i="725"/>
  <c r="AC99" i="725"/>
  <c r="C57" i="725"/>
  <c r="AC49" i="725"/>
  <c r="E58" i="725"/>
  <c r="M58" i="725"/>
  <c r="U58" i="725"/>
  <c r="AK99" i="725"/>
  <c r="I107" i="725"/>
  <c r="AD49" i="725"/>
  <c r="F58" i="725"/>
  <c r="AI100" i="725"/>
  <c r="AH99" i="725"/>
  <c r="AS99" i="725" s="1"/>
  <c r="AJ49" i="725"/>
  <c r="O58" i="725"/>
  <c r="AF100" i="725"/>
  <c r="N106" i="725"/>
  <c r="AG100" i="725"/>
  <c r="AB100" i="725"/>
  <c r="AJ100" i="725"/>
  <c r="AC100" i="725"/>
  <c r="AD99" i="725"/>
  <c r="P106" i="725"/>
  <c r="W48" i="725"/>
  <c r="W57" i="725" s="1"/>
  <c r="S48" i="725"/>
  <c r="AL49" i="725"/>
  <c r="AL47" i="725"/>
  <c r="V48" i="725"/>
  <c r="V57" i="725" s="1"/>
  <c r="U48" i="725"/>
  <c r="U57" i="725" s="1"/>
  <c r="T48" i="725"/>
  <c r="T57" i="725" s="1"/>
  <c r="S56" i="725"/>
  <c r="P48" i="725"/>
  <c r="P57" i="725" s="1"/>
  <c r="N48" i="725"/>
  <c r="N57" i="725" s="1"/>
  <c r="M48" i="725"/>
  <c r="M57" i="725" s="1"/>
  <c r="L48" i="725"/>
  <c r="L57" i="725" s="1"/>
  <c r="T59" i="725"/>
  <c r="S59" i="725"/>
  <c r="R59" i="725"/>
  <c r="AG50" i="725"/>
  <c r="L59" i="725"/>
  <c r="K59" i="725"/>
  <c r="J59" i="725"/>
  <c r="K48" i="725"/>
  <c r="I48" i="725"/>
  <c r="I57" i="725" s="1"/>
  <c r="H48" i="725"/>
  <c r="H57" i="725" s="1"/>
  <c r="G59" i="725"/>
  <c r="Q59" i="725"/>
  <c r="P59" i="725"/>
  <c r="O59" i="725"/>
  <c r="N59" i="725"/>
  <c r="I59" i="725"/>
  <c r="H59" i="725"/>
  <c r="F59" i="725"/>
  <c r="E59" i="725"/>
  <c r="D59" i="725"/>
  <c r="C59" i="725"/>
  <c r="A59" i="725"/>
  <c r="W56" i="725"/>
  <c r="V56" i="725"/>
  <c r="U56" i="725"/>
  <c r="T56" i="725"/>
  <c r="N56" i="725"/>
  <c r="M56" i="725"/>
  <c r="L56" i="725"/>
  <c r="K56" i="725"/>
  <c r="H56" i="725"/>
  <c r="F56" i="725"/>
  <c r="E56" i="725"/>
  <c r="D56" i="725"/>
  <c r="C56" i="725"/>
  <c r="A56" i="725"/>
  <c r="A55" i="725"/>
  <c r="AJ50" i="725"/>
  <c r="AH50" i="725"/>
  <c r="AC50" i="725"/>
  <c r="AB50" i="725"/>
  <c r="AK47" i="725"/>
  <c r="AG47" i="725"/>
  <c r="AF47" i="725"/>
  <c r="AC47" i="725"/>
  <c r="AB47" i="725"/>
  <c r="AC46" i="725"/>
  <c r="AI76" i="725"/>
  <c r="P83" i="725"/>
  <c r="AH76" i="725"/>
  <c r="N83" i="725"/>
  <c r="M83" i="725"/>
  <c r="I83" i="725"/>
  <c r="H83" i="725"/>
  <c r="G83" i="725"/>
  <c r="V82" i="725"/>
  <c r="U82" i="725"/>
  <c r="R82" i="725"/>
  <c r="Q82" i="725"/>
  <c r="P82" i="725"/>
  <c r="O82" i="725"/>
  <c r="AG75" i="725"/>
  <c r="M82" i="725"/>
  <c r="J82" i="725"/>
  <c r="H82" i="725"/>
  <c r="T83" i="725"/>
  <c r="S83" i="725"/>
  <c r="R83" i="725"/>
  <c r="L83" i="725"/>
  <c r="K83" i="725"/>
  <c r="J83" i="725"/>
  <c r="F83" i="725"/>
  <c r="E83" i="725"/>
  <c r="D83" i="725"/>
  <c r="C83" i="725"/>
  <c r="A83" i="725"/>
  <c r="T82" i="725"/>
  <c r="S82" i="725"/>
  <c r="L82" i="725"/>
  <c r="K82" i="725"/>
  <c r="F82" i="725"/>
  <c r="E82" i="725"/>
  <c r="D82" i="725"/>
  <c r="C82" i="725"/>
  <c r="A82" i="725"/>
  <c r="A81" i="725"/>
  <c r="AJ76" i="725"/>
  <c r="AF76" i="725"/>
  <c r="AC76" i="725"/>
  <c r="AB76" i="725"/>
  <c r="AJ75" i="725"/>
  <c r="AF75" i="725"/>
  <c r="AC75" i="725"/>
  <c r="AB75" i="725"/>
  <c r="AD4" i="725"/>
  <c r="AP4" i="725" s="1"/>
  <c r="AR49" i="725" l="1"/>
  <c r="AP99" i="725"/>
  <c r="AP75" i="725"/>
  <c r="AR99" i="725"/>
  <c r="AP49" i="725"/>
  <c r="AC48" i="725"/>
  <c r="AB48" i="725"/>
  <c r="AP48" i="725" s="1"/>
  <c r="AP76" i="725"/>
  <c r="AS100" i="725"/>
  <c r="AR100" i="725"/>
  <c r="AT99" i="725"/>
  <c r="AQ49" i="725"/>
  <c r="AT49" i="725"/>
  <c r="AP100" i="725"/>
  <c r="AQ99" i="725"/>
  <c r="AF48" i="725"/>
  <c r="K57" i="725"/>
  <c r="AJ48" i="725"/>
  <c r="S57" i="725"/>
  <c r="AE75" i="725"/>
  <c r="I56" i="725"/>
  <c r="Q56" i="725"/>
  <c r="Q48" i="725"/>
  <c r="Q57" i="725" s="1"/>
  <c r="R56" i="725"/>
  <c r="R48" i="725"/>
  <c r="R57" i="725" s="1"/>
  <c r="Q83" i="725"/>
  <c r="AH47" i="725"/>
  <c r="X56" i="725"/>
  <c r="J56" i="725"/>
  <c r="J48" i="725"/>
  <c r="J57" i="725" s="1"/>
  <c r="AE76" i="725"/>
  <c r="X48" i="725"/>
  <c r="AG48" i="725"/>
  <c r="AK48" i="725"/>
  <c r="P56" i="725"/>
  <c r="G56" i="725"/>
  <c r="G48" i="725"/>
  <c r="O56" i="725"/>
  <c r="O48" i="725"/>
  <c r="AI50" i="725"/>
  <c r="AS50" i="725" s="1"/>
  <c r="AD47" i="725"/>
  <c r="AD75" i="725"/>
  <c r="AP47" i="725"/>
  <c r="AP50" i="725"/>
  <c r="AE50" i="725"/>
  <c r="AF50" i="725"/>
  <c r="AR50" i="725" s="1"/>
  <c r="AJ47" i="725"/>
  <c r="AT47" i="725" s="1"/>
  <c r="AE47" i="725"/>
  <c r="M59" i="725"/>
  <c r="AI47" i="725"/>
  <c r="AD50" i="725"/>
  <c r="AR47" i="725"/>
  <c r="O83" i="725"/>
  <c r="AD76" i="725"/>
  <c r="N82" i="725"/>
  <c r="AH75" i="725"/>
  <c r="AK75" i="725"/>
  <c r="W82" i="725"/>
  <c r="AS76" i="725"/>
  <c r="AG76" i="725"/>
  <c r="AI75" i="725"/>
  <c r="I82" i="725"/>
  <c r="G82" i="725"/>
  <c r="AR75" i="725"/>
  <c r="AE48" i="725" l="1"/>
  <c r="AQ75" i="725"/>
  <c r="AQ76" i="725"/>
  <c r="AH48" i="725"/>
  <c r="O57" i="725"/>
  <c r="AT48" i="725"/>
  <c r="AL48" i="725"/>
  <c r="X57" i="725"/>
  <c r="AR48" i="725"/>
  <c r="G57" i="725"/>
  <c r="AD48" i="725"/>
  <c r="AI48" i="725"/>
  <c r="AQ50" i="725"/>
  <c r="AS47" i="725"/>
  <c r="AQ47" i="725"/>
  <c r="AS75" i="725"/>
  <c r="AT75" i="725"/>
  <c r="AR76" i="725"/>
  <c r="AQ48" i="725" l="1"/>
  <c r="AS48" i="725"/>
  <c r="AT1" i="725" l="1"/>
  <c r="T71" i="725"/>
  <c r="S71" i="725"/>
  <c r="R71" i="725"/>
  <c r="Q71" i="725"/>
  <c r="P71" i="725"/>
  <c r="O71" i="725"/>
  <c r="N71" i="725"/>
  <c r="M71" i="725"/>
  <c r="L71" i="725"/>
  <c r="K71" i="725"/>
  <c r="J71" i="725"/>
  <c r="I71" i="725"/>
  <c r="H71" i="725"/>
  <c r="G71" i="725"/>
  <c r="F71" i="725"/>
  <c r="E71" i="725"/>
  <c r="D71" i="725"/>
  <c r="C71" i="725"/>
  <c r="A71" i="725"/>
  <c r="X70" i="725"/>
  <c r="W70" i="725"/>
  <c r="V70" i="725"/>
  <c r="U70" i="725"/>
  <c r="T70" i="725"/>
  <c r="S70" i="725"/>
  <c r="R70" i="725"/>
  <c r="Q70" i="725"/>
  <c r="P70" i="725"/>
  <c r="O70" i="725"/>
  <c r="N70" i="725"/>
  <c r="M70" i="725"/>
  <c r="L70" i="725"/>
  <c r="K70" i="725"/>
  <c r="J70" i="725"/>
  <c r="I70" i="725"/>
  <c r="H70" i="725"/>
  <c r="G70" i="725"/>
  <c r="F70" i="725"/>
  <c r="E70" i="725"/>
  <c r="D70" i="725"/>
  <c r="C70" i="725"/>
  <c r="A70" i="725"/>
  <c r="A69" i="725"/>
  <c r="T95" i="725"/>
  <c r="S95" i="725"/>
  <c r="R95" i="725"/>
  <c r="Q95" i="725"/>
  <c r="P95" i="725"/>
  <c r="O95" i="725"/>
  <c r="N95" i="725"/>
  <c r="M95" i="725"/>
  <c r="L95" i="725"/>
  <c r="K95" i="725"/>
  <c r="J95" i="725"/>
  <c r="I95" i="725"/>
  <c r="H95" i="725"/>
  <c r="G95" i="725"/>
  <c r="F95" i="725"/>
  <c r="E95" i="725"/>
  <c r="D95" i="725"/>
  <c r="C95" i="725"/>
  <c r="A95" i="725"/>
  <c r="W94" i="725"/>
  <c r="V94" i="725"/>
  <c r="U94" i="725"/>
  <c r="T94" i="725"/>
  <c r="S94" i="725"/>
  <c r="R94" i="725"/>
  <c r="Q94" i="725"/>
  <c r="P94" i="725"/>
  <c r="O94" i="725"/>
  <c r="N94" i="725"/>
  <c r="M94" i="725"/>
  <c r="L94" i="725"/>
  <c r="K94" i="725"/>
  <c r="J94" i="725"/>
  <c r="I94" i="725"/>
  <c r="H94" i="725"/>
  <c r="G94" i="725"/>
  <c r="F94" i="725"/>
  <c r="E94" i="725"/>
  <c r="D94" i="725"/>
  <c r="C94" i="725"/>
  <c r="A94" i="725"/>
  <c r="A93" i="725"/>
  <c r="T119" i="725"/>
  <c r="S119" i="725"/>
  <c r="R119" i="725"/>
  <c r="Q119" i="725"/>
  <c r="P119" i="725"/>
  <c r="O119" i="725"/>
  <c r="N119" i="725"/>
  <c r="M119" i="725"/>
  <c r="L119" i="725"/>
  <c r="K119" i="725"/>
  <c r="J119" i="725"/>
  <c r="I119" i="725"/>
  <c r="H119" i="725"/>
  <c r="G119" i="725"/>
  <c r="F119" i="725"/>
  <c r="E119" i="725"/>
  <c r="D119" i="725"/>
  <c r="C119" i="725"/>
  <c r="W118" i="725"/>
  <c r="V118" i="725"/>
  <c r="U118" i="725"/>
  <c r="T118" i="725"/>
  <c r="S118" i="725"/>
  <c r="R118" i="725"/>
  <c r="Q118" i="725"/>
  <c r="P118" i="725"/>
  <c r="O118" i="725"/>
  <c r="N118" i="725"/>
  <c r="M118" i="725"/>
  <c r="L118" i="725"/>
  <c r="K118" i="725"/>
  <c r="J118" i="725"/>
  <c r="I118" i="725"/>
  <c r="H118" i="725"/>
  <c r="G118" i="725"/>
  <c r="F118" i="725"/>
  <c r="E118" i="725"/>
  <c r="D118" i="725"/>
  <c r="C118" i="725"/>
  <c r="A119" i="725"/>
  <c r="A118" i="725"/>
  <c r="A117" i="725"/>
  <c r="T36" i="725"/>
  <c r="S36" i="725"/>
  <c r="R36" i="725"/>
  <c r="Q36" i="725"/>
  <c r="P36" i="725"/>
  <c r="O36" i="725"/>
  <c r="N36" i="725"/>
  <c r="M36" i="725"/>
  <c r="L36" i="725"/>
  <c r="K36" i="725"/>
  <c r="J36" i="725"/>
  <c r="I36" i="725"/>
  <c r="H36" i="725"/>
  <c r="G36" i="725"/>
  <c r="T35" i="725"/>
  <c r="S35" i="725"/>
  <c r="R35" i="725"/>
  <c r="Q35" i="725"/>
  <c r="P35" i="725"/>
  <c r="O35" i="725"/>
  <c r="N35" i="725"/>
  <c r="M35" i="725"/>
  <c r="L35" i="725"/>
  <c r="K35" i="725"/>
  <c r="J35" i="725"/>
  <c r="I35" i="725"/>
  <c r="H35" i="725"/>
  <c r="G35" i="725"/>
  <c r="X34" i="725"/>
  <c r="W34" i="725"/>
  <c r="V34" i="725"/>
  <c r="U34" i="725"/>
  <c r="T34" i="725"/>
  <c r="S34" i="725"/>
  <c r="R34" i="725"/>
  <c r="Q34" i="725"/>
  <c r="P34" i="725"/>
  <c r="O34" i="725"/>
  <c r="N34" i="725"/>
  <c r="M34" i="725"/>
  <c r="L34" i="725"/>
  <c r="K34" i="725"/>
  <c r="J34" i="725"/>
  <c r="I34" i="725"/>
  <c r="H34" i="725"/>
  <c r="G34" i="725"/>
  <c r="X33" i="725"/>
  <c r="W33" i="725"/>
  <c r="V33" i="725"/>
  <c r="U33" i="725"/>
  <c r="T33" i="725"/>
  <c r="S33" i="725"/>
  <c r="R33" i="725"/>
  <c r="Q33" i="725"/>
  <c r="P33" i="725"/>
  <c r="O33" i="725"/>
  <c r="N33" i="725"/>
  <c r="M33" i="725"/>
  <c r="L33" i="725"/>
  <c r="K33" i="725"/>
  <c r="J33" i="725"/>
  <c r="I33" i="725"/>
  <c r="H33" i="725"/>
  <c r="G33" i="725"/>
  <c r="T43" i="725"/>
  <c r="S43" i="725"/>
  <c r="R43" i="725"/>
  <c r="Q43" i="725"/>
  <c r="P43" i="725"/>
  <c r="O43" i="725"/>
  <c r="N43" i="725"/>
  <c r="M43" i="725"/>
  <c r="L43" i="725"/>
  <c r="K43" i="725"/>
  <c r="J43" i="725"/>
  <c r="I43" i="725"/>
  <c r="H43" i="725"/>
  <c r="G43" i="725"/>
  <c r="F43" i="725"/>
  <c r="E43" i="725"/>
  <c r="D43" i="725"/>
  <c r="T42" i="725"/>
  <c r="S42" i="725"/>
  <c r="R42" i="725"/>
  <c r="Q42" i="725"/>
  <c r="P42" i="725"/>
  <c r="O42" i="725"/>
  <c r="N42" i="725"/>
  <c r="M42" i="725"/>
  <c r="L42" i="725"/>
  <c r="K42" i="725"/>
  <c r="J42" i="725"/>
  <c r="I42" i="725"/>
  <c r="H42" i="725"/>
  <c r="G42" i="725"/>
  <c r="F42" i="725"/>
  <c r="E42" i="725"/>
  <c r="D42" i="725"/>
  <c r="X41" i="725"/>
  <c r="W41" i="725"/>
  <c r="V41" i="725"/>
  <c r="U41" i="725"/>
  <c r="T41" i="725"/>
  <c r="S41" i="725"/>
  <c r="R41" i="725"/>
  <c r="Q41" i="725"/>
  <c r="P41" i="725"/>
  <c r="O41" i="725"/>
  <c r="N41" i="725"/>
  <c r="M41" i="725"/>
  <c r="L41" i="725"/>
  <c r="K41" i="725"/>
  <c r="J41" i="725"/>
  <c r="I41" i="725"/>
  <c r="H41" i="725"/>
  <c r="G41" i="725"/>
  <c r="F41" i="725"/>
  <c r="E41" i="725"/>
  <c r="D41" i="725"/>
  <c r="X40" i="725"/>
  <c r="W40" i="725"/>
  <c r="V40" i="725"/>
  <c r="U40" i="725"/>
  <c r="T40" i="725"/>
  <c r="S40" i="725"/>
  <c r="R40" i="725"/>
  <c r="Q40" i="725"/>
  <c r="P40" i="725"/>
  <c r="O40" i="725"/>
  <c r="N40" i="725"/>
  <c r="M40" i="725"/>
  <c r="L40" i="725"/>
  <c r="K40" i="725"/>
  <c r="J40" i="725"/>
  <c r="I40" i="725"/>
  <c r="H40" i="725"/>
  <c r="G40" i="725"/>
  <c r="F40" i="725"/>
  <c r="E40" i="725"/>
  <c r="D40" i="725"/>
  <c r="C43" i="725"/>
  <c r="C42" i="725"/>
  <c r="C41" i="725"/>
  <c r="C40" i="725"/>
  <c r="X17" i="725"/>
  <c r="T19" i="725"/>
  <c r="S19" i="725"/>
  <c r="R19" i="725"/>
  <c r="Q19" i="725"/>
  <c r="P19" i="725"/>
  <c r="O19" i="725"/>
  <c r="N19" i="725"/>
  <c r="M19" i="725"/>
  <c r="L19" i="725"/>
  <c r="K19" i="725"/>
  <c r="J19" i="725"/>
  <c r="I19" i="725"/>
  <c r="H19" i="725"/>
  <c r="G19" i="725"/>
  <c r="T18" i="725"/>
  <c r="S18" i="725"/>
  <c r="R18" i="725"/>
  <c r="Q18" i="725"/>
  <c r="P18" i="725"/>
  <c r="O18" i="725"/>
  <c r="N18" i="725"/>
  <c r="M18" i="725"/>
  <c r="L18" i="725"/>
  <c r="K18" i="725"/>
  <c r="J18" i="725"/>
  <c r="I18" i="725"/>
  <c r="H18" i="725"/>
  <c r="G18" i="725"/>
  <c r="W17" i="725"/>
  <c r="V17" i="725"/>
  <c r="U17" i="725"/>
  <c r="T17" i="725"/>
  <c r="S17" i="725"/>
  <c r="R17" i="725"/>
  <c r="Q17" i="725"/>
  <c r="P17" i="725"/>
  <c r="O17" i="725"/>
  <c r="N17" i="725"/>
  <c r="M17" i="725"/>
  <c r="L17" i="725"/>
  <c r="K17" i="725"/>
  <c r="J17" i="725"/>
  <c r="I17" i="725"/>
  <c r="H17" i="725"/>
  <c r="G17" i="725"/>
  <c r="AL25" i="725"/>
  <c r="X87" i="725"/>
  <c r="AL87" i="725" l="1"/>
  <c r="X75" i="725"/>
  <c r="X94" i="725"/>
  <c r="X111" i="725"/>
  <c r="X118" i="725" s="1"/>
  <c r="X99" i="725" l="1"/>
  <c r="X82" i="725"/>
  <c r="AL75" i="725"/>
  <c r="AL111" i="725"/>
  <c r="X106" i="725" l="1"/>
  <c r="AL99" i="725"/>
  <c r="AL63" i="725"/>
  <c r="AK63" i="725"/>
  <c r="AJ63" i="725"/>
  <c r="AI63" i="725"/>
  <c r="AH63" i="725"/>
  <c r="AG63" i="725"/>
  <c r="AF63" i="725"/>
  <c r="AE63" i="725"/>
  <c r="AD63" i="725"/>
  <c r="AC63" i="725"/>
  <c r="AB63" i="725"/>
  <c r="AK87" i="725"/>
  <c r="AJ87" i="725"/>
  <c r="AI87" i="725"/>
  <c r="AH87" i="725"/>
  <c r="AG87" i="725"/>
  <c r="AF87" i="725"/>
  <c r="AE87" i="725"/>
  <c r="AD87" i="725"/>
  <c r="AC87" i="725"/>
  <c r="AB87" i="725"/>
  <c r="AK111" i="725"/>
  <c r="AJ111" i="725"/>
  <c r="AI111" i="725"/>
  <c r="AH111" i="725"/>
  <c r="AG111" i="725"/>
  <c r="AF111" i="725"/>
  <c r="AE111" i="725"/>
  <c r="AD111" i="725"/>
  <c r="AC111" i="725"/>
  <c r="AB111" i="725"/>
  <c r="AK25" i="725"/>
  <c r="AJ25" i="725"/>
  <c r="AI25" i="725"/>
  <c r="AH25" i="725"/>
  <c r="AG25" i="725"/>
  <c r="AF25" i="725"/>
  <c r="AE25" i="725"/>
  <c r="AD25" i="725"/>
  <c r="AC25" i="725"/>
  <c r="AB25" i="725"/>
  <c r="AL24" i="725"/>
  <c r="AK24" i="725"/>
  <c r="AJ24" i="725"/>
  <c r="AI24" i="725"/>
  <c r="AH24" i="725"/>
  <c r="AG24" i="725"/>
  <c r="AF24" i="725"/>
  <c r="AE24" i="725"/>
  <c r="AD24" i="725"/>
  <c r="AC24" i="725"/>
  <c r="AB24" i="725"/>
  <c r="AJ64" i="725"/>
  <c r="AI64" i="725"/>
  <c r="AH64" i="725"/>
  <c r="AG64" i="725"/>
  <c r="AF64" i="725"/>
  <c r="AE64" i="725"/>
  <c r="AD64" i="725"/>
  <c r="AC64" i="725"/>
  <c r="AB64" i="725"/>
  <c r="AJ88" i="725"/>
  <c r="AI88" i="725"/>
  <c r="AH88" i="725"/>
  <c r="AG88" i="725"/>
  <c r="AF88" i="725"/>
  <c r="AE88" i="725"/>
  <c r="AD88" i="725"/>
  <c r="AC88" i="725"/>
  <c r="AB88" i="725"/>
  <c r="AJ112" i="725"/>
  <c r="AI112" i="725"/>
  <c r="AH112" i="725"/>
  <c r="AG112" i="725"/>
  <c r="AF112" i="725"/>
  <c r="AE112" i="725"/>
  <c r="AD112" i="725"/>
  <c r="AC112" i="725"/>
  <c r="AB112" i="725"/>
  <c r="AJ27" i="725"/>
  <c r="AI27" i="725"/>
  <c r="AH27" i="725"/>
  <c r="AG27" i="725"/>
  <c r="AF27" i="725"/>
  <c r="AE27" i="725"/>
  <c r="AD27" i="725"/>
  <c r="AC27" i="725"/>
  <c r="AB27" i="725"/>
  <c r="AJ26" i="725"/>
  <c r="AI26" i="725"/>
  <c r="AH26" i="725"/>
  <c r="AG26" i="725"/>
  <c r="AF26" i="725"/>
  <c r="AE26" i="725"/>
  <c r="AD26" i="725"/>
  <c r="AC26" i="725"/>
  <c r="AB26" i="725"/>
  <c r="AJ11" i="725"/>
  <c r="AI11" i="725"/>
  <c r="AH11" i="725"/>
  <c r="AG11" i="725"/>
  <c r="AF11" i="725"/>
  <c r="AE11" i="725"/>
  <c r="AD11" i="725"/>
  <c r="AC11" i="725"/>
  <c r="AB11" i="725"/>
  <c r="AJ10" i="725"/>
  <c r="AJ107" i="725" s="1"/>
  <c r="AI10" i="725"/>
  <c r="AI107" i="725" s="1"/>
  <c r="AH10" i="725"/>
  <c r="AH107" i="725" s="1"/>
  <c r="AG10" i="725"/>
  <c r="AG107" i="725" s="1"/>
  <c r="AF10" i="725"/>
  <c r="AF107" i="725" s="1"/>
  <c r="AE10" i="725"/>
  <c r="AE107" i="725" s="1"/>
  <c r="AD10" i="725"/>
  <c r="AD107" i="725" s="1"/>
  <c r="AC10" i="725"/>
  <c r="AC107" i="725" s="1"/>
  <c r="AB10" i="725"/>
  <c r="AB107" i="725" s="1"/>
  <c r="AI95" i="725" l="1"/>
  <c r="AI71" i="725"/>
  <c r="AG83" i="725"/>
  <c r="AG59" i="725"/>
  <c r="AE83" i="725"/>
  <c r="AE59" i="725"/>
  <c r="AF83" i="725"/>
  <c r="AF59" i="725"/>
  <c r="AH83" i="725"/>
  <c r="AH59" i="725"/>
  <c r="AI83" i="725"/>
  <c r="AI59" i="725"/>
  <c r="AJ83" i="725"/>
  <c r="AJ59" i="725"/>
  <c r="AB83" i="725"/>
  <c r="AB59" i="725"/>
  <c r="AC83" i="725"/>
  <c r="AC59" i="725"/>
  <c r="AD83" i="725"/>
  <c r="AD59" i="725"/>
  <c r="AC42" i="725"/>
  <c r="AI119" i="725"/>
  <c r="AG71" i="725"/>
  <c r="AB71" i="725"/>
  <c r="AJ71" i="725"/>
  <c r="AS64" i="725"/>
  <c r="AH71" i="725"/>
  <c r="AR63" i="725"/>
  <c r="AC71" i="725"/>
  <c r="AD71" i="725"/>
  <c r="AK33" i="725"/>
  <c r="AP63" i="725"/>
  <c r="AE71" i="725"/>
  <c r="AB42" i="725"/>
  <c r="AH119" i="725"/>
  <c r="AG95" i="725"/>
  <c r="AF71" i="725"/>
  <c r="AS88" i="725"/>
  <c r="AH95" i="725"/>
  <c r="AB119" i="725"/>
  <c r="AP88" i="725"/>
  <c r="AB95" i="725"/>
  <c r="AJ95" i="725"/>
  <c r="AC119" i="725"/>
  <c r="AD119" i="725"/>
  <c r="AC95" i="725"/>
  <c r="AJ119" i="725"/>
  <c r="AI18" i="725"/>
  <c r="AE119" i="725"/>
  <c r="AD95" i="725"/>
  <c r="AJ33" i="725"/>
  <c r="AF119" i="725"/>
  <c r="AE95" i="725"/>
  <c r="AP11" i="725"/>
  <c r="AG119" i="725"/>
  <c r="AF95" i="725"/>
  <c r="AP10" i="725"/>
  <c r="AP107" i="725" s="1"/>
  <c r="AS112" i="725"/>
  <c r="AK34" i="725"/>
  <c r="AS111" i="725"/>
  <c r="AP87" i="725"/>
  <c r="AG34" i="725"/>
  <c r="AR88" i="725"/>
  <c r="AI34" i="725"/>
  <c r="AD34" i="725"/>
  <c r="AJ34" i="725"/>
  <c r="AL34" i="725"/>
  <c r="AE34" i="725"/>
  <c r="AD35" i="725"/>
  <c r="AP111" i="725"/>
  <c r="AL33" i="725"/>
  <c r="AH34" i="725"/>
  <c r="AD36" i="725"/>
  <c r="AG42" i="725"/>
  <c r="AG35" i="725"/>
  <c r="AE36" i="725"/>
  <c r="AF34" i="725"/>
  <c r="AF36" i="725"/>
  <c r="AG36" i="725"/>
  <c r="AQ87" i="725"/>
  <c r="AH42" i="725"/>
  <c r="AH35" i="725"/>
  <c r="AH36" i="725"/>
  <c r="AD33" i="725"/>
  <c r="AJ35" i="725"/>
  <c r="AI36" i="725"/>
  <c r="AE33" i="725"/>
  <c r="AR112" i="725"/>
  <c r="AJ36" i="725"/>
  <c r="AF33" i="725"/>
  <c r="AG33" i="725"/>
  <c r="AE42" i="725"/>
  <c r="AE35" i="725"/>
  <c r="AH33" i="725"/>
  <c r="AF42" i="725"/>
  <c r="AF35" i="725"/>
  <c r="AI35" i="725"/>
  <c r="AI33" i="725"/>
  <c r="AP25" i="725"/>
  <c r="AQ25" i="725"/>
  <c r="AQ26" i="725"/>
  <c r="AD42" i="725"/>
  <c r="AJ42" i="725"/>
  <c r="AP27" i="725"/>
  <c r="AB43" i="725"/>
  <c r="AD43" i="725"/>
  <c r="AR27" i="725"/>
  <c r="AF43" i="725"/>
  <c r="AG43" i="725"/>
  <c r="AH43" i="725"/>
  <c r="AQ24" i="725"/>
  <c r="AE43" i="725"/>
  <c r="AP24" i="725"/>
  <c r="AI43" i="725"/>
  <c r="AJ43" i="725"/>
  <c r="AR24" i="725"/>
  <c r="AI42" i="725"/>
  <c r="AC43" i="725"/>
  <c r="AP26" i="725"/>
  <c r="AP112" i="725"/>
  <c r="AS27" i="725"/>
  <c r="AF19" i="725"/>
  <c r="AQ112" i="725"/>
  <c r="AG19" i="725"/>
  <c r="AH19" i="725"/>
  <c r="AS11" i="725"/>
  <c r="AI19" i="725"/>
  <c r="AQ27" i="725"/>
  <c r="AT111" i="725"/>
  <c r="AD18" i="725"/>
  <c r="AJ19" i="725"/>
  <c r="AE18" i="725"/>
  <c r="AR10" i="725"/>
  <c r="AR107" i="725" s="1"/>
  <c r="AF18" i="725"/>
  <c r="AE19" i="725"/>
  <c r="AR11" i="725"/>
  <c r="AG18" i="725"/>
  <c r="AQ11" i="725"/>
  <c r="AD19" i="725"/>
  <c r="AS10" i="725"/>
  <c r="AS107" i="725" s="1"/>
  <c r="AH18" i="725"/>
  <c r="AS24" i="725"/>
  <c r="AJ18" i="725"/>
  <c r="AT87" i="725"/>
  <c r="AS26" i="725"/>
  <c r="AQ64" i="725"/>
  <c r="AS25" i="725"/>
  <c r="AT63" i="725"/>
  <c r="AR64" i="725"/>
  <c r="AT25" i="725"/>
  <c r="AQ10" i="725"/>
  <c r="AQ107" i="725" s="1"/>
  <c r="AQ88" i="725"/>
  <c r="AT24" i="725"/>
  <c r="AR87" i="725"/>
  <c r="AR26" i="725"/>
  <c r="AS63" i="725"/>
  <c r="AP64" i="725"/>
  <c r="AQ111" i="725"/>
  <c r="AS87" i="725"/>
  <c r="AR25" i="725"/>
  <c r="AQ63" i="725"/>
  <c r="AR111" i="725"/>
  <c r="AR71" i="725" l="1"/>
  <c r="AP43" i="725"/>
  <c r="AP83" i="725"/>
  <c r="AP59" i="725"/>
  <c r="AQ83" i="725"/>
  <c r="AQ59" i="725"/>
  <c r="AR83" i="725"/>
  <c r="AR59" i="725"/>
  <c r="AS83" i="725"/>
  <c r="AS59" i="725"/>
  <c r="AQ19" i="725"/>
  <c r="AP119" i="725"/>
  <c r="AP42" i="725"/>
  <c r="AQ71" i="725"/>
  <c r="AP95" i="725"/>
  <c r="AQ119" i="725"/>
  <c r="AS71" i="725"/>
  <c r="AP71" i="725"/>
  <c r="AR33" i="725"/>
  <c r="AT34" i="725"/>
  <c r="AQ34" i="725"/>
  <c r="AQ95" i="725"/>
  <c r="AS119" i="725"/>
  <c r="AS18" i="725"/>
  <c r="AR95" i="725"/>
  <c r="AS95" i="725"/>
  <c r="AR119" i="725"/>
  <c r="AR18" i="725"/>
  <c r="AR34" i="725"/>
  <c r="AQ18" i="725"/>
  <c r="AS33" i="725"/>
  <c r="AQ33" i="725"/>
  <c r="AR43" i="725"/>
  <c r="AR36" i="725"/>
  <c r="AS43" i="725"/>
  <c r="AS36" i="725"/>
  <c r="AQ42" i="725"/>
  <c r="AQ35" i="725"/>
  <c r="AS34" i="725"/>
  <c r="AT33" i="725"/>
  <c r="AR35" i="725"/>
  <c r="AQ36" i="725"/>
  <c r="AS42" i="725"/>
  <c r="AS35" i="725"/>
  <c r="AQ43" i="725"/>
  <c r="AR42" i="725"/>
  <c r="AR19" i="725"/>
  <c r="AS19" i="725"/>
  <c r="AB9" i="725" l="1"/>
  <c r="AC9" i="725"/>
  <c r="AL9" i="725"/>
  <c r="AK9" i="725"/>
  <c r="AJ9" i="725"/>
  <c r="AI9" i="725"/>
  <c r="AH9" i="725"/>
  <c r="AG9" i="725"/>
  <c r="AF9" i="725"/>
  <c r="AE9" i="725"/>
  <c r="AD9" i="725"/>
  <c r="AG56" i="725" l="1"/>
  <c r="AG106" i="725"/>
  <c r="AG58" i="725"/>
  <c r="AG57" i="725"/>
  <c r="AI56" i="725"/>
  <c r="AI106" i="725"/>
  <c r="AI58" i="725"/>
  <c r="AI57" i="725"/>
  <c r="AJ56" i="725"/>
  <c r="AJ106" i="725"/>
  <c r="AJ58" i="725"/>
  <c r="AJ57" i="725"/>
  <c r="AD56" i="725"/>
  <c r="AD58" i="725"/>
  <c r="AD106" i="725"/>
  <c r="AD57" i="725"/>
  <c r="AE56" i="725"/>
  <c r="AE58" i="725"/>
  <c r="AE106" i="725"/>
  <c r="AE57" i="725"/>
  <c r="AC56" i="725"/>
  <c r="AC106" i="725"/>
  <c r="AC58" i="725"/>
  <c r="AC57" i="725"/>
  <c r="AH56" i="725"/>
  <c r="AH58" i="725"/>
  <c r="AH106" i="725"/>
  <c r="AH57" i="725"/>
  <c r="AK56" i="725"/>
  <c r="AK58" i="725"/>
  <c r="AK106" i="725"/>
  <c r="AK57" i="725"/>
  <c r="AL56" i="725"/>
  <c r="AL58" i="725"/>
  <c r="AL57" i="725"/>
  <c r="AL106" i="725"/>
  <c r="AF56" i="725"/>
  <c r="AF58" i="725"/>
  <c r="AF106" i="725"/>
  <c r="AF57" i="725"/>
  <c r="AB56" i="725"/>
  <c r="AB58" i="725"/>
  <c r="AB106" i="725"/>
  <c r="AB57" i="725"/>
  <c r="AH70" i="725"/>
  <c r="AH82" i="725"/>
  <c r="AI70" i="725"/>
  <c r="AI82" i="725"/>
  <c r="AL70" i="725"/>
  <c r="AL82" i="725"/>
  <c r="AG70" i="725"/>
  <c r="AG82" i="725"/>
  <c r="AJ70" i="725"/>
  <c r="AJ82" i="725"/>
  <c r="AK70" i="725"/>
  <c r="AK82" i="725"/>
  <c r="AD70" i="725"/>
  <c r="AD82" i="725"/>
  <c r="AE70" i="725"/>
  <c r="AE82" i="725"/>
  <c r="AC70" i="725"/>
  <c r="AC82" i="725"/>
  <c r="AF70" i="725"/>
  <c r="AF82" i="725"/>
  <c r="AB70" i="725"/>
  <c r="AB82" i="725"/>
  <c r="AH118" i="725"/>
  <c r="AH94" i="725"/>
  <c r="AG94" i="725"/>
  <c r="AG118" i="725"/>
  <c r="AI118" i="725"/>
  <c r="AI94" i="725"/>
  <c r="AK118" i="725"/>
  <c r="AK94" i="725"/>
  <c r="AC118" i="725"/>
  <c r="AC94" i="725"/>
  <c r="AJ118" i="725"/>
  <c r="AJ94" i="725"/>
  <c r="AD118" i="725"/>
  <c r="AD94" i="725"/>
  <c r="AL94" i="725"/>
  <c r="AL118" i="725"/>
  <c r="AE118" i="725"/>
  <c r="AE94" i="725"/>
  <c r="AF94" i="725"/>
  <c r="AF118" i="725"/>
  <c r="AB94" i="725"/>
  <c r="AB118" i="725"/>
  <c r="AK40" i="725"/>
  <c r="AK41" i="725"/>
  <c r="AE17" i="725"/>
  <c r="AE41" i="725"/>
  <c r="AE40" i="725"/>
  <c r="AF41" i="725"/>
  <c r="AF40" i="725"/>
  <c r="AH41" i="725"/>
  <c r="AH40" i="725"/>
  <c r="AJ41" i="725"/>
  <c r="AJ40" i="725"/>
  <c r="AC41" i="725"/>
  <c r="AC40" i="725"/>
  <c r="AD40" i="725"/>
  <c r="AD41" i="725"/>
  <c r="AG40" i="725"/>
  <c r="AG41" i="725"/>
  <c r="AI40" i="725"/>
  <c r="AI41" i="725"/>
  <c r="AL41" i="725"/>
  <c r="AL40" i="725"/>
  <c r="AB41" i="725"/>
  <c r="AB40" i="725"/>
  <c r="AI17" i="725"/>
  <c r="AG17" i="725"/>
  <c r="AJ17" i="725"/>
  <c r="AQ9" i="725"/>
  <c r="AD17" i="725"/>
  <c r="AR9" i="725"/>
  <c r="AF17" i="725"/>
  <c r="AL17" i="725"/>
  <c r="AH17" i="725"/>
  <c r="AK17" i="725"/>
  <c r="AT9" i="725"/>
  <c r="AS9" i="725"/>
  <c r="AP9" i="725"/>
  <c r="AR56" i="725" l="1"/>
  <c r="AR58" i="725"/>
  <c r="AR106" i="725"/>
  <c r="AR57" i="725"/>
  <c r="AP56" i="725"/>
  <c r="AP57" i="725"/>
  <c r="AP106" i="725"/>
  <c r="AP58" i="725"/>
  <c r="AS56" i="725"/>
  <c r="AS58" i="725"/>
  <c r="AS106" i="725"/>
  <c r="AS57" i="725"/>
  <c r="AQ56" i="725"/>
  <c r="AQ106" i="725"/>
  <c r="AQ58" i="725"/>
  <c r="AQ57" i="725"/>
  <c r="AT56" i="725"/>
  <c r="AT106" i="725"/>
  <c r="AT58" i="725"/>
  <c r="AT57" i="725"/>
  <c r="AP70" i="725"/>
  <c r="AP82" i="725"/>
  <c r="AT70" i="725"/>
  <c r="AT82" i="725"/>
  <c r="AS70" i="725"/>
  <c r="AS82" i="725"/>
  <c r="AQ70" i="725"/>
  <c r="AQ82" i="725"/>
  <c r="AR70" i="725"/>
  <c r="AR82" i="725"/>
  <c r="AR94" i="725"/>
  <c r="AR118" i="725"/>
  <c r="AP118" i="725"/>
  <c r="AP94" i="725"/>
  <c r="AT94" i="725"/>
  <c r="AT118" i="725"/>
  <c r="AS118" i="725"/>
  <c r="AS94" i="725"/>
  <c r="AQ94" i="725"/>
  <c r="AQ118" i="725"/>
  <c r="AR17" i="725"/>
  <c r="AR41" i="725"/>
  <c r="AR40" i="725"/>
  <c r="AQ40" i="725"/>
  <c r="AQ41" i="725"/>
  <c r="AP40" i="725"/>
  <c r="AP41" i="725"/>
  <c r="AS17" i="725"/>
  <c r="AS41" i="725"/>
  <c r="AS40" i="725"/>
  <c r="AT40" i="725"/>
  <c r="AT41" i="725"/>
  <c r="AT17" i="725"/>
  <c r="AQ17" i="725"/>
  <c r="V86" i="114"/>
  <c r="T78" i="114"/>
  <c r="A88" i="114"/>
  <c r="A87" i="114"/>
  <c r="A81" i="114"/>
  <c r="A86" i="114" s="1"/>
  <c r="J119" i="597" l="1"/>
  <c r="J110" i="597"/>
  <c r="I110" i="597"/>
  <c r="X84" i="597"/>
  <c r="W84" i="597" s="1"/>
  <c r="N83" i="597"/>
  <c r="L55" i="597"/>
  <c r="M55" i="597" s="1"/>
  <c r="N55" i="597" s="1"/>
  <c r="O55" i="597" s="1"/>
  <c r="P55" i="597" s="1"/>
  <c r="Q55" i="597" s="1"/>
  <c r="R55" i="597" s="1"/>
  <c r="S55" i="597" s="1"/>
  <c r="T55" i="597" s="1"/>
  <c r="U55" i="597" s="1"/>
  <c r="D44" i="597"/>
  <c r="E44" i="597" s="1"/>
  <c r="F44" i="597" s="1"/>
  <c r="G44" i="597" s="1"/>
  <c r="H44" i="597" s="1"/>
  <c r="H41" i="597"/>
  <c r="C4" i="597"/>
  <c r="P86" i="598"/>
  <c r="X84" i="598"/>
  <c r="W84" i="598" s="1"/>
  <c r="N83" i="598"/>
  <c r="L55" i="598"/>
  <c r="M55" i="598" s="1"/>
  <c r="N55" i="598" s="1"/>
  <c r="O55" i="598" s="1"/>
  <c r="P55" i="598" s="1"/>
  <c r="Q55" i="598" s="1"/>
  <c r="R55" i="598" s="1"/>
  <c r="S55" i="598" s="1"/>
  <c r="T55" i="598" s="1"/>
  <c r="U55" i="598" s="1"/>
  <c r="D44" i="598"/>
  <c r="E44" i="598" s="1"/>
  <c r="F44" i="598" s="1"/>
  <c r="G44" i="598" s="1"/>
  <c r="H44" i="598" s="1"/>
  <c r="I44" i="598" s="1"/>
  <c r="J44" i="598" s="1"/>
  <c r="K44" i="598" s="1"/>
  <c r="L44" i="598" s="1"/>
  <c r="M44" i="598" s="1"/>
  <c r="N44" i="598" s="1"/>
  <c r="O44" i="598" s="1"/>
  <c r="P44" i="598" s="1"/>
  <c r="Q44" i="598" s="1"/>
  <c r="R44" i="598" s="1"/>
  <c r="S44" i="598" s="1"/>
  <c r="T44" i="598" s="1"/>
  <c r="U44" i="598" s="1"/>
  <c r="H41" i="598"/>
  <c r="I41" i="598" s="1"/>
  <c r="J41" i="598" s="1"/>
  <c r="K41" i="598" s="1"/>
  <c r="L41" i="598" s="1"/>
  <c r="M41" i="598" s="1"/>
  <c r="N41" i="598" s="1"/>
  <c r="O41" i="598" s="1"/>
  <c r="P41" i="598" s="1"/>
  <c r="C4" i="598"/>
  <c r="P86" i="31"/>
  <c r="X84" i="31"/>
  <c r="W84" i="31" s="1"/>
  <c r="N83" i="31"/>
  <c r="D44" i="31"/>
  <c r="E44" i="31" s="1"/>
  <c r="F44" i="31" s="1"/>
  <c r="G44" i="31" s="1"/>
  <c r="H44" i="31" s="1"/>
  <c r="I44" i="31" s="1"/>
  <c r="J44" i="31" s="1"/>
  <c r="K44" i="31" s="1"/>
  <c r="L44" i="31" s="1"/>
  <c r="M44" i="31" s="1"/>
  <c r="N44" i="31" s="1"/>
  <c r="O44" i="31" s="1"/>
  <c r="P44" i="31" s="1"/>
  <c r="Q44" i="31" s="1"/>
  <c r="R44" i="31" s="1"/>
  <c r="S44" i="31" s="1"/>
  <c r="T44" i="31" s="1"/>
  <c r="U44" i="31" s="1"/>
  <c r="H41" i="31"/>
  <c r="I41" i="31" s="1"/>
  <c r="J41" i="31" s="1"/>
  <c r="K41" i="31" s="1"/>
  <c r="L41" i="31" s="1"/>
  <c r="M41" i="31" s="1"/>
  <c r="N41" i="31" s="1"/>
  <c r="O41" i="31" s="1"/>
  <c r="P41" i="31" s="1"/>
  <c r="C4" i="31"/>
  <c r="I41" i="597" l="1"/>
  <c r="J41" i="597" s="1"/>
  <c r="K41" i="597" s="1"/>
  <c r="L41" i="597" s="1"/>
  <c r="M41" i="597" s="1"/>
  <c r="N41" i="597" s="1"/>
  <c r="O41" i="597" s="1"/>
  <c r="P41" i="597" s="1"/>
  <c r="I44" i="597"/>
  <c r="J44" i="597" s="1"/>
  <c r="K44" i="597" s="1"/>
  <c r="L44" i="597" s="1"/>
  <c r="M44" i="597" s="1"/>
  <c r="N44" i="597" s="1"/>
  <c r="O44" i="597" s="1"/>
  <c r="P44" i="597" s="1"/>
  <c r="Q44" i="597" s="1"/>
  <c r="R44" i="597" s="1"/>
  <c r="S44" i="597" s="1"/>
  <c r="T44" i="597" s="1"/>
  <c r="U44" i="597" s="1"/>
  <c r="J17" i="598"/>
  <c r="I13" i="722" l="1"/>
  <c r="I9" i="722"/>
  <c r="S1" i="722"/>
  <c r="S15" i="722" l="1"/>
  <c r="D8" i="721" l="1"/>
  <c r="C8" i="721"/>
  <c r="E8" i="721"/>
  <c r="E14" i="721" l="1"/>
  <c r="C14" i="721"/>
  <c r="E9" i="721"/>
  <c r="D9" i="721"/>
  <c r="C9" i="721"/>
  <c r="D6" i="721" l="1"/>
  <c r="C6" i="721"/>
  <c r="E6" i="721"/>
  <c r="C7" i="721" l="1"/>
  <c r="E7" i="721"/>
  <c r="E5" i="721"/>
  <c r="D5" i="721"/>
  <c r="C5" i="721"/>
  <c r="E4" i="721"/>
  <c r="C4" i="721"/>
  <c r="AS9" i="1" l="1"/>
  <c r="AS8" i="1"/>
  <c r="I113" i="2"/>
  <c r="G113" i="2"/>
  <c r="E113" i="2"/>
  <c r="D113" i="2"/>
  <c r="C113" i="2"/>
  <c r="K113" i="2"/>
  <c r="U113" i="2"/>
  <c r="T113" i="2"/>
  <c r="S113" i="2"/>
  <c r="R113" i="2"/>
  <c r="Q113" i="2"/>
  <c r="V113" i="2"/>
  <c r="I108" i="2"/>
  <c r="G108" i="2"/>
  <c r="E108" i="2"/>
  <c r="C108" i="2"/>
  <c r="K108" i="2"/>
  <c r="U108" i="2"/>
  <c r="T108" i="2"/>
  <c r="S108" i="2"/>
  <c r="R108" i="2"/>
  <c r="Q108" i="2"/>
  <c r="R109" i="2" l="1"/>
  <c r="AS10" i="1"/>
  <c r="T109" i="2"/>
  <c r="I109" i="2"/>
  <c r="S109" i="2"/>
  <c r="G109" i="2"/>
  <c r="E109" i="2"/>
  <c r="K109" i="2"/>
  <c r="U109" i="2"/>
  <c r="T40" i="29" l="1"/>
  <c r="L72" i="1"/>
  <c r="C9" i="722" s="1"/>
  <c r="T96" i="29"/>
  <c r="U97" i="29" s="1"/>
  <c r="O87" i="598" l="1"/>
  <c r="O87" i="31"/>
  <c r="O87" i="597"/>
  <c r="I10" i="722"/>
  <c r="T165" i="1"/>
  <c r="U165" i="1" s="1"/>
  <c r="T116" i="1"/>
  <c r="T111" i="1"/>
  <c r="T106" i="1"/>
  <c r="T98" i="1"/>
  <c r="T69" i="1"/>
  <c r="T37" i="1"/>
  <c r="T21" i="1"/>
  <c r="T18" i="1"/>
  <c r="T9" i="1"/>
  <c r="T151" i="1" l="1"/>
  <c r="T152" i="1" s="1"/>
  <c r="T166" i="1"/>
  <c r="T166" i="29" s="1"/>
  <c r="T165" i="29"/>
  <c r="T106" i="29"/>
  <c r="T27" i="1"/>
  <c r="T153" i="1"/>
  <c r="AR98" i="1"/>
  <c r="AR99" i="1" s="1"/>
  <c r="U151" i="1" l="1"/>
  <c r="U165" i="29"/>
  <c r="Z12" i="114"/>
  <c r="C23" i="713"/>
  <c r="C17" i="714"/>
  <c r="AR188" i="1"/>
  <c r="AQ188" i="1"/>
  <c r="U152" i="1" l="1"/>
  <c r="U153" i="1" s="1"/>
  <c r="U161" i="1"/>
  <c r="A24" i="720"/>
  <c r="D22" i="720"/>
  <c r="C22" i="720"/>
  <c r="A22" i="720"/>
  <c r="E22" i="720"/>
  <c r="Q12" i="720"/>
  <c r="P12" i="720"/>
  <c r="O12" i="720"/>
  <c r="U163" i="1" l="1"/>
  <c r="U162" i="1"/>
  <c r="V7" i="720"/>
  <c r="D21" i="720" s="1"/>
  <c r="D23" i="720" s="1"/>
  <c r="U7" i="720"/>
  <c r="C21" i="720" s="1"/>
  <c r="C23" i="720" s="1"/>
  <c r="W7" i="720"/>
  <c r="E21" i="720" s="1"/>
  <c r="E23" i="720" s="1"/>
  <c r="U8" i="720"/>
  <c r="S7" i="720"/>
  <c r="A21" i="720" s="1"/>
  <c r="J7" i="720"/>
  <c r="J9" i="720" s="1"/>
  <c r="K7" i="720"/>
  <c r="K9" i="720" s="1"/>
  <c r="E11" i="720"/>
  <c r="E46" i="720"/>
  <c r="E47" i="720" s="1"/>
  <c r="D46" i="720"/>
  <c r="D47" i="720" s="1"/>
  <c r="C46" i="720"/>
  <c r="C47" i="720" s="1"/>
  <c r="D16" i="720"/>
  <c r="E16" i="720"/>
  <c r="D11" i="720"/>
  <c r="C11" i="720"/>
  <c r="A11" i="720"/>
  <c r="AN226" i="29" l="1"/>
  <c r="AO226" i="29"/>
  <c r="A238" i="29"/>
  <c r="Y227" i="1"/>
  <c r="Y226" i="1"/>
  <c r="Y225" i="1"/>
  <c r="Y224" i="1"/>
  <c r="Y223" i="1"/>
  <c r="Y222" i="1"/>
  <c r="Y220" i="1"/>
  <c r="Y219" i="1"/>
  <c r="AL221" i="1" l="1"/>
  <c r="AL266" i="1"/>
  <c r="AM266" i="1"/>
  <c r="AN266" i="1"/>
  <c r="AO266" i="1"/>
  <c r="D17" i="720"/>
  <c r="E17" i="720"/>
  <c r="D43" i="720"/>
  <c r="E43" i="720"/>
  <c r="C43" i="720"/>
  <c r="AL228" i="1" l="1"/>
  <c r="D8" i="720"/>
  <c r="D12" i="720" s="1"/>
  <c r="D24" i="720" s="1"/>
  <c r="D25" i="720" s="1"/>
  <c r="E8" i="720"/>
  <c r="E12" i="720" s="1"/>
  <c r="E24" i="720" s="1"/>
  <c r="E25" i="720" s="1"/>
  <c r="D7" i="720"/>
  <c r="C7" i="720"/>
  <c r="E7" i="720"/>
  <c r="A7" i="720"/>
  <c r="Q7" i="720" l="1"/>
  <c r="W9" i="720" s="1"/>
  <c r="D13" i="720"/>
  <c r="P7" i="720"/>
  <c r="E13" i="720"/>
  <c r="E9" i="720"/>
  <c r="D9" i="720"/>
  <c r="Q9" i="720" l="1"/>
  <c r="P9" i="720"/>
  <c r="V9" i="720"/>
  <c r="AG38" i="30"/>
  <c r="A76" i="30" l="1"/>
  <c r="A85" i="30" s="1"/>
  <c r="A75" i="30"/>
  <c r="A84" i="30" s="1"/>
  <c r="I66" i="2"/>
  <c r="G66" i="2"/>
  <c r="E66" i="2"/>
  <c r="C66" i="2"/>
  <c r="G63" i="2"/>
  <c r="E63" i="2"/>
  <c r="C63" i="2"/>
  <c r="I62" i="2"/>
  <c r="G62" i="2"/>
  <c r="E62" i="2"/>
  <c r="C62" i="2"/>
  <c r="I61" i="2"/>
  <c r="G61" i="2"/>
  <c r="E61" i="2"/>
  <c r="C61" i="2"/>
  <c r="U66" i="2"/>
  <c r="T66" i="2"/>
  <c r="S66" i="2"/>
  <c r="R66" i="2"/>
  <c r="Q66" i="2"/>
  <c r="V66" i="2"/>
  <c r="A76" i="2"/>
  <c r="A85" i="2" s="1"/>
  <c r="A75" i="2"/>
  <c r="A84" i="2" s="1"/>
  <c r="K66" i="2"/>
  <c r="AO30" i="29"/>
  <c r="AN30" i="29"/>
  <c r="AD30" i="29"/>
  <c r="AB30" i="29"/>
  <c r="AF30" i="29"/>
  <c r="AO31" i="1"/>
  <c r="AO32" i="1" s="1"/>
  <c r="AO33" i="1" s="1"/>
  <c r="AN31" i="1"/>
  <c r="AN32" i="1" s="1"/>
  <c r="AN33" i="1" s="1"/>
  <c r="D19" i="720" s="1"/>
  <c r="D18" i="720" s="1"/>
  <c r="AF31" i="1"/>
  <c r="AF32" i="1" s="1"/>
  <c r="AF33" i="1" s="1"/>
  <c r="AG33" i="1" s="1"/>
  <c r="AD31" i="1"/>
  <c r="AD32" i="1" s="1"/>
  <c r="AD33" i="1" s="1"/>
  <c r="AB31" i="1"/>
  <c r="AB32" i="1" s="1"/>
  <c r="AB33" i="1" s="1"/>
  <c r="Q74" i="719"/>
  <c r="P74" i="719"/>
  <c r="O74" i="719"/>
  <c r="N74" i="719"/>
  <c r="M74" i="719"/>
  <c r="L74" i="719"/>
  <c r="K74" i="719"/>
  <c r="L84" i="2" l="1"/>
  <c r="E19" i="720"/>
  <c r="E18" i="720" s="1"/>
  <c r="AP34" i="1"/>
  <c r="S84" i="2"/>
  <c r="R84" i="2"/>
  <c r="T84" i="2"/>
  <c r="V84" i="2"/>
  <c r="AO32" i="29"/>
  <c r="A94" i="30"/>
  <c r="A103" i="30" s="1"/>
  <c r="AF31" i="29"/>
  <c r="AN31" i="29"/>
  <c r="R75" i="2"/>
  <c r="E75" i="2"/>
  <c r="AB32" i="29"/>
  <c r="AO31" i="29"/>
  <c r="S75" i="2"/>
  <c r="AN32" i="29"/>
  <c r="M85" i="719"/>
  <c r="AD32" i="29"/>
  <c r="AB31" i="29"/>
  <c r="AF32" i="29"/>
  <c r="AD31" i="29"/>
  <c r="U84" i="2"/>
  <c r="A93" i="2"/>
  <c r="A102" i="2" s="1"/>
  <c r="A93" i="30"/>
  <c r="A102" i="30" s="1"/>
  <c r="A94" i="2"/>
  <c r="A103" i="2" s="1"/>
  <c r="G75" i="2"/>
  <c r="W66" i="2"/>
  <c r="I75" i="2"/>
  <c r="U75" i="2"/>
  <c r="T75" i="2"/>
  <c r="V75" i="2"/>
  <c r="K75" i="2"/>
  <c r="AD34" i="1"/>
  <c r="AF34" i="1"/>
  <c r="AC33" i="1"/>
  <c r="AO34" i="1"/>
  <c r="AE33" i="1"/>
  <c r="AG34" i="1" s="1"/>
  <c r="L85" i="719"/>
  <c r="M79" i="719"/>
  <c r="N85" i="719"/>
  <c r="O85" i="719"/>
  <c r="P85" i="719"/>
  <c r="Q85" i="719"/>
  <c r="N79" i="719"/>
  <c r="O79" i="719"/>
  <c r="P79" i="719"/>
  <c r="Q79" i="719"/>
  <c r="W75" i="2" l="1"/>
  <c r="W84" i="2"/>
  <c r="AE34" i="1"/>
  <c r="AF143" i="29"/>
  <c r="S143" i="29" s="1"/>
  <c r="V143" i="29" s="1"/>
  <c r="AF141" i="29"/>
  <c r="S141" i="29" s="1"/>
  <c r="V141" i="29" s="1"/>
  <c r="AF142" i="29"/>
  <c r="S142" i="29" s="1"/>
  <c r="V142" i="29" s="1"/>
  <c r="AF147" i="29"/>
  <c r="S147" i="29" s="1"/>
  <c r="AF146" i="29"/>
  <c r="S146" i="29" s="1"/>
  <c r="AF140" i="29"/>
  <c r="S140" i="29" s="1"/>
  <c r="AF132" i="29"/>
  <c r="S132" i="29" s="1"/>
  <c r="V132" i="29" s="1"/>
  <c r="AF131" i="29"/>
  <c r="S131" i="29" s="1"/>
  <c r="V131" i="29" s="1"/>
  <c r="AF130" i="29"/>
  <c r="S130" i="29" s="1"/>
  <c r="AF122" i="29"/>
  <c r="S122" i="29" s="1"/>
  <c r="V122" i="29" s="1"/>
  <c r="S147" i="1"/>
  <c r="S146" i="1"/>
  <c r="S143" i="1"/>
  <c r="V143" i="1" s="1"/>
  <c r="S142" i="1"/>
  <c r="V142" i="1" s="1"/>
  <c r="S141" i="1"/>
  <c r="V141" i="1" s="1"/>
  <c r="S140" i="1"/>
  <c r="S132" i="1"/>
  <c r="S131" i="1"/>
  <c r="S130" i="1"/>
  <c r="S122" i="1"/>
  <c r="V122" i="1" s="1"/>
  <c r="S120" i="1"/>
  <c r="AF148" i="1"/>
  <c r="AF148" i="29" s="1"/>
  <c r="S148" i="29" s="1"/>
  <c r="AF137" i="1"/>
  <c r="AF137" i="29" s="1"/>
  <c r="S137" i="29" s="1"/>
  <c r="AF136" i="1"/>
  <c r="AF136" i="29" s="1"/>
  <c r="S136" i="29" s="1"/>
  <c r="AF133" i="1"/>
  <c r="AF133" i="29" s="1"/>
  <c r="S133" i="29" s="1"/>
  <c r="V133" i="29" s="1"/>
  <c r="AF128" i="1"/>
  <c r="S128" i="1" s="1"/>
  <c r="AF127" i="1"/>
  <c r="S127" i="1" s="1"/>
  <c r="AF126" i="1"/>
  <c r="S126" i="1" s="1"/>
  <c r="AF123" i="1"/>
  <c r="S123" i="1" s="1"/>
  <c r="V123" i="1" s="1"/>
  <c r="AF121" i="1"/>
  <c r="AF121" i="29" s="1"/>
  <c r="S121" i="29" s="1"/>
  <c r="V121" i="29" s="1"/>
  <c r="S133" i="1" l="1"/>
  <c r="V133" i="1" s="1"/>
  <c r="S136" i="1"/>
  <c r="S148" i="1"/>
  <c r="S137" i="1"/>
  <c r="AF127" i="29"/>
  <c r="S127" i="29" s="1"/>
  <c r="AF123" i="29"/>
  <c r="S123" i="29" s="1"/>
  <c r="V123" i="29" s="1"/>
  <c r="AF126" i="29"/>
  <c r="S126" i="29" s="1"/>
  <c r="AF128" i="29"/>
  <c r="S128" i="29" s="1"/>
  <c r="S121" i="1"/>
  <c r="V121" i="1" s="1"/>
  <c r="AF165" i="29"/>
  <c r="AF114" i="29"/>
  <c r="S199" i="29"/>
  <c r="S180" i="29"/>
  <c r="D89" i="598" l="1"/>
  <c r="P89" i="598" s="1"/>
  <c r="D89" i="597"/>
  <c r="P89" i="597" s="1"/>
  <c r="D89" i="31"/>
  <c r="P89" i="31" s="1"/>
  <c r="K12" i="2"/>
  <c r="S211" i="1"/>
  <c r="S210" i="1"/>
  <c r="S209" i="1"/>
  <c r="S208" i="1"/>
  <c r="S201" i="1"/>
  <c r="S200" i="1"/>
  <c r="S199" i="1"/>
  <c r="S198" i="1"/>
  <c r="S194" i="1"/>
  <c r="S193" i="1"/>
  <c r="S192" i="1"/>
  <c r="S191" i="1"/>
  <c r="S190" i="1"/>
  <c r="S189" i="1"/>
  <c r="S188" i="1"/>
  <c r="S182" i="1"/>
  <c r="S181" i="1"/>
  <c r="S177" i="1"/>
  <c r="S176" i="1"/>
  <c r="S175" i="1"/>
  <c r="S174" i="1"/>
  <c r="S173" i="1"/>
  <c r="S172" i="1"/>
  <c r="AF212" i="1"/>
  <c r="S212" i="1" s="1"/>
  <c r="AF202" i="1"/>
  <c r="AF195" i="1"/>
  <c r="S195" i="1" s="1"/>
  <c r="AF183" i="1"/>
  <c r="AF178" i="1"/>
  <c r="S178" i="1" s="1"/>
  <c r="AF166" i="1"/>
  <c r="AF151" i="1"/>
  <c r="AG161" i="1" s="1"/>
  <c r="AF116" i="1"/>
  <c r="AF111" i="1"/>
  <c r="AF80" i="29"/>
  <c r="K27" i="2"/>
  <c r="L30" i="2" s="1"/>
  <c r="AF214" i="1"/>
  <c r="K157" i="2" s="1"/>
  <c r="K155" i="2"/>
  <c r="K154" i="2"/>
  <c r="K132" i="2"/>
  <c r="K130" i="2"/>
  <c r="K62" i="2"/>
  <c r="K61" i="2"/>
  <c r="S96" i="1"/>
  <c r="AF98" i="1"/>
  <c r="S67" i="1"/>
  <c r="Q13" i="722" s="1"/>
  <c r="S17" i="1"/>
  <c r="Q9" i="722" s="1"/>
  <c r="S8" i="1"/>
  <c r="AF221" i="1"/>
  <c r="AF232" i="1"/>
  <c r="AF240" i="1"/>
  <c r="AG240" i="1" s="1"/>
  <c r="AF76" i="1"/>
  <c r="AF77" i="1" s="1"/>
  <c r="AF78" i="1" s="1"/>
  <c r="AF69" i="1"/>
  <c r="AF68" i="1"/>
  <c r="AF60" i="1"/>
  <c r="AG60" i="1" s="1"/>
  <c r="AF59" i="1"/>
  <c r="AG59" i="1" s="1"/>
  <c r="AF47" i="1"/>
  <c r="AF37" i="1"/>
  <c r="AF27" i="1"/>
  <c r="AF25" i="1"/>
  <c r="AF24" i="1"/>
  <c r="AF16" i="1"/>
  <c r="AG16" i="1" s="1"/>
  <c r="L80" i="2" l="1"/>
  <c r="L79" i="2"/>
  <c r="AF228" i="1"/>
  <c r="AF242" i="1" s="1"/>
  <c r="AG221" i="1"/>
  <c r="K120" i="2"/>
  <c r="K141" i="2" s="1"/>
  <c r="AG232" i="1"/>
  <c r="AF166" i="29"/>
  <c r="AG166" i="1"/>
  <c r="AF39" i="1"/>
  <c r="K40" i="2" s="1"/>
  <c r="AG37" i="1"/>
  <c r="K63" i="2"/>
  <c r="AG47" i="1"/>
  <c r="L63" i="2" s="1"/>
  <c r="O86" i="31"/>
  <c r="O88" i="31" s="1"/>
  <c r="P88" i="31" s="1"/>
  <c r="P87" i="31"/>
  <c r="O86" i="597"/>
  <c r="O88" i="597" s="1"/>
  <c r="P88" i="597" s="1"/>
  <c r="P87" i="597"/>
  <c r="O86" i="598"/>
  <c r="O88" i="598" s="1"/>
  <c r="P88" i="598" s="1"/>
  <c r="P87" i="598"/>
  <c r="Q15" i="722"/>
  <c r="S96" i="29"/>
  <c r="T97" i="29" s="1"/>
  <c r="T97" i="1"/>
  <c r="S116" i="1"/>
  <c r="AF184" i="1"/>
  <c r="S184" i="1" s="1"/>
  <c r="AF203" i="1"/>
  <c r="S203" i="1" s="1"/>
  <c r="S202" i="1"/>
  <c r="K114" i="2"/>
  <c r="K131" i="2" s="1"/>
  <c r="K133" i="2" s="1"/>
  <c r="S165" i="1"/>
  <c r="S166" i="1" s="1"/>
  <c r="S166" i="29" s="1"/>
  <c r="S183" i="1"/>
  <c r="S69" i="1"/>
  <c r="S214" i="1"/>
  <c r="S97" i="1"/>
  <c r="K142" i="2"/>
  <c r="K13" i="2"/>
  <c r="L20" i="2" s="1"/>
  <c r="AF152" i="1"/>
  <c r="K148" i="2" l="1"/>
  <c r="L120" i="2"/>
  <c r="L141" i="2" s="1"/>
  <c r="L81" i="2"/>
  <c r="AF40" i="1"/>
  <c r="AF40" i="29" s="1"/>
  <c r="AG39" i="1"/>
  <c r="L40" i="2" s="1"/>
  <c r="AF153" i="1"/>
  <c r="AG163" i="1" s="1"/>
  <c r="AG162" i="1"/>
  <c r="AG166" i="29"/>
  <c r="U166" i="1"/>
  <c r="U166" i="29" s="1"/>
  <c r="AF52" i="1"/>
  <c r="AF58" i="1" s="1"/>
  <c r="K151" i="2"/>
  <c r="AG228" i="1"/>
  <c r="AG242" i="1" s="1"/>
  <c r="AF205" i="1"/>
  <c r="S205" i="1" s="1"/>
  <c r="K123" i="2"/>
  <c r="K111" i="2"/>
  <c r="AF96" i="29"/>
  <c r="K140" i="2"/>
  <c r="K125" i="2"/>
  <c r="K128" i="2" s="1"/>
  <c r="S165" i="29"/>
  <c r="K64" i="2"/>
  <c r="K102" i="2"/>
  <c r="K118" i="2"/>
  <c r="K134" i="2"/>
  <c r="K143" i="2" s="1"/>
  <c r="AF55" i="1" l="1"/>
  <c r="L151" i="2"/>
  <c r="L148" i="2"/>
  <c r="L98" i="2"/>
  <c r="L99" i="2"/>
  <c r="L97" i="2"/>
  <c r="L123" i="2"/>
  <c r="L102" i="2"/>
  <c r="AG52" i="1"/>
  <c r="AG55" i="1" s="1"/>
  <c r="L43" i="2"/>
  <c r="K65" i="2"/>
  <c r="K67" i="2" s="1"/>
  <c r="K103" i="2" s="1"/>
  <c r="AF61" i="1"/>
  <c r="AG58" i="1"/>
  <c r="AG97" i="29"/>
  <c r="K144" i="2"/>
  <c r="K147" i="2" s="1"/>
  <c r="K135" i="2"/>
  <c r="AF66" i="1" l="1"/>
  <c r="AG66" i="1" s="1"/>
  <c r="AG61" i="1"/>
  <c r="S1" i="719" l="1"/>
  <c r="Q50" i="719"/>
  <c r="R51" i="719"/>
  <c r="R49" i="719"/>
  <c r="Q45" i="719"/>
  <c r="Q34" i="719"/>
  <c r="AF126" i="2" l="1"/>
  <c r="AF115" i="2"/>
  <c r="AO165" i="29"/>
  <c r="AN165" i="29"/>
  <c r="AM165" i="29"/>
  <c r="AL165" i="29"/>
  <c r="AK165" i="29"/>
  <c r="AJ165" i="29"/>
  <c r="AD165" i="29"/>
  <c r="AB165" i="29"/>
  <c r="Z165" i="29"/>
  <c r="R165" i="29"/>
  <c r="P165" i="29"/>
  <c r="N165" i="29"/>
  <c r="L165" i="29"/>
  <c r="J165" i="29"/>
  <c r="A158" i="29"/>
  <c r="A163" i="29" s="1"/>
  <c r="A157" i="29"/>
  <c r="A162" i="29" s="1"/>
  <c r="A156" i="29"/>
  <c r="A161" i="29" s="1"/>
  <c r="AO151" i="1"/>
  <c r="AN151" i="1"/>
  <c r="AM151" i="1"/>
  <c r="AL151" i="1"/>
  <c r="AK151" i="1"/>
  <c r="AJ151" i="1"/>
  <c r="AJ152" i="1" s="1"/>
  <c r="AD151" i="1"/>
  <c r="AF156" i="1" s="1"/>
  <c r="AB151" i="1"/>
  <c r="Z151" i="1"/>
  <c r="Z152" i="1" s="1"/>
  <c r="Z153" i="1" s="1"/>
  <c r="R151" i="1"/>
  <c r="S151" i="1" s="1"/>
  <c r="T161" i="1" s="1"/>
  <c r="P151" i="1"/>
  <c r="L151" i="1"/>
  <c r="J151" i="1"/>
  <c r="J152" i="1" s="1"/>
  <c r="J153" i="1" s="1"/>
  <c r="A158" i="1"/>
  <c r="A163" i="1" s="1"/>
  <c r="A157" i="1"/>
  <c r="A162" i="1" s="1"/>
  <c r="A156" i="1"/>
  <c r="A161" i="1" s="1"/>
  <c r="AO166" i="1"/>
  <c r="AO166" i="29" s="1"/>
  <c r="AN166" i="1"/>
  <c r="AN166" i="29" s="1"/>
  <c r="AM166" i="1"/>
  <c r="AM166" i="29" s="1"/>
  <c r="AL166" i="1"/>
  <c r="AL166" i="29" s="1"/>
  <c r="AK166" i="1"/>
  <c r="AK166" i="29" s="1"/>
  <c r="AJ166" i="1"/>
  <c r="AJ166" i="29" s="1"/>
  <c r="AD166" i="1"/>
  <c r="AD166" i="29" s="1"/>
  <c r="AB166" i="1"/>
  <c r="AB166" i="29" s="1"/>
  <c r="Z166" i="1"/>
  <c r="Z166" i="29" s="1"/>
  <c r="R166" i="1"/>
  <c r="R166" i="29" s="1"/>
  <c r="P166" i="1"/>
  <c r="P166" i="29" s="1"/>
  <c r="N166" i="1"/>
  <c r="N166" i="29" s="1"/>
  <c r="L166" i="1"/>
  <c r="L166" i="29" s="1"/>
  <c r="J166" i="1"/>
  <c r="J166" i="29" s="1"/>
  <c r="I53" i="114"/>
  <c r="H53" i="114"/>
  <c r="G53" i="114"/>
  <c r="F53" i="114"/>
  <c r="E53" i="114"/>
  <c r="D53" i="114"/>
  <c r="AG64" i="114"/>
  <c r="AH64" i="114"/>
  <c r="A59" i="114"/>
  <c r="A69" i="114" s="1"/>
  <c r="A58" i="114"/>
  <c r="A68" i="114" s="1"/>
  <c r="A57" i="114"/>
  <c r="A67" i="114" s="1"/>
  <c r="AO27" i="1"/>
  <c r="AD27" i="1"/>
  <c r="A27" i="1"/>
  <c r="A26" i="1"/>
  <c r="AO25" i="1"/>
  <c r="AN25" i="1"/>
  <c r="AM25" i="1"/>
  <c r="AD25" i="1"/>
  <c r="AB25" i="1"/>
  <c r="A25" i="1"/>
  <c r="A24" i="1"/>
  <c r="A27" i="29"/>
  <c r="A26" i="29"/>
  <c r="A25" i="29"/>
  <c r="A24" i="29"/>
  <c r="AP156" i="1" l="1"/>
  <c r="AP161" i="1"/>
  <c r="P152" i="1"/>
  <c r="T157" i="1" s="1"/>
  <c r="T156" i="1"/>
  <c r="S161" i="1"/>
  <c r="AB156" i="1"/>
  <c r="AN156" i="1"/>
  <c r="AL161" i="1"/>
  <c r="AM161" i="1"/>
  <c r="AO156" i="1"/>
  <c r="AN161" i="1"/>
  <c r="AD156" i="1"/>
  <c r="AO161" i="1"/>
  <c r="AK156" i="1"/>
  <c r="AK161" i="1"/>
  <c r="AM156" i="1"/>
  <c r="P156" i="1"/>
  <c r="R152" i="1"/>
  <c r="S152" i="1" s="1"/>
  <c r="T162" i="1" s="1"/>
  <c r="AB152" i="1"/>
  <c r="AK152" i="1"/>
  <c r="AL152" i="1"/>
  <c r="AL156" i="1"/>
  <c r="AD152" i="1"/>
  <c r="AF157" i="1" s="1"/>
  <c r="AM152" i="1"/>
  <c r="AJ153" i="1"/>
  <c r="L152" i="1"/>
  <c r="AN152" i="1"/>
  <c r="AO152" i="1"/>
  <c r="AV64" i="114"/>
  <c r="AP162" i="1" l="1"/>
  <c r="AP157" i="1"/>
  <c r="P153" i="1"/>
  <c r="T158" i="1" s="1"/>
  <c r="R153" i="1"/>
  <c r="S153" i="1" s="1"/>
  <c r="S162" i="1"/>
  <c r="AO162" i="1"/>
  <c r="L153" i="1"/>
  <c r="AB157" i="1"/>
  <c r="AM153" i="1"/>
  <c r="AM162" i="1"/>
  <c r="AD153" i="1"/>
  <c r="AF158" i="1" s="1"/>
  <c r="AL157" i="1"/>
  <c r="AL162" i="1"/>
  <c r="AN162" i="1"/>
  <c r="AK157" i="1"/>
  <c r="AK162" i="1"/>
  <c r="AO153" i="1"/>
  <c r="AO157" i="1"/>
  <c r="AK153" i="1"/>
  <c r="AL153" i="1"/>
  <c r="AB153" i="1"/>
  <c r="P157" i="1"/>
  <c r="AM157" i="1"/>
  <c r="AD157" i="1"/>
  <c r="AN153" i="1"/>
  <c r="AN157" i="1"/>
  <c r="AG1" i="367"/>
  <c r="B5" i="367"/>
  <c r="C5" i="367"/>
  <c r="D5" i="367"/>
  <c r="E5" i="367"/>
  <c r="F5" i="367"/>
  <c r="H13" i="367"/>
  <c r="H14" i="367" s="1"/>
  <c r="I13" i="367"/>
  <c r="I14" i="367" s="1"/>
  <c r="J13" i="367"/>
  <c r="J14" i="367" s="1"/>
  <c r="A12" i="367"/>
  <c r="A17" i="367" s="1"/>
  <c r="A22" i="367" s="1"/>
  <c r="A27" i="367" s="1"/>
  <c r="A13" i="367"/>
  <c r="A18" i="367" s="1"/>
  <c r="A23" i="367" s="1"/>
  <c r="A28" i="367" s="1"/>
  <c r="A14" i="367"/>
  <c r="A32" i="367"/>
  <c r="A33" i="367"/>
  <c r="H39" i="367"/>
  <c r="H44" i="367" s="1"/>
  <c r="J39" i="367"/>
  <c r="J44" i="367" s="1"/>
  <c r="C39" i="367"/>
  <c r="C42" i="367" s="1"/>
  <c r="D39" i="367"/>
  <c r="D42" i="367" s="1"/>
  <c r="F39" i="367"/>
  <c r="F44" i="367" s="1"/>
  <c r="A41" i="367"/>
  <c r="A42" i="367"/>
  <c r="A44" i="367"/>
  <c r="D46" i="367"/>
  <c r="F46" i="367"/>
  <c r="H46" i="367"/>
  <c r="I46" i="367"/>
  <c r="J46" i="367"/>
  <c r="A47" i="367"/>
  <c r="C47" i="367"/>
  <c r="D47" i="367"/>
  <c r="E47" i="367"/>
  <c r="F47" i="367"/>
  <c r="H47" i="367"/>
  <c r="I47" i="367"/>
  <c r="J47" i="367"/>
  <c r="A50" i="367"/>
  <c r="D50" i="367"/>
  <c r="F50" i="367"/>
  <c r="H50" i="367"/>
  <c r="I50" i="367"/>
  <c r="J50" i="367"/>
  <c r="D53" i="367"/>
  <c r="D67" i="367" s="1"/>
  <c r="D69" i="367" s="1"/>
  <c r="D71" i="367" s="1"/>
  <c r="F53" i="367"/>
  <c r="F67" i="367" s="1"/>
  <c r="F69" i="367" s="1"/>
  <c r="F71" i="367" s="1"/>
  <c r="H53" i="367"/>
  <c r="H67" i="367" s="1"/>
  <c r="H69" i="367" s="1"/>
  <c r="H71" i="367" s="1"/>
  <c r="I53" i="367"/>
  <c r="I67" i="367" s="1"/>
  <c r="I69" i="367" s="1"/>
  <c r="I71" i="367" s="1"/>
  <c r="J53" i="367"/>
  <c r="J67" i="367" s="1"/>
  <c r="J69" i="367" s="1"/>
  <c r="J71" i="367" s="1"/>
  <c r="H82" i="367"/>
  <c r="I82" i="367"/>
  <c r="J82" i="367"/>
  <c r="A84" i="367"/>
  <c r="A85" i="367"/>
  <c r="H85" i="367"/>
  <c r="I85" i="367"/>
  <c r="J85" i="367"/>
  <c r="A86" i="367"/>
  <c r="H86" i="367"/>
  <c r="I86" i="367"/>
  <c r="J86" i="367"/>
  <c r="AZ1" i="115"/>
  <c r="AG5" i="115"/>
  <c r="AH5" i="115" s="1"/>
  <c r="AI5" i="115" s="1"/>
  <c r="AJ5" i="115" s="1"/>
  <c r="AK5" i="115" s="1"/>
  <c r="AL5" i="115" s="1"/>
  <c r="AM5" i="115" s="1"/>
  <c r="AN5" i="115" s="1"/>
  <c r="AO5" i="115" s="1"/>
  <c r="AP5" i="115" s="1"/>
  <c r="AQ5" i="115" s="1"/>
  <c r="AR5" i="115" s="1"/>
  <c r="AS5" i="115" s="1"/>
  <c r="AT5" i="115" s="1"/>
  <c r="AU5" i="115" s="1"/>
  <c r="AV5" i="115" s="1"/>
  <c r="AW5" i="115" s="1"/>
  <c r="AX5" i="115" s="1"/>
  <c r="AY5" i="115" s="1"/>
  <c r="AZ5" i="115" s="1"/>
  <c r="BP5" i="115"/>
  <c r="BB6" i="115"/>
  <c r="BC6" i="115"/>
  <c r="BD6" i="115"/>
  <c r="BE6" i="115"/>
  <c r="BF6" i="115"/>
  <c r="BG6" i="115"/>
  <c r="BH6" i="115"/>
  <c r="BI6" i="115"/>
  <c r="BJ6" i="115"/>
  <c r="BK6" i="115"/>
  <c r="BL6" i="115"/>
  <c r="BM6" i="115"/>
  <c r="BN6" i="115"/>
  <c r="BP6" i="115"/>
  <c r="BQ6" i="115"/>
  <c r="BR6" i="115"/>
  <c r="C7" i="115"/>
  <c r="D7" i="115"/>
  <c r="E7" i="115"/>
  <c r="F7" i="115"/>
  <c r="G7" i="115"/>
  <c r="H7" i="115"/>
  <c r="I7" i="115"/>
  <c r="J7" i="115"/>
  <c r="K7" i="115"/>
  <c r="L7" i="115"/>
  <c r="M7" i="115"/>
  <c r="N7" i="115"/>
  <c r="O7" i="115"/>
  <c r="P7" i="115"/>
  <c r="Q7" i="115"/>
  <c r="R7" i="115"/>
  <c r="S7" i="115"/>
  <c r="T7" i="115"/>
  <c r="U7" i="115"/>
  <c r="V7" i="115"/>
  <c r="W7" i="115"/>
  <c r="X7" i="115"/>
  <c r="Y7" i="115"/>
  <c r="Z7" i="115"/>
  <c r="AA7" i="115"/>
  <c r="AB7" i="115"/>
  <c r="AC7" i="115"/>
  <c r="AD7" i="115"/>
  <c r="AE7" i="115"/>
  <c r="AF7" i="115"/>
  <c r="AG7" i="115"/>
  <c r="AH7" i="115"/>
  <c r="AI7" i="115"/>
  <c r="AJ7" i="115"/>
  <c r="AK7" i="115"/>
  <c r="AL7" i="115"/>
  <c r="AM7" i="115"/>
  <c r="AN7" i="115"/>
  <c r="AO7" i="115"/>
  <c r="AP7" i="115"/>
  <c r="N10" i="115"/>
  <c r="O10" i="115"/>
  <c r="P10" i="115"/>
  <c r="Q10" i="115"/>
  <c r="R10" i="115"/>
  <c r="S10" i="115"/>
  <c r="T10" i="115"/>
  <c r="U10" i="115"/>
  <c r="V10" i="115"/>
  <c r="W10" i="115"/>
  <c r="X10" i="115"/>
  <c r="Y10" i="115"/>
  <c r="Z10" i="115"/>
  <c r="AA10" i="115"/>
  <c r="AB10" i="115"/>
  <c r="AC10" i="115"/>
  <c r="AD10" i="115"/>
  <c r="AE10" i="115"/>
  <c r="AF10" i="115"/>
  <c r="AG10" i="115"/>
  <c r="AH10" i="115"/>
  <c r="AI10" i="115"/>
  <c r="AJ10" i="115"/>
  <c r="AK10" i="115"/>
  <c r="AL10" i="115"/>
  <c r="AM10" i="115"/>
  <c r="AN10" i="115"/>
  <c r="AO10" i="115"/>
  <c r="AP10" i="115"/>
  <c r="BQ13" i="115"/>
  <c r="BR13" i="115"/>
  <c r="AL14" i="115"/>
  <c r="AM14" i="115"/>
  <c r="AN14" i="115"/>
  <c r="AO14" i="115"/>
  <c r="AP14" i="115"/>
  <c r="AQ14" i="115"/>
  <c r="AR14" i="115"/>
  <c r="AS14" i="115"/>
  <c r="AT14" i="115"/>
  <c r="AU14" i="115"/>
  <c r="AV14" i="115"/>
  <c r="AW14" i="115"/>
  <c r="AX14" i="115"/>
  <c r="AY14" i="115"/>
  <c r="AW15" i="115"/>
  <c r="AX15" i="115"/>
  <c r="AY15" i="115"/>
  <c r="AQ17" i="115"/>
  <c r="AQ20" i="115"/>
  <c r="AF23" i="115"/>
  <c r="AG23" i="115"/>
  <c r="AH23" i="115"/>
  <c r="AI23" i="115"/>
  <c r="AJ23" i="115"/>
  <c r="AK23" i="115"/>
  <c r="AL23" i="115"/>
  <c r="AM23" i="115"/>
  <c r="AN23" i="115"/>
  <c r="AO23" i="115"/>
  <c r="AP23" i="115"/>
  <c r="AQ23" i="115"/>
  <c r="AR23" i="115"/>
  <c r="AS23" i="115"/>
  <c r="AT23" i="115"/>
  <c r="AU23" i="115"/>
  <c r="AV23" i="115"/>
  <c r="AW23" i="115"/>
  <c r="AF24" i="115"/>
  <c r="AG24" i="115"/>
  <c r="AH24" i="115"/>
  <c r="AI24" i="115"/>
  <c r="AJ24" i="115"/>
  <c r="AK24" i="115"/>
  <c r="AL24" i="115"/>
  <c r="AM24" i="115"/>
  <c r="AN24" i="115"/>
  <c r="AO24" i="115"/>
  <c r="AP24" i="115"/>
  <c r="AQ24" i="115"/>
  <c r="AR24" i="115"/>
  <c r="AS24" i="115"/>
  <c r="AT24" i="115"/>
  <c r="AU24" i="115"/>
  <c r="AU40" i="115" s="1"/>
  <c r="AV24" i="115"/>
  <c r="AW24" i="115"/>
  <c r="AN28" i="115"/>
  <c r="AQ31" i="115"/>
  <c r="AQ34" i="115"/>
  <c r="AU37" i="115"/>
  <c r="AF44" i="115"/>
  <c r="AG44" i="115"/>
  <c r="AH44" i="115"/>
  <c r="AI44" i="115"/>
  <c r="AJ44" i="115"/>
  <c r="AK44" i="115"/>
  <c r="AL44" i="115"/>
  <c r="AM44" i="115"/>
  <c r="AN44" i="115"/>
  <c r="AO44" i="115"/>
  <c r="AP44" i="115"/>
  <c r="AQ44" i="115"/>
  <c r="AR44" i="115"/>
  <c r="AS44" i="115"/>
  <c r="AT44" i="115"/>
  <c r="AU44" i="115"/>
  <c r="AF45" i="115"/>
  <c r="AG45" i="115"/>
  <c r="AH45" i="115"/>
  <c r="AI45" i="115"/>
  <c r="AJ45" i="115"/>
  <c r="AK45" i="115"/>
  <c r="AL45" i="115"/>
  <c r="AM45" i="115"/>
  <c r="AN45" i="115"/>
  <c r="AO45" i="115"/>
  <c r="AP45" i="115"/>
  <c r="AQ45" i="115"/>
  <c r="AR45" i="115"/>
  <c r="AS45" i="115"/>
  <c r="AT45" i="115"/>
  <c r="AU45" i="115"/>
  <c r="AU61" i="115" s="1"/>
  <c r="AN49" i="115"/>
  <c r="AQ52" i="115"/>
  <c r="AQ55" i="115"/>
  <c r="AU57" i="115"/>
  <c r="AU58" i="115"/>
  <c r="AG74" i="115"/>
  <c r="AH74" i="115"/>
  <c r="AI74" i="115"/>
  <c r="AJ74" i="115"/>
  <c r="AK74" i="115"/>
  <c r="AL74" i="115"/>
  <c r="AM74" i="115"/>
  <c r="AN74" i="115"/>
  <c r="AO74" i="115"/>
  <c r="AP74" i="115"/>
  <c r="AQ74" i="115"/>
  <c r="AR74" i="115"/>
  <c r="AS74" i="115"/>
  <c r="AT74" i="115"/>
  <c r="AU74" i="115"/>
  <c r="AV74" i="115"/>
  <c r="AW74" i="115"/>
  <c r="AX74" i="115"/>
  <c r="AY74" i="115"/>
  <c r="AZ74" i="115"/>
  <c r="A77" i="115"/>
  <c r="A84" i="115" s="1"/>
  <c r="AH77" i="115"/>
  <c r="AI77" i="115"/>
  <c r="AJ77" i="115"/>
  <c r="AK77" i="115"/>
  <c r="AL77" i="115"/>
  <c r="AM77" i="115"/>
  <c r="AN77" i="115"/>
  <c r="AO77" i="115"/>
  <c r="AP77" i="115"/>
  <c r="AQ77" i="115"/>
  <c r="AR77" i="115"/>
  <c r="AS77" i="115"/>
  <c r="AT77" i="115"/>
  <c r="AU77" i="115"/>
  <c r="AV77" i="115"/>
  <c r="AW77" i="115"/>
  <c r="AX77" i="115"/>
  <c r="AY77" i="115"/>
  <c r="AZ77" i="115"/>
  <c r="A78" i="115"/>
  <c r="A85" i="115" s="1"/>
  <c r="AH78" i="115"/>
  <c r="AI78" i="115"/>
  <c r="AJ78" i="115"/>
  <c r="AK78" i="115"/>
  <c r="AL78" i="115"/>
  <c r="AM78" i="115"/>
  <c r="AN78" i="115"/>
  <c r="AO78" i="115"/>
  <c r="AP78" i="115"/>
  <c r="AQ78" i="115"/>
  <c r="AR78" i="115"/>
  <c r="AS78" i="115"/>
  <c r="AT78" i="115"/>
  <c r="AU78" i="115"/>
  <c r="AV78" i="115"/>
  <c r="AW78" i="115"/>
  <c r="AX78" i="115"/>
  <c r="AY78" i="115"/>
  <c r="AZ78" i="115"/>
  <c r="A79" i="115"/>
  <c r="A86" i="115" s="1"/>
  <c r="AH79" i="115"/>
  <c r="AI79" i="115"/>
  <c r="AJ79" i="115"/>
  <c r="AK79" i="115"/>
  <c r="AL79" i="115"/>
  <c r="AM79" i="115"/>
  <c r="AN79" i="115"/>
  <c r="AO79" i="115"/>
  <c r="AP79" i="115"/>
  <c r="AQ79" i="115"/>
  <c r="AR79" i="115"/>
  <c r="AS79" i="115"/>
  <c r="AT79" i="115"/>
  <c r="AU79" i="115"/>
  <c r="AV79" i="115"/>
  <c r="AW79" i="115"/>
  <c r="AX79" i="115"/>
  <c r="AY79" i="115"/>
  <c r="AZ79" i="115"/>
  <c r="A80" i="115"/>
  <c r="A87" i="115" s="1"/>
  <c r="AH80" i="115"/>
  <c r="AI80" i="115"/>
  <c r="AJ80" i="115"/>
  <c r="AK80" i="115"/>
  <c r="AL80" i="115"/>
  <c r="AM80" i="115"/>
  <c r="AN80" i="115"/>
  <c r="AO80" i="115"/>
  <c r="AP80" i="115"/>
  <c r="AQ80" i="115"/>
  <c r="AR80" i="115"/>
  <c r="AS80" i="115"/>
  <c r="AT80" i="115"/>
  <c r="AU80" i="115"/>
  <c r="AV80" i="115"/>
  <c r="AW80" i="115"/>
  <c r="AX80" i="115"/>
  <c r="AY80" i="115"/>
  <c r="AZ80" i="115"/>
  <c r="A81" i="115"/>
  <c r="A88" i="115" s="1"/>
  <c r="AS84" i="115"/>
  <c r="AT84" i="115"/>
  <c r="AU84" i="115"/>
  <c r="AV84" i="115"/>
  <c r="AW84" i="115"/>
  <c r="AX84" i="115"/>
  <c r="AY84" i="115"/>
  <c r="AZ84" i="115"/>
  <c r="AS85" i="115"/>
  <c r="AT85" i="115"/>
  <c r="AU85" i="115"/>
  <c r="AV85" i="115"/>
  <c r="AW85" i="115"/>
  <c r="AX85" i="115"/>
  <c r="AY85" i="115"/>
  <c r="AZ85" i="115"/>
  <c r="AS86" i="115"/>
  <c r="AT86" i="115"/>
  <c r="AU86" i="115"/>
  <c r="AV86" i="115"/>
  <c r="AW86" i="115"/>
  <c r="AX86" i="115"/>
  <c r="AY86" i="115"/>
  <c r="AZ86" i="115"/>
  <c r="C121" i="115"/>
  <c r="D121" i="115" s="1"/>
  <c r="E121" i="115" s="1"/>
  <c r="F121" i="115" s="1"/>
  <c r="G121" i="115" s="1"/>
  <c r="H121" i="115" s="1"/>
  <c r="I121" i="115" s="1"/>
  <c r="J121" i="115" s="1"/>
  <c r="K121" i="115" s="1"/>
  <c r="L121" i="115" s="1"/>
  <c r="B126" i="115"/>
  <c r="B128" i="115" s="1"/>
  <c r="C126" i="115"/>
  <c r="C128" i="115" s="1"/>
  <c r="D126" i="115"/>
  <c r="D128" i="115" s="1"/>
  <c r="E126" i="115"/>
  <c r="E128" i="115" s="1"/>
  <c r="F126" i="115"/>
  <c r="F128" i="115" s="1"/>
  <c r="G126" i="115"/>
  <c r="G128" i="115" s="1"/>
  <c r="H126" i="115"/>
  <c r="H128" i="115" s="1"/>
  <c r="I126" i="115"/>
  <c r="I128" i="115" s="1"/>
  <c r="J126" i="115"/>
  <c r="J128" i="115" s="1"/>
  <c r="K126" i="115"/>
  <c r="K128" i="115" s="1"/>
  <c r="L126" i="115"/>
  <c r="L128" i="115" s="1"/>
  <c r="M126" i="115"/>
  <c r="M128" i="115" s="1"/>
  <c r="N126" i="115"/>
  <c r="N128" i="115" s="1"/>
  <c r="O126" i="115"/>
  <c r="O128" i="115" s="1"/>
  <c r="P126" i="115"/>
  <c r="P128" i="115" s="1"/>
  <c r="Q126" i="115"/>
  <c r="Q128" i="115" s="1"/>
  <c r="K133" i="115"/>
  <c r="I136" i="115"/>
  <c r="I137" i="115" s="1"/>
  <c r="I138" i="115" s="1"/>
  <c r="I139" i="115" s="1"/>
  <c r="I140" i="115" s="1"/>
  <c r="I141" i="115" s="1"/>
  <c r="I142" i="115" s="1"/>
  <c r="I143" i="115" s="1"/>
  <c r="I144" i="115" s="1"/>
  <c r="I145" i="115" s="1"/>
  <c r="I146" i="115" s="1"/>
  <c r="I147" i="115" s="1"/>
  <c r="I148" i="115" s="1"/>
  <c r="I149" i="115" s="1"/>
  <c r="I150" i="115" s="1"/>
  <c r="I151" i="115" s="1"/>
  <c r="I152" i="115" s="1"/>
  <c r="I153" i="115" s="1"/>
  <c r="I154" i="115" s="1"/>
  <c r="I155" i="115" s="1"/>
  <c r="I156" i="115" s="1"/>
  <c r="I157" i="115" s="1"/>
  <c r="I158" i="115" s="1"/>
  <c r="I159" i="115" s="1"/>
  <c r="I160" i="115" s="1"/>
  <c r="I161" i="115" s="1"/>
  <c r="I162" i="115" s="1"/>
  <c r="I163" i="115" s="1"/>
  <c r="I164" i="115" s="1"/>
  <c r="I165" i="115" s="1"/>
  <c r="I166" i="115" s="1"/>
  <c r="I167" i="115" s="1"/>
  <c r="I168" i="115" s="1"/>
  <c r="I169" i="115" s="1"/>
  <c r="I170" i="115" s="1"/>
  <c r="I171" i="115" s="1"/>
  <c r="I172" i="115" s="1"/>
  <c r="I173" i="115" s="1"/>
  <c r="I174" i="115" s="1"/>
  <c r="I175" i="115" s="1"/>
  <c r="I176" i="115" s="1"/>
  <c r="I177" i="115" s="1"/>
  <c r="I178" i="115" s="1"/>
  <c r="I179" i="115" s="1"/>
  <c r="I180" i="115" s="1"/>
  <c r="I181" i="115" s="1"/>
  <c r="I182" i="115" s="1"/>
  <c r="I183" i="115" s="1"/>
  <c r="I186" i="115" s="1"/>
  <c r="I187" i="115" s="1"/>
  <c r="I188" i="115" s="1"/>
  <c r="I189" i="115" s="1"/>
  <c r="I190" i="115" s="1"/>
  <c r="I191" i="115" s="1"/>
  <c r="I192" i="115" s="1"/>
  <c r="I193" i="115" s="1"/>
  <c r="I194" i="115" s="1"/>
  <c r="I195" i="115" s="1"/>
  <c r="I196" i="115" s="1"/>
  <c r="I197" i="115" s="1"/>
  <c r="I198" i="115" s="1"/>
  <c r="I199" i="115" s="1"/>
  <c r="I200" i="115" s="1"/>
  <c r="I201" i="115" s="1"/>
  <c r="I202" i="115" s="1"/>
  <c r="I203" i="115" s="1"/>
  <c r="I204" i="115" s="1"/>
  <c r="I205" i="115" s="1"/>
  <c r="I206" i="115" s="1"/>
  <c r="I207" i="115" s="1"/>
  <c r="I208" i="115" s="1"/>
  <c r="I209" i="115" s="1"/>
  <c r="I210" i="115" s="1"/>
  <c r="I212" i="115" s="1"/>
  <c r="I213" i="115" s="1"/>
  <c r="I214" i="115" s="1"/>
  <c r="I215" i="115" s="1"/>
  <c r="I216" i="115" s="1"/>
  <c r="I217" i="115" s="1"/>
  <c r="I218" i="115" s="1"/>
  <c r="I219" i="115" s="1"/>
  <c r="I220" i="115" s="1"/>
  <c r="I221" i="115" s="1"/>
  <c r="I222" i="115" s="1"/>
  <c r="I223" i="115" s="1"/>
  <c r="I224" i="115" s="1"/>
  <c r="I225" i="115" s="1"/>
  <c r="I226" i="115" s="1"/>
  <c r="I227" i="115" s="1"/>
  <c r="I228" i="115" s="1"/>
  <c r="I229" i="115" s="1"/>
  <c r="I230" i="115" s="1"/>
  <c r="I231" i="115" s="1"/>
  <c r="I232" i="115" s="1"/>
  <c r="I233" i="115" s="1"/>
  <c r="I234" i="115" s="1"/>
  <c r="I235" i="115" s="1"/>
  <c r="I236" i="115" s="1"/>
  <c r="I237" i="115" s="1"/>
  <c r="I238" i="115" s="1"/>
  <c r="I239" i="115" s="1"/>
  <c r="I240" i="115" s="1"/>
  <c r="I241" i="115" s="1"/>
  <c r="I242" i="115" s="1"/>
  <c r="I243" i="115" s="1"/>
  <c r="I244" i="115" s="1"/>
  <c r="I245" i="115" s="1"/>
  <c r="I246" i="115" s="1"/>
  <c r="I247" i="115" s="1"/>
  <c r="I248" i="115" s="1"/>
  <c r="I249" i="115" s="1"/>
  <c r="I250" i="115" s="1"/>
  <c r="I251" i="115" s="1"/>
  <c r="I252" i="115" s="1"/>
  <c r="I253" i="115" s="1"/>
  <c r="I254" i="115" s="1"/>
  <c r="I255" i="115" s="1"/>
  <c r="I256" i="115" s="1"/>
  <c r="I257" i="115" s="1"/>
  <c r="I258" i="115" s="1"/>
  <c r="I259" i="115" s="1"/>
  <c r="I260" i="115" s="1"/>
  <c r="I261" i="115" s="1"/>
  <c r="I262" i="115" s="1"/>
  <c r="I263" i="115" s="1"/>
  <c r="I264" i="115" s="1"/>
  <c r="I266" i="115" s="1"/>
  <c r="I267" i="115" s="1"/>
  <c r="I268" i="115" s="1"/>
  <c r="I269" i="115" s="1"/>
  <c r="I270" i="115" s="1"/>
  <c r="I271" i="115" s="1"/>
  <c r="I272" i="115" s="1"/>
  <c r="I274" i="115" s="1"/>
  <c r="I275" i="115" s="1"/>
  <c r="I276" i="115" s="1"/>
  <c r="I277" i="115" s="1"/>
  <c r="I278" i="115" s="1"/>
  <c r="I279" i="115" s="1"/>
  <c r="I280" i="115" s="1"/>
  <c r="I281" i="115" s="1"/>
  <c r="I282" i="115" s="1"/>
  <c r="I283" i="115" s="1"/>
  <c r="I284" i="115" s="1"/>
  <c r="I285" i="115" s="1"/>
  <c r="I286" i="115" s="1"/>
  <c r="I287" i="115" s="1"/>
  <c r="I288" i="115" s="1"/>
  <c r="I289" i="115" s="1"/>
  <c r="I290" i="115" s="1"/>
  <c r="I291" i="115" s="1"/>
  <c r="I292" i="115" s="1"/>
  <c r="I293" i="115" s="1"/>
  <c r="I294" i="115" s="1"/>
  <c r="I295" i="115" s="1"/>
  <c r="I296" i="115" s="1"/>
  <c r="I297" i="115" s="1"/>
  <c r="I298" i="115" s="1"/>
  <c r="I299" i="115" s="1"/>
  <c r="I300" i="115" s="1"/>
  <c r="I301" i="115" s="1"/>
  <c r="I302" i="115" s="1"/>
  <c r="I303" i="115" s="1"/>
  <c r="I304" i="115" s="1"/>
  <c r="I305" i="115" s="1"/>
  <c r="I306" i="115" s="1"/>
  <c r="I307" i="115" s="1"/>
  <c r="I308" i="115" s="1"/>
  <c r="I310" i="115" s="1"/>
  <c r="I311" i="115" s="1"/>
  <c r="I312" i="115" s="1"/>
  <c r="I313" i="115" s="1"/>
  <c r="I314" i="115" s="1"/>
  <c r="I315" i="115" s="1"/>
  <c r="I316" i="115" s="1"/>
  <c r="I317" i="115" s="1"/>
  <c r="I318" i="115" s="1"/>
  <c r="I319" i="115" s="1"/>
  <c r="I320" i="115" s="1"/>
  <c r="I321" i="115" s="1"/>
  <c r="I322" i="115" s="1"/>
  <c r="I323" i="115" s="1"/>
  <c r="I324" i="115" s="1"/>
  <c r="I325" i="115" s="1"/>
  <c r="I326" i="115" s="1"/>
  <c r="I327" i="115" s="1"/>
  <c r="I328" i="115" s="1"/>
  <c r="I329" i="115" s="1"/>
  <c r="I330" i="115" s="1"/>
  <c r="I331" i="115" s="1"/>
  <c r="I332" i="115" s="1"/>
  <c r="I333" i="115" s="1"/>
  <c r="I334" i="115" s="1"/>
  <c r="I335" i="115" s="1"/>
  <c r="I336" i="115" s="1"/>
  <c r="I337" i="115" s="1"/>
  <c r="I338" i="115" s="1"/>
  <c r="I339" i="115" s="1"/>
  <c r="I340" i="115" s="1"/>
  <c r="I341" i="115" s="1"/>
  <c r="I342" i="115" s="1"/>
  <c r="I343" i="115" s="1"/>
  <c r="I344" i="115" s="1"/>
  <c r="I345" i="115" s="1"/>
  <c r="I346" i="115" s="1"/>
  <c r="I347" i="115" s="1"/>
  <c r="I350" i="115" s="1"/>
  <c r="I351" i="115" s="1"/>
  <c r="I352" i="115" s="1"/>
  <c r="I353" i="115" s="1"/>
  <c r="I354" i="115" s="1"/>
  <c r="I355" i="115" s="1"/>
  <c r="I356" i="115" s="1"/>
  <c r="I357" i="115" s="1"/>
  <c r="I358" i="115" s="1"/>
  <c r="I359" i="115" s="1"/>
  <c r="I360" i="115" s="1"/>
  <c r="I361" i="115" s="1"/>
  <c r="I362" i="115" s="1"/>
  <c r="I363" i="115" s="1"/>
  <c r="I364" i="115" s="1"/>
  <c r="I365" i="115" s="1"/>
  <c r="I366" i="115" s="1"/>
  <c r="I367" i="115" s="1"/>
  <c r="I368" i="115" s="1"/>
  <c r="I369" i="115" s="1"/>
  <c r="I370" i="115" s="1"/>
  <c r="I371" i="115" s="1"/>
  <c r="I372" i="115" s="1"/>
  <c r="I373" i="115" s="1"/>
  <c r="I374" i="115" s="1"/>
  <c r="I375" i="115" s="1"/>
  <c r="I376" i="115" s="1"/>
  <c r="I377" i="115" s="1"/>
  <c r="I378" i="115" s="1"/>
  <c r="I379" i="115" s="1"/>
  <c r="I380" i="115" s="1"/>
  <c r="I381" i="115" s="1"/>
  <c r="I382" i="115" s="1"/>
  <c r="I383" i="115" s="1"/>
  <c r="I384" i="115" s="1"/>
  <c r="I385" i="115" s="1"/>
  <c r="I387" i="115" s="1"/>
  <c r="I388" i="115" s="1"/>
  <c r="I389" i="115" s="1"/>
  <c r="I390" i="115" s="1"/>
  <c r="I391" i="115" s="1"/>
  <c r="I392" i="115" s="1"/>
  <c r="I393" i="115" s="1"/>
  <c r="I394" i="115" s="1"/>
  <c r="I395" i="115" s="1"/>
  <c r="I396" i="115" s="1"/>
  <c r="I397" i="115" s="1"/>
  <c r="I398" i="115" s="1"/>
  <c r="I399" i="115" s="1"/>
  <c r="I400" i="115" s="1"/>
  <c r="I401" i="115" s="1"/>
  <c r="I402" i="115" s="1"/>
  <c r="I403" i="115" s="1"/>
  <c r="I404" i="115" s="1"/>
  <c r="I405" i="115" s="1"/>
  <c r="I406" i="115" s="1"/>
  <c r="I407" i="115" s="1"/>
  <c r="I408" i="115" s="1"/>
  <c r="I409" i="115" s="1"/>
  <c r="I410" i="115" s="1"/>
  <c r="I411" i="115" s="1"/>
  <c r="I412" i="115" s="1"/>
  <c r="I413" i="115" s="1"/>
  <c r="I414" i="115" s="1"/>
  <c r="I415" i="115" s="1"/>
  <c r="I416" i="115" s="1"/>
  <c r="I417" i="115" s="1"/>
  <c r="I418" i="115" s="1"/>
  <c r="I419" i="115" s="1"/>
  <c r="I420" i="115" s="1"/>
  <c r="I421" i="115" s="1"/>
  <c r="I422" i="115" s="1"/>
  <c r="I423" i="115" s="1"/>
  <c r="I424" i="115" s="1"/>
  <c r="I425" i="115" s="1"/>
  <c r="I426" i="115" s="1"/>
  <c r="I427" i="115" s="1"/>
  <c r="I428" i="115" s="1"/>
  <c r="I429" i="115" s="1"/>
  <c r="I430" i="115" s="1"/>
  <c r="I431" i="115" s="1"/>
  <c r="I432" i="115" s="1"/>
  <c r="I433" i="115" s="1"/>
  <c r="I434" i="115" s="1"/>
  <c r="I435" i="115" s="1"/>
  <c r="I436" i="115" s="1"/>
  <c r="I437" i="115" s="1"/>
  <c r="I438" i="115" s="1"/>
  <c r="I439" i="115" s="1"/>
  <c r="I440" i="115" s="1"/>
  <c r="I441" i="115" s="1"/>
  <c r="I442" i="115" s="1"/>
  <c r="I443" i="115" s="1"/>
  <c r="I444" i="115" s="1"/>
  <c r="I445" i="115" s="1"/>
  <c r="I446" i="115" s="1"/>
  <c r="I447" i="115" s="1"/>
  <c r="I448" i="115" s="1"/>
  <c r="I449" i="115" s="1"/>
  <c r="I450" i="115" s="1"/>
  <c r="I451" i="115" s="1"/>
  <c r="I453" i="115" s="1"/>
  <c r="I454" i="115" s="1"/>
  <c r="I455" i="115" s="1"/>
  <c r="I456" i="115" s="1"/>
  <c r="I457" i="115" s="1"/>
  <c r="I458" i="115" s="1"/>
  <c r="I459" i="115" s="1"/>
  <c r="I460" i="115" s="1"/>
  <c r="I461" i="115" s="1"/>
  <c r="I462" i="115" s="1"/>
  <c r="I463" i="115" s="1"/>
  <c r="I464" i="115" s="1"/>
  <c r="I465" i="115" s="1"/>
  <c r="I466" i="115" s="1"/>
  <c r="I467" i="115" s="1"/>
  <c r="I469" i="115" s="1"/>
  <c r="I471" i="115" s="1"/>
  <c r="I472" i="115" s="1"/>
  <c r="I473" i="115" s="1"/>
  <c r="I474" i="115" s="1"/>
  <c r="I475" i="115" s="1"/>
  <c r="I476" i="115" s="1"/>
  <c r="I477" i="115" s="1"/>
  <c r="I478" i="115" s="1"/>
  <c r="I479" i="115" s="1"/>
  <c r="I480" i="115" s="1"/>
  <c r="I481" i="115" s="1"/>
  <c r="I482" i="115" s="1"/>
  <c r="I483" i="115" s="1"/>
  <c r="I484" i="115" s="1"/>
  <c r="I485" i="115" s="1"/>
  <c r="I486" i="115" s="1"/>
  <c r="I487" i="115" s="1"/>
  <c r="I488" i="115" s="1"/>
  <c r="I489" i="115" s="1"/>
  <c r="I490" i="115" s="1"/>
  <c r="I491" i="115" s="1"/>
  <c r="I492" i="115" s="1"/>
  <c r="I493" i="115" s="1"/>
  <c r="I494" i="115" s="1"/>
  <c r="I495" i="115" s="1"/>
  <c r="I496" i="115" s="1"/>
  <c r="I497" i="115" s="1"/>
  <c r="I499" i="115" s="1"/>
  <c r="I500" i="115" s="1"/>
  <c r="I501" i="115" s="1"/>
  <c r="I502" i="115" s="1"/>
  <c r="I503" i="115" s="1"/>
  <c r="I504" i="115" s="1"/>
  <c r="I505" i="115" s="1"/>
  <c r="I506" i="115" s="1"/>
  <c r="I507" i="115" s="1"/>
  <c r="I508" i="115" s="1"/>
  <c r="I509" i="115" s="1"/>
  <c r="I510" i="115" s="1"/>
  <c r="I511" i="115" s="1"/>
  <c r="I512" i="115" s="1"/>
  <c r="I513" i="115" s="1"/>
  <c r="I514" i="115" s="1"/>
  <c r="I515" i="115" s="1"/>
  <c r="I516" i="115" s="1"/>
  <c r="I517" i="115" s="1"/>
  <c r="I518" i="115" s="1"/>
  <c r="I519" i="115" s="1"/>
  <c r="I520" i="115" s="1"/>
  <c r="I521" i="115" s="1"/>
  <c r="I522" i="115" s="1"/>
  <c r="I524" i="115" s="1"/>
  <c r="I525" i="115" s="1"/>
  <c r="I526" i="115" s="1"/>
  <c r="I527" i="115" s="1"/>
  <c r="I528" i="115" s="1"/>
  <c r="I529" i="115" s="1"/>
  <c r="I530" i="115" s="1"/>
  <c r="I531" i="115" s="1"/>
  <c r="I532" i="115" s="1"/>
  <c r="I533" i="115" s="1"/>
  <c r="I534" i="115" s="1"/>
  <c r="I535" i="115" s="1"/>
  <c r="I536" i="115" s="1"/>
  <c r="I538" i="115" s="1"/>
  <c r="I539" i="115" s="1"/>
  <c r="I540" i="115" s="1"/>
  <c r="I541" i="115" s="1"/>
  <c r="I542" i="115" s="1"/>
  <c r="I543" i="115" s="1"/>
  <c r="I544" i="115" s="1"/>
  <c r="I545" i="115" s="1"/>
  <c r="I546" i="115" s="1"/>
  <c r="I547" i="115" s="1"/>
  <c r="I548" i="115" s="1"/>
  <c r="I549" i="115" s="1"/>
  <c r="I550" i="115" s="1"/>
  <c r="I551" i="115" s="1"/>
  <c r="I552" i="115" s="1"/>
  <c r="I553" i="115" s="1"/>
  <c r="I554" i="115" s="1"/>
  <c r="I555" i="115" s="1"/>
  <c r="I556" i="115" s="1"/>
  <c r="I557" i="115" s="1"/>
  <c r="I558" i="115" s="1"/>
  <c r="I559" i="115" s="1"/>
  <c r="I560" i="115" s="1"/>
  <c r="I561" i="115" s="1"/>
  <c r="I562" i="115" s="1"/>
  <c r="I563" i="115" s="1"/>
  <c r="I564" i="115" s="1"/>
  <c r="I565" i="115" s="1"/>
  <c r="I566" i="115" s="1"/>
  <c r="I567" i="115" s="1"/>
  <c r="I568" i="115" s="1"/>
  <c r="I569" i="115" s="1"/>
  <c r="I570" i="115" s="1"/>
  <c r="I571" i="115" s="1"/>
  <c r="I572" i="115" s="1"/>
  <c r="I573" i="115" s="1"/>
  <c r="I574" i="115" s="1"/>
  <c r="I575" i="115" s="1"/>
  <c r="I577" i="115" s="1"/>
  <c r="I578" i="115" s="1"/>
  <c r="I579" i="115" s="1"/>
  <c r="I580" i="115" s="1"/>
  <c r="I581" i="115" s="1"/>
  <c r="I582" i="115" s="1"/>
  <c r="I583" i="115" s="1"/>
  <c r="I584" i="115" s="1"/>
  <c r="I585" i="115" s="1"/>
  <c r="I586" i="115" s="1"/>
  <c r="I587" i="115" s="1"/>
  <c r="I588" i="115" s="1"/>
  <c r="I589" i="115" s="1"/>
  <c r="I590" i="115" s="1"/>
  <c r="I591" i="115" s="1"/>
  <c r="I592" i="115" s="1"/>
  <c r="I593" i="115" s="1"/>
  <c r="I594" i="115" s="1"/>
  <c r="I595" i="115" s="1"/>
  <c r="I596" i="115" s="1"/>
  <c r="I597" i="115" s="1"/>
  <c r="I598" i="115" s="1"/>
  <c r="I599" i="115" s="1"/>
  <c r="I600" i="115" s="1"/>
  <c r="I601" i="115" s="1"/>
  <c r="I602" i="115" s="1"/>
  <c r="I603" i="115" s="1"/>
  <c r="I604" i="115" s="1"/>
  <c r="I605" i="115" s="1"/>
  <c r="I606" i="115" s="1"/>
  <c r="I607" i="115" s="1"/>
  <c r="I608" i="115" s="1"/>
  <c r="I609" i="115" s="1"/>
  <c r="I610" i="115" s="1"/>
  <c r="I611" i="115" s="1"/>
  <c r="I612" i="115" s="1"/>
  <c r="I613" i="115" s="1"/>
  <c r="I614" i="115" s="1"/>
  <c r="I615" i="115" s="1"/>
  <c r="I616" i="115" s="1"/>
  <c r="I617" i="115" s="1"/>
  <c r="I618" i="115" s="1"/>
  <c r="I619" i="115" s="1"/>
  <c r="I620" i="115" s="1"/>
  <c r="I621" i="115" s="1"/>
  <c r="I622" i="115" s="1"/>
  <c r="I623" i="115" s="1"/>
  <c r="I624" i="115" s="1"/>
  <c r="I625" i="115" s="1"/>
  <c r="I626" i="115" s="1"/>
  <c r="I627" i="115" s="1"/>
  <c r="I628" i="115" s="1"/>
  <c r="I629" i="115" s="1"/>
  <c r="I630" i="115" s="1"/>
  <c r="I631" i="115" s="1"/>
  <c r="I632" i="115" s="1"/>
  <c r="I633" i="115" s="1"/>
  <c r="I634" i="115" s="1"/>
  <c r="I635" i="115" s="1"/>
  <c r="I636" i="115" s="1"/>
  <c r="I637" i="115" s="1"/>
  <c r="I638" i="115" s="1"/>
  <c r="I639" i="115" s="1"/>
  <c r="I640" i="115" s="1"/>
  <c r="I641" i="115" s="1"/>
  <c r="I642" i="115" s="1"/>
  <c r="I643" i="115" s="1"/>
  <c r="I644" i="115" s="1"/>
  <c r="I645" i="115" s="1"/>
  <c r="I646" i="115" s="1"/>
  <c r="I647" i="115" s="1"/>
  <c r="I648" i="115" s="1"/>
  <c r="I649" i="115" s="1"/>
  <c r="I650" i="115" s="1"/>
  <c r="I651" i="115" s="1"/>
  <c r="I652" i="115" s="1"/>
  <c r="I653" i="115" s="1"/>
  <c r="I654" i="115" s="1"/>
  <c r="I655" i="115" s="1"/>
  <c r="I656" i="115" s="1"/>
  <c r="I657" i="115" s="1"/>
  <c r="I658" i="115" s="1"/>
  <c r="I659" i="115" s="1"/>
  <c r="I660" i="115" s="1"/>
  <c r="I661" i="115" s="1"/>
  <c r="I662" i="115" s="1"/>
  <c r="I663" i="115" s="1"/>
  <c r="I665" i="115" s="1"/>
  <c r="I666" i="115" s="1"/>
  <c r="I667" i="115" s="1"/>
  <c r="I668" i="115" s="1"/>
  <c r="I669" i="115" s="1"/>
  <c r="I670" i="115" s="1"/>
  <c r="I671" i="115" s="1"/>
  <c r="I672" i="115" s="1"/>
  <c r="I673" i="115" s="1"/>
  <c r="I674" i="115" s="1"/>
  <c r="I675" i="115" s="1"/>
  <c r="I676" i="115" s="1"/>
  <c r="I677" i="115" s="1"/>
  <c r="I678" i="115" s="1"/>
  <c r="I679" i="115" s="1"/>
  <c r="I680" i="115" s="1"/>
  <c r="I681" i="115" s="1"/>
  <c r="I682" i="115" s="1"/>
  <c r="I683" i="115" s="1"/>
  <c r="I684" i="115" s="1"/>
  <c r="I685" i="115" s="1"/>
  <c r="I686" i="115" s="1"/>
  <c r="I687" i="115" s="1"/>
  <c r="I688" i="115" s="1"/>
  <c r="I689" i="115" s="1"/>
  <c r="I690" i="115" s="1"/>
  <c r="I691" i="115" s="1"/>
  <c r="I692" i="115" s="1"/>
  <c r="I693" i="115" s="1"/>
  <c r="I694" i="115" s="1"/>
  <c r="I695" i="115" s="1"/>
  <c r="I696" i="115" s="1"/>
  <c r="I697" i="115" s="1"/>
  <c r="I698" i="115" s="1"/>
  <c r="I699" i="115" s="1"/>
  <c r="I700" i="115" s="1"/>
  <c r="I701" i="115" s="1"/>
  <c r="I702" i="115" s="1"/>
  <c r="I703" i="115" s="1"/>
  <c r="I704" i="115" s="1"/>
  <c r="I705" i="115" s="1"/>
  <c r="I706" i="115" s="1"/>
  <c r="I707" i="115" s="1"/>
  <c r="I708" i="115" s="1"/>
  <c r="I709" i="115" s="1"/>
  <c r="I710" i="115" s="1"/>
  <c r="I711" i="115" s="1"/>
  <c r="I712" i="115" s="1"/>
  <c r="I713" i="115" s="1"/>
  <c r="I714" i="115" s="1"/>
  <c r="I715" i="115" s="1"/>
  <c r="I716" i="115" s="1"/>
  <c r="I718" i="115" s="1"/>
  <c r="I719" i="115" s="1"/>
  <c r="I720" i="115" s="1"/>
  <c r="I721" i="115" s="1"/>
  <c r="I722" i="115" s="1"/>
  <c r="I723" i="115" s="1"/>
  <c r="I724" i="115" s="1"/>
  <c r="I725" i="115" s="1"/>
  <c r="I726" i="115" s="1"/>
  <c r="I727" i="115" s="1"/>
  <c r="I728" i="115" s="1"/>
  <c r="I729" i="115" s="1"/>
  <c r="I730" i="115" s="1"/>
  <c r="I732" i="115" s="1"/>
  <c r="I733" i="115" s="1"/>
  <c r="I734" i="115" s="1"/>
  <c r="I735" i="115" s="1"/>
  <c r="I736" i="115" s="1"/>
  <c r="I737" i="115" s="1"/>
  <c r="I738" i="115" s="1"/>
  <c r="I739" i="115" s="1"/>
  <c r="I740" i="115" s="1"/>
  <c r="I741" i="115" s="1"/>
  <c r="I742" i="115" s="1"/>
  <c r="I743" i="115" s="1"/>
  <c r="I744" i="115" s="1"/>
  <c r="I745" i="115" s="1"/>
  <c r="I746" i="115" s="1"/>
  <c r="I747" i="115" s="1"/>
  <c r="I748" i="115" s="1"/>
  <c r="I749" i="115" s="1"/>
  <c r="I750" i="115" s="1"/>
  <c r="I751" i="115" s="1"/>
  <c r="I752" i="115" s="1"/>
  <c r="I753" i="115" s="1"/>
  <c r="I754" i="115" s="1"/>
  <c r="I755" i="115" s="1"/>
  <c r="I756" i="115" s="1"/>
  <c r="I757" i="115" s="1"/>
  <c r="I758" i="115" s="1"/>
  <c r="I759" i="115" s="1"/>
  <c r="I760" i="115" s="1"/>
  <c r="I761" i="115" s="1"/>
  <c r="I762" i="115" s="1"/>
  <c r="I763" i="115" s="1"/>
  <c r="I764" i="115" s="1"/>
  <c r="I765" i="115" s="1"/>
  <c r="I766" i="115" s="1"/>
  <c r="I767" i="115" s="1"/>
  <c r="I768" i="115" s="1"/>
  <c r="I769" i="115" s="1"/>
  <c r="I770" i="115" s="1"/>
  <c r="I771" i="115" s="1"/>
  <c r="I772" i="115" s="1"/>
  <c r="I773" i="115" s="1"/>
  <c r="I774" i="115" s="1"/>
  <c r="I775" i="115" s="1"/>
  <c r="I776" i="115" s="1"/>
  <c r="I777" i="115" s="1"/>
  <c r="I778" i="115" s="1"/>
  <c r="I779" i="115" s="1"/>
  <c r="I780" i="115" s="1"/>
  <c r="I781" i="115" s="1"/>
  <c r="I782" i="115" s="1"/>
  <c r="I783" i="115" s="1"/>
  <c r="I784" i="115" s="1"/>
  <c r="I785" i="115" s="1"/>
  <c r="I786" i="115" s="1"/>
  <c r="I787" i="115" s="1"/>
  <c r="I788" i="115" s="1"/>
  <c r="I789" i="115" s="1"/>
  <c r="I790" i="115" s="1"/>
  <c r="I791" i="115" s="1"/>
  <c r="I792" i="115" s="1"/>
  <c r="I793" i="115" s="1"/>
  <c r="I794" i="115" s="1"/>
  <c r="I795" i="115" s="1"/>
  <c r="I796" i="115" s="1"/>
  <c r="I797" i="115" s="1"/>
  <c r="I798" i="115" s="1"/>
  <c r="I799" i="115" s="1"/>
  <c r="I800" i="115" s="1"/>
  <c r="I801" i="115" s="1"/>
  <c r="I802" i="115" s="1"/>
  <c r="I803" i="115" s="1"/>
  <c r="I804" i="115" s="1"/>
  <c r="I805" i="115" s="1"/>
  <c r="I806" i="115" s="1"/>
  <c r="I807" i="115" s="1"/>
  <c r="I808" i="115" s="1"/>
  <c r="I809" i="115" s="1"/>
  <c r="I810" i="115" s="1"/>
  <c r="I811" i="115" s="1"/>
  <c r="I812" i="115" s="1"/>
  <c r="I813" i="115" s="1"/>
  <c r="I814" i="115" s="1"/>
  <c r="I815" i="115" s="1"/>
  <c r="I816" i="115" s="1"/>
  <c r="I817" i="115" s="1"/>
  <c r="I818" i="115" s="1"/>
  <c r="I819" i="115" s="1"/>
  <c r="I820" i="115" s="1"/>
  <c r="I821" i="115" s="1"/>
  <c r="I822" i="115" s="1"/>
  <c r="I823" i="115" s="1"/>
  <c r="I824" i="115" s="1"/>
  <c r="I825" i="115" s="1"/>
  <c r="I826" i="115" s="1"/>
  <c r="I827" i="115" s="1"/>
  <c r="I828" i="115" s="1"/>
  <c r="I829" i="115" s="1"/>
  <c r="I830" i="115" s="1"/>
  <c r="I831" i="115" s="1"/>
  <c r="I832" i="115" s="1"/>
  <c r="I833" i="115" s="1"/>
  <c r="I834" i="115" s="1"/>
  <c r="I835" i="115" s="1"/>
  <c r="I836" i="115" s="1"/>
  <c r="I837" i="115" s="1"/>
  <c r="I838" i="115" s="1"/>
  <c r="I839" i="115" s="1"/>
  <c r="I840" i="115" s="1"/>
  <c r="I841" i="115" s="1"/>
  <c r="I842" i="115" s="1"/>
  <c r="I843" i="115" s="1"/>
  <c r="I844" i="115" s="1"/>
  <c r="I845" i="115" s="1"/>
  <c r="I846" i="115" s="1"/>
  <c r="I847" i="115" s="1"/>
  <c r="I848" i="115" s="1"/>
  <c r="I849" i="115" s="1"/>
  <c r="I850" i="115" s="1"/>
  <c r="I851" i="115" s="1"/>
  <c r="I852" i="115" s="1"/>
  <c r="I853" i="115" s="1"/>
  <c r="I854" i="115" s="1"/>
  <c r="I855" i="115" s="1"/>
  <c r="I856" i="115" s="1"/>
  <c r="I857" i="115" s="1"/>
  <c r="I858" i="115" s="1"/>
  <c r="I859" i="115" s="1"/>
  <c r="I860" i="115" s="1"/>
  <c r="I861" i="115" s="1"/>
  <c r="I862" i="115" s="1"/>
  <c r="I863" i="115" s="1"/>
  <c r="I864" i="115" s="1"/>
  <c r="I865" i="115" s="1"/>
  <c r="I866" i="115" s="1"/>
  <c r="I867" i="115" s="1"/>
  <c r="I868" i="115" s="1"/>
  <c r="I869" i="115" s="1"/>
  <c r="I870" i="115" s="1"/>
  <c r="I871" i="115" s="1"/>
  <c r="I872" i="115" s="1"/>
  <c r="I873" i="115" s="1"/>
  <c r="I874" i="115" s="1"/>
  <c r="I875" i="115" s="1"/>
  <c r="I876" i="115" s="1"/>
  <c r="I877" i="115" s="1"/>
  <c r="I878" i="115" s="1"/>
  <c r="I879" i="115" s="1"/>
  <c r="I880" i="115" s="1"/>
  <c r="I881" i="115" s="1"/>
  <c r="I882" i="115" s="1"/>
  <c r="I883" i="115" s="1"/>
  <c r="I884" i="115" s="1"/>
  <c r="I885" i="115" s="1"/>
  <c r="I886" i="115" s="1"/>
  <c r="I887" i="115" s="1"/>
  <c r="I888" i="115" s="1"/>
  <c r="I889" i="115" s="1"/>
  <c r="I890" i="115" s="1"/>
  <c r="I891" i="115" s="1"/>
  <c r="I892" i="115" s="1"/>
  <c r="I893" i="115" s="1"/>
  <c r="I894" i="115" s="1"/>
  <c r="I895" i="115" s="1"/>
  <c r="I896" i="115" s="1"/>
  <c r="I897" i="115" s="1"/>
  <c r="I898" i="115" s="1"/>
  <c r="I899" i="115" s="1"/>
  <c r="I900" i="115" s="1"/>
  <c r="I901" i="115" s="1"/>
  <c r="I902" i="115" s="1"/>
  <c r="I903" i="115" s="1"/>
  <c r="I904" i="115" s="1"/>
  <c r="I905" i="115" s="1"/>
  <c r="I906" i="115" s="1"/>
  <c r="I907" i="115" s="1"/>
  <c r="I908" i="115" s="1"/>
  <c r="I909" i="115" s="1"/>
  <c r="I910" i="115" s="1"/>
  <c r="I911" i="115" s="1"/>
  <c r="I912" i="115" s="1"/>
  <c r="I913" i="115" s="1"/>
  <c r="I914" i="115" s="1"/>
  <c r="I915" i="115" s="1"/>
  <c r="I916" i="115" s="1"/>
  <c r="I917" i="115" s="1"/>
  <c r="I918" i="115" s="1"/>
  <c r="I919" i="115" s="1"/>
  <c r="L1" i="715"/>
  <c r="F8" i="715"/>
  <c r="F20" i="715" s="1"/>
  <c r="A10" i="715"/>
  <c r="A22" i="715" s="1"/>
  <c r="D13" i="715"/>
  <c r="D15" i="715" s="1"/>
  <c r="A32" i="715"/>
  <c r="B72" i="715"/>
  <c r="C72" i="715"/>
  <c r="D72" i="715"/>
  <c r="B78" i="715"/>
  <c r="C78" i="715"/>
  <c r="D78" i="715"/>
  <c r="L1" i="713"/>
  <c r="D9" i="713"/>
  <c r="D7" i="713" s="1"/>
  <c r="D8" i="715" s="1"/>
  <c r="D11" i="713"/>
  <c r="A17" i="713"/>
  <c r="A28" i="713" s="1"/>
  <c r="D19" i="713"/>
  <c r="A18" i="713"/>
  <c r="A29" i="713" s="1"/>
  <c r="A19" i="713"/>
  <c r="A30" i="713" s="1"/>
  <c r="D21" i="713"/>
  <c r="D29" i="713"/>
  <c r="A31" i="713"/>
  <c r="A32" i="713"/>
  <c r="A33" i="713"/>
  <c r="A34" i="713"/>
  <c r="A35" i="713"/>
  <c r="A36" i="713"/>
  <c r="D39" i="713"/>
  <c r="D40" i="713"/>
  <c r="D41" i="713"/>
  <c r="D52" i="713"/>
  <c r="D108" i="713"/>
  <c r="D53" i="713" s="1"/>
  <c r="A56" i="713"/>
  <c r="A57" i="713"/>
  <c r="A62" i="713"/>
  <c r="B102" i="713"/>
  <c r="C102" i="713"/>
  <c r="D102" i="713"/>
  <c r="B108" i="713"/>
  <c r="C108" i="713"/>
  <c r="L1" i="714"/>
  <c r="D8" i="714"/>
  <c r="D7" i="714" s="1"/>
  <c r="D20" i="715" s="1"/>
  <c r="D10" i="714"/>
  <c r="A12" i="714"/>
  <c r="A22" i="714" s="1"/>
  <c r="D13" i="714"/>
  <c r="D12" i="714" s="1"/>
  <c r="A13" i="714"/>
  <c r="A23" i="714" s="1"/>
  <c r="D15" i="714"/>
  <c r="D19" i="714" s="1"/>
  <c r="A24" i="714"/>
  <c r="A25" i="714"/>
  <c r="A26" i="714"/>
  <c r="A27" i="714"/>
  <c r="A28" i="714"/>
  <c r="A29" i="714"/>
  <c r="D32" i="714"/>
  <c r="D33" i="714"/>
  <c r="D34" i="714"/>
  <c r="D45" i="714"/>
  <c r="D101" i="714"/>
  <c r="D46" i="714" s="1"/>
  <c r="A49" i="714"/>
  <c r="A50" i="714"/>
  <c r="A55" i="714"/>
  <c r="B95" i="714"/>
  <c r="C95" i="714"/>
  <c r="D95" i="714"/>
  <c r="B101" i="714"/>
  <c r="C101" i="714"/>
  <c r="O1" i="711"/>
  <c r="G3" i="711"/>
  <c r="C8" i="711"/>
  <c r="D8" i="711"/>
  <c r="E8" i="711"/>
  <c r="F8" i="711"/>
  <c r="G8" i="711"/>
  <c r="H8" i="711"/>
  <c r="I8" i="711"/>
  <c r="J8" i="711"/>
  <c r="K8" i="711"/>
  <c r="L8" i="711"/>
  <c r="M8" i="711"/>
  <c r="N8" i="711"/>
  <c r="O8" i="711"/>
  <c r="A13" i="711"/>
  <c r="A19" i="711" s="1"/>
  <c r="A14" i="711"/>
  <c r="A20" i="711" s="1"/>
  <c r="A15" i="711"/>
  <c r="A21" i="711" s="1"/>
  <c r="G15" i="711"/>
  <c r="H15" i="711"/>
  <c r="I15" i="711"/>
  <c r="J15" i="711"/>
  <c r="K15" i="711"/>
  <c r="L15" i="711"/>
  <c r="M15" i="711"/>
  <c r="N15" i="711"/>
  <c r="O15" i="711"/>
  <c r="A16" i="711"/>
  <c r="A22" i="711" s="1"/>
  <c r="G16" i="711"/>
  <c r="H16" i="711"/>
  <c r="I16" i="711"/>
  <c r="J16" i="711"/>
  <c r="K16" i="711"/>
  <c r="L16" i="711"/>
  <c r="M16" i="711"/>
  <c r="N16" i="711"/>
  <c r="O16" i="711"/>
  <c r="G21" i="711"/>
  <c r="H21" i="711"/>
  <c r="I21" i="711"/>
  <c r="J21" i="711"/>
  <c r="K21" i="711"/>
  <c r="L21" i="711"/>
  <c r="M21" i="711"/>
  <c r="N21" i="711"/>
  <c r="O21" i="711"/>
  <c r="G22" i="711"/>
  <c r="H22" i="711"/>
  <c r="I22" i="711"/>
  <c r="J22" i="711"/>
  <c r="K22" i="711"/>
  <c r="L22" i="711"/>
  <c r="M22" i="711"/>
  <c r="N22" i="711"/>
  <c r="O22" i="711"/>
  <c r="U1" i="718"/>
  <c r="G3" i="718"/>
  <c r="K7" i="718"/>
  <c r="K13" i="718" s="1"/>
  <c r="L7" i="718"/>
  <c r="C11" i="719" s="1"/>
  <c r="M7" i="718"/>
  <c r="D11" i="719" s="1"/>
  <c r="N7" i="718"/>
  <c r="E11" i="719" s="1"/>
  <c r="O7" i="718"/>
  <c r="F11" i="719" s="1"/>
  <c r="P7" i="718"/>
  <c r="G11" i="719" s="1"/>
  <c r="Q7" i="718"/>
  <c r="H11" i="719" s="1"/>
  <c r="R7" i="718"/>
  <c r="I11" i="719" s="1"/>
  <c r="S7" i="718"/>
  <c r="J11" i="719" s="1"/>
  <c r="T7" i="718"/>
  <c r="K11" i="719" s="1"/>
  <c r="U7" i="718"/>
  <c r="L11" i="719" s="1"/>
  <c r="V7" i="718"/>
  <c r="M11" i="719" s="1"/>
  <c r="Q27" i="719" s="1"/>
  <c r="W7" i="718"/>
  <c r="N11" i="719" s="1"/>
  <c r="R11" i="719" s="1"/>
  <c r="R43" i="719" s="1"/>
  <c r="X7" i="718"/>
  <c r="O11" i="719" s="1"/>
  <c r="Y7" i="718"/>
  <c r="P11" i="719" s="1"/>
  <c r="Q43" i="719" s="1"/>
  <c r="K8" i="718"/>
  <c r="K14" i="718" s="1"/>
  <c r="L8" i="718"/>
  <c r="C12" i="719" s="1"/>
  <c r="M8" i="718"/>
  <c r="D12" i="719" s="1"/>
  <c r="N8" i="718"/>
  <c r="E12" i="719" s="1"/>
  <c r="O8" i="718"/>
  <c r="F12" i="719" s="1"/>
  <c r="P8" i="718"/>
  <c r="G12" i="719" s="1"/>
  <c r="Q8" i="718"/>
  <c r="H12" i="719" s="1"/>
  <c r="R8" i="718"/>
  <c r="I12" i="719" s="1"/>
  <c r="S8" i="718"/>
  <c r="J12" i="719" s="1"/>
  <c r="T8" i="718"/>
  <c r="K12" i="719" s="1"/>
  <c r="U8" i="718"/>
  <c r="L12" i="719" s="1"/>
  <c r="V8" i="718"/>
  <c r="M12" i="719" s="1"/>
  <c r="Q28" i="719" s="1"/>
  <c r="W8" i="718"/>
  <c r="N12" i="719" s="1"/>
  <c r="R12" i="719" s="1"/>
  <c r="R44" i="719" s="1"/>
  <c r="X8" i="718"/>
  <c r="O12" i="719" s="1"/>
  <c r="Y8" i="718"/>
  <c r="P12" i="719" s="1"/>
  <c r="Q44" i="719" s="1"/>
  <c r="M12" i="718"/>
  <c r="N12" i="718" s="1"/>
  <c r="O12" i="718" s="1"/>
  <c r="P12" i="718" s="1"/>
  <c r="Q12" i="718" s="1"/>
  <c r="R12" i="718" s="1"/>
  <c r="S12" i="718" s="1"/>
  <c r="T12" i="718" s="1"/>
  <c r="U12" i="718" s="1"/>
  <c r="V12" i="718" s="1"/>
  <c r="W12" i="718" s="1"/>
  <c r="X12" i="718" s="1"/>
  <c r="Y12" i="718" s="1"/>
  <c r="Z12" i="718" s="1"/>
  <c r="AA12" i="718" s="1"/>
  <c r="AB12" i="718" s="1"/>
  <c r="AC12" i="718" s="1"/>
  <c r="AD12" i="718" s="1"/>
  <c r="AE12" i="718" s="1"/>
  <c r="AF12" i="718" s="1"/>
  <c r="AG12" i="718" s="1"/>
  <c r="AH12" i="718" s="1"/>
  <c r="AI12" i="718" s="1"/>
  <c r="AJ12" i="718" s="1"/>
  <c r="AK12" i="718" s="1"/>
  <c r="AL12" i="718" s="1"/>
  <c r="AM12" i="718" s="1"/>
  <c r="AN12" i="718" s="1"/>
  <c r="AO12" i="718" s="1"/>
  <c r="AP12" i="718" s="1"/>
  <c r="AQ12" i="718" s="1"/>
  <c r="AR12" i="718" s="1"/>
  <c r="AS12" i="718" s="1"/>
  <c r="AT12" i="718" s="1"/>
  <c r="AU12" i="718" s="1"/>
  <c r="AV12" i="718" s="1"/>
  <c r="AW12" i="718" s="1"/>
  <c r="AX12" i="718" s="1"/>
  <c r="AY12" i="718" s="1"/>
  <c r="AZ12" i="718" s="1"/>
  <c r="BA12" i="718" s="1"/>
  <c r="BB12" i="718" s="1"/>
  <c r="BC12" i="718" s="1"/>
  <c r="BD12" i="718" s="1"/>
  <c r="U1" i="717"/>
  <c r="G3" i="717"/>
  <c r="G6" i="717"/>
  <c r="C9" i="719" s="1"/>
  <c r="H6" i="717"/>
  <c r="D9" i="719" s="1"/>
  <c r="I6" i="717"/>
  <c r="E9" i="719" s="1"/>
  <c r="J6" i="717"/>
  <c r="F9" i="719" s="1"/>
  <c r="K6" i="717"/>
  <c r="G9" i="719" s="1"/>
  <c r="L6" i="717"/>
  <c r="H9" i="719" s="1"/>
  <c r="M6" i="717"/>
  <c r="I9" i="719" s="1"/>
  <c r="N6" i="717"/>
  <c r="J9" i="719" s="1"/>
  <c r="O6" i="717"/>
  <c r="K9" i="719" s="1"/>
  <c r="P6" i="717"/>
  <c r="L9" i="719" s="1"/>
  <c r="Q6" i="717"/>
  <c r="M9" i="719" s="1"/>
  <c r="R6" i="717"/>
  <c r="N9" i="719" s="1"/>
  <c r="R9" i="719" s="1"/>
  <c r="S6" i="717"/>
  <c r="O9" i="719" s="1"/>
  <c r="T6" i="717"/>
  <c r="P9" i="719" s="1"/>
  <c r="U6" i="717"/>
  <c r="Q9" i="719" s="1"/>
  <c r="G7" i="717"/>
  <c r="C10" i="719" s="1"/>
  <c r="H7" i="717"/>
  <c r="D10" i="719" s="1"/>
  <c r="I7" i="717"/>
  <c r="E10" i="719" s="1"/>
  <c r="J7" i="717"/>
  <c r="F10" i="719" s="1"/>
  <c r="K7" i="717"/>
  <c r="G10" i="719" s="1"/>
  <c r="L7" i="717"/>
  <c r="H10" i="719" s="1"/>
  <c r="M7" i="717"/>
  <c r="I10" i="719" s="1"/>
  <c r="N7" i="717"/>
  <c r="J10" i="719" s="1"/>
  <c r="O7" i="717"/>
  <c r="K10" i="719" s="1"/>
  <c r="P7" i="717"/>
  <c r="L10" i="719" s="1"/>
  <c r="Q7" i="717"/>
  <c r="M10" i="719" s="1"/>
  <c r="R7" i="717"/>
  <c r="N10" i="719" s="1"/>
  <c r="R10" i="719" s="1"/>
  <c r="S7" i="717"/>
  <c r="O10" i="719" s="1"/>
  <c r="T7" i="717"/>
  <c r="P10" i="719" s="1"/>
  <c r="U7" i="717"/>
  <c r="Q10" i="719" s="1"/>
  <c r="H11" i="717"/>
  <c r="I11" i="717" s="1"/>
  <c r="J11" i="717" s="1"/>
  <c r="K11" i="717" s="1"/>
  <c r="L11" i="717" s="1"/>
  <c r="M11" i="717" s="1"/>
  <c r="N11" i="717" s="1"/>
  <c r="O11" i="717" s="1"/>
  <c r="P11" i="717" s="1"/>
  <c r="Q11" i="717" s="1"/>
  <c r="R11" i="717" s="1"/>
  <c r="S11" i="717" s="1"/>
  <c r="T11" i="717" s="1"/>
  <c r="U11" i="717" s="1"/>
  <c r="V11" i="717" s="1"/>
  <c r="W11" i="717" s="1"/>
  <c r="X11" i="717" s="1"/>
  <c r="Y11" i="717" s="1"/>
  <c r="Z11" i="717" s="1"/>
  <c r="AA11" i="717" s="1"/>
  <c r="AB11" i="717" s="1"/>
  <c r="AC11" i="717" s="1"/>
  <c r="AD11" i="717" s="1"/>
  <c r="AE11" i="717" s="1"/>
  <c r="AF11" i="717" s="1"/>
  <c r="AG11" i="717" s="1"/>
  <c r="AH11" i="717" s="1"/>
  <c r="AI11" i="717" s="1"/>
  <c r="AJ11" i="717" s="1"/>
  <c r="AK11" i="717" s="1"/>
  <c r="AL11" i="717" s="1"/>
  <c r="AM11" i="717" s="1"/>
  <c r="AN11" i="717" s="1"/>
  <c r="AO11" i="717" s="1"/>
  <c r="AP11" i="717" s="1"/>
  <c r="AQ11" i="717" s="1"/>
  <c r="AR11" i="717" s="1"/>
  <c r="AS11" i="717" s="1"/>
  <c r="AT11" i="717" s="1"/>
  <c r="AU11" i="717" s="1"/>
  <c r="AV11" i="717" s="1"/>
  <c r="AW11" i="717" s="1"/>
  <c r="AX11" i="717" s="1"/>
  <c r="AY11" i="717" s="1"/>
  <c r="G12" i="717"/>
  <c r="D7" i="716" s="1"/>
  <c r="H12" i="717"/>
  <c r="E7" i="716" s="1"/>
  <c r="I12" i="717"/>
  <c r="F7" i="716" s="1"/>
  <c r="J12" i="717"/>
  <c r="G7" i="716" s="1"/>
  <c r="K12" i="717"/>
  <c r="H7" i="716" s="1"/>
  <c r="L12" i="717"/>
  <c r="I7" i="716" s="1"/>
  <c r="M12" i="717"/>
  <c r="J7" i="716" s="1"/>
  <c r="N12" i="717"/>
  <c r="K7" i="716" s="1"/>
  <c r="O12" i="717"/>
  <c r="L7" i="716" s="1"/>
  <c r="P12" i="717"/>
  <c r="M7" i="716" s="1"/>
  <c r="Q12" i="717"/>
  <c r="N7" i="716" s="1"/>
  <c r="R12" i="717"/>
  <c r="O7" i="716" s="1"/>
  <c r="S12" i="717"/>
  <c r="P7" i="716" s="1"/>
  <c r="T12" i="717"/>
  <c r="Q7" i="716" s="1"/>
  <c r="U12" i="717"/>
  <c r="R7" i="716" s="1"/>
  <c r="V12" i="717"/>
  <c r="S7" i="716" s="1"/>
  <c r="W12" i="717"/>
  <c r="T7" i="716" s="1"/>
  <c r="X12" i="717"/>
  <c r="U7" i="716" s="1"/>
  <c r="Y12" i="717"/>
  <c r="V7" i="716" s="1"/>
  <c r="Z12" i="717"/>
  <c r="W7" i="716" s="1"/>
  <c r="AA12" i="717"/>
  <c r="X7" i="716" s="1"/>
  <c r="AB12" i="717"/>
  <c r="Y7" i="716" s="1"/>
  <c r="AC12" i="717"/>
  <c r="Z7" i="716" s="1"/>
  <c r="AD12" i="717"/>
  <c r="AA7" i="716" s="1"/>
  <c r="AE12" i="717"/>
  <c r="P36" i="716" s="1"/>
  <c r="AF12" i="717"/>
  <c r="Q36" i="716" s="1"/>
  <c r="AG12" i="717"/>
  <c r="R36" i="716" s="1"/>
  <c r="AH12" i="717"/>
  <c r="S36" i="716" s="1"/>
  <c r="AI12" i="717"/>
  <c r="T36" i="716" s="1"/>
  <c r="AJ12" i="717"/>
  <c r="U36" i="716" s="1"/>
  <c r="AK12" i="717"/>
  <c r="V36" i="716" s="1"/>
  <c r="AL12" i="717"/>
  <c r="W36" i="716" s="1"/>
  <c r="AM12" i="717"/>
  <c r="X36" i="716" s="1"/>
  <c r="AN12" i="717"/>
  <c r="Y36" i="716" s="1"/>
  <c r="AO12" i="717"/>
  <c r="Z36" i="716" s="1"/>
  <c r="AP12" i="717"/>
  <c r="AA36" i="716" s="1"/>
  <c r="AQ12" i="717"/>
  <c r="P65" i="716" s="1"/>
  <c r="AR12" i="717"/>
  <c r="Q65" i="716" s="1"/>
  <c r="AS12" i="717"/>
  <c r="R65" i="716" s="1"/>
  <c r="AT12" i="717"/>
  <c r="S65" i="716" s="1"/>
  <c r="AU12" i="717"/>
  <c r="T65" i="716" s="1"/>
  <c r="AV12" i="717"/>
  <c r="U65" i="716" s="1"/>
  <c r="AW12" i="717"/>
  <c r="V65" i="716" s="1"/>
  <c r="AX12" i="717"/>
  <c r="W65" i="716" s="1"/>
  <c r="AY12" i="717"/>
  <c r="X65" i="716" s="1"/>
  <c r="G13" i="717"/>
  <c r="D8" i="716" s="1"/>
  <c r="H13" i="717"/>
  <c r="E8" i="716" s="1"/>
  <c r="I13" i="717"/>
  <c r="F8" i="716" s="1"/>
  <c r="J13" i="717"/>
  <c r="G8" i="716" s="1"/>
  <c r="K13" i="717"/>
  <c r="H8" i="716" s="1"/>
  <c r="L13" i="717"/>
  <c r="I8" i="716" s="1"/>
  <c r="M13" i="717"/>
  <c r="J8" i="716" s="1"/>
  <c r="N13" i="717"/>
  <c r="K8" i="716" s="1"/>
  <c r="O13" i="717"/>
  <c r="L8" i="716" s="1"/>
  <c r="P13" i="717"/>
  <c r="M8" i="716" s="1"/>
  <c r="Q13" i="717"/>
  <c r="N8" i="716" s="1"/>
  <c r="R13" i="717"/>
  <c r="O8" i="716" s="1"/>
  <c r="S13" i="717"/>
  <c r="P8" i="716" s="1"/>
  <c r="T13" i="717"/>
  <c r="Q8" i="716" s="1"/>
  <c r="U13" i="717"/>
  <c r="R8" i="716" s="1"/>
  <c r="V13" i="717"/>
  <c r="S8" i="716" s="1"/>
  <c r="W13" i="717"/>
  <c r="T8" i="716" s="1"/>
  <c r="X13" i="717"/>
  <c r="U8" i="716" s="1"/>
  <c r="Y13" i="717"/>
  <c r="V8" i="716" s="1"/>
  <c r="Z13" i="717"/>
  <c r="W8" i="716" s="1"/>
  <c r="AA13" i="717"/>
  <c r="X8" i="716" s="1"/>
  <c r="AB13" i="717"/>
  <c r="Y8" i="716" s="1"/>
  <c r="AC13" i="717"/>
  <c r="Z8" i="716" s="1"/>
  <c r="AD13" i="717"/>
  <c r="AA8" i="716" s="1"/>
  <c r="AE13" i="717"/>
  <c r="P37" i="716" s="1"/>
  <c r="AF13" i="717"/>
  <c r="Q37" i="716" s="1"/>
  <c r="AG13" i="717"/>
  <c r="R37" i="716" s="1"/>
  <c r="AH13" i="717"/>
  <c r="S37" i="716" s="1"/>
  <c r="AI13" i="717"/>
  <c r="T37" i="716" s="1"/>
  <c r="AJ13" i="717"/>
  <c r="U37" i="716" s="1"/>
  <c r="AK13" i="717"/>
  <c r="V37" i="716" s="1"/>
  <c r="AL13" i="717"/>
  <c r="W37" i="716" s="1"/>
  <c r="AM13" i="717"/>
  <c r="X37" i="716" s="1"/>
  <c r="AN13" i="717"/>
  <c r="Y37" i="716" s="1"/>
  <c r="AO13" i="717"/>
  <c r="Z37" i="716" s="1"/>
  <c r="AP13" i="717"/>
  <c r="AA37" i="716" s="1"/>
  <c r="AQ13" i="717"/>
  <c r="P66" i="716" s="1"/>
  <c r="AR13" i="717"/>
  <c r="Q66" i="716" s="1"/>
  <c r="AS13" i="717"/>
  <c r="R66" i="716" s="1"/>
  <c r="AT13" i="717"/>
  <c r="S66" i="716" s="1"/>
  <c r="AU13" i="717"/>
  <c r="T66" i="716" s="1"/>
  <c r="AV13" i="717"/>
  <c r="U66" i="716" s="1"/>
  <c r="AW13" i="717"/>
  <c r="V66" i="716" s="1"/>
  <c r="AX13" i="717"/>
  <c r="W66" i="716" s="1"/>
  <c r="AY13" i="717"/>
  <c r="X66" i="716" s="1"/>
  <c r="AA1" i="716"/>
  <c r="G3" i="716"/>
  <c r="E5" i="716"/>
  <c r="F5" i="716" s="1"/>
  <c r="G5" i="716" s="1"/>
  <c r="H5" i="716" s="1"/>
  <c r="I5" i="716" s="1"/>
  <c r="J5" i="716" s="1"/>
  <c r="K5" i="716" s="1"/>
  <c r="L5" i="716" s="1"/>
  <c r="M5" i="716" s="1"/>
  <c r="N5" i="716" s="1"/>
  <c r="O5" i="716" s="1"/>
  <c r="P5" i="716" s="1"/>
  <c r="Q5" i="716" s="1"/>
  <c r="R5" i="716" s="1"/>
  <c r="S5" i="716" s="1"/>
  <c r="T5" i="716" s="1"/>
  <c r="U5" i="716" s="1"/>
  <c r="V5" i="716" s="1"/>
  <c r="W5" i="716" s="1"/>
  <c r="X5" i="716" s="1"/>
  <c r="Y5" i="716" s="1"/>
  <c r="Z5" i="716" s="1"/>
  <c r="AA5" i="716" s="1"/>
  <c r="P34" i="716" s="1"/>
  <c r="Q34" i="716" s="1"/>
  <c r="R34" i="716" s="1"/>
  <c r="S34" i="716" s="1"/>
  <c r="T34" i="716" s="1"/>
  <c r="U34" i="716" s="1"/>
  <c r="V34" i="716" s="1"/>
  <c r="W34" i="716" s="1"/>
  <c r="X34" i="716" s="1"/>
  <c r="Y34" i="716" s="1"/>
  <c r="Z34" i="716" s="1"/>
  <c r="AA34" i="716" s="1"/>
  <c r="P63" i="716" s="1"/>
  <c r="Q63" i="716" s="1"/>
  <c r="R63" i="716" s="1"/>
  <c r="S63" i="716" s="1"/>
  <c r="T63" i="716" s="1"/>
  <c r="U63" i="716" s="1"/>
  <c r="V63" i="716" s="1"/>
  <c r="W63" i="716" s="1"/>
  <c r="X63" i="716" s="1"/>
  <c r="D9" i="716"/>
  <c r="E9" i="716"/>
  <c r="F9" i="716"/>
  <c r="G9" i="716"/>
  <c r="H9" i="716"/>
  <c r="I9" i="716"/>
  <c r="J9" i="716"/>
  <c r="K9" i="716"/>
  <c r="L9" i="716"/>
  <c r="M9" i="716"/>
  <c r="N9" i="716"/>
  <c r="O9" i="716"/>
  <c r="P9" i="716"/>
  <c r="Q9" i="716"/>
  <c r="R9" i="716"/>
  <c r="S9" i="716"/>
  <c r="T9" i="716"/>
  <c r="U9" i="716"/>
  <c r="V9" i="716"/>
  <c r="W9" i="716"/>
  <c r="X9" i="716"/>
  <c r="Y9" i="716"/>
  <c r="Z9" i="716"/>
  <c r="AA9" i="716"/>
  <c r="D10" i="716"/>
  <c r="E10" i="716"/>
  <c r="F10" i="716"/>
  <c r="G10" i="716"/>
  <c r="H10" i="716"/>
  <c r="I10" i="716"/>
  <c r="J10" i="716"/>
  <c r="K10" i="716"/>
  <c r="L10" i="716"/>
  <c r="M10" i="716"/>
  <c r="N10" i="716"/>
  <c r="O10" i="716"/>
  <c r="P10" i="716"/>
  <c r="Q10" i="716"/>
  <c r="R10" i="716"/>
  <c r="S10" i="716"/>
  <c r="T10" i="716"/>
  <c r="U10" i="716"/>
  <c r="V10" i="716"/>
  <c r="W10" i="716"/>
  <c r="X10" i="716"/>
  <c r="Y10" i="716"/>
  <c r="Z10" i="716"/>
  <c r="AA10" i="716"/>
  <c r="A16" i="716"/>
  <c r="A25" i="716" s="1"/>
  <c r="A17" i="716"/>
  <c r="A26" i="716" s="1"/>
  <c r="A18" i="716"/>
  <c r="A27" i="716" s="1"/>
  <c r="A19" i="716"/>
  <c r="A28" i="716" s="1"/>
  <c r="A20" i="716"/>
  <c r="A29" i="716" s="1"/>
  <c r="P20" i="716"/>
  <c r="Q20" i="716"/>
  <c r="R20" i="716"/>
  <c r="S20" i="716"/>
  <c r="T20" i="716"/>
  <c r="U20" i="716"/>
  <c r="V20" i="716"/>
  <c r="W20" i="716"/>
  <c r="X20" i="716"/>
  <c r="Y20" i="716"/>
  <c r="Z20" i="716"/>
  <c r="AA20" i="716"/>
  <c r="A21" i="716"/>
  <c r="A30" i="716" s="1"/>
  <c r="P21" i="716"/>
  <c r="Q21" i="716"/>
  <c r="R21" i="716"/>
  <c r="S21" i="716"/>
  <c r="T21" i="716"/>
  <c r="U21" i="716"/>
  <c r="V21" i="716"/>
  <c r="W21" i="716"/>
  <c r="X21" i="716"/>
  <c r="Y21" i="716"/>
  <c r="Z21" i="716"/>
  <c r="AA21" i="716"/>
  <c r="A22" i="716"/>
  <c r="A31" i="716" s="1"/>
  <c r="P22" i="716"/>
  <c r="Q22" i="716"/>
  <c r="R22" i="716"/>
  <c r="S22" i="716"/>
  <c r="T22" i="716"/>
  <c r="U22" i="716"/>
  <c r="V22" i="716"/>
  <c r="W22" i="716"/>
  <c r="X22" i="716"/>
  <c r="Y22" i="716"/>
  <c r="Z22" i="716"/>
  <c r="AA22" i="716"/>
  <c r="P29" i="716"/>
  <c r="Q29" i="716"/>
  <c r="R29" i="716"/>
  <c r="S29" i="716"/>
  <c r="T29" i="716"/>
  <c r="U29" i="716"/>
  <c r="V29" i="716"/>
  <c r="W29" i="716"/>
  <c r="X29" i="716"/>
  <c r="Y29" i="716"/>
  <c r="Z29" i="716"/>
  <c r="AA29" i="716"/>
  <c r="P30" i="716"/>
  <c r="Q30" i="716"/>
  <c r="R30" i="716"/>
  <c r="S30" i="716"/>
  <c r="T30" i="716"/>
  <c r="U30" i="716"/>
  <c r="V30" i="716"/>
  <c r="W30" i="716"/>
  <c r="X30" i="716"/>
  <c r="Y30" i="716"/>
  <c r="Z30" i="716"/>
  <c r="AA30" i="716"/>
  <c r="P31" i="716"/>
  <c r="Q31" i="716"/>
  <c r="R31" i="716"/>
  <c r="S31" i="716"/>
  <c r="T31" i="716"/>
  <c r="U31" i="716"/>
  <c r="V31" i="716"/>
  <c r="W31" i="716"/>
  <c r="X31" i="716"/>
  <c r="Y31" i="716"/>
  <c r="Z31" i="716"/>
  <c r="AA31" i="716"/>
  <c r="P38" i="716"/>
  <c r="Q38" i="716"/>
  <c r="R38" i="716"/>
  <c r="S38" i="716"/>
  <c r="T38" i="716"/>
  <c r="U38" i="716"/>
  <c r="V38" i="716"/>
  <c r="W38" i="716"/>
  <c r="X38" i="716"/>
  <c r="Y38" i="716"/>
  <c r="Z38" i="716"/>
  <c r="AA38" i="716"/>
  <c r="P39" i="716"/>
  <c r="Q39" i="716"/>
  <c r="R39" i="716"/>
  <c r="S39" i="716"/>
  <c r="T39" i="716"/>
  <c r="U39" i="716"/>
  <c r="V39" i="716"/>
  <c r="W39" i="716"/>
  <c r="X39" i="716"/>
  <c r="Y39" i="716"/>
  <c r="Z39" i="716"/>
  <c r="AA39" i="716"/>
  <c r="A45" i="716"/>
  <c r="A54" i="716" s="1"/>
  <c r="A46" i="716"/>
  <c r="A55" i="716" s="1"/>
  <c r="A47" i="716"/>
  <c r="A56" i="716" s="1"/>
  <c r="A48" i="716"/>
  <c r="A57" i="716" s="1"/>
  <c r="A49" i="716"/>
  <c r="A58" i="716" s="1"/>
  <c r="P49" i="716"/>
  <c r="Q49" i="716"/>
  <c r="R49" i="716"/>
  <c r="S49" i="716"/>
  <c r="T49" i="716"/>
  <c r="U49" i="716"/>
  <c r="V49" i="716"/>
  <c r="W49" i="716"/>
  <c r="X49" i="716"/>
  <c r="Y49" i="716"/>
  <c r="Z49" i="716"/>
  <c r="AA49" i="716"/>
  <c r="A50" i="716"/>
  <c r="A59" i="716" s="1"/>
  <c r="P50" i="716"/>
  <c r="Q50" i="716"/>
  <c r="R50" i="716"/>
  <c r="S50" i="716"/>
  <c r="T50" i="716"/>
  <c r="U50" i="716"/>
  <c r="V50" i="716"/>
  <c r="W50" i="716"/>
  <c r="X50" i="716"/>
  <c r="Y50" i="716"/>
  <c r="Z50" i="716"/>
  <c r="AA50" i="716"/>
  <c r="A51" i="716"/>
  <c r="A60" i="716" s="1"/>
  <c r="P51" i="716"/>
  <c r="Q51" i="716"/>
  <c r="R51" i="716"/>
  <c r="S51" i="716"/>
  <c r="T51" i="716"/>
  <c r="U51" i="716"/>
  <c r="V51" i="716"/>
  <c r="W51" i="716"/>
  <c r="X51" i="716"/>
  <c r="Y51" i="716"/>
  <c r="Z51" i="716"/>
  <c r="AA51" i="716"/>
  <c r="P58" i="716"/>
  <c r="Q58" i="716"/>
  <c r="R58" i="716"/>
  <c r="S58" i="716"/>
  <c r="T58" i="716"/>
  <c r="U58" i="716"/>
  <c r="V58" i="716"/>
  <c r="W58" i="716"/>
  <c r="X58" i="716"/>
  <c r="Y58" i="716"/>
  <c r="Z58" i="716"/>
  <c r="AA58" i="716"/>
  <c r="P59" i="716"/>
  <c r="Q59" i="716"/>
  <c r="R59" i="716"/>
  <c r="S59" i="716"/>
  <c r="T59" i="716"/>
  <c r="U59" i="716"/>
  <c r="V59" i="716"/>
  <c r="W59" i="716"/>
  <c r="X59" i="716"/>
  <c r="Y59" i="716"/>
  <c r="Z59" i="716"/>
  <c r="AA59" i="716"/>
  <c r="P60" i="716"/>
  <c r="Q60" i="716"/>
  <c r="R60" i="716"/>
  <c r="S60" i="716"/>
  <c r="T60" i="716"/>
  <c r="U60" i="716"/>
  <c r="V60" i="716"/>
  <c r="W60" i="716"/>
  <c r="X60" i="716"/>
  <c r="Y60" i="716"/>
  <c r="Z60" i="716"/>
  <c r="AA60" i="716"/>
  <c r="P67" i="716"/>
  <c r="Q67" i="716"/>
  <c r="R67" i="716"/>
  <c r="S67" i="716"/>
  <c r="T67" i="716"/>
  <c r="U67" i="716"/>
  <c r="V67" i="716"/>
  <c r="W67" i="716"/>
  <c r="X67" i="716"/>
  <c r="P68" i="716"/>
  <c r="Q68" i="716"/>
  <c r="R68" i="716"/>
  <c r="S68" i="716"/>
  <c r="T68" i="716"/>
  <c r="U68" i="716"/>
  <c r="V68" i="716"/>
  <c r="W68" i="716"/>
  <c r="X68" i="716"/>
  <c r="A74" i="716"/>
  <c r="A83" i="716" s="1"/>
  <c r="A75" i="716"/>
  <c r="A84" i="716" s="1"/>
  <c r="A76" i="716"/>
  <c r="A85" i="716" s="1"/>
  <c r="A77" i="716"/>
  <c r="A86" i="716" s="1"/>
  <c r="A78" i="716"/>
  <c r="A87" i="716" s="1"/>
  <c r="P78" i="716"/>
  <c r="Q78" i="716"/>
  <c r="R78" i="716"/>
  <c r="S78" i="716"/>
  <c r="T78" i="716"/>
  <c r="U78" i="716"/>
  <c r="V78" i="716"/>
  <c r="W78" i="716"/>
  <c r="X78" i="716"/>
  <c r="A79" i="716"/>
  <c r="A88" i="716" s="1"/>
  <c r="P79" i="716"/>
  <c r="Q79" i="716"/>
  <c r="R79" i="716"/>
  <c r="S79" i="716"/>
  <c r="T79" i="716"/>
  <c r="U79" i="716"/>
  <c r="V79" i="716"/>
  <c r="W79" i="716"/>
  <c r="X79" i="716"/>
  <c r="A80" i="716"/>
  <c r="A89" i="716" s="1"/>
  <c r="P80" i="716"/>
  <c r="Q80" i="716"/>
  <c r="R80" i="716"/>
  <c r="S80" i="716"/>
  <c r="T80" i="716"/>
  <c r="U80" i="716"/>
  <c r="V80" i="716"/>
  <c r="W80" i="716"/>
  <c r="X80" i="716"/>
  <c r="P87" i="716"/>
  <c r="Q87" i="716"/>
  <c r="R87" i="716"/>
  <c r="S87" i="716"/>
  <c r="T87" i="716"/>
  <c r="U87" i="716"/>
  <c r="V87" i="716"/>
  <c r="W87" i="716"/>
  <c r="X87" i="716"/>
  <c r="P88" i="716"/>
  <c r="Q88" i="716"/>
  <c r="R88" i="716"/>
  <c r="S88" i="716"/>
  <c r="T88" i="716"/>
  <c r="U88" i="716"/>
  <c r="V88" i="716"/>
  <c r="W88" i="716"/>
  <c r="X88" i="716"/>
  <c r="P89" i="716"/>
  <c r="Q89" i="716"/>
  <c r="R89" i="716"/>
  <c r="S89" i="716"/>
  <c r="T89" i="716"/>
  <c r="U89" i="716"/>
  <c r="V89" i="716"/>
  <c r="W89" i="716"/>
  <c r="X89" i="716"/>
  <c r="G3" i="719"/>
  <c r="Q29" i="719"/>
  <c r="Q49" i="719"/>
  <c r="Q35" i="719"/>
  <c r="G29" i="719"/>
  <c r="H29" i="719"/>
  <c r="I29" i="719"/>
  <c r="J29" i="719"/>
  <c r="K29" i="719"/>
  <c r="L29" i="719"/>
  <c r="M29" i="719"/>
  <c r="N29" i="719"/>
  <c r="O29" i="719"/>
  <c r="P29" i="719"/>
  <c r="G30" i="719"/>
  <c r="H30" i="719"/>
  <c r="I30" i="719"/>
  <c r="J30" i="719"/>
  <c r="K30" i="719"/>
  <c r="L30" i="719"/>
  <c r="M30" i="719"/>
  <c r="N30" i="719"/>
  <c r="O30" i="719"/>
  <c r="P30" i="719"/>
  <c r="G31" i="719"/>
  <c r="H31" i="719"/>
  <c r="I31" i="719"/>
  <c r="J31" i="719"/>
  <c r="K31" i="719"/>
  <c r="L31" i="719"/>
  <c r="M31" i="719"/>
  <c r="N31" i="719"/>
  <c r="O31" i="719"/>
  <c r="P31" i="719"/>
  <c r="G32" i="719"/>
  <c r="H32" i="719"/>
  <c r="I32" i="719"/>
  <c r="J32" i="719"/>
  <c r="K32" i="719"/>
  <c r="L32" i="719"/>
  <c r="M32" i="719"/>
  <c r="N32" i="719"/>
  <c r="O32" i="719"/>
  <c r="P32" i="719"/>
  <c r="A33" i="719"/>
  <c r="A49" i="719" s="1"/>
  <c r="G33" i="719"/>
  <c r="H33" i="719"/>
  <c r="I33" i="719"/>
  <c r="J33" i="719"/>
  <c r="K33" i="719"/>
  <c r="L33" i="719"/>
  <c r="M33" i="719"/>
  <c r="N33" i="719"/>
  <c r="O33" i="719"/>
  <c r="P33" i="719"/>
  <c r="G34" i="719"/>
  <c r="H34" i="719"/>
  <c r="I34" i="719"/>
  <c r="J34" i="719"/>
  <c r="K34" i="719"/>
  <c r="L34" i="719"/>
  <c r="M34" i="719"/>
  <c r="N34" i="719"/>
  <c r="O34" i="719"/>
  <c r="P34" i="719"/>
  <c r="A35" i="719"/>
  <c r="A51" i="719" s="1"/>
  <c r="G35" i="719"/>
  <c r="H35" i="719"/>
  <c r="I35" i="719"/>
  <c r="J35" i="719"/>
  <c r="K35" i="719"/>
  <c r="L35" i="719"/>
  <c r="M35" i="719"/>
  <c r="N35" i="719"/>
  <c r="O35" i="719"/>
  <c r="P35" i="719"/>
  <c r="D45" i="719"/>
  <c r="E45" i="719"/>
  <c r="F45" i="719"/>
  <c r="G45" i="719"/>
  <c r="H45" i="719"/>
  <c r="I45" i="719"/>
  <c r="J45" i="719"/>
  <c r="K45" i="719"/>
  <c r="L45" i="719"/>
  <c r="M45" i="719"/>
  <c r="N45" i="719"/>
  <c r="O45" i="719"/>
  <c r="P45" i="719"/>
  <c r="D46" i="719"/>
  <c r="E46" i="719"/>
  <c r="F46" i="719"/>
  <c r="G46" i="719"/>
  <c r="H46" i="719"/>
  <c r="I46" i="719"/>
  <c r="J46" i="719"/>
  <c r="K46" i="719"/>
  <c r="L46" i="719"/>
  <c r="M46" i="719"/>
  <c r="N46" i="719"/>
  <c r="O46" i="719"/>
  <c r="P46" i="719"/>
  <c r="D47" i="719"/>
  <c r="E47" i="719"/>
  <c r="F47" i="719"/>
  <c r="G47" i="719"/>
  <c r="H47" i="719"/>
  <c r="I47" i="719"/>
  <c r="J47" i="719"/>
  <c r="K47" i="719"/>
  <c r="L47" i="719"/>
  <c r="M47" i="719"/>
  <c r="N47" i="719"/>
  <c r="O47" i="719"/>
  <c r="P47" i="719"/>
  <c r="D49" i="719"/>
  <c r="E49" i="719"/>
  <c r="F49" i="719"/>
  <c r="G49" i="719"/>
  <c r="H49" i="719"/>
  <c r="I49" i="719"/>
  <c r="J49" i="719"/>
  <c r="K49" i="719"/>
  <c r="L49" i="719"/>
  <c r="M49" i="719"/>
  <c r="N49" i="719"/>
  <c r="O49" i="719"/>
  <c r="P49" i="719"/>
  <c r="D50" i="719"/>
  <c r="E50" i="719"/>
  <c r="F50" i="719"/>
  <c r="G50" i="719"/>
  <c r="H50" i="719"/>
  <c r="I50" i="719"/>
  <c r="J50" i="719"/>
  <c r="K50" i="719"/>
  <c r="L50" i="719"/>
  <c r="M50" i="719"/>
  <c r="N50" i="719"/>
  <c r="O50" i="719"/>
  <c r="P50" i="719"/>
  <c r="D51" i="719"/>
  <c r="E51" i="719"/>
  <c r="F51" i="719"/>
  <c r="G51" i="719"/>
  <c r="H51" i="719"/>
  <c r="I51" i="719"/>
  <c r="J51" i="719"/>
  <c r="K51" i="719"/>
  <c r="L51" i="719"/>
  <c r="M51" i="719"/>
  <c r="N51" i="719"/>
  <c r="O51" i="719"/>
  <c r="P51" i="719"/>
  <c r="L1" i="710"/>
  <c r="G3" i="710"/>
  <c r="F7" i="710"/>
  <c r="J7" i="710" s="1"/>
  <c r="G7" i="710"/>
  <c r="K7" i="710" s="1"/>
  <c r="H7" i="710"/>
  <c r="L7" i="710" s="1"/>
  <c r="B8" i="710"/>
  <c r="B9" i="710" s="1"/>
  <c r="B17" i="710" s="1"/>
  <c r="B18" i="710" s="1"/>
  <c r="C8" i="710"/>
  <c r="C9" i="710" s="1"/>
  <c r="C17" i="710" s="1"/>
  <c r="C18" i="710" s="1"/>
  <c r="D8" i="710"/>
  <c r="D9" i="710" s="1"/>
  <c r="D17" i="710" s="1"/>
  <c r="D18" i="710" s="1"/>
  <c r="F8" i="710"/>
  <c r="G8" i="710"/>
  <c r="H8" i="710"/>
  <c r="F11" i="710"/>
  <c r="J11" i="710" s="1"/>
  <c r="G11" i="710"/>
  <c r="K11" i="710" s="1"/>
  <c r="H11" i="710"/>
  <c r="L11" i="710" s="1"/>
  <c r="F12" i="710"/>
  <c r="J12" i="710" s="1"/>
  <c r="G12" i="710"/>
  <c r="K12" i="710" s="1"/>
  <c r="H12" i="710"/>
  <c r="L12" i="710" s="1"/>
  <c r="F13" i="710"/>
  <c r="J13" i="710" s="1"/>
  <c r="G13" i="710"/>
  <c r="K13" i="710" s="1"/>
  <c r="H13" i="710"/>
  <c r="L13" i="710" s="1"/>
  <c r="F14" i="710"/>
  <c r="J14" i="710" s="1"/>
  <c r="G14" i="710"/>
  <c r="K14" i="710" s="1"/>
  <c r="H14" i="710"/>
  <c r="L14" i="710" s="1"/>
  <c r="F15" i="710"/>
  <c r="J15" i="710" s="1"/>
  <c r="G15" i="710"/>
  <c r="K15" i="710" s="1"/>
  <c r="H15" i="710"/>
  <c r="L15" i="710" s="1"/>
  <c r="J16" i="710"/>
  <c r="K16" i="710"/>
  <c r="L16" i="710"/>
  <c r="J30" i="710"/>
  <c r="K30" i="710"/>
  <c r="L30" i="710"/>
  <c r="V74" i="3"/>
  <c r="U74" i="3" s="1"/>
  <c r="G3" i="3"/>
  <c r="C4" i="3"/>
  <c r="B5" i="710" s="1"/>
  <c r="F5" i="710" s="1"/>
  <c r="J5" i="710" s="1"/>
  <c r="O73" i="3"/>
  <c r="O83" i="724" l="1"/>
  <c r="O83" i="723"/>
  <c r="AP163" i="1"/>
  <c r="AP158" i="1"/>
  <c r="O83" i="597"/>
  <c r="O83" i="598"/>
  <c r="O83" i="31"/>
  <c r="P158" i="1"/>
  <c r="S163" i="1"/>
  <c r="T163" i="1"/>
  <c r="O77" i="3"/>
  <c r="C87" i="31" s="1"/>
  <c r="C87" i="724" s="1"/>
  <c r="R42" i="719"/>
  <c r="R41" i="719"/>
  <c r="Q42" i="719"/>
  <c r="Q41" i="719"/>
  <c r="N130" i="115"/>
  <c r="AZ81" i="115"/>
  <c r="AJ81" i="115"/>
  <c r="AV81" i="115"/>
  <c r="W86" i="716"/>
  <c r="Z26" i="716"/>
  <c r="BT6" i="115"/>
  <c r="Q48" i="716"/>
  <c r="D50" i="714"/>
  <c r="P27" i="719"/>
  <c r="D129" i="115"/>
  <c r="S76" i="716"/>
  <c r="BF10" i="115"/>
  <c r="Q16" i="716"/>
  <c r="AI81" i="115"/>
  <c r="Z56" i="716"/>
  <c r="BL10" i="115"/>
  <c r="AM163" i="1"/>
  <c r="D39" i="714"/>
  <c r="BG7" i="115"/>
  <c r="AB158" i="1"/>
  <c r="AL158" i="1"/>
  <c r="AL163" i="1"/>
  <c r="AK158" i="1"/>
  <c r="AK163" i="1"/>
  <c r="P27" i="716"/>
  <c r="AN158" i="1"/>
  <c r="AN163" i="1"/>
  <c r="AO163" i="1"/>
  <c r="BJ7" i="115"/>
  <c r="AD158" i="1"/>
  <c r="AM158" i="1"/>
  <c r="AO158" i="1"/>
  <c r="P46" i="716"/>
  <c r="K43" i="719"/>
  <c r="N14" i="711"/>
  <c r="AY81" i="115"/>
  <c r="U25" i="716"/>
  <c r="J8" i="710"/>
  <c r="Q76" i="716"/>
  <c r="Y56" i="716"/>
  <c r="BI7" i="115"/>
  <c r="AU81" i="115"/>
  <c r="V19" i="716"/>
  <c r="AS88" i="115"/>
  <c r="M42" i="719"/>
  <c r="D32" i="713"/>
  <c r="D36" i="713" s="1"/>
  <c r="T75" i="716"/>
  <c r="F130" i="115"/>
  <c r="X74" i="716"/>
  <c r="AA48" i="716"/>
  <c r="W47" i="716"/>
  <c r="AA26" i="716"/>
  <c r="G27" i="719"/>
  <c r="E129" i="115"/>
  <c r="F43" i="719"/>
  <c r="D57" i="713"/>
  <c r="AK81" i="115"/>
  <c r="Q86" i="716"/>
  <c r="W48" i="716"/>
  <c r="D47" i="713"/>
  <c r="G26" i="719"/>
  <c r="J14" i="711"/>
  <c r="AZ88" i="115"/>
  <c r="BL7" i="115"/>
  <c r="H48" i="367"/>
  <c r="H51" i="367" s="1"/>
  <c r="Z46" i="716"/>
  <c r="U57" i="716"/>
  <c r="Q56" i="716"/>
  <c r="AA27" i="716"/>
  <c r="W18" i="716"/>
  <c r="Y46" i="716"/>
  <c r="F48" i="367"/>
  <c r="F51" i="367" s="1"/>
  <c r="F76" i="367" s="1"/>
  <c r="F77" i="367" s="1"/>
  <c r="Q28" i="716"/>
  <c r="Y27" i="716"/>
  <c r="I27" i="719"/>
  <c r="T85" i="716"/>
  <c r="L129" i="115"/>
  <c r="P28" i="719"/>
  <c r="H130" i="115"/>
  <c r="S85" i="716"/>
  <c r="D44" i="719"/>
  <c r="R16" i="716"/>
  <c r="G129" i="115"/>
  <c r="BE7" i="115"/>
  <c r="U28" i="716"/>
  <c r="P76" i="716"/>
  <c r="D42" i="719"/>
  <c r="S19" i="716"/>
  <c r="D31" i="714"/>
  <c r="D37" i="714" s="1"/>
  <c r="V18" i="716"/>
  <c r="D56" i="713"/>
  <c r="D46" i="713"/>
  <c r="X47" i="716"/>
  <c r="D38" i="714"/>
  <c r="D45" i="713"/>
  <c r="G14" i="711"/>
  <c r="Q130" i="115"/>
  <c r="T77" i="716"/>
  <c r="R45" i="716"/>
  <c r="Y18" i="716"/>
  <c r="Z48" i="716"/>
  <c r="V56" i="716"/>
  <c r="D40" i="714"/>
  <c r="O130" i="115"/>
  <c r="AU88" i="115"/>
  <c r="P75" i="716"/>
  <c r="H27" i="719"/>
  <c r="T18" i="716"/>
  <c r="X48" i="716"/>
  <c r="T56" i="716"/>
  <c r="AA28" i="716"/>
  <c r="S18" i="716"/>
  <c r="AH81" i="115"/>
  <c r="I48" i="367"/>
  <c r="I51" i="367" s="1"/>
  <c r="I83" i="367" s="1"/>
  <c r="I84" i="367" s="1"/>
  <c r="I87" i="367" s="1"/>
  <c r="S75" i="716"/>
  <c r="T74" i="716"/>
  <c r="O25" i="719"/>
  <c r="F9" i="710"/>
  <c r="F17" i="710" s="1"/>
  <c r="F18" i="710" s="1"/>
  <c r="U85" i="716"/>
  <c r="V48" i="716"/>
  <c r="R47" i="716"/>
  <c r="Y28" i="716"/>
  <c r="Q27" i="716"/>
  <c r="Q55" i="716"/>
  <c r="Y17" i="716"/>
  <c r="R74" i="716"/>
  <c r="T57" i="716"/>
  <c r="J129" i="115"/>
  <c r="BW6" i="115"/>
  <c r="P74" i="716"/>
  <c r="P57" i="716"/>
  <c r="P16" i="716"/>
  <c r="U77" i="716"/>
  <c r="S56" i="716"/>
  <c r="AA47" i="716"/>
  <c r="Y19" i="716"/>
  <c r="U18" i="716"/>
  <c r="Q18" i="716"/>
  <c r="Q129" i="115"/>
  <c r="AN81" i="115"/>
  <c r="R56" i="716"/>
  <c r="D25" i="714"/>
  <c r="D29" i="714" s="1"/>
  <c r="H28" i="719"/>
  <c r="U86" i="716"/>
  <c r="M14" i="711"/>
  <c r="AT88" i="115"/>
  <c r="AL81" i="115"/>
  <c r="T86" i="716"/>
  <c r="X45" i="716"/>
  <c r="L20" i="711"/>
  <c r="D16" i="715"/>
  <c r="D48" i="367"/>
  <c r="D51" i="367" s="1"/>
  <c r="D76" i="367" s="1"/>
  <c r="D77" i="367" s="1"/>
  <c r="N42" i="719"/>
  <c r="K130" i="115"/>
  <c r="AY88" i="115"/>
  <c r="D44" i="367"/>
  <c r="Y57" i="716"/>
  <c r="U56" i="716"/>
  <c r="T55" i="716"/>
  <c r="N20" i="711"/>
  <c r="H14" i="711"/>
  <c r="AW88" i="115"/>
  <c r="O43" i="719"/>
  <c r="W57" i="716"/>
  <c r="Z17" i="716"/>
  <c r="W16" i="716"/>
  <c r="D10" i="713"/>
  <c r="H129" i="115"/>
  <c r="J48" i="367"/>
  <c r="J51" i="367" s="1"/>
  <c r="J83" i="367" s="1"/>
  <c r="J84" i="367" s="1"/>
  <c r="J87" i="367" s="1"/>
  <c r="T76" i="716"/>
  <c r="BN10" i="115"/>
  <c r="P44" i="719"/>
  <c r="J27" i="719"/>
  <c r="P56" i="716"/>
  <c r="Z28" i="716"/>
  <c r="AA18" i="716"/>
  <c r="R19" i="716"/>
  <c r="Z18" i="716"/>
  <c r="Q25" i="719"/>
  <c r="V57" i="716"/>
  <c r="V28" i="716"/>
  <c r="BJ10" i="115"/>
  <c r="J38" i="367"/>
  <c r="J43" i="367" s="1"/>
  <c r="E43" i="367" s="1"/>
  <c r="N44" i="719"/>
  <c r="P19" i="716"/>
  <c r="V25" i="716"/>
  <c r="BI10" i="115"/>
  <c r="BM10" i="115"/>
  <c r="M44" i="719"/>
  <c r="P28" i="716"/>
  <c r="N43" i="719"/>
  <c r="M43" i="719"/>
  <c r="L25" i="719"/>
  <c r="L41" i="719"/>
  <c r="L27" i="719"/>
  <c r="L43" i="719"/>
  <c r="U84" i="716"/>
  <c r="H44" i="719"/>
  <c r="G44" i="719"/>
  <c r="P18" i="716"/>
  <c r="W77" i="716"/>
  <c r="Z57" i="716"/>
  <c r="S27" i="716"/>
  <c r="P25" i="716"/>
  <c r="U27" i="716"/>
  <c r="X19" i="716"/>
  <c r="Q51" i="719"/>
  <c r="F44" i="719"/>
  <c r="D43" i="719"/>
  <c r="V77" i="716"/>
  <c r="X57" i="716"/>
  <c r="U47" i="716"/>
  <c r="R27" i="716"/>
  <c r="Q19" i="716"/>
  <c r="U19" i="716"/>
  <c r="W17" i="716"/>
  <c r="D41" i="719"/>
  <c r="D9" i="714"/>
  <c r="D25" i="713"/>
  <c r="D38" i="713" s="1"/>
  <c r="D44" i="713" s="1"/>
  <c r="BM7" i="115"/>
  <c r="C44" i="367"/>
  <c r="R17" i="716"/>
  <c r="P26" i="719"/>
  <c r="K25" i="719"/>
  <c r="Q77" i="716"/>
  <c r="S86" i="716"/>
  <c r="S84" i="716"/>
  <c r="T47" i="716"/>
  <c r="R57" i="716"/>
  <c r="Z55" i="716"/>
  <c r="T28" i="716"/>
  <c r="X18" i="716"/>
  <c r="L14" i="711"/>
  <c r="O44" i="719"/>
  <c r="O26" i="719"/>
  <c r="F41" i="719"/>
  <c r="R86" i="716"/>
  <c r="R84" i="716"/>
  <c r="Q57" i="716"/>
  <c r="Y55" i="716"/>
  <c r="S28" i="716"/>
  <c r="D25" i="715"/>
  <c r="D26" i="715" s="1"/>
  <c r="K129" i="115"/>
  <c r="J42" i="367"/>
  <c r="Q75" i="716"/>
  <c r="X55" i="716"/>
  <c r="G130" i="115"/>
  <c r="H42" i="367"/>
  <c r="U76" i="716"/>
  <c r="L8" i="710"/>
  <c r="I44" i="719"/>
  <c r="N27" i="719"/>
  <c r="X85" i="716"/>
  <c r="Z47" i="716"/>
  <c r="X27" i="716"/>
  <c r="X25" i="716"/>
  <c r="O20" i="711"/>
  <c r="F42" i="367"/>
  <c r="K8" i="710"/>
  <c r="H26" i="719"/>
  <c r="W76" i="716"/>
  <c r="Y48" i="716"/>
  <c r="BR14" i="115"/>
  <c r="BR15" i="115" s="1"/>
  <c r="P77" i="716"/>
  <c r="X28" i="716"/>
  <c r="W25" i="716"/>
  <c r="E44" i="719"/>
  <c r="G42" i="719"/>
  <c r="P86" i="716"/>
  <c r="V85" i="716"/>
  <c r="X56" i="716"/>
  <c r="W28" i="716"/>
  <c r="Z19" i="716"/>
  <c r="V47" i="716"/>
  <c r="R18" i="716"/>
  <c r="AA17" i="716"/>
  <c r="P129" i="115"/>
  <c r="AS81" i="115"/>
  <c r="BY6" i="115"/>
  <c r="R48" i="716"/>
  <c r="O129" i="115"/>
  <c r="AX88" i="115"/>
  <c r="AU104" i="115"/>
  <c r="AU107" i="115" s="1"/>
  <c r="AU110" i="115" s="1"/>
  <c r="AU113" i="115" s="1"/>
  <c r="BC7" i="115"/>
  <c r="M129" i="115"/>
  <c r="AV88" i="115"/>
  <c r="AQ81" i="115"/>
  <c r="U16" i="716"/>
  <c r="L28" i="719"/>
  <c r="K28" i="719"/>
  <c r="R76" i="716"/>
  <c r="P48" i="716"/>
  <c r="T45" i="716"/>
  <c r="X46" i="716"/>
  <c r="M20" i="711"/>
  <c r="BN7" i="115"/>
  <c r="BR10" i="115"/>
  <c r="M28" i="719"/>
  <c r="O41" i="719"/>
  <c r="X86" i="716"/>
  <c r="W46" i="716"/>
  <c r="AM81" i="115"/>
  <c r="AQ92" i="115"/>
  <c r="AQ98" i="115" s="1"/>
  <c r="AQ101" i="115" s="1"/>
  <c r="P42" i="719"/>
  <c r="E43" i="719"/>
  <c r="M41" i="719"/>
  <c r="P83" i="716"/>
  <c r="X77" i="716"/>
  <c r="W75" i="716"/>
  <c r="Y47" i="716"/>
  <c r="U48" i="716"/>
  <c r="Q47" i="716"/>
  <c r="T27" i="716"/>
  <c r="AA19" i="716"/>
  <c r="W19" i="716"/>
  <c r="J20" i="711"/>
  <c r="D14" i="714"/>
  <c r="I130" i="115"/>
  <c r="V17" i="716"/>
  <c r="V26" i="716"/>
  <c r="W54" i="716"/>
  <c r="X54" i="716"/>
  <c r="W45" i="716"/>
  <c r="U26" i="716"/>
  <c r="U17" i="716"/>
  <c r="V54" i="716"/>
  <c r="V45" i="716"/>
  <c r="T26" i="716"/>
  <c r="T17" i="716"/>
  <c r="T46" i="716"/>
  <c r="U54" i="716"/>
  <c r="U45" i="716"/>
  <c r="S16" i="716"/>
  <c r="S25" i="716"/>
  <c r="E42" i="719"/>
  <c r="F42" i="719"/>
  <c r="E41" i="719"/>
  <c r="S17" i="716"/>
  <c r="S46" i="716"/>
  <c r="S26" i="716"/>
  <c r="V46" i="716"/>
  <c r="V55" i="716"/>
  <c r="W55" i="716"/>
  <c r="Q26" i="719"/>
  <c r="S45" i="716"/>
  <c r="S54" i="716"/>
  <c r="U46" i="716"/>
  <c r="U55" i="716"/>
  <c r="U75" i="716"/>
  <c r="Q46" i="716"/>
  <c r="Q26" i="716"/>
  <c r="Q17" i="716"/>
  <c r="V74" i="716"/>
  <c r="V83" i="716"/>
  <c r="W74" i="716"/>
  <c r="W83" i="716"/>
  <c r="X83" i="716"/>
  <c r="P25" i="719"/>
  <c r="P41" i="719"/>
  <c r="X75" i="716"/>
  <c r="X84" i="716"/>
  <c r="U83" i="716"/>
  <c r="U74" i="716"/>
  <c r="Q45" i="716"/>
  <c r="Q54" i="716"/>
  <c r="Y45" i="716"/>
  <c r="T16" i="716"/>
  <c r="Z16" i="716"/>
  <c r="Z25" i="716"/>
  <c r="Q83" i="716"/>
  <c r="Q74" i="716"/>
  <c r="Y25" i="716"/>
  <c r="Y16" i="716"/>
  <c r="K42" i="719"/>
  <c r="L42" i="719"/>
  <c r="K26" i="719"/>
  <c r="J41" i="719"/>
  <c r="K41" i="719"/>
  <c r="N25" i="719"/>
  <c r="J25" i="719"/>
  <c r="S74" i="716"/>
  <c r="S83" i="716"/>
  <c r="J42" i="719"/>
  <c r="J26" i="719"/>
  <c r="I25" i="719"/>
  <c r="I41" i="719"/>
  <c r="AA16" i="716"/>
  <c r="AA25" i="716"/>
  <c r="I42" i="719"/>
  <c r="I26" i="719"/>
  <c r="M26" i="719"/>
  <c r="H41" i="719"/>
  <c r="H25" i="719"/>
  <c r="N28" i="719"/>
  <c r="J44" i="719"/>
  <c r="K44" i="719"/>
  <c r="J28" i="719"/>
  <c r="V84" i="716"/>
  <c r="W84" i="716"/>
  <c r="V75" i="716"/>
  <c r="R55" i="716"/>
  <c r="R46" i="716"/>
  <c r="J43" i="719"/>
  <c r="H42" i="719"/>
  <c r="W85" i="716"/>
  <c r="Q84" i="716"/>
  <c r="S77" i="716"/>
  <c r="T54" i="716"/>
  <c r="T48" i="716"/>
  <c r="P47" i="716"/>
  <c r="R28" i="716"/>
  <c r="AA45" i="716"/>
  <c r="Z45" i="716"/>
  <c r="M25" i="719"/>
  <c r="T84" i="716"/>
  <c r="H9" i="710"/>
  <c r="G9" i="710"/>
  <c r="L44" i="719"/>
  <c r="I43" i="719"/>
  <c r="I28" i="719"/>
  <c r="N26" i="719"/>
  <c r="P84" i="716"/>
  <c r="R77" i="716"/>
  <c r="AA46" i="716"/>
  <c r="S48" i="716"/>
  <c r="Y26" i="716"/>
  <c r="T25" i="716"/>
  <c r="T19" i="716"/>
  <c r="X16" i="716"/>
  <c r="D23" i="714"/>
  <c r="H43" i="719"/>
  <c r="R54" i="716"/>
  <c r="X26" i="716"/>
  <c r="G43" i="719"/>
  <c r="G28" i="719"/>
  <c r="L26" i="719"/>
  <c r="G25" i="719"/>
  <c r="AA56" i="716"/>
  <c r="W26" i="716"/>
  <c r="V16" i="716"/>
  <c r="D22" i="714"/>
  <c r="Q33" i="719"/>
  <c r="O27" i="719"/>
  <c r="R85" i="716"/>
  <c r="X76" i="716"/>
  <c r="R75" i="716"/>
  <c r="Z27" i="716"/>
  <c r="X17" i="716"/>
  <c r="R25" i="716"/>
  <c r="K20" i="711"/>
  <c r="O14" i="711"/>
  <c r="Q85" i="716"/>
  <c r="P54" i="716"/>
  <c r="R26" i="716"/>
  <c r="Q25" i="716"/>
  <c r="D49" i="714"/>
  <c r="P17" i="716"/>
  <c r="M27" i="719"/>
  <c r="V86" i="716"/>
  <c r="P85" i="716"/>
  <c r="T83" i="716"/>
  <c r="V76" i="716"/>
  <c r="AA57" i="716"/>
  <c r="W56" i="716"/>
  <c r="P55" i="716"/>
  <c r="P45" i="716"/>
  <c r="V27" i="716"/>
  <c r="W27" i="716"/>
  <c r="H20" i="711"/>
  <c r="M121" i="115"/>
  <c r="L133" i="115"/>
  <c r="N41" i="719"/>
  <c r="P26" i="716"/>
  <c r="G20" i="711"/>
  <c r="O42" i="719"/>
  <c r="K27" i="719"/>
  <c r="R83" i="716"/>
  <c r="AA54" i="716"/>
  <c r="S55" i="716"/>
  <c r="K14" i="711"/>
  <c r="P43" i="719"/>
  <c r="Z54" i="716"/>
  <c r="I14" i="711"/>
  <c r="I20" i="711"/>
  <c r="O28" i="719"/>
  <c r="Y54" i="716"/>
  <c r="D30" i="713"/>
  <c r="D17" i="713"/>
  <c r="D28" i="713" s="1"/>
  <c r="S57" i="716"/>
  <c r="AA55" i="716"/>
  <c r="S47" i="716"/>
  <c r="G41" i="719"/>
  <c r="N129" i="115"/>
  <c r="L130" i="115"/>
  <c r="AR81" i="115"/>
  <c r="AT81" i="115"/>
  <c r="AP81" i="115"/>
  <c r="BK10" i="115"/>
  <c r="BX6" i="115"/>
  <c r="BK7" i="115"/>
  <c r="AO81" i="115"/>
  <c r="P130" i="115"/>
  <c r="I129" i="115"/>
  <c r="BG10" i="115"/>
  <c r="M130" i="115"/>
  <c r="F129" i="115"/>
  <c r="BR7" i="115"/>
  <c r="BF7" i="115"/>
  <c r="J130" i="115"/>
  <c r="BU6" i="115"/>
  <c r="BH10" i="115"/>
  <c r="C129" i="115"/>
  <c r="BV6" i="115"/>
  <c r="AX81" i="115"/>
  <c r="AW81" i="115"/>
  <c r="BH7" i="115"/>
  <c r="BD7" i="115"/>
  <c r="H38" i="367"/>
  <c r="H43" i="367" s="1"/>
  <c r="W7" i="3"/>
  <c r="H35" i="3"/>
  <c r="I35" i="3" s="1"/>
  <c r="J35" i="3" s="1"/>
  <c r="K35" i="3" s="1"/>
  <c r="L35" i="3" s="1"/>
  <c r="M35" i="3" s="1"/>
  <c r="N35" i="3" s="1"/>
  <c r="O35" i="3" s="1"/>
  <c r="P35" i="3" s="1"/>
  <c r="D38" i="3"/>
  <c r="E38" i="3" s="1"/>
  <c r="F38" i="3" s="1"/>
  <c r="G38" i="3" s="1"/>
  <c r="L46" i="3"/>
  <c r="M46" i="3" s="1"/>
  <c r="N46" i="3" s="1"/>
  <c r="O46" i="3" s="1"/>
  <c r="C76" i="3"/>
  <c r="P76" i="3"/>
  <c r="D86" i="31" s="1"/>
  <c r="D86" i="724" s="1"/>
  <c r="P79" i="3"/>
  <c r="C1" i="708"/>
  <c r="H1" i="712"/>
  <c r="G26" i="712"/>
  <c r="C42" i="712"/>
  <c r="G42" i="712"/>
  <c r="G46" i="712"/>
  <c r="G43" i="712" s="1"/>
  <c r="G44" i="712"/>
  <c r="H44" i="712"/>
  <c r="G45" i="712"/>
  <c r="H45" i="712"/>
  <c r="H46" i="712"/>
  <c r="D8" i="1"/>
  <c r="H9" i="1" s="1"/>
  <c r="AA8" i="1"/>
  <c r="K8" i="1"/>
  <c r="AC8" i="1"/>
  <c r="N8" i="1"/>
  <c r="N151" i="1" s="1"/>
  <c r="AE8" i="1"/>
  <c r="Y8" i="1"/>
  <c r="Y117" i="1" s="1"/>
  <c r="L9" i="1"/>
  <c r="P9" i="1"/>
  <c r="T10" i="1" s="1"/>
  <c r="Z9" i="1"/>
  <c r="AB9" i="1"/>
  <c r="AD9" i="1"/>
  <c r="AK9" i="1"/>
  <c r="AL9" i="1"/>
  <c r="AM9" i="1"/>
  <c r="AN9" i="1"/>
  <c r="AO9" i="1"/>
  <c r="Y14" i="1"/>
  <c r="AA14" i="1"/>
  <c r="AC14" i="1"/>
  <c r="AE14" i="1"/>
  <c r="AG24" i="1" s="1"/>
  <c r="AA15" i="1"/>
  <c r="AC15" i="1"/>
  <c r="AE15" i="1"/>
  <c r="AG25" i="1" s="1"/>
  <c r="Z16" i="1"/>
  <c r="Z17" i="1" s="1"/>
  <c r="AB16" i="1"/>
  <c r="AN16" i="1"/>
  <c r="AD16" i="1"/>
  <c r="AF26" i="1" s="1"/>
  <c r="AE17" i="1"/>
  <c r="AE30" i="1" s="1"/>
  <c r="AL17" i="1"/>
  <c r="AO16" i="1"/>
  <c r="AP26" i="1" s="1"/>
  <c r="D17" i="1"/>
  <c r="D37" i="1" s="1"/>
  <c r="K17" i="1"/>
  <c r="K37" i="1" s="1"/>
  <c r="AC17" i="1"/>
  <c r="N17" i="1"/>
  <c r="X17" i="1"/>
  <c r="X21" i="1" s="1"/>
  <c r="Y37" i="1"/>
  <c r="D33" i="2" s="1"/>
  <c r="AJ17" i="1"/>
  <c r="AK17" i="1"/>
  <c r="L18" i="1"/>
  <c r="L27" i="1" s="1"/>
  <c r="P18" i="1"/>
  <c r="AD18" i="1"/>
  <c r="AO18" i="1"/>
  <c r="H21" i="1"/>
  <c r="J21" i="1"/>
  <c r="L21" i="1"/>
  <c r="P21" i="1"/>
  <c r="R21" i="1"/>
  <c r="AB21" i="1"/>
  <c r="F54" i="367" s="1"/>
  <c r="F55" i="367" s="1"/>
  <c r="AD21" i="1"/>
  <c r="AN21" i="1"/>
  <c r="J12" i="720" s="1"/>
  <c r="AO21" i="1"/>
  <c r="K12" i="720" s="1"/>
  <c r="Z24" i="1"/>
  <c r="AB24" i="1"/>
  <c r="AD24" i="1"/>
  <c r="AM24" i="1"/>
  <c r="AN24" i="1"/>
  <c r="AO24" i="1"/>
  <c r="H37" i="1"/>
  <c r="J37" i="1"/>
  <c r="L37" i="1"/>
  <c r="B9" i="722" s="1"/>
  <c r="D9" i="722" s="1"/>
  <c r="AN37" i="1"/>
  <c r="AN38" i="1" s="1"/>
  <c r="AC38" i="1" s="1"/>
  <c r="AD37" i="1"/>
  <c r="AD39" i="1" s="1"/>
  <c r="P37" i="1"/>
  <c r="H9" i="722" s="1"/>
  <c r="AO37" i="1"/>
  <c r="AO39" i="1" s="1"/>
  <c r="R37" i="1"/>
  <c r="S37" i="1" s="1"/>
  <c r="Y38" i="1"/>
  <c r="AA38" i="1"/>
  <c r="AE38" i="1"/>
  <c r="X39" i="1"/>
  <c r="C40" i="2" s="1"/>
  <c r="C111" i="2" s="1"/>
  <c r="Z39" i="1"/>
  <c r="Z52" i="1" s="1"/>
  <c r="AJ39" i="1"/>
  <c r="AJ52" i="1" s="1"/>
  <c r="AK39" i="1"/>
  <c r="R40" i="2" s="1"/>
  <c r="R111" i="2" s="1"/>
  <c r="AL39" i="1"/>
  <c r="I79" i="367" s="1"/>
  <c r="AM39" i="1"/>
  <c r="J79" i="367" s="1"/>
  <c r="AN40" i="1"/>
  <c r="AN81" i="1" s="1"/>
  <c r="AN81" i="29" s="1"/>
  <c r="Y42" i="1"/>
  <c r="D66" i="2" s="1"/>
  <c r="AA42" i="1"/>
  <c r="F66" i="2" s="1"/>
  <c r="AC42" i="1"/>
  <c r="H66" i="2" s="1"/>
  <c r="AE42" i="1"/>
  <c r="J66" i="2" s="1"/>
  <c r="L75" i="2" s="1"/>
  <c r="Y43" i="1"/>
  <c r="Y60" i="1" s="1"/>
  <c r="AA43" i="1"/>
  <c r="AA60" i="1" s="1"/>
  <c r="AC43" i="1"/>
  <c r="AC60" i="1" s="1"/>
  <c r="AE43" i="1"/>
  <c r="AE60" i="1" s="1"/>
  <c r="Y45" i="1"/>
  <c r="AA45" i="1"/>
  <c r="AC45" i="1"/>
  <c r="H61" i="2" s="1"/>
  <c r="AE45" i="1"/>
  <c r="J61" i="2" s="1"/>
  <c r="L70" i="2" s="1"/>
  <c r="Y46" i="1"/>
  <c r="AA46" i="1"/>
  <c r="AC46" i="1"/>
  <c r="H62" i="2" s="1"/>
  <c r="AE46" i="1"/>
  <c r="Y47" i="1"/>
  <c r="D63" i="2" s="1"/>
  <c r="AA47" i="1"/>
  <c r="F63" i="2" s="1"/>
  <c r="AN47" i="1"/>
  <c r="AD47" i="1"/>
  <c r="I63" i="2" s="1"/>
  <c r="AO47" i="1"/>
  <c r="W8" i="720" s="1"/>
  <c r="W10" i="720" s="1"/>
  <c r="W12" i="720" s="1"/>
  <c r="Y48" i="1"/>
  <c r="AA48" i="1"/>
  <c r="F50" i="2" s="1"/>
  <c r="AC48" i="1"/>
  <c r="AE48" i="1"/>
  <c r="Y49" i="1"/>
  <c r="AA49" i="1"/>
  <c r="AC49" i="1"/>
  <c r="AE49" i="1"/>
  <c r="AE50" i="1"/>
  <c r="Y51" i="1"/>
  <c r="Y59" i="1" s="1"/>
  <c r="AA51" i="1"/>
  <c r="AA59" i="1" s="1"/>
  <c r="AC51" i="1"/>
  <c r="AC59" i="1" s="1"/>
  <c r="AE51" i="1"/>
  <c r="AE59" i="1" s="1"/>
  <c r="Y54" i="1"/>
  <c r="AA54" i="1"/>
  <c r="AE54" i="1"/>
  <c r="A58" i="1"/>
  <c r="A59" i="1"/>
  <c r="X59" i="1"/>
  <c r="Z59" i="1"/>
  <c r="AB59" i="1"/>
  <c r="AD59" i="1"/>
  <c r="AJ59" i="1"/>
  <c r="AK59" i="1"/>
  <c r="AL59" i="1"/>
  <c r="AM59" i="1"/>
  <c r="AN59" i="1"/>
  <c r="AO59" i="1"/>
  <c r="A60" i="1"/>
  <c r="X60" i="1"/>
  <c r="Z60" i="1"/>
  <c r="AB60" i="1"/>
  <c r="AD60" i="1"/>
  <c r="AJ60" i="1"/>
  <c r="AK60" i="1"/>
  <c r="AL60" i="1"/>
  <c r="AM60" i="1"/>
  <c r="AN60" i="1"/>
  <c r="AO60" i="1"/>
  <c r="AA76" i="1"/>
  <c r="AA62" i="1" s="1"/>
  <c r="F113" i="2" s="1"/>
  <c r="AC62" i="1"/>
  <c r="AE62" i="1"/>
  <c r="Z63" i="1"/>
  <c r="AC63" i="1"/>
  <c r="AE63" i="1"/>
  <c r="Y67" i="1"/>
  <c r="D108" i="2" s="1"/>
  <c r="AA67" i="1"/>
  <c r="F108" i="2" s="1"/>
  <c r="AC64" i="1"/>
  <c r="AE64" i="1"/>
  <c r="O67" i="1"/>
  <c r="AC67" i="1"/>
  <c r="H108" i="2" s="1"/>
  <c r="R68" i="1"/>
  <c r="Z68" i="1"/>
  <c r="AB68" i="1"/>
  <c r="AD68" i="1"/>
  <c r="AK68" i="1"/>
  <c r="AL68" i="1"/>
  <c r="AM68" i="1"/>
  <c r="AN68" i="1"/>
  <c r="R69" i="1"/>
  <c r="AB69" i="1"/>
  <c r="AD69" i="1"/>
  <c r="AN69" i="1"/>
  <c r="X76" i="1"/>
  <c r="Y76" i="1" s="1"/>
  <c r="AB76" i="1"/>
  <c r="AB77" i="1" s="1"/>
  <c r="AB78" i="1" s="1"/>
  <c r="AD76" i="1"/>
  <c r="AD77" i="1" s="1"/>
  <c r="AD78" i="1" s="1"/>
  <c r="AL77" i="1"/>
  <c r="I89" i="367" s="1"/>
  <c r="Z77" i="1"/>
  <c r="E114" i="2" s="1"/>
  <c r="AJ77" i="1"/>
  <c r="Q114" i="2" s="1"/>
  <c r="AK77" i="1"/>
  <c r="H89" i="367" s="1"/>
  <c r="AM77" i="1"/>
  <c r="T114" i="2" s="1"/>
  <c r="AN77" i="1"/>
  <c r="AN78" i="1" s="1"/>
  <c r="AL80" i="1"/>
  <c r="AL80" i="29" s="1"/>
  <c r="AJ80" i="1"/>
  <c r="AJ80" i="29" s="1"/>
  <c r="AK80" i="1"/>
  <c r="AK80" i="29" s="1"/>
  <c r="AL81" i="1"/>
  <c r="AL81" i="29" s="1"/>
  <c r="AJ81" i="1"/>
  <c r="AJ81" i="29" s="1"/>
  <c r="AK81" i="1"/>
  <c r="AK81" i="29" s="1"/>
  <c r="A90" i="1"/>
  <c r="AM90" i="1"/>
  <c r="AN90" i="1"/>
  <c r="AO90" i="1"/>
  <c r="AL96" i="1"/>
  <c r="AL97" i="1" s="1"/>
  <c r="G96" i="1"/>
  <c r="AA96" i="1"/>
  <c r="AB97" i="1" s="1"/>
  <c r="K96" i="1"/>
  <c r="L97" i="1" s="1"/>
  <c r="N96" i="1"/>
  <c r="N98" i="1" s="1"/>
  <c r="O96" i="1"/>
  <c r="Q96" i="1"/>
  <c r="AE96" i="1"/>
  <c r="AG98" i="1" s="1"/>
  <c r="Z97" i="1"/>
  <c r="AK97" i="1"/>
  <c r="L98" i="1"/>
  <c r="L99" i="1" s="1"/>
  <c r="P98" i="1"/>
  <c r="T99" i="1" s="1"/>
  <c r="AB98" i="1"/>
  <c r="AD98" i="1"/>
  <c r="AF99" i="1" s="1"/>
  <c r="AK98" i="1"/>
  <c r="D101" i="1"/>
  <c r="X101" i="1"/>
  <c r="Y101" i="1" s="1"/>
  <c r="AA101" i="1"/>
  <c r="AA101" i="29" s="1"/>
  <c r="F9" i="30" s="1"/>
  <c r="AC101" i="1"/>
  <c r="AC101" i="29" s="1"/>
  <c r="H9" i="30" s="1"/>
  <c r="AJ101" i="1"/>
  <c r="Q9" i="2" s="1"/>
  <c r="L102" i="1"/>
  <c r="L103" i="1" s="1"/>
  <c r="AB102" i="1"/>
  <c r="AL102" i="1"/>
  <c r="AL103" i="1" s="1"/>
  <c r="AM102" i="1"/>
  <c r="AN102" i="1"/>
  <c r="D106" i="1"/>
  <c r="X106" i="1"/>
  <c r="C106" i="2" s="1"/>
  <c r="AA106" i="1"/>
  <c r="I106" i="1" s="1"/>
  <c r="I106" i="29" s="1"/>
  <c r="J106" i="1"/>
  <c r="J106" i="29" s="1"/>
  <c r="L105" i="1"/>
  <c r="AC106" i="1"/>
  <c r="AB105" i="1"/>
  <c r="G10" i="2" s="1"/>
  <c r="AN105" i="1"/>
  <c r="U10" i="2" s="1"/>
  <c r="AD106" i="1"/>
  <c r="I11" i="2" s="1"/>
  <c r="P106" i="1"/>
  <c r="R106" i="1"/>
  <c r="R106" i="29" s="1"/>
  <c r="L107" i="1"/>
  <c r="L108" i="1" s="1"/>
  <c r="AB107" i="1"/>
  <c r="AB108" i="1" s="1"/>
  <c r="AK107" i="1"/>
  <c r="AL107" i="1"/>
  <c r="AM107" i="1"/>
  <c r="AN107" i="1"/>
  <c r="L111" i="1"/>
  <c r="N111" i="1"/>
  <c r="P111" i="1"/>
  <c r="T112" i="1" s="1"/>
  <c r="R111" i="1"/>
  <c r="AB111" i="1"/>
  <c r="AD111" i="1"/>
  <c r="AF112" i="1" s="1"/>
  <c r="AK111" i="1"/>
  <c r="AL111" i="1"/>
  <c r="AM111" i="1"/>
  <c r="AN111" i="1"/>
  <c r="AO111" i="1"/>
  <c r="AP112" i="1" s="1"/>
  <c r="H116" i="1"/>
  <c r="J116" i="1"/>
  <c r="L116" i="1"/>
  <c r="P116" i="1"/>
  <c r="R116" i="1"/>
  <c r="AB116" i="1"/>
  <c r="AD116" i="1"/>
  <c r="AJ116" i="1"/>
  <c r="AK116" i="1"/>
  <c r="AM116" i="1"/>
  <c r="AO116" i="1"/>
  <c r="AC117" i="1"/>
  <c r="AE117" i="1"/>
  <c r="AC118" i="1"/>
  <c r="AE118" i="1"/>
  <c r="G121" i="1"/>
  <c r="Z121" i="1" s="1"/>
  <c r="J121" i="1"/>
  <c r="N126" i="1" s="1"/>
  <c r="AB121" i="1"/>
  <c r="AD121" i="1"/>
  <c r="Z122" i="1"/>
  <c r="AB122" i="1"/>
  <c r="AD122" i="1"/>
  <c r="Z123" i="1"/>
  <c r="AB123" i="1"/>
  <c r="AD123" i="1"/>
  <c r="A126" i="1"/>
  <c r="AB126" i="1"/>
  <c r="AD126" i="1"/>
  <c r="A127" i="1"/>
  <c r="N127" i="1"/>
  <c r="AB127" i="1"/>
  <c r="AD127" i="1"/>
  <c r="A128" i="1"/>
  <c r="K128" i="1"/>
  <c r="AB128" i="1" s="1"/>
  <c r="N128" i="1"/>
  <c r="O128" i="1"/>
  <c r="AD128" i="1" s="1"/>
  <c r="R130" i="1"/>
  <c r="R140" i="1" s="1"/>
  <c r="G131" i="1"/>
  <c r="Z131" i="1" s="1"/>
  <c r="J131" i="1"/>
  <c r="N136" i="1" s="1"/>
  <c r="AB131" i="1"/>
  <c r="AD131" i="1"/>
  <c r="Z132" i="1"/>
  <c r="AB132" i="1"/>
  <c r="AD132" i="1"/>
  <c r="Z133" i="1"/>
  <c r="AB133" i="1"/>
  <c r="AD133" i="1"/>
  <c r="A136" i="1"/>
  <c r="R136" i="1"/>
  <c r="AB136" i="1"/>
  <c r="AD136" i="1"/>
  <c r="A137" i="1"/>
  <c r="N137" i="1"/>
  <c r="R137" i="1"/>
  <c r="AB137" i="1"/>
  <c r="AD137" i="1"/>
  <c r="A138" i="1"/>
  <c r="K138" i="1"/>
  <c r="AB138" i="1" s="1"/>
  <c r="N138" i="1"/>
  <c r="O138" i="1"/>
  <c r="AD138" i="1" s="1"/>
  <c r="R138" i="1"/>
  <c r="AF138" i="1" s="1"/>
  <c r="Z141" i="1"/>
  <c r="AB141" i="1"/>
  <c r="G142" i="1"/>
  <c r="Z142" i="1" s="1"/>
  <c r="J142" i="1"/>
  <c r="N147" i="1" s="1"/>
  <c r="AB142" i="1"/>
  <c r="Z143" i="1"/>
  <c r="AB143" i="1"/>
  <c r="A146" i="1"/>
  <c r="N146" i="1"/>
  <c r="R146" i="1"/>
  <c r="AB146" i="1"/>
  <c r="AD146" i="1"/>
  <c r="A147" i="1"/>
  <c r="R147" i="1"/>
  <c r="AB147" i="1"/>
  <c r="AD147" i="1"/>
  <c r="A148" i="1"/>
  <c r="K148" i="1"/>
  <c r="AB148" i="1" s="1"/>
  <c r="N148" i="1"/>
  <c r="O148" i="1"/>
  <c r="AD148" i="1" s="1"/>
  <c r="R148" i="1"/>
  <c r="E172" i="1"/>
  <c r="G172" i="1"/>
  <c r="K172" i="1"/>
  <c r="AC172" i="1"/>
  <c r="M172" i="1" s="1"/>
  <c r="O172" i="1"/>
  <c r="AE172" i="1"/>
  <c r="Q172" i="1" s="1"/>
  <c r="AM172" i="1"/>
  <c r="AM214" i="1" s="1"/>
  <c r="T157" i="2" s="1"/>
  <c r="F46" i="3" s="1"/>
  <c r="E173" i="1"/>
  <c r="G173" i="1"/>
  <c r="K173" i="1"/>
  <c r="AC173" i="1"/>
  <c r="M173" i="1" s="1"/>
  <c r="O173" i="1"/>
  <c r="AE173" i="1"/>
  <c r="Q173" i="1" s="1"/>
  <c r="AM173" i="1"/>
  <c r="E174" i="1"/>
  <c r="G174" i="1"/>
  <c r="K174" i="1"/>
  <c r="AC174" i="1"/>
  <c r="M174" i="1" s="1"/>
  <c r="O174" i="1"/>
  <c r="AE174" i="1"/>
  <c r="Q174" i="1" s="1"/>
  <c r="AM174" i="1"/>
  <c r="E175" i="1"/>
  <c r="G175" i="1"/>
  <c r="K175" i="1"/>
  <c r="AC175" i="1"/>
  <c r="M175" i="1" s="1"/>
  <c r="O175" i="1"/>
  <c r="AE175" i="1"/>
  <c r="Q175" i="1" s="1"/>
  <c r="AM175" i="1"/>
  <c r="E176" i="1"/>
  <c r="G176" i="1"/>
  <c r="K176" i="1"/>
  <c r="AC176" i="1"/>
  <c r="M176" i="1" s="1"/>
  <c r="O176" i="1"/>
  <c r="AE176" i="1"/>
  <c r="Q176" i="1" s="1"/>
  <c r="AM176" i="1"/>
  <c r="E177" i="1"/>
  <c r="G177" i="1"/>
  <c r="K177" i="1"/>
  <c r="AC177" i="1"/>
  <c r="M177" i="1" s="1"/>
  <c r="O177" i="1"/>
  <c r="AE177" i="1"/>
  <c r="Q177" i="1" s="1"/>
  <c r="AM177" i="1"/>
  <c r="AL178" i="1"/>
  <c r="E178" i="1" s="1"/>
  <c r="Z178" i="1"/>
  <c r="I178" i="1"/>
  <c r="AB178" i="1"/>
  <c r="K178" i="1" s="1"/>
  <c r="AN178" i="1"/>
  <c r="AC178" i="1" s="1"/>
  <c r="M178" i="1" s="1"/>
  <c r="AD178" i="1"/>
  <c r="O178" i="1" s="1"/>
  <c r="AO178" i="1"/>
  <c r="AE178" i="1" s="1"/>
  <c r="Q178" i="1" s="1"/>
  <c r="Y178" i="1"/>
  <c r="AA178" i="1"/>
  <c r="AJ178" i="1"/>
  <c r="AK178" i="1"/>
  <c r="E181" i="1"/>
  <c r="G181" i="1"/>
  <c r="K181" i="1"/>
  <c r="AC181" i="1"/>
  <c r="M181" i="1" s="1"/>
  <c r="O181" i="1"/>
  <c r="AE181" i="1"/>
  <c r="Q181" i="1" s="1"/>
  <c r="E182" i="1"/>
  <c r="G182" i="1"/>
  <c r="K182" i="1"/>
  <c r="AC182" i="1"/>
  <c r="M182" i="1" s="1"/>
  <c r="O182" i="1"/>
  <c r="AE182" i="1"/>
  <c r="Q182" i="1" s="1"/>
  <c r="AL183" i="1"/>
  <c r="E183" i="1" s="1"/>
  <c r="Z183" i="1"/>
  <c r="G183" i="1" s="1"/>
  <c r="I183" i="1"/>
  <c r="AB183" i="1"/>
  <c r="AN183" i="1"/>
  <c r="AC183" i="1" s="1"/>
  <c r="M183" i="1" s="1"/>
  <c r="AD183" i="1"/>
  <c r="O183" i="1" s="1"/>
  <c r="AO183" i="1"/>
  <c r="AE183" i="1" s="1"/>
  <c r="Q183" i="1" s="1"/>
  <c r="Y183" i="1"/>
  <c r="AA183" i="1"/>
  <c r="AJ183" i="1"/>
  <c r="AK183" i="1"/>
  <c r="AM183" i="1"/>
  <c r="E188" i="1"/>
  <c r="G188" i="1"/>
  <c r="I188" i="1"/>
  <c r="K188" i="1"/>
  <c r="AC188" i="1"/>
  <c r="M188" i="1" s="1"/>
  <c r="O188" i="1"/>
  <c r="AE188" i="1"/>
  <c r="Q188" i="1" s="1"/>
  <c r="AA188" i="1"/>
  <c r="E189" i="1"/>
  <c r="G189" i="1"/>
  <c r="I189" i="1"/>
  <c r="K189" i="1"/>
  <c r="AC189" i="1"/>
  <c r="M189" i="1" s="1"/>
  <c r="O189" i="1"/>
  <c r="AE189" i="1"/>
  <c r="Q189" i="1" s="1"/>
  <c r="AA189" i="1"/>
  <c r="E190" i="1"/>
  <c r="G190" i="1"/>
  <c r="I190" i="1"/>
  <c r="K190" i="1"/>
  <c r="AC190" i="1"/>
  <c r="M190" i="1" s="1"/>
  <c r="O190" i="1"/>
  <c r="AE190" i="1"/>
  <c r="Q190" i="1" s="1"/>
  <c r="AA190" i="1"/>
  <c r="E191" i="1"/>
  <c r="G191" i="1"/>
  <c r="I191" i="1"/>
  <c r="K191" i="1"/>
  <c r="AC191" i="1"/>
  <c r="M191" i="1" s="1"/>
  <c r="O191" i="1"/>
  <c r="AE191" i="1"/>
  <c r="Q191" i="1" s="1"/>
  <c r="AA191" i="1"/>
  <c r="AL192" i="1"/>
  <c r="E192" i="1" s="1"/>
  <c r="G192" i="1"/>
  <c r="I192" i="1"/>
  <c r="K192" i="1"/>
  <c r="AC192" i="1"/>
  <c r="M192" i="1" s="1"/>
  <c r="O192" i="1"/>
  <c r="AE192" i="1"/>
  <c r="Q192" i="1" s="1"/>
  <c r="AA192" i="1"/>
  <c r="I193" i="1"/>
  <c r="K193" i="1"/>
  <c r="AC193" i="1"/>
  <c r="M193" i="1" s="1"/>
  <c r="O193" i="1"/>
  <c r="AE193" i="1"/>
  <c r="Q193" i="1" s="1"/>
  <c r="AA193" i="1"/>
  <c r="AL194" i="1"/>
  <c r="E194" i="1" s="1"/>
  <c r="G194" i="1"/>
  <c r="I194" i="1"/>
  <c r="K194" i="1"/>
  <c r="AC194" i="1"/>
  <c r="M194" i="1" s="1"/>
  <c r="O194" i="1"/>
  <c r="AE194" i="1"/>
  <c r="Q194" i="1" s="1"/>
  <c r="AA194" i="1"/>
  <c r="Z195" i="1"/>
  <c r="G195" i="1" s="1"/>
  <c r="AB195" i="1"/>
  <c r="K195" i="1" s="1"/>
  <c r="AN195" i="1"/>
  <c r="AC195" i="1" s="1"/>
  <c r="M195" i="1" s="1"/>
  <c r="AD195" i="1"/>
  <c r="O195" i="1" s="1"/>
  <c r="AO195" i="1"/>
  <c r="AE195" i="1" s="1"/>
  <c r="Q195" i="1" s="1"/>
  <c r="Y195" i="1"/>
  <c r="AJ195" i="1"/>
  <c r="AK195" i="1"/>
  <c r="AM195" i="1"/>
  <c r="E198" i="1"/>
  <c r="G198" i="1"/>
  <c r="I198" i="1"/>
  <c r="K198" i="1"/>
  <c r="AC198" i="1"/>
  <c r="M198" i="1" s="1"/>
  <c r="O198" i="1"/>
  <c r="AE198" i="1"/>
  <c r="Q198" i="1" s="1"/>
  <c r="I199" i="1"/>
  <c r="K199" i="1"/>
  <c r="AC199" i="1"/>
  <c r="M199" i="1" s="1"/>
  <c r="O199" i="1"/>
  <c r="AE199" i="1"/>
  <c r="Q199" i="1" s="1"/>
  <c r="E200" i="1"/>
  <c r="G200" i="1"/>
  <c r="I200" i="1"/>
  <c r="K200" i="1"/>
  <c r="AC200" i="1"/>
  <c r="M200" i="1" s="1"/>
  <c r="O200" i="1"/>
  <c r="AE200" i="1"/>
  <c r="Q200" i="1" s="1"/>
  <c r="AL201" i="1"/>
  <c r="E201" i="1" s="1"/>
  <c r="G201" i="1"/>
  <c r="I201" i="1"/>
  <c r="K201" i="1"/>
  <c r="AC201" i="1"/>
  <c r="M201" i="1" s="1"/>
  <c r="O201" i="1"/>
  <c r="AE201" i="1"/>
  <c r="Q201" i="1" s="1"/>
  <c r="Z202" i="1"/>
  <c r="AB202" i="1"/>
  <c r="AN202" i="1"/>
  <c r="AC202" i="1" s="1"/>
  <c r="M202" i="1" s="1"/>
  <c r="AD202" i="1"/>
  <c r="AO202" i="1"/>
  <c r="AE202" i="1" s="1"/>
  <c r="Q202" i="1" s="1"/>
  <c r="Y202" i="1"/>
  <c r="AA202" i="1"/>
  <c r="AJ202" i="1"/>
  <c r="AK202" i="1"/>
  <c r="AM202" i="1"/>
  <c r="AL208" i="1"/>
  <c r="G208" i="1"/>
  <c r="K208" i="1"/>
  <c r="AC208" i="1"/>
  <c r="M208" i="1" s="1"/>
  <c r="AD208" i="1"/>
  <c r="O208" i="1" s="1"/>
  <c r="AE208" i="1"/>
  <c r="Q208" i="1" s="1"/>
  <c r="E209" i="1"/>
  <c r="G209" i="1"/>
  <c r="K209" i="1"/>
  <c r="AN209" i="1"/>
  <c r="AC209" i="1" s="1"/>
  <c r="M209" i="1" s="1"/>
  <c r="AD209" i="1"/>
  <c r="O209" i="1" s="1"/>
  <c r="AE209" i="1"/>
  <c r="Q209" i="1" s="1"/>
  <c r="K210" i="1"/>
  <c r="AC210" i="1"/>
  <c r="M210" i="1" s="1"/>
  <c r="O210" i="1"/>
  <c r="AE210" i="1"/>
  <c r="Q210" i="1" s="1"/>
  <c r="E211" i="1"/>
  <c r="G211" i="1"/>
  <c r="K211" i="1"/>
  <c r="AC211" i="1"/>
  <c r="M211" i="1" s="1"/>
  <c r="O211" i="1"/>
  <c r="AE211" i="1"/>
  <c r="Q211" i="1" s="1"/>
  <c r="Z212" i="1"/>
  <c r="G212" i="1" s="1"/>
  <c r="I212" i="1"/>
  <c r="AB212" i="1"/>
  <c r="K212" i="1" s="1"/>
  <c r="AO212" i="1"/>
  <c r="AE212" i="1" s="1"/>
  <c r="Q212" i="1" s="1"/>
  <c r="Y212" i="1"/>
  <c r="AA212" i="1"/>
  <c r="AJ212" i="1"/>
  <c r="AK212" i="1"/>
  <c r="AM212" i="1"/>
  <c r="AL214" i="1"/>
  <c r="E214" i="1" s="1"/>
  <c r="Z214" i="1"/>
  <c r="G214" i="1" s="1"/>
  <c r="I214" i="1"/>
  <c r="AB214" i="1"/>
  <c r="K214" i="1" s="1"/>
  <c r="AN214" i="1"/>
  <c r="AC214" i="1" s="1"/>
  <c r="M214" i="1" s="1"/>
  <c r="AD214" i="1"/>
  <c r="O214" i="1" s="1"/>
  <c r="Y214" i="1"/>
  <c r="D157" i="2" s="1"/>
  <c r="AA214" i="1"/>
  <c r="F157" i="2" s="1"/>
  <c r="AJ214" i="1"/>
  <c r="Q157" i="2" s="1"/>
  <c r="C46" i="3" s="1"/>
  <c r="AK214" i="1"/>
  <c r="R157" i="2" s="1"/>
  <c r="D46" i="3" s="1"/>
  <c r="AO214" i="1"/>
  <c r="AA219" i="1"/>
  <c r="AC219" i="1"/>
  <c r="AE219" i="1"/>
  <c r="AA220" i="1"/>
  <c r="AC220" i="1"/>
  <c r="AE220" i="1"/>
  <c r="X221" i="1"/>
  <c r="Z221" i="1"/>
  <c r="Z228" i="1" s="1"/>
  <c r="E151" i="2" s="1"/>
  <c r="AB221" i="1"/>
  <c r="AB228" i="1" s="1"/>
  <c r="G151" i="2" s="1"/>
  <c r="AN221" i="1"/>
  <c r="AN228" i="1" s="1"/>
  <c r="U151" i="2" s="1"/>
  <c r="AD221" i="1"/>
  <c r="AO221" i="1"/>
  <c r="AO228" i="1" s="1"/>
  <c r="AM221" i="1"/>
  <c r="AA223" i="1"/>
  <c r="AC223" i="1"/>
  <c r="AE223" i="1"/>
  <c r="AA224" i="1"/>
  <c r="AC224" i="1"/>
  <c r="AE224" i="1"/>
  <c r="AA225" i="1"/>
  <c r="AC225" i="1"/>
  <c r="AE225" i="1"/>
  <c r="AA226" i="1"/>
  <c r="AC226" i="1"/>
  <c r="AE226" i="1"/>
  <c r="AA227" i="1"/>
  <c r="AC227" i="1"/>
  <c r="AE227" i="1"/>
  <c r="X232" i="1"/>
  <c r="Y232" i="1" s="1"/>
  <c r="Z232" i="1"/>
  <c r="AA232" i="1" s="1"/>
  <c r="AC231" i="1"/>
  <c r="AE231" i="1"/>
  <c r="AE232" i="1" s="1"/>
  <c r="J120" i="2" s="1"/>
  <c r="AL231" i="1"/>
  <c r="AM231" i="1"/>
  <c r="AB232" i="1"/>
  <c r="G120" i="2" s="1"/>
  <c r="G141" i="2" s="1"/>
  <c r="AN232" i="1"/>
  <c r="U120" i="2" s="1"/>
  <c r="AD232" i="1"/>
  <c r="I120" i="2" s="1"/>
  <c r="I141" i="2" s="1"/>
  <c r="AO232" i="1"/>
  <c r="Y235" i="1"/>
  <c r="AA235" i="1"/>
  <c r="AC235" i="1"/>
  <c r="AE235" i="1"/>
  <c r="AA236" i="1"/>
  <c r="AC236" i="1"/>
  <c r="H155" i="2" s="1"/>
  <c r="AE236" i="1"/>
  <c r="AA237" i="1"/>
  <c r="AC237" i="1"/>
  <c r="AE237" i="1"/>
  <c r="AE238" i="1"/>
  <c r="AA239" i="1"/>
  <c r="AC239" i="1"/>
  <c r="H154" i="2" s="1"/>
  <c r="AE239" i="1"/>
  <c r="J154" i="2" s="1"/>
  <c r="X240" i="1"/>
  <c r="Z240" i="1"/>
  <c r="AB240" i="1"/>
  <c r="AN240" i="1"/>
  <c r="AD240" i="1"/>
  <c r="AO240" i="1"/>
  <c r="AM240" i="1"/>
  <c r="AM242" i="1" s="1"/>
  <c r="AM243" i="1" s="1"/>
  <c r="AL245" i="1" s="1"/>
  <c r="AN243" i="1"/>
  <c r="AC244" i="1"/>
  <c r="AE244" i="1"/>
  <c r="Q4" i="2"/>
  <c r="A9" i="2"/>
  <c r="A16" i="2" s="1"/>
  <c r="E9" i="2"/>
  <c r="T9" i="2"/>
  <c r="G9" i="2"/>
  <c r="U9" i="2"/>
  <c r="R9" i="2"/>
  <c r="S9" i="2"/>
  <c r="A10" i="2"/>
  <c r="C10" i="2"/>
  <c r="E10" i="2"/>
  <c r="U11" i="2"/>
  <c r="G11" i="2"/>
  <c r="F24" i="367" s="1"/>
  <c r="Q10" i="2"/>
  <c r="R10" i="2"/>
  <c r="S10" i="2"/>
  <c r="T10" i="2"/>
  <c r="A11" i="2"/>
  <c r="A17" i="2" s="1"/>
  <c r="E11" i="2"/>
  <c r="D24" i="367" s="1"/>
  <c r="Q11" i="2"/>
  <c r="R11" i="2"/>
  <c r="S11" i="2"/>
  <c r="I24" i="367" s="1"/>
  <c r="T11" i="2"/>
  <c r="J24" i="367" s="1"/>
  <c r="E12" i="2"/>
  <c r="G12" i="2"/>
  <c r="U12" i="2"/>
  <c r="I12" i="2"/>
  <c r="K18" i="2" s="1"/>
  <c r="Q12" i="2"/>
  <c r="R12" i="2"/>
  <c r="H19" i="367" s="1"/>
  <c r="S12" i="2"/>
  <c r="I19" i="367" s="1"/>
  <c r="T12" i="2"/>
  <c r="J19" i="367" s="1"/>
  <c r="V12" i="2"/>
  <c r="W18" i="2" s="1"/>
  <c r="C27" i="2"/>
  <c r="C13" i="2" s="1"/>
  <c r="E27" i="2"/>
  <c r="E13" i="2" s="1"/>
  <c r="G27" i="2"/>
  <c r="U27" i="2"/>
  <c r="I27" i="2"/>
  <c r="Q27" i="2"/>
  <c r="R27" i="2"/>
  <c r="R13" i="2" s="1"/>
  <c r="S27" i="2"/>
  <c r="T27" i="2"/>
  <c r="T13" i="2" s="1"/>
  <c r="V27" i="2"/>
  <c r="V13" i="2" s="1"/>
  <c r="A18" i="2"/>
  <c r="A19" i="2"/>
  <c r="A22" i="2"/>
  <c r="D22" i="2"/>
  <c r="E22" i="2"/>
  <c r="G22" i="2"/>
  <c r="I22" i="2"/>
  <c r="Q22" i="2"/>
  <c r="R22" i="2"/>
  <c r="T22" i="2"/>
  <c r="AC27" i="2"/>
  <c r="T31" i="2"/>
  <c r="C33" i="2"/>
  <c r="E33" i="2"/>
  <c r="E110" i="2" s="1"/>
  <c r="T33" i="2"/>
  <c r="T110" i="2" s="1"/>
  <c r="G33" i="2"/>
  <c r="G110" i="2" s="1"/>
  <c r="I33" i="2"/>
  <c r="I110" i="2" s="1"/>
  <c r="Q33" i="2"/>
  <c r="Q110" i="2" s="1"/>
  <c r="R33" i="2"/>
  <c r="R110" i="2" s="1"/>
  <c r="S33" i="2"/>
  <c r="S110" i="2" s="1"/>
  <c r="AC33" i="2"/>
  <c r="T37" i="2"/>
  <c r="U40" i="2"/>
  <c r="U111" i="2" s="1"/>
  <c r="Z40" i="2"/>
  <c r="AC40" i="2" s="1"/>
  <c r="A47" i="2"/>
  <c r="A54" i="2" s="1"/>
  <c r="C47" i="2"/>
  <c r="E47" i="2"/>
  <c r="G47" i="2"/>
  <c r="Q47" i="2"/>
  <c r="R47" i="2"/>
  <c r="S47" i="2"/>
  <c r="T47" i="2"/>
  <c r="A48" i="2"/>
  <c r="A55" i="2" s="1"/>
  <c r="C48" i="2"/>
  <c r="E48" i="2"/>
  <c r="G48" i="2"/>
  <c r="Q48" i="2"/>
  <c r="R48" i="2"/>
  <c r="S48" i="2"/>
  <c r="T48" i="2"/>
  <c r="A49" i="2"/>
  <c r="A56" i="2" s="1"/>
  <c r="C49" i="2"/>
  <c r="E49" i="2"/>
  <c r="G49" i="2"/>
  <c r="Q49" i="2"/>
  <c r="R49" i="2"/>
  <c r="S49" i="2"/>
  <c r="T49" i="2"/>
  <c r="A50" i="2"/>
  <c r="A57" i="2" s="1"/>
  <c r="C50" i="2"/>
  <c r="E50" i="2"/>
  <c r="G50" i="2"/>
  <c r="Q50" i="2"/>
  <c r="R50" i="2"/>
  <c r="S50" i="2"/>
  <c r="T50" i="2"/>
  <c r="A58" i="2"/>
  <c r="A61" i="2"/>
  <c r="A70" i="2" s="1"/>
  <c r="A79" i="2" s="1"/>
  <c r="Q61" i="2"/>
  <c r="R61" i="2"/>
  <c r="S61" i="2"/>
  <c r="T61" i="2"/>
  <c r="U61" i="2"/>
  <c r="A62" i="2"/>
  <c r="A71" i="2" s="1"/>
  <c r="A89" i="2" s="1"/>
  <c r="A98" i="2" s="1"/>
  <c r="Q62" i="2"/>
  <c r="R62" i="2"/>
  <c r="S62" i="2"/>
  <c r="T62" i="2"/>
  <c r="U62" i="2"/>
  <c r="A63" i="2"/>
  <c r="A72" i="2" s="1"/>
  <c r="A81" i="2" s="1"/>
  <c r="Q63" i="2"/>
  <c r="R63" i="2"/>
  <c r="S63" i="2"/>
  <c r="T63" i="2"/>
  <c r="A73" i="2"/>
  <c r="A74" i="2"/>
  <c r="A83" i="2" s="1"/>
  <c r="E106" i="2"/>
  <c r="G106" i="2"/>
  <c r="Q106" i="2"/>
  <c r="R106" i="2"/>
  <c r="S106" i="2"/>
  <c r="T106" i="2"/>
  <c r="U106" i="2"/>
  <c r="C114" i="2"/>
  <c r="AC114" i="2"/>
  <c r="AE114" i="2"/>
  <c r="AE118" i="2" s="1"/>
  <c r="Q120" i="2"/>
  <c r="C20" i="3" s="1"/>
  <c r="R120" i="2"/>
  <c r="S120" i="2"/>
  <c r="S141" i="2" s="1"/>
  <c r="AC120" i="2"/>
  <c r="AE120" i="2"/>
  <c r="AE122" i="2" s="1"/>
  <c r="Z125" i="2"/>
  <c r="AA125" i="2"/>
  <c r="AE125" i="2"/>
  <c r="AE128" i="2" s="1"/>
  <c r="C130" i="2"/>
  <c r="E130" i="2"/>
  <c r="G130" i="2"/>
  <c r="I130" i="2"/>
  <c r="Q130" i="2"/>
  <c r="C30" i="3" s="1"/>
  <c r="R130" i="2"/>
  <c r="D30" i="3" s="1"/>
  <c r="S130" i="2"/>
  <c r="E30" i="3" s="1"/>
  <c r="T130" i="2"/>
  <c r="F30" i="3" s="1"/>
  <c r="U130" i="2"/>
  <c r="G30" i="3" s="1"/>
  <c r="C132" i="2"/>
  <c r="C142" i="2" s="1"/>
  <c r="E132" i="2"/>
  <c r="E142" i="2" s="1"/>
  <c r="G132" i="2"/>
  <c r="G142" i="2" s="1"/>
  <c r="I132" i="2"/>
  <c r="I142" i="2" s="1"/>
  <c r="Q132" i="2"/>
  <c r="C34" i="3" s="1"/>
  <c r="R132" i="2"/>
  <c r="D34" i="3" s="1"/>
  <c r="S132" i="2"/>
  <c r="E34" i="3" s="1"/>
  <c r="T132" i="2"/>
  <c r="F34" i="3" s="1"/>
  <c r="U132" i="2"/>
  <c r="U142" i="2" s="1"/>
  <c r="Q148" i="2"/>
  <c r="R148" i="2"/>
  <c r="D44" i="3" s="1"/>
  <c r="S148" i="2"/>
  <c r="Q151" i="2"/>
  <c r="R151" i="2"/>
  <c r="S151" i="2"/>
  <c r="T151" i="2"/>
  <c r="V152" i="2"/>
  <c r="V153" i="2"/>
  <c r="C154" i="2"/>
  <c r="D154" i="2"/>
  <c r="E154" i="2"/>
  <c r="G154" i="2"/>
  <c r="I154" i="2"/>
  <c r="Q154" i="2"/>
  <c r="R154" i="2"/>
  <c r="S154" i="2"/>
  <c r="T154" i="2"/>
  <c r="U154" i="2"/>
  <c r="C155" i="2"/>
  <c r="D155" i="2"/>
  <c r="E155" i="2"/>
  <c r="G155" i="2"/>
  <c r="I155" i="2"/>
  <c r="Q155" i="2"/>
  <c r="R155" i="2"/>
  <c r="S155" i="2"/>
  <c r="T155" i="2"/>
  <c r="U155" i="2"/>
  <c r="I162" i="30"/>
  <c r="D165" i="2"/>
  <c r="I165" i="30" s="1"/>
  <c r="D311" i="29"/>
  <c r="X311" i="29"/>
  <c r="AJ311" i="29"/>
  <c r="AT9" i="29"/>
  <c r="AM11" i="29"/>
  <c r="T31" i="30" s="1"/>
  <c r="AT13" i="29"/>
  <c r="AM20" i="29"/>
  <c r="T37" i="30" s="1"/>
  <c r="N40" i="29"/>
  <c r="P40" i="29"/>
  <c r="R40" i="29"/>
  <c r="AZ53" i="29"/>
  <c r="BA54" i="29" s="1"/>
  <c r="A58" i="29"/>
  <c r="A59" i="29"/>
  <c r="A60" i="29"/>
  <c r="X80" i="29"/>
  <c r="Z80" i="29"/>
  <c r="AB80" i="29"/>
  <c r="AC80" i="29"/>
  <c r="AD80" i="29"/>
  <c r="AE80" i="29"/>
  <c r="AM80" i="29"/>
  <c r="AN80" i="29"/>
  <c r="AO80" i="29"/>
  <c r="N81" i="29"/>
  <c r="X81" i="29"/>
  <c r="Z81" i="29"/>
  <c r="AB81" i="29"/>
  <c r="AD81" i="29"/>
  <c r="AM81" i="29"/>
  <c r="A90" i="29"/>
  <c r="AL96" i="29"/>
  <c r="AL98" i="29" s="1"/>
  <c r="G96" i="29"/>
  <c r="J96" i="29"/>
  <c r="N98" i="29" s="1"/>
  <c r="L96" i="29"/>
  <c r="L98" i="29" s="1"/>
  <c r="L99" i="29" s="1"/>
  <c r="P96" i="29"/>
  <c r="T98" i="29" s="1"/>
  <c r="R96" i="29"/>
  <c r="AB96" i="29"/>
  <c r="G22" i="30" s="1"/>
  <c r="AD96" i="29"/>
  <c r="AF98" i="29" s="1"/>
  <c r="AM96" i="29"/>
  <c r="T22" i="30" s="1"/>
  <c r="AU96" i="29"/>
  <c r="AV96" i="29"/>
  <c r="Z97" i="29"/>
  <c r="AK97" i="29"/>
  <c r="AK98" i="29"/>
  <c r="AU100" i="29"/>
  <c r="AV100" i="29"/>
  <c r="D101" i="29"/>
  <c r="J10" i="114" s="1"/>
  <c r="X101" i="29"/>
  <c r="Z102" i="29" s="1"/>
  <c r="AB101" i="29"/>
  <c r="AB102" i="29" s="1"/>
  <c r="L101" i="29"/>
  <c r="L102" i="29" s="1"/>
  <c r="L103" i="29" s="1"/>
  <c r="AJ101" i="29"/>
  <c r="Q9" i="30" s="1"/>
  <c r="AT10" i="114" s="1"/>
  <c r="AM101" i="29"/>
  <c r="AM102" i="29" s="1"/>
  <c r="AL102" i="29"/>
  <c r="AL103" i="29" s="1"/>
  <c r="D106" i="29"/>
  <c r="X106" i="29"/>
  <c r="Y106" i="29" s="1"/>
  <c r="D11" i="30" s="1"/>
  <c r="AH12" i="114" s="1"/>
  <c r="H105" i="29"/>
  <c r="N11" i="114" s="1"/>
  <c r="AB106" i="29"/>
  <c r="L106" i="29"/>
  <c r="AM106" i="29"/>
  <c r="AM107" i="29" s="1"/>
  <c r="AK107" i="29"/>
  <c r="AL107" i="29"/>
  <c r="AB114" i="29"/>
  <c r="AD114" i="29"/>
  <c r="AM114" i="29"/>
  <c r="AN114" i="29"/>
  <c r="AO114" i="29"/>
  <c r="G121" i="29"/>
  <c r="Z121" i="29" s="1"/>
  <c r="J121" i="29"/>
  <c r="N126" i="29" s="1"/>
  <c r="AB121" i="29"/>
  <c r="AD121" i="29"/>
  <c r="Z122" i="29"/>
  <c r="AB122" i="29"/>
  <c r="AD122" i="29"/>
  <c r="Z123" i="29"/>
  <c r="AB123" i="29"/>
  <c r="AD123" i="29"/>
  <c r="A126" i="29"/>
  <c r="AB126" i="29"/>
  <c r="AD126" i="29"/>
  <c r="A127" i="29"/>
  <c r="N127" i="29"/>
  <c r="AB127" i="29"/>
  <c r="AD127" i="29"/>
  <c r="A128" i="29"/>
  <c r="K128" i="29"/>
  <c r="AB128" i="29" s="1"/>
  <c r="N128" i="29"/>
  <c r="O128" i="29"/>
  <c r="AD128" i="29" s="1"/>
  <c r="R130" i="29"/>
  <c r="R140" i="29" s="1"/>
  <c r="G131" i="29"/>
  <c r="Z131" i="29" s="1"/>
  <c r="J131" i="29"/>
  <c r="N136" i="29" s="1"/>
  <c r="AB131" i="29"/>
  <c r="AD131" i="29"/>
  <c r="Z132" i="29"/>
  <c r="AB132" i="29"/>
  <c r="AD132" i="29"/>
  <c r="Z133" i="29"/>
  <c r="AB133" i="29"/>
  <c r="AD133" i="29"/>
  <c r="A136" i="29"/>
  <c r="R136" i="29"/>
  <c r="AB136" i="29"/>
  <c r="AD136" i="29"/>
  <c r="A137" i="29"/>
  <c r="N137" i="29"/>
  <c r="R137" i="29"/>
  <c r="AB137" i="29"/>
  <c r="AD137" i="29"/>
  <c r="A138" i="29"/>
  <c r="K138" i="29"/>
  <c r="AB138" i="29" s="1"/>
  <c r="N138" i="29"/>
  <c r="O138" i="29"/>
  <c r="AD138" i="29" s="1"/>
  <c r="R138" i="29"/>
  <c r="AB141" i="29"/>
  <c r="AB142" i="29"/>
  <c r="AD142" i="29"/>
  <c r="AD143" i="29"/>
  <c r="A146" i="29"/>
  <c r="R146" i="29"/>
  <c r="AB146" i="29"/>
  <c r="AD146" i="29"/>
  <c r="A147" i="29"/>
  <c r="R147" i="29"/>
  <c r="AB147" i="29"/>
  <c r="AD147" i="29"/>
  <c r="A148" i="29"/>
  <c r="R148" i="29"/>
  <c r="AJ315" i="29"/>
  <c r="AK316" i="29"/>
  <c r="AL316" i="29" s="1"/>
  <c r="AM316" i="29" s="1"/>
  <c r="AJ302" i="29"/>
  <c r="AK302" i="29" s="1"/>
  <c r="AL302" i="29" s="1"/>
  <c r="AM302" i="29" s="1"/>
  <c r="O180" i="29"/>
  <c r="Q180" i="29"/>
  <c r="A193" i="29"/>
  <c r="E193" i="29"/>
  <c r="Y193" i="29"/>
  <c r="I199" i="29"/>
  <c r="K199" i="29"/>
  <c r="M199" i="29"/>
  <c r="O199" i="29"/>
  <c r="Q199" i="29"/>
  <c r="AO199" i="29"/>
  <c r="A226" i="29"/>
  <c r="A244" i="29"/>
  <c r="D297" i="29"/>
  <c r="E296" i="29" s="1"/>
  <c r="E297" i="29" s="1"/>
  <c r="F296" i="29" s="1"/>
  <c r="F297" i="29" s="1"/>
  <c r="G296" i="29" s="1"/>
  <c r="G297" i="29" s="1"/>
  <c r="H296" i="29" s="1"/>
  <c r="H297" i="29" s="1"/>
  <c r="I296" i="29" s="1"/>
  <c r="I297" i="29" s="1"/>
  <c r="J296" i="29" s="1"/>
  <c r="J297" i="29" s="1"/>
  <c r="K296" i="29" s="1"/>
  <c r="K297" i="29" s="1"/>
  <c r="X297" i="29"/>
  <c r="Y296" i="29" s="1"/>
  <c r="Y297" i="29" s="1"/>
  <c r="Z296" i="29" s="1"/>
  <c r="AJ297" i="29"/>
  <c r="AK296" i="29" s="1"/>
  <c r="AK297" i="29" s="1"/>
  <c r="AL296" i="29" s="1"/>
  <c r="AL297" i="29" s="1"/>
  <c r="AK303" i="29"/>
  <c r="AL303" i="29" s="1"/>
  <c r="AM303" i="29" s="1"/>
  <c r="AN303" i="29" s="1"/>
  <c r="AO303" i="29" s="1"/>
  <c r="X322" i="29"/>
  <c r="Y321" i="29" s="1"/>
  <c r="Y322" i="29" s="1"/>
  <c r="Z321" i="29" s="1"/>
  <c r="Z322" i="29" s="1"/>
  <c r="AA321" i="29" s="1"/>
  <c r="AA322" i="29" s="1"/>
  <c r="AB321" i="29" s="1"/>
  <c r="AB322" i="29" s="1"/>
  <c r="AC321" i="29" s="1"/>
  <c r="AC322" i="29" s="1"/>
  <c r="AD321" i="29" s="1"/>
  <c r="AD322" i="29" s="1"/>
  <c r="AE321" i="29" s="1"/>
  <c r="AE322" i="29" s="1"/>
  <c r="AF321" i="29" s="1"/>
  <c r="AF322" i="29" s="1"/>
  <c r="AJ322" i="29"/>
  <c r="AK321" i="29" s="1"/>
  <c r="AK322" i="29" s="1"/>
  <c r="AL321" i="29" s="1"/>
  <c r="AL322" i="29" s="1"/>
  <c r="AM321" i="29" s="1"/>
  <c r="AM322" i="29" s="1"/>
  <c r="AN321" i="29" s="1"/>
  <c r="AN322" i="29" s="1"/>
  <c r="AO321" i="29" s="1"/>
  <c r="AO322" i="29" s="1"/>
  <c r="L10" i="114"/>
  <c r="F101" i="29" s="1"/>
  <c r="F101" i="1" s="1"/>
  <c r="N10" i="114"/>
  <c r="P10" i="114"/>
  <c r="J101" i="29" s="1"/>
  <c r="L12" i="114"/>
  <c r="F106" i="29" s="1"/>
  <c r="A14" i="114"/>
  <c r="A26" i="114" s="1"/>
  <c r="A20" i="114" s="1"/>
  <c r="A25" i="114"/>
  <c r="A31" i="114" s="1"/>
  <c r="A43" i="114"/>
  <c r="P43" i="114"/>
  <c r="A44" i="114"/>
  <c r="P44" i="114"/>
  <c r="A45" i="114"/>
  <c r="P45" i="114"/>
  <c r="A46" i="114"/>
  <c r="A47" i="114"/>
  <c r="A48" i="114"/>
  <c r="A72" i="114"/>
  <c r="A73" i="114"/>
  <c r="A74" i="114"/>
  <c r="AG111" i="114"/>
  <c r="AI126" i="114" s="1"/>
  <c r="AH111" i="114"/>
  <c r="AI111" i="114"/>
  <c r="AJ111" i="114"/>
  <c r="AK111" i="114"/>
  <c r="AL111" i="114"/>
  <c r="AL129" i="114" s="1"/>
  <c r="AM111" i="114"/>
  <c r="AN111" i="114"/>
  <c r="AT111" i="114"/>
  <c r="AU111" i="114"/>
  <c r="AV126" i="114" s="1"/>
  <c r="H112" i="114"/>
  <c r="I112" i="114"/>
  <c r="J112" i="114"/>
  <c r="K112" i="114"/>
  <c r="L112" i="114"/>
  <c r="M112" i="114"/>
  <c r="N112" i="114"/>
  <c r="O112" i="114"/>
  <c r="P112" i="114"/>
  <c r="Q112" i="114"/>
  <c r="R112" i="114"/>
  <c r="S112" i="114"/>
  <c r="T112" i="114"/>
  <c r="U112" i="114"/>
  <c r="V112" i="114"/>
  <c r="W112" i="114"/>
  <c r="AM113" i="114"/>
  <c r="AN113" i="114"/>
  <c r="E114" i="114"/>
  <c r="F114" i="114"/>
  <c r="G114" i="114"/>
  <c r="H114" i="114"/>
  <c r="I114" i="114"/>
  <c r="J114" i="114"/>
  <c r="K114" i="114"/>
  <c r="L114" i="114"/>
  <c r="M114" i="114"/>
  <c r="N114" i="114"/>
  <c r="O114" i="114"/>
  <c r="P114" i="114"/>
  <c r="Q114" i="114"/>
  <c r="R114" i="114"/>
  <c r="S114" i="114"/>
  <c r="T114" i="114"/>
  <c r="U114" i="114"/>
  <c r="V114" i="114"/>
  <c r="W114" i="114"/>
  <c r="F117" i="114"/>
  <c r="J117" i="114"/>
  <c r="N117" i="114"/>
  <c r="F118" i="114"/>
  <c r="J118" i="114"/>
  <c r="N118" i="114"/>
  <c r="G121" i="114"/>
  <c r="K121" i="114"/>
  <c r="O121" i="114"/>
  <c r="G122" i="114"/>
  <c r="K122" i="114"/>
  <c r="O122" i="114"/>
  <c r="G123" i="114"/>
  <c r="K123" i="114"/>
  <c r="O123" i="114"/>
  <c r="AM126" i="114"/>
  <c r="AN126" i="114"/>
  <c r="H130" i="114"/>
  <c r="I130" i="114"/>
  <c r="J130" i="114"/>
  <c r="K130" i="114"/>
  <c r="L130" i="114"/>
  <c r="M130" i="114"/>
  <c r="N130" i="114"/>
  <c r="O130" i="114"/>
  <c r="P130" i="114"/>
  <c r="Q130" i="114"/>
  <c r="R130" i="114"/>
  <c r="S130" i="114"/>
  <c r="T130" i="114"/>
  <c r="U130" i="114"/>
  <c r="V130" i="114"/>
  <c r="W130" i="114"/>
  <c r="AU130" i="114"/>
  <c r="E131" i="114"/>
  <c r="F131" i="114"/>
  <c r="G131" i="114"/>
  <c r="H131" i="114"/>
  <c r="I131" i="114"/>
  <c r="J131" i="114"/>
  <c r="K131" i="114"/>
  <c r="L131" i="114"/>
  <c r="M131" i="114"/>
  <c r="N131" i="114"/>
  <c r="O131" i="114"/>
  <c r="P131" i="114"/>
  <c r="Q131" i="114"/>
  <c r="R131" i="114"/>
  <c r="S131" i="114"/>
  <c r="T131" i="114"/>
  <c r="U131" i="114"/>
  <c r="V131" i="114"/>
  <c r="W131" i="114"/>
  <c r="AU131" i="114"/>
  <c r="Q4" i="30"/>
  <c r="A9" i="30"/>
  <c r="A10" i="114" s="1"/>
  <c r="A23" i="114" s="1"/>
  <c r="E9" i="30"/>
  <c r="AI10" i="114" s="1"/>
  <c r="R9" i="30"/>
  <c r="S9" i="30"/>
  <c r="A10" i="30"/>
  <c r="A11" i="114" s="1"/>
  <c r="C10" i="30"/>
  <c r="AG11" i="114" s="1"/>
  <c r="E10" i="30"/>
  <c r="AI11" i="114" s="1"/>
  <c r="Q10" i="30"/>
  <c r="AT11" i="114" s="1"/>
  <c r="R10" i="30"/>
  <c r="AU11" i="114" s="1"/>
  <c r="S10" i="30"/>
  <c r="AV11" i="114" s="1"/>
  <c r="A11" i="30"/>
  <c r="A12" i="114" s="1"/>
  <c r="A24" i="114" s="1"/>
  <c r="E11" i="30"/>
  <c r="Q11" i="30"/>
  <c r="AT12" i="114" s="1"/>
  <c r="R11" i="30"/>
  <c r="AU12" i="114" s="1"/>
  <c r="S11" i="30"/>
  <c r="C179" i="30"/>
  <c r="Q179" i="30"/>
  <c r="Q178" i="30" s="1"/>
  <c r="R179" i="30"/>
  <c r="A18" i="30"/>
  <c r="A19" i="30"/>
  <c r="AD19" i="30"/>
  <c r="A22" i="30"/>
  <c r="D22" i="30"/>
  <c r="E22" i="30"/>
  <c r="Q22" i="30"/>
  <c r="R22" i="30"/>
  <c r="G31" i="30"/>
  <c r="AG40" i="30"/>
  <c r="AG59" i="30" s="1"/>
  <c r="G37" i="30"/>
  <c r="A47" i="30"/>
  <c r="A54" i="30" s="1"/>
  <c r="A48" i="30"/>
  <c r="A55" i="30" s="1"/>
  <c r="A49" i="30"/>
  <c r="A56" i="30" s="1"/>
  <c r="A50" i="30"/>
  <c r="A57" i="30" s="1"/>
  <c r="A58" i="30"/>
  <c r="A61" i="30"/>
  <c r="A70" i="30" s="1"/>
  <c r="A88" i="30" s="1"/>
  <c r="A97" i="30" s="1"/>
  <c r="A62" i="30"/>
  <c r="A71" i="30" s="1"/>
  <c r="A89" i="30" s="1"/>
  <c r="A98" i="30" s="1"/>
  <c r="A63" i="30"/>
  <c r="A72" i="30" s="1"/>
  <c r="A73" i="30"/>
  <c r="A91" i="30" s="1"/>
  <c r="A100" i="30" s="1"/>
  <c r="A74" i="30"/>
  <c r="A92" i="30" s="1"/>
  <c r="A101" i="30" s="1"/>
  <c r="A106" i="30"/>
  <c r="Q148" i="30"/>
  <c r="R148" i="30"/>
  <c r="S148" i="30"/>
  <c r="D165" i="30"/>
  <c r="AJ318" i="29"/>
  <c r="Q181" i="30"/>
  <c r="R181" i="30"/>
  <c r="C181" i="30"/>
  <c r="X324" i="29"/>
  <c r="X313" i="29"/>
  <c r="AJ324" i="29"/>
  <c r="AJ313" i="29"/>
  <c r="D313" i="29"/>
  <c r="AC110" i="1" l="1"/>
  <c r="D110" i="2"/>
  <c r="D53" i="724"/>
  <c r="D53" i="723"/>
  <c r="E53" i="723"/>
  <c r="E53" i="724"/>
  <c r="C53" i="724"/>
  <c r="C53" i="723"/>
  <c r="C86" i="724"/>
  <c r="D87" i="724"/>
  <c r="D86" i="723"/>
  <c r="C87" i="723"/>
  <c r="R97" i="1"/>
  <c r="U98" i="1"/>
  <c r="C53" i="31"/>
  <c r="C53" i="597"/>
  <c r="C53" i="598"/>
  <c r="E53" i="597"/>
  <c r="E53" i="31"/>
  <c r="E53" i="598"/>
  <c r="D53" i="597"/>
  <c r="D53" i="31"/>
  <c r="D53" i="598"/>
  <c r="C87" i="598"/>
  <c r="D87" i="598" s="1"/>
  <c r="C87" i="597"/>
  <c r="D86" i="598"/>
  <c r="C86" i="598" s="1"/>
  <c r="D86" i="597"/>
  <c r="D87" i="31"/>
  <c r="C86" i="31"/>
  <c r="K9" i="722"/>
  <c r="H10" i="722"/>
  <c r="J62" i="2"/>
  <c r="D7" i="721"/>
  <c r="AO107" i="1"/>
  <c r="AT10" i="1"/>
  <c r="Q93" i="2"/>
  <c r="I93" i="2"/>
  <c r="G93" i="2"/>
  <c r="T93" i="2"/>
  <c r="E93" i="2"/>
  <c r="C93" i="2"/>
  <c r="C110" i="2"/>
  <c r="H109" i="2"/>
  <c r="F109" i="2"/>
  <c r="AE76" i="1"/>
  <c r="J113" i="2"/>
  <c r="AC76" i="1"/>
  <c r="AC77" i="1" s="1"/>
  <c r="H113" i="2"/>
  <c r="S68" i="1"/>
  <c r="P27" i="1"/>
  <c r="T19" i="1"/>
  <c r="P107" i="1"/>
  <c r="P108" i="1" s="1"/>
  <c r="T107" i="1"/>
  <c r="X226" i="29"/>
  <c r="X227" i="29"/>
  <c r="AN52" i="1"/>
  <c r="AN58" i="1" s="1"/>
  <c r="AN61" i="1" s="1"/>
  <c r="AN66" i="1" s="1"/>
  <c r="V8" i="720"/>
  <c r="V10" i="720" s="1"/>
  <c r="V12" i="720" s="1"/>
  <c r="AA231" i="1"/>
  <c r="F154" i="2"/>
  <c r="Y240" i="1"/>
  <c r="X240" i="29"/>
  <c r="F155" i="2"/>
  <c r="X228" i="1"/>
  <c r="X228" i="29" s="1"/>
  <c r="Y221" i="1"/>
  <c r="X238" i="29"/>
  <c r="J84" i="2"/>
  <c r="K84" i="2"/>
  <c r="J75" i="2"/>
  <c r="H75" i="2"/>
  <c r="I84" i="2"/>
  <c r="H84" i="2"/>
  <c r="F47" i="2"/>
  <c r="F61" i="2"/>
  <c r="H70" i="2" s="1"/>
  <c r="F84" i="2"/>
  <c r="G84" i="2"/>
  <c r="F75" i="2"/>
  <c r="C64" i="2"/>
  <c r="C65" i="2" s="1"/>
  <c r="C67" i="2" s="1"/>
  <c r="C103" i="2" s="1"/>
  <c r="C102" i="2"/>
  <c r="C46" i="367"/>
  <c r="C48" i="367" s="1"/>
  <c r="D61" i="2"/>
  <c r="D79" i="2" s="1"/>
  <c r="D84" i="2"/>
  <c r="E84" i="2"/>
  <c r="D93" i="2"/>
  <c r="J33" i="2"/>
  <c r="AE32" i="1"/>
  <c r="AE32" i="29" s="1"/>
  <c r="G10" i="3"/>
  <c r="G32" i="3" s="1"/>
  <c r="U102" i="2"/>
  <c r="E50" i="367"/>
  <c r="F62" i="2"/>
  <c r="AC30" i="1"/>
  <c r="AC32" i="1"/>
  <c r="AC32" i="29" s="1"/>
  <c r="C50" i="367"/>
  <c r="D62" i="2"/>
  <c r="D10" i="3"/>
  <c r="R102" i="2"/>
  <c r="E7" i="3"/>
  <c r="E31" i="3" s="1"/>
  <c r="S93" i="2"/>
  <c r="D7" i="3"/>
  <c r="D31" i="3" s="1"/>
  <c r="R93" i="2"/>
  <c r="AE97" i="1"/>
  <c r="AF97" i="1"/>
  <c r="O96" i="29"/>
  <c r="P97" i="29" s="1"/>
  <c r="S98" i="1"/>
  <c r="AF138" i="29"/>
  <c r="S138" i="29" s="1"/>
  <c r="S138" i="1"/>
  <c r="R98" i="29"/>
  <c r="R99" i="29" s="1"/>
  <c r="S97" i="29"/>
  <c r="I13" i="2"/>
  <c r="K19" i="2" s="1"/>
  <c r="K28" i="2"/>
  <c r="X12" i="114"/>
  <c r="AG129" i="114"/>
  <c r="E115" i="2"/>
  <c r="S178" i="30"/>
  <c r="BW7" i="115"/>
  <c r="D43" i="714"/>
  <c r="C9" i="30"/>
  <c r="AG10" i="114" s="1"/>
  <c r="AI23" i="114" s="1"/>
  <c r="BY11" i="115" s="1"/>
  <c r="AQ95" i="115"/>
  <c r="Q96" i="29"/>
  <c r="D47" i="2"/>
  <c r="D54" i="2" s="1"/>
  <c r="N152" i="1"/>
  <c r="N153" i="1" s="1"/>
  <c r="N156" i="1"/>
  <c r="R156" i="1"/>
  <c r="K165" i="1"/>
  <c r="K165" i="29" s="1"/>
  <c r="Y203" i="1"/>
  <c r="AE25" i="1"/>
  <c r="D27" i="2"/>
  <c r="D13" i="2" s="1"/>
  <c r="D20" i="2" s="1"/>
  <c r="S157" i="2"/>
  <c r="E46" i="3" s="1"/>
  <c r="T11" i="30"/>
  <c r="T17" i="30" s="1"/>
  <c r="AD26" i="1"/>
  <c r="AL27" i="1"/>
  <c r="J27" i="2"/>
  <c r="L28" i="2" s="1"/>
  <c r="AE165" i="1"/>
  <c r="N106" i="1"/>
  <c r="N106" i="29" s="1"/>
  <c r="T12" i="114" s="1"/>
  <c r="AC114" i="1"/>
  <c r="AC114" i="29" s="1"/>
  <c r="AC165" i="1"/>
  <c r="AB26" i="1"/>
  <c r="I8" i="1"/>
  <c r="I110" i="1" s="1"/>
  <c r="AA165" i="1"/>
  <c r="AA165" i="29" s="1"/>
  <c r="J9" i="710"/>
  <c r="Q17" i="1"/>
  <c r="AE27" i="1"/>
  <c r="H33" i="2"/>
  <c r="H110" i="2" s="1"/>
  <c r="F73" i="367"/>
  <c r="F74" i="367" s="1"/>
  <c r="Z27" i="1"/>
  <c r="AB27" i="1"/>
  <c r="AK69" i="1"/>
  <c r="AK27" i="1"/>
  <c r="AO26" i="1"/>
  <c r="AC25" i="1"/>
  <c r="M10" i="114"/>
  <c r="G101" i="29" s="1"/>
  <c r="G101" i="1" s="1"/>
  <c r="J155" i="2"/>
  <c r="V155" i="2" s="1"/>
  <c r="H130" i="2"/>
  <c r="C38" i="2"/>
  <c r="G114" i="2"/>
  <c r="AE214" i="1"/>
  <c r="Q214" i="1" s="1"/>
  <c r="E38" i="2"/>
  <c r="I76" i="367"/>
  <c r="I77" i="367" s="1"/>
  <c r="I121" i="2"/>
  <c r="R112" i="1"/>
  <c r="S57" i="2"/>
  <c r="F106" i="2"/>
  <c r="Q57" i="2"/>
  <c r="Q90" i="2"/>
  <c r="E55" i="2"/>
  <c r="AJ203" i="1"/>
  <c r="AJ203" i="29" s="1"/>
  <c r="K106" i="1"/>
  <c r="AD99" i="1"/>
  <c r="R23" i="30"/>
  <c r="R54" i="2"/>
  <c r="N12" i="114"/>
  <c r="Q54" i="2"/>
  <c r="AA228" i="1"/>
  <c r="AJ184" i="1"/>
  <c r="BY10" i="115"/>
  <c r="T56" i="2"/>
  <c r="D110" i="1"/>
  <c r="H111" i="1" s="1"/>
  <c r="L112" i="1" s="1"/>
  <c r="S38" i="2"/>
  <c r="Y114" i="1"/>
  <c r="S55" i="2"/>
  <c r="Y118" i="1"/>
  <c r="AN10" i="1"/>
  <c r="AL18" i="1"/>
  <c r="T142" i="2"/>
  <c r="S40" i="2"/>
  <c r="S111" i="2" s="1"/>
  <c r="AD10" i="1"/>
  <c r="A17" i="30"/>
  <c r="F48" i="2"/>
  <c r="H73" i="367"/>
  <c r="H74" i="367" s="1"/>
  <c r="R56" i="2"/>
  <c r="S54" i="2"/>
  <c r="Y116" i="1"/>
  <c r="H16" i="30"/>
  <c r="H83" i="367"/>
  <c r="H84" i="367" s="1"/>
  <c r="H87" i="367" s="1"/>
  <c r="H76" i="367"/>
  <c r="H77" i="367" s="1"/>
  <c r="D178" i="30"/>
  <c r="T40" i="2"/>
  <c r="T111" i="2" s="1"/>
  <c r="J73" i="367"/>
  <c r="J74" i="367" s="1"/>
  <c r="AC107" i="1"/>
  <c r="P19" i="1"/>
  <c r="R9" i="1"/>
  <c r="I106" i="2"/>
  <c r="S121" i="2"/>
  <c r="C120" i="2"/>
  <c r="C123" i="2" s="1"/>
  <c r="E40" i="2"/>
  <c r="E111" i="2" s="1"/>
  <c r="AJ40" i="1"/>
  <c r="J17" i="710"/>
  <c r="X316" i="29"/>
  <c r="X315" i="29" s="1"/>
  <c r="G23" i="30"/>
  <c r="G71" i="2"/>
  <c r="AC232" i="1"/>
  <c r="H120" i="2" s="1"/>
  <c r="H141" i="2" s="1"/>
  <c r="F130" i="2"/>
  <c r="AM108" i="1"/>
  <c r="AM114" i="114"/>
  <c r="Y101" i="29"/>
  <c r="D9" i="30" s="1"/>
  <c r="AH10" i="114" s="1"/>
  <c r="G157" i="2"/>
  <c r="J132" i="2"/>
  <c r="V132" i="2" s="1"/>
  <c r="V142" i="2" s="1"/>
  <c r="D130" i="2"/>
  <c r="S114" i="2"/>
  <c r="D49" i="2"/>
  <c r="D56" i="2" s="1"/>
  <c r="AL195" i="1"/>
  <c r="E195" i="1" s="1"/>
  <c r="AN112" i="1"/>
  <c r="AK310" i="29"/>
  <c r="C11" i="30"/>
  <c r="AG12" i="114" s="1"/>
  <c r="AH18" i="114" s="1"/>
  <c r="AD106" i="29"/>
  <c r="I11" i="30" s="1"/>
  <c r="P106" i="29"/>
  <c r="T107" i="29" s="1"/>
  <c r="E157" i="2"/>
  <c r="D24" i="714"/>
  <c r="AL114" i="114"/>
  <c r="H132" i="2"/>
  <c r="H142" i="2" s="1"/>
  <c r="E310" i="29"/>
  <c r="Q40" i="2"/>
  <c r="Q111" i="2" s="1"/>
  <c r="AA184" i="1"/>
  <c r="AA205" i="1" s="1"/>
  <c r="AV101" i="29"/>
  <c r="K96" i="29"/>
  <c r="K98" i="29" s="1"/>
  <c r="V106" i="2"/>
  <c r="S79" i="2"/>
  <c r="E140" i="2"/>
  <c r="A90" i="30"/>
  <c r="A99" i="30" s="1"/>
  <c r="A81" i="30"/>
  <c r="AY113" i="114"/>
  <c r="U114" i="2"/>
  <c r="R97" i="2"/>
  <c r="C56" i="2"/>
  <c r="S28" i="2"/>
  <c r="H11" i="2"/>
  <c r="AE114" i="1"/>
  <c r="AE114" i="29" s="1"/>
  <c r="AM10" i="1"/>
  <c r="C90" i="2"/>
  <c r="AL98" i="1"/>
  <c r="AL99" i="1" s="1"/>
  <c r="F132" i="2"/>
  <c r="F142" i="2" s="1"/>
  <c r="AA106" i="29"/>
  <c r="F11" i="30" s="1"/>
  <c r="F17" i="30" s="1"/>
  <c r="I114" i="2"/>
  <c r="C99" i="2"/>
  <c r="T71" i="2"/>
  <c r="S22" i="2"/>
  <c r="S23" i="2" s="1"/>
  <c r="AO112" i="1"/>
  <c r="D105" i="1"/>
  <c r="P99" i="1"/>
  <c r="U33" i="2"/>
  <c r="U110" i="2" s="1"/>
  <c r="Q89" i="2"/>
  <c r="E57" i="2"/>
  <c r="Q55" i="2"/>
  <c r="AK184" i="1"/>
  <c r="AM97" i="1"/>
  <c r="I184" i="1"/>
  <c r="AC125" i="2"/>
  <c r="C118" i="2"/>
  <c r="G88" i="2"/>
  <c r="D50" i="2"/>
  <c r="D57" i="2" s="1"/>
  <c r="G55" i="2"/>
  <c r="R44" i="2"/>
  <c r="Z242" i="1"/>
  <c r="C140" i="2"/>
  <c r="U63" i="2"/>
  <c r="U72" i="2" s="1"/>
  <c r="C57" i="2"/>
  <c r="F11" i="2"/>
  <c r="E24" i="367" s="1"/>
  <c r="AB203" i="1"/>
  <c r="K203" i="1" s="1"/>
  <c r="E96" i="29"/>
  <c r="T90" i="2"/>
  <c r="F22" i="2"/>
  <c r="F23" i="2" s="1"/>
  <c r="J76" i="367"/>
  <c r="J77" i="367" s="1"/>
  <c r="D50" i="713"/>
  <c r="D105" i="29"/>
  <c r="J11" i="114" s="1"/>
  <c r="J12" i="114" s="1"/>
  <c r="C55" i="2"/>
  <c r="T16" i="2"/>
  <c r="X40" i="1"/>
  <c r="AV111" i="114"/>
  <c r="AW126" i="114" s="1"/>
  <c r="A19" i="114"/>
  <c r="AM108" i="29"/>
  <c r="S51" i="2"/>
  <c r="S58" i="2" s="1"/>
  <c r="AL69" i="1"/>
  <c r="F120" i="2"/>
  <c r="F141" i="2" s="1"/>
  <c r="C89" i="2"/>
  <c r="G34" i="2"/>
  <c r="P112" i="1"/>
  <c r="AM103" i="29"/>
  <c r="E120" i="2"/>
  <c r="G121" i="2" s="1"/>
  <c r="Q56" i="2"/>
  <c r="F33" i="2"/>
  <c r="F110" i="2" s="1"/>
  <c r="Y184" i="1"/>
  <c r="E101" i="1"/>
  <c r="X78" i="1"/>
  <c r="AJ69" i="1"/>
  <c r="AA68" i="1"/>
  <c r="D81" i="2"/>
  <c r="C44" i="2"/>
  <c r="AM98" i="1"/>
  <c r="I73" i="367"/>
  <c r="I74" i="367" s="1"/>
  <c r="AL108" i="29"/>
  <c r="A88" i="2"/>
  <c r="A97" i="2" s="1"/>
  <c r="X52" i="1"/>
  <c r="X55" i="1" s="1"/>
  <c r="AC47" i="1"/>
  <c r="AE21" i="1"/>
  <c r="Y17" i="1"/>
  <c r="Y21" i="1" s="1"/>
  <c r="C54" i="367" s="1"/>
  <c r="AE116" i="2"/>
  <c r="AA102" i="1"/>
  <c r="I28" i="2"/>
  <c r="R16" i="2"/>
  <c r="AN212" i="1"/>
  <c r="AC212" i="1" s="1"/>
  <c r="M212" i="1" s="1"/>
  <c r="AA195" i="1"/>
  <c r="AE24" i="1"/>
  <c r="I17" i="2"/>
  <c r="Q97" i="1"/>
  <c r="I88" i="2"/>
  <c r="Z184" i="1"/>
  <c r="G184" i="1" s="1"/>
  <c r="N116" i="1"/>
  <c r="AC102" i="1"/>
  <c r="K97" i="1"/>
  <c r="AC21" i="1"/>
  <c r="AM112" i="114"/>
  <c r="AX111" i="114"/>
  <c r="AY126" i="114" s="1"/>
  <c r="T131" i="2"/>
  <c r="T133" i="2" s="1"/>
  <c r="T134" i="2" s="1"/>
  <c r="T143" i="2" s="1"/>
  <c r="T17" i="2"/>
  <c r="AA105" i="1"/>
  <c r="F10" i="2" s="1"/>
  <c r="AB37" i="1"/>
  <c r="AB39" i="1" s="1"/>
  <c r="N23" i="114"/>
  <c r="AN27" i="115" s="1"/>
  <c r="AN48" i="115" s="1"/>
  <c r="T28" i="2"/>
  <c r="G16" i="2"/>
  <c r="AC68" i="1"/>
  <c r="AM129" i="114"/>
  <c r="AM131" i="114" s="1"/>
  <c r="AY111" i="114"/>
  <c r="E71" i="2"/>
  <c r="AL78" i="1"/>
  <c r="G70" i="2"/>
  <c r="AA9" i="1"/>
  <c r="AK129" i="114"/>
  <c r="AL131" i="114" s="1"/>
  <c r="A92" i="2"/>
  <c r="A101" i="2" s="1"/>
  <c r="AE18" i="1"/>
  <c r="AL10" i="1"/>
  <c r="AE9" i="1"/>
  <c r="AL108" i="1"/>
  <c r="D73" i="367"/>
  <c r="D74" i="367" s="1"/>
  <c r="AW111" i="114"/>
  <c r="AX126" i="114" s="1"/>
  <c r="AD107" i="1"/>
  <c r="AD108" i="1" s="1"/>
  <c r="Z40" i="1"/>
  <c r="D56" i="367" s="1"/>
  <c r="I23" i="2"/>
  <c r="AN103" i="1"/>
  <c r="AB10" i="1"/>
  <c r="G72" i="2"/>
  <c r="AM315" i="29"/>
  <c r="AN302" i="29"/>
  <c r="AO302" i="29" s="1"/>
  <c r="J70" i="2"/>
  <c r="J79" i="2"/>
  <c r="V120" i="2"/>
  <c r="J141" i="2"/>
  <c r="Y231" i="1"/>
  <c r="D120" i="2"/>
  <c r="Q140" i="2"/>
  <c r="Q116" i="2"/>
  <c r="I90" i="2"/>
  <c r="AE39" i="1"/>
  <c r="J40" i="2" s="1"/>
  <c r="AO52" i="1"/>
  <c r="AO58" i="1" s="1"/>
  <c r="AO61" i="1" s="1"/>
  <c r="AO67" i="1" s="1"/>
  <c r="T13" i="722" s="1"/>
  <c r="S14" i="722" s="1"/>
  <c r="AD40" i="1"/>
  <c r="AD40" i="29" s="1"/>
  <c r="I40" i="2"/>
  <c r="I111" i="2" s="1"/>
  <c r="V61" i="2"/>
  <c r="V70" i="2" s="1"/>
  <c r="D9" i="2"/>
  <c r="O76" i="3"/>
  <c r="D20" i="713"/>
  <c r="D31" i="713" s="1"/>
  <c r="AB105" i="29"/>
  <c r="G10" i="30" s="1"/>
  <c r="AM98" i="29"/>
  <c r="AM99" i="29" s="1"/>
  <c r="AM97" i="29"/>
  <c r="I157" i="2"/>
  <c r="E131" i="2"/>
  <c r="E133" i="2" s="1"/>
  <c r="E134" i="2" s="1"/>
  <c r="R122" i="2"/>
  <c r="E116" i="2"/>
  <c r="E90" i="2"/>
  <c r="U97" i="2"/>
  <c r="G54" i="2"/>
  <c r="F27" i="2"/>
  <c r="G30" i="2" s="1"/>
  <c r="C9" i="2"/>
  <c r="E16" i="2" s="1"/>
  <c r="I202" i="1"/>
  <c r="Y81" i="1"/>
  <c r="Y81" i="29" s="1"/>
  <c r="K21" i="1"/>
  <c r="AK315" i="29"/>
  <c r="L105" i="29"/>
  <c r="R11" i="114" s="1"/>
  <c r="H157" i="2"/>
  <c r="G148" i="2"/>
  <c r="AE127" i="2"/>
  <c r="C116" i="2"/>
  <c r="D90" i="2"/>
  <c r="I70" i="2"/>
  <c r="R57" i="2"/>
  <c r="E28" i="2"/>
  <c r="V11" i="2"/>
  <c r="V17" i="2" s="1"/>
  <c r="AA114" i="1"/>
  <c r="AA114" i="29" s="1"/>
  <c r="M101" i="1"/>
  <c r="M101" i="29" s="1"/>
  <c r="AA98" i="1"/>
  <c r="Y39" i="1"/>
  <c r="Y52" i="1" s="1"/>
  <c r="AK126" i="114"/>
  <c r="AL112" i="114"/>
  <c r="P98" i="29"/>
  <c r="P99" i="29" s="1"/>
  <c r="C131" i="2"/>
  <c r="C133" i="2" s="1"/>
  <c r="C134" i="2" s="1"/>
  <c r="C143" i="2" s="1"/>
  <c r="T80" i="2"/>
  <c r="T55" i="2"/>
  <c r="V30" i="2"/>
  <c r="AD212" i="1"/>
  <c r="O212" i="1" s="1"/>
  <c r="AO184" i="1"/>
  <c r="AE184" i="1" s="1"/>
  <c r="Q184" i="1" s="1"/>
  <c r="G178" i="1"/>
  <c r="AA110" i="1"/>
  <c r="R98" i="1"/>
  <c r="R99" i="1" s="1"/>
  <c r="O97" i="1"/>
  <c r="AA77" i="1"/>
  <c r="F114" i="2" s="1"/>
  <c r="X69" i="1"/>
  <c r="AN101" i="29"/>
  <c r="AN102" i="29" s="1"/>
  <c r="AN103" i="29" s="1"/>
  <c r="AJ126" i="114"/>
  <c r="R17" i="30"/>
  <c r="T9" i="30"/>
  <c r="T16" i="30" s="1"/>
  <c r="AH114" i="114"/>
  <c r="AK114" i="114"/>
  <c r="R10" i="114"/>
  <c r="C162" i="2"/>
  <c r="H162" i="30" s="1"/>
  <c r="E148" i="2"/>
  <c r="A90" i="2"/>
  <c r="A99" i="2" s="1"/>
  <c r="G57" i="2"/>
  <c r="S36" i="2"/>
  <c r="G122" i="2"/>
  <c r="AC221" i="1"/>
  <c r="K202" i="1"/>
  <c r="AD184" i="1"/>
  <c r="O184" i="1" s="1"/>
  <c r="X110" i="1"/>
  <c r="I101" i="1"/>
  <c r="I105" i="1" s="1"/>
  <c r="AL40" i="1"/>
  <c r="I56" i="367" s="1"/>
  <c r="AE37" i="1"/>
  <c r="D21" i="1"/>
  <c r="M17" i="1"/>
  <c r="P11" i="720" s="1"/>
  <c r="P13" i="720" s="1"/>
  <c r="AB242" i="1"/>
  <c r="L107" i="29"/>
  <c r="L108" i="29" s="1"/>
  <c r="AA96" i="29"/>
  <c r="F22" i="30" s="1"/>
  <c r="F23" i="30" s="1"/>
  <c r="G56" i="2"/>
  <c r="R51" i="2"/>
  <c r="R58" i="2" s="1"/>
  <c r="S13" i="2"/>
  <c r="S20" i="2" s="1"/>
  <c r="AN184" i="1"/>
  <c r="AC184" i="1" s="1"/>
  <c r="AM178" i="1"/>
  <c r="AM184" i="1" s="1"/>
  <c r="Y106" i="1"/>
  <c r="O98" i="1"/>
  <c r="AC96" i="1"/>
  <c r="AC97" i="1" s="1"/>
  <c r="Y80" i="1"/>
  <c r="Y80" i="29" s="1"/>
  <c r="Y77" i="1"/>
  <c r="AA24" i="1"/>
  <c r="P10" i="1"/>
  <c r="Q158" i="2"/>
  <c r="R142" i="2"/>
  <c r="R114" i="2"/>
  <c r="R64" i="2" s="1"/>
  <c r="H106" i="2"/>
  <c r="G89" i="2"/>
  <c r="S16" i="2"/>
  <c r="AA240" i="1"/>
  <c r="AJ78" i="1"/>
  <c r="L10" i="1"/>
  <c r="S22" i="30"/>
  <c r="S23" i="30" s="1"/>
  <c r="G9" i="30"/>
  <c r="G16" i="30" s="1"/>
  <c r="A32" i="114"/>
  <c r="Q142" i="2"/>
  <c r="J130" i="2"/>
  <c r="V130" i="2" s="1"/>
  <c r="E89" i="2"/>
  <c r="T34" i="2"/>
  <c r="AO203" i="1"/>
  <c r="AE203" i="1" s="1"/>
  <c r="Q203" i="1" s="1"/>
  <c r="AC105" i="1"/>
  <c r="AJ21" i="1"/>
  <c r="AM105" i="29"/>
  <c r="T10" i="30" s="1"/>
  <c r="AB103" i="29"/>
  <c r="V154" i="2"/>
  <c r="H80" i="2"/>
  <c r="D48" i="2"/>
  <c r="D55" i="2" s="1"/>
  <c r="S34" i="2"/>
  <c r="R23" i="2"/>
  <c r="S17" i="2"/>
  <c r="C11" i="2"/>
  <c r="B24" i="367" s="1"/>
  <c r="AE16" i="1"/>
  <c r="AG26" i="1" s="1"/>
  <c r="G11" i="30"/>
  <c r="G17" i="30" s="1"/>
  <c r="AH129" i="114"/>
  <c r="AN112" i="114"/>
  <c r="AE123" i="2"/>
  <c r="T54" i="2"/>
  <c r="S56" i="2"/>
  <c r="AM103" i="1"/>
  <c r="AO10" i="1"/>
  <c r="O8" i="1"/>
  <c r="AK78" i="1"/>
  <c r="AC106" i="29"/>
  <c r="H11" i="30" s="1"/>
  <c r="S88" i="2"/>
  <c r="AK203" i="1"/>
  <c r="AM52" i="1"/>
  <c r="AM58" i="1" s="1"/>
  <c r="AM61" i="1" s="1"/>
  <c r="AM66" i="1" s="1"/>
  <c r="H18" i="1"/>
  <c r="Y310" i="29"/>
  <c r="D132" i="2"/>
  <c r="D142" i="2" s="1"/>
  <c r="G90" i="2"/>
  <c r="E70" i="2"/>
  <c r="E34" i="2"/>
  <c r="G17" i="2"/>
  <c r="H12" i="2"/>
  <c r="F9" i="2"/>
  <c r="AD112" i="1"/>
  <c r="AK18" i="1"/>
  <c r="AC16" i="1"/>
  <c r="A79" i="30"/>
  <c r="P23" i="114"/>
  <c r="A80" i="2"/>
  <c r="E81" i="2"/>
  <c r="C98" i="2"/>
  <c r="G23" i="2"/>
  <c r="AC228" i="1"/>
  <c r="K116" i="1"/>
  <c r="M106" i="1"/>
  <c r="M107" i="1" s="1"/>
  <c r="AD52" i="1"/>
  <c r="AD58" i="1" s="1"/>
  <c r="AD61" i="1" s="1"/>
  <c r="AD66" i="1" s="1"/>
  <c r="AE66" i="1" s="1"/>
  <c r="D162" i="30"/>
  <c r="C40" i="30"/>
  <c r="AC23" i="725" s="1"/>
  <c r="C47" i="30"/>
  <c r="C27" i="30"/>
  <c r="C48" i="30"/>
  <c r="C50" i="30"/>
  <c r="C130" i="30"/>
  <c r="AC98" i="725" s="1"/>
  <c r="C155" i="30"/>
  <c r="C154" i="30"/>
  <c r="C49" i="30"/>
  <c r="C153" i="30"/>
  <c r="C114" i="30"/>
  <c r="AC86" i="725" s="1"/>
  <c r="C132" i="30"/>
  <c r="C33" i="30"/>
  <c r="AC8" i="725" s="1"/>
  <c r="C152" i="30"/>
  <c r="R27" i="30"/>
  <c r="R48" i="30"/>
  <c r="R50" i="30"/>
  <c r="R33" i="30"/>
  <c r="R120" i="30"/>
  <c r="R155" i="30"/>
  <c r="R157" i="30"/>
  <c r="R47" i="30"/>
  <c r="R132" i="30"/>
  <c r="R49" i="30"/>
  <c r="R130" i="30"/>
  <c r="R40" i="30"/>
  <c r="R154" i="30"/>
  <c r="R106" i="30"/>
  <c r="R153" i="30"/>
  <c r="R152" i="30"/>
  <c r="R151" i="30"/>
  <c r="Q48" i="30"/>
  <c r="Q27" i="30"/>
  <c r="Q13" i="30" s="1"/>
  <c r="AT14" i="114" s="1"/>
  <c r="Q50" i="30"/>
  <c r="Q33" i="30"/>
  <c r="Q154" i="30"/>
  <c r="Q47" i="30"/>
  <c r="Q49" i="30"/>
  <c r="Q130" i="30"/>
  <c r="Q114" i="30"/>
  <c r="Q153" i="30"/>
  <c r="Q132" i="30"/>
  <c r="Q152" i="30"/>
  <c r="Q151" i="30"/>
  <c r="Q120" i="30"/>
  <c r="Q157" i="30"/>
  <c r="Q155" i="30"/>
  <c r="AJ46" i="29"/>
  <c r="Q62" i="30" s="1"/>
  <c r="AJ54" i="29"/>
  <c r="AJ77" i="29"/>
  <c r="AT104" i="114" s="1"/>
  <c r="AJ38" i="29"/>
  <c r="AJ45" i="29"/>
  <c r="AJ51" i="29"/>
  <c r="AJ66" i="29"/>
  <c r="AJ76" i="29"/>
  <c r="AT103" i="114" s="1"/>
  <c r="AJ50" i="29"/>
  <c r="AJ64" i="29"/>
  <c r="AJ67" i="29"/>
  <c r="AJ43" i="29"/>
  <c r="AJ63" i="29"/>
  <c r="AJ49" i="29"/>
  <c r="AJ42" i="29"/>
  <c r="Q66" i="30" s="1"/>
  <c r="AJ62" i="29"/>
  <c r="Q113" i="30" s="1"/>
  <c r="AJ48" i="29"/>
  <c r="AJ110" i="29"/>
  <c r="Q12" i="30" s="1"/>
  <c r="AT13" i="114" s="1"/>
  <c r="AJ8" i="29"/>
  <c r="AJ60" i="29"/>
  <c r="AJ47" i="29"/>
  <c r="Q63" i="30" s="1"/>
  <c r="AJ59" i="29"/>
  <c r="AJ116" i="29"/>
  <c r="AJ37" i="29"/>
  <c r="AJ228" i="29"/>
  <c r="AJ240" i="29"/>
  <c r="AJ232" i="29"/>
  <c r="AJ299" i="29"/>
  <c r="D8" i="29"/>
  <c r="D17" i="29"/>
  <c r="D299" i="29"/>
  <c r="X38" i="29"/>
  <c r="X14" i="29"/>
  <c r="X62" i="29"/>
  <c r="C113" i="30" s="1"/>
  <c r="AC74" i="725" s="1"/>
  <c r="X118" i="29"/>
  <c r="X42" i="29"/>
  <c r="C66" i="30" s="1"/>
  <c r="X8" i="29"/>
  <c r="X48" i="29"/>
  <c r="X60" i="29"/>
  <c r="X47" i="29"/>
  <c r="C63" i="30" s="1"/>
  <c r="X59" i="29"/>
  <c r="X37" i="29"/>
  <c r="X46" i="29"/>
  <c r="C62" i="30" s="1"/>
  <c r="X54" i="29"/>
  <c r="X77" i="29"/>
  <c r="AG104" i="114" s="1"/>
  <c r="X51" i="29"/>
  <c r="X66" i="29"/>
  <c r="X76" i="29"/>
  <c r="AG103" i="114" s="1"/>
  <c r="X45" i="29"/>
  <c r="C61" i="30" s="1"/>
  <c r="X67" i="29"/>
  <c r="X50" i="29"/>
  <c r="X43" i="29"/>
  <c r="X63" i="29"/>
  <c r="X116" i="29"/>
  <c r="X49" i="29"/>
  <c r="X117" i="29"/>
  <c r="X225" i="29"/>
  <c r="X235" i="29"/>
  <c r="X221" i="29"/>
  <c r="X299" i="29"/>
  <c r="X236" i="29"/>
  <c r="X239" i="29"/>
  <c r="X231" i="29"/>
  <c r="X219" i="29"/>
  <c r="X223" i="29"/>
  <c r="X220" i="29"/>
  <c r="X237" i="29"/>
  <c r="X232" i="29"/>
  <c r="X224" i="29"/>
  <c r="AJ173" i="29"/>
  <c r="AJ177" i="29"/>
  <c r="AJ183" i="29"/>
  <c r="AJ190" i="29"/>
  <c r="AJ182" i="29"/>
  <c r="AJ188" i="29"/>
  <c r="AJ191" i="29"/>
  <c r="AJ189" i="29"/>
  <c r="AJ201" i="29"/>
  <c r="AJ192" i="29"/>
  <c r="AJ202" i="29"/>
  <c r="AJ209" i="29"/>
  <c r="AJ305" i="29"/>
  <c r="AJ211" i="29"/>
  <c r="AJ194" i="29"/>
  <c r="AJ212" i="29"/>
  <c r="AJ172" i="29"/>
  <c r="AJ175" i="29"/>
  <c r="AJ195" i="29"/>
  <c r="AJ176" i="29"/>
  <c r="AJ178" i="29"/>
  <c r="AJ174" i="29"/>
  <c r="AJ181" i="29"/>
  <c r="AJ214" i="29"/>
  <c r="AJ200" i="29"/>
  <c r="AJ208" i="29"/>
  <c r="AJ198" i="29"/>
  <c r="A82" i="30"/>
  <c r="AI12" i="114"/>
  <c r="BU7" i="115"/>
  <c r="BW10" i="115"/>
  <c r="A80" i="30"/>
  <c r="A17" i="114"/>
  <c r="A29" i="114"/>
  <c r="A83" i="30"/>
  <c r="S16" i="30"/>
  <c r="AV10" i="114"/>
  <c r="BX10" i="115"/>
  <c r="BX7" i="115"/>
  <c r="BY7" i="115"/>
  <c r="A16" i="30"/>
  <c r="A18" i="114"/>
  <c r="A30" i="114"/>
  <c r="R16" i="30"/>
  <c r="AU10" i="114"/>
  <c r="Z297" i="29"/>
  <c r="AA296" i="29" s="1"/>
  <c r="AA297" i="29" s="1"/>
  <c r="AM296" i="29"/>
  <c r="AM297" i="29" s="1"/>
  <c r="S17" i="30"/>
  <c r="AV12" i="114"/>
  <c r="AL126" i="114"/>
  <c r="AJ112" i="114"/>
  <c r="AJ114" i="114"/>
  <c r="AJ129" i="114"/>
  <c r="AU18" i="114"/>
  <c r="AU24" i="114"/>
  <c r="AN129" i="114"/>
  <c r="AI129" i="114"/>
  <c r="AN114" i="114"/>
  <c r="AK112" i="114"/>
  <c r="AI114" i="114"/>
  <c r="AI112" i="114"/>
  <c r="L11" i="114"/>
  <c r="J101" i="1"/>
  <c r="J105" i="1" s="1"/>
  <c r="K101" i="29"/>
  <c r="J105" i="29"/>
  <c r="J102" i="29"/>
  <c r="F106" i="1"/>
  <c r="J107" i="29"/>
  <c r="F105" i="29"/>
  <c r="E106" i="29"/>
  <c r="AC102" i="29"/>
  <c r="AL99" i="29"/>
  <c r="K106" i="29"/>
  <c r="AB107" i="29"/>
  <c r="AB108" i="29" s="1"/>
  <c r="I71" i="2"/>
  <c r="I89" i="2"/>
  <c r="I80" i="2"/>
  <c r="E20" i="3"/>
  <c r="S122" i="2"/>
  <c r="AD98" i="29"/>
  <c r="AF99" i="29" s="1"/>
  <c r="AL97" i="29"/>
  <c r="D20" i="3"/>
  <c r="R123" i="2"/>
  <c r="R141" i="2"/>
  <c r="AB98" i="29"/>
  <c r="H97" i="29"/>
  <c r="I72" i="2"/>
  <c r="I34" i="2"/>
  <c r="I38" i="2"/>
  <c r="U157" i="2"/>
  <c r="G46" i="3" s="1"/>
  <c r="R121" i="2"/>
  <c r="I122" i="2"/>
  <c r="I122" i="30" s="1"/>
  <c r="F14" i="3"/>
  <c r="F47" i="3" s="1"/>
  <c r="T158" i="2"/>
  <c r="T140" i="2"/>
  <c r="O202" i="1"/>
  <c r="AD203" i="1"/>
  <c r="T51" i="2"/>
  <c r="T58" i="2" s="1"/>
  <c r="J9" i="367"/>
  <c r="A91" i="2"/>
  <c r="A100" i="2" s="1"/>
  <c r="A82" i="2"/>
  <c r="U80" i="2"/>
  <c r="U98" i="2"/>
  <c r="U71" i="2"/>
  <c r="C14" i="3"/>
  <c r="Q125" i="2"/>
  <c r="Q131" i="2"/>
  <c r="Q133" i="2" s="1"/>
  <c r="T89" i="2"/>
  <c r="E17" i="1"/>
  <c r="D36" i="2"/>
  <c r="E36" i="2"/>
  <c r="E208" i="1"/>
  <c r="AL212" i="1"/>
  <c r="E44" i="3"/>
  <c r="T116" i="2"/>
  <c r="S80" i="2"/>
  <c r="T70" i="2"/>
  <c r="T88" i="2"/>
  <c r="T79" i="2"/>
  <c r="U70" i="2"/>
  <c r="T72" i="2"/>
  <c r="T81" i="2"/>
  <c r="R89" i="2"/>
  <c r="R98" i="2"/>
  <c r="R80" i="2"/>
  <c r="R71" i="2"/>
  <c r="S72" i="2"/>
  <c r="R79" i="2"/>
  <c r="C44" i="3"/>
  <c r="R72" i="2"/>
  <c r="R81" i="2"/>
  <c r="R99" i="2"/>
  <c r="R90" i="2"/>
  <c r="Q88" i="2"/>
  <c r="E54" i="2"/>
  <c r="E51" i="2"/>
  <c r="G20" i="3"/>
  <c r="U123" i="2"/>
  <c r="U141" i="2"/>
  <c r="Q122" i="2"/>
  <c r="AA221" i="1"/>
  <c r="R28" i="2"/>
  <c r="Q13" i="2"/>
  <c r="AL112" i="1"/>
  <c r="AM112" i="1"/>
  <c r="S142" i="2"/>
  <c r="E117" i="2"/>
  <c r="R55" i="2"/>
  <c r="T30" i="2"/>
  <c r="G51" i="2"/>
  <c r="R30" i="2"/>
  <c r="G28" i="2"/>
  <c r="AN108" i="1"/>
  <c r="I79" i="2"/>
  <c r="E88" i="2"/>
  <c r="S81" i="2"/>
  <c r="H79" i="2"/>
  <c r="E56" i="2"/>
  <c r="C7" i="3"/>
  <c r="C21" i="3" s="1"/>
  <c r="R34" i="2"/>
  <c r="E19" i="2"/>
  <c r="I18" i="2"/>
  <c r="Q141" i="2"/>
  <c r="T57" i="2"/>
  <c r="U13" i="2"/>
  <c r="U30" i="2"/>
  <c r="U28" i="2"/>
  <c r="H9" i="2"/>
  <c r="U16" i="2"/>
  <c r="AE221" i="1"/>
  <c r="AD228" i="1"/>
  <c r="U18" i="2"/>
  <c r="G13" i="2"/>
  <c r="C97" i="2"/>
  <c r="C88" i="2"/>
  <c r="T18" i="2"/>
  <c r="F19" i="367"/>
  <c r="G18" i="2"/>
  <c r="Q38" i="2"/>
  <c r="D19" i="367"/>
  <c r="Z58" i="1"/>
  <c r="Z55" i="1"/>
  <c r="S90" i="2"/>
  <c r="S71" i="2"/>
  <c r="U79" i="2"/>
  <c r="C51" i="2"/>
  <c r="Q51" i="2"/>
  <c r="F7" i="3"/>
  <c r="T36" i="2"/>
  <c r="T38" i="2"/>
  <c r="J29" i="367"/>
  <c r="U17" i="2"/>
  <c r="G202" i="1"/>
  <c r="Z203" i="1"/>
  <c r="G203" i="1" s="1"/>
  <c r="S89" i="2"/>
  <c r="E72" i="2"/>
  <c r="S70" i="2"/>
  <c r="R70" i="2"/>
  <c r="R88" i="2"/>
  <c r="C54" i="2"/>
  <c r="V28" i="2"/>
  <c r="AE240" i="1"/>
  <c r="AO242" i="1"/>
  <c r="F49" i="2"/>
  <c r="R38" i="2"/>
  <c r="R36" i="2"/>
  <c r="S30" i="2"/>
  <c r="I29" i="367"/>
  <c r="AL202" i="1"/>
  <c r="K183" i="1"/>
  <c r="AB184" i="1"/>
  <c r="AE106" i="1"/>
  <c r="AC24" i="1"/>
  <c r="V18" i="2"/>
  <c r="H24" i="367"/>
  <c r="R17" i="2"/>
  <c r="AN242" i="1"/>
  <c r="AN245" i="1" s="1"/>
  <c r="AO243" i="1" s="1"/>
  <c r="AC240" i="1"/>
  <c r="AO40" i="1"/>
  <c r="I195" i="1"/>
  <c r="Z243" i="1"/>
  <c r="AL184" i="1"/>
  <c r="E39" i="367"/>
  <c r="AA116" i="1"/>
  <c r="I96" i="1"/>
  <c r="AA97" i="1"/>
  <c r="Z78" i="1"/>
  <c r="H97" i="1"/>
  <c r="K98" i="1"/>
  <c r="G38" i="2"/>
  <c r="I39" i="367"/>
  <c r="E96" i="1"/>
  <c r="E46" i="367"/>
  <c r="E48" i="367" s="1"/>
  <c r="K9" i="710"/>
  <c r="G17" i="710"/>
  <c r="AN203" i="1"/>
  <c r="P46" i="3"/>
  <c r="AJ58" i="1"/>
  <c r="AJ55" i="1"/>
  <c r="H79" i="367"/>
  <c r="AK40" i="1"/>
  <c r="H56" i="367" s="1"/>
  <c r="AK52" i="1"/>
  <c r="N21" i="1"/>
  <c r="N69" i="1"/>
  <c r="N37" i="1"/>
  <c r="O37" i="1" s="1"/>
  <c r="O17" i="1"/>
  <c r="R18" i="1"/>
  <c r="R27" i="1" s="1"/>
  <c r="Z69" i="1"/>
  <c r="Z21" i="1"/>
  <c r="D54" i="367" s="1"/>
  <c r="D55" i="367" s="1"/>
  <c r="Z18" i="1"/>
  <c r="AB18" i="1"/>
  <c r="AE47" i="1"/>
  <c r="J63" i="2" s="1"/>
  <c r="L72" i="2" s="1"/>
  <c r="J89" i="367"/>
  <c r="S18" i="2"/>
  <c r="R18" i="2"/>
  <c r="H9" i="367"/>
  <c r="N18" i="1"/>
  <c r="N27" i="1" s="1"/>
  <c r="M133" i="115"/>
  <c r="N121" i="115"/>
  <c r="AC9" i="1"/>
  <c r="AL16" i="1"/>
  <c r="Z102" i="1"/>
  <c r="AB103" i="1" s="1"/>
  <c r="P97" i="1"/>
  <c r="AC69" i="1"/>
  <c r="AL52" i="1"/>
  <c r="Q8" i="1"/>
  <c r="H17" i="710"/>
  <c r="L9" i="710"/>
  <c r="AE116" i="1"/>
  <c r="M8" i="1"/>
  <c r="M110" i="1" s="1"/>
  <c r="N9" i="1"/>
  <c r="BV10" i="115"/>
  <c r="BV7" i="115"/>
  <c r="AL21" i="1"/>
  <c r="I54" i="367" s="1"/>
  <c r="I55" i="367" s="1"/>
  <c r="AK21" i="1"/>
  <c r="H54" i="367" s="1"/>
  <c r="H55" i="367" s="1"/>
  <c r="J8" i="3"/>
  <c r="K8" i="3"/>
  <c r="L8" i="3"/>
  <c r="C166" i="30"/>
  <c r="D166" i="30"/>
  <c r="AK318" i="29"/>
  <c r="AM318" i="29"/>
  <c r="X318" i="29"/>
  <c r="O116" i="1" l="1"/>
  <c r="K110" i="1"/>
  <c r="C40" i="723"/>
  <c r="C40" i="724"/>
  <c r="D10" i="723"/>
  <c r="D10" i="724"/>
  <c r="D7" i="724"/>
  <c r="D7" i="723"/>
  <c r="C7" i="724"/>
  <c r="C7" i="723"/>
  <c r="C15" i="724"/>
  <c r="C15" i="723"/>
  <c r="D55" i="724"/>
  <c r="D55" i="723"/>
  <c r="D31" i="724"/>
  <c r="D31" i="723"/>
  <c r="C31" i="724"/>
  <c r="C31" i="723"/>
  <c r="D40" i="723"/>
  <c r="D40" i="724"/>
  <c r="D21" i="724"/>
  <c r="D21" i="723"/>
  <c r="C55" i="724"/>
  <c r="C55" i="723"/>
  <c r="C21" i="723"/>
  <c r="C21" i="724"/>
  <c r="C88" i="724"/>
  <c r="D88" i="724" s="1"/>
  <c r="D87" i="723"/>
  <c r="C86" i="723"/>
  <c r="AO108" i="1"/>
  <c r="AP108" i="1"/>
  <c r="J97" i="2"/>
  <c r="L41" i="2"/>
  <c r="J80" i="2"/>
  <c r="L71" i="2"/>
  <c r="J93" i="2"/>
  <c r="Q97" i="29"/>
  <c r="U98" i="29"/>
  <c r="C162" i="30"/>
  <c r="AC105" i="725"/>
  <c r="AC93" i="725"/>
  <c r="AC55" i="725"/>
  <c r="V62" i="2"/>
  <c r="V71" i="2" s="1"/>
  <c r="J71" i="2"/>
  <c r="C7" i="597"/>
  <c r="C7" i="31"/>
  <c r="C7" i="598"/>
  <c r="D21" i="31"/>
  <c r="D21" i="598"/>
  <c r="D21" i="597"/>
  <c r="R142" i="30"/>
  <c r="D40" i="31"/>
  <c r="D40" i="598"/>
  <c r="D40" i="597"/>
  <c r="D55" i="31"/>
  <c r="D55" i="598"/>
  <c r="D55" i="597"/>
  <c r="Q142" i="30"/>
  <c r="C40" i="597"/>
  <c r="C40" i="598"/>
  <c r="C40" i="31"/>
  <c r="D10" i="598"/>
  <c r="D10" i="31"/>
  <c r="D10" i="597"/>
  <c r="D7" i="597"/>
  <c r="D7" i="31"/>
  <c r="D7" i="598"/>
  <c r="C21" i="597"/>
  <c r="C21" i="31"/>
  <c r="C21" i="598"/>
  <c r="D31" i="597"/>
  <c r="D31" i="598"/>
  <c r="D31" i="31"/>
  <c r="C31" i="597"/>
  <c r="C31" i="598"/>
  <c r="C31" i="31"/>
  <c r="C55" i="31"/>
  <c r="C55" i="598"/>
  <c r="C55" i="597"/>
  <c r="C15" i="31"/>
  <c r="C15" i="598"/>
  <c r="C15" i="597"/>
  <c r="C86" i="597"/>
  <c r="D87" i="597"/>
  <c r="C88" i="598"/>
  <c r="D88" i="598" s="1"/>
  <c r="C88" i="31"/>
  <c r="D88" i="31" s="1"/>
  <c r="K10" i="722"/>
  <c r="AN55" i="1"/>
  <c r="T108" i="1"/>
  <c r="Q11" i="720"/>
  <c r="Q13" i="720" s="1"/>
  <c r="Q67" i="1"/>
  <c r="M13" i="722" s="1"/>
  <c r="AO77" i="1"/>
  <c r="AO78" i="1" s="1"/>
  <c r="AS13" i="1"/>
  <c r="V108" i="2"/>
  <c r="AT98" i="114"/>
  <c r="Q108" i="30"/>
  <c r="AG98" i="114"/>
  <c r="C108" i="30"/>
  <c r="AC62" i="725" s="1"/>
  <c r="AC69" i="725" s="1"/>
  <c r="Q37" i="1"/>
  <c r="M9" i="722" s="1"/>
  <c r="K11" i="722" s="1"/>
  <c r="O11" i="722" s="1"/>
  <c r="Q72" i="1"/>
  <c r="T99" i="29"/>
  <c r="C151" i="2"/>
  <c r="C151" i="30" s="1"/>
  <c r="Y228" i="1"/>
  <c r="D148" i="2" s="1"/>
  <c r="C148" i="2"/>
  <c r="C148" i="30" s="1"/>
  <c r="D12" i="3"/>
  <c r="F151" i="2"/>
  <c r="E51" i="367"/>
  <c r="J122" i="2"/>
  <c r="J122" i="30" s="1"/>
  <c r="O97" i="29"/>
  <c r="D32" i="3"/>
  <c r="V33" i="2"/>
  <c r="J36" i="2"/>
  <c r="C51" i="367"/>
  <c r="F8" i="3"/>
  <c r="U64" i="2"/>
  <c r="U100" i="2" s="1"/>
  <c r="E8" i="3"/>
  <c r="C94" i="2"/>
  <c r="R91" i="2"/>
  <c r="R65" i="2"/>
  <c r="R67" i="2" s="1"/>
  <c r="R94" i="2" s="1"/>
  <c r="R100" i="2"/>
  <c r="AC31" i="1"/>
  <c r="AC31" i="29" s="1"/>
  <c r="AC30" i="29"/>
  <c r="C93" i="30"/>
  <c r="Q97" i="2"/>
  <c r="Q102" i="2"/>
  <c r="Q64" i="2"/>
  <c r="Q100" i="2" s="1"/>
  <c r="H63" i="2"/>
  <c r="H81" i="2" s="1"/>
  <c r="C102" i="30"/>
  <c r="C91" i="2"/>
  <c r="C100" i="2"/>
  <c r="S43" i="2"/>
  <c r="S64" i="2"/>
  <c r="S100" i="2" s="1"/>
  <c r="S102" i="2"/>
  <c r="J89" i="2"/>
  <c r="S98" i="29"/>
  <c r="C64" i="30"/>
  <c r="C65" i="30" s="1"/>
  <c r="C67" i="30" s="1"/>
  <c r="J102" i="2"/>
  <c r="I98" i="2"/>
  <c r="I102" i="2"/>
  <c r="I64" i="2"/>
  <c r="I100" i="2" s="1"/>
  <c r="E97" i="2"/>
  <c r="E64" i="2"/>
  <c r="E100" i="2" s="1"/>
  <c r="E102" i="2"/>
  <c r="F10" i="3"/>
  <c r="F32" i="3" s="1"/>
  <c r="T64" i="2"/>
  <c r="T102" i="2"/>
  <c r="J88" i="2"/>
  <c r="AE31" i="1"/>
  <c r="AE31" i="29" s="1"/>
  <c r="AE30" i="29"/>
  <c r="Q93" i="30"/>
  <c r="S179" i="30"/>
  <c r="F34" i="2"/>
  <c r="F93" i="2"/>
  <c r="U93" i="2"/>
  <c r="H89" i="2"/>
  <c r="H93" i="2"/>
  <c r="I19" i="2"/>
  <c r="X24" i="114"/>
  <c r="S99" i="1"/>
  <c r="AE110" i="1"/>
  <c r="AE111" i="1" s="1"/>
  <c r="AF106" i="1"/>
  <c r="AG106" i="1" s="1"/>
  <c r="L11" i="2" s="1"/>
  <c r="AG63" i="114"/>
  <c r="AG54" i="114" s="1"/>
  <c r="J73" i="719"/>
  <c r="K115" i="2"/>
  <c r="J30" i="2"/>
  <c r="K30" i="2"/>
  <c r="K29" i="2"/>
  <c r="AM12" i="114"/>
  <c r="AJ205" i="1"/>
  <c r="AJ205" i="29" s="1"/>
  <c r="E16" i="30"/>
  <c r="R97" i="29"/>
  <c r="AE96" i="29"/>
  <c r="AW114" i="114"/>
  <c r="AV114" i="114"/>
  <c r="D30" i="2"/>
  <c r="U81" i="2"/>
  <c r="E17" i="30"/>
  <c r="O106" i="1"/>
  <c r="O107" i="1" s="1"/>
  <c r="G7" i="3"/>
  <c r="G12" i="3" s="1"/>
  <c r="S29" i="2"/>
  <c r="U88" i="2"/>
  <c r="N107" i="1"/>
  <c r="R107" i="1"/>
  <c r="G140" i="2"/>
  <c r="G115" i="2"/>
  <c r="E8" i="1"/>
  <c r="I9" i="1" s="1"/>
  <c r="D38" i="2"/>
  <c r="J34" i="2"/>
  <c r="I131" i="2"/>
  <c r="I133" i="2" s="1"/>
  <c r="I134" i="2" s="1"/>
  <c r="I115" i="2"/>
  <c r="H36" i="2"/>
  <c r="E20" i="2"/>
  <c r="F140" i="2"/>
  <c r="G125" i="2"/>
  <c r="G127" i="2" s="1"/>
  <c r="H122" i="2"/>
  <c r="R118" i="2"/>
  <c r="R115" i="2"/>
  <c r="U140" i="2"/>
  <c r="U115" i="2"/>
  <c r="H88" i="2"/>
  <c r="G116" i="2"/>
  <c r="J142" i="2"/>
  <c r="S115" i="2"/>
  <c r="I36" i="2"/>
  <c r="G117" i="2"/>
  <c r="E30" i="2"/>
  <c r="T115" i="2"/>
  <c r="S158" i="2"/>
  <c r="D179" i="30"/>
  <c r="AV129" i="114"/>
  <c r="AV130" i="114" s="1"/>
  <c r="V165" i="2"/>
  <c r="U165" i="2"/>
  <c r="AJ184" i="29"/>
  <c r="Y205" i="1"/>
  <c r="AH17" i="114"/>
  <c r="I123" i="2"/>
  <c r="S41" i="2"/>
  <c r="AK205" i="1"/>
  <c r="AK205" i="29" s="1"/>
  <c r="Q18" i="1"/>
  <c r="Q27" i="1" s="1"/>
  <c r="S97" i="2"/>
  <c r="E10" i="3"/>
  <c r="E12" i="3" s="1"/>
  <c r="S99" i="2"/>
  <c r="U116" i="2"/>
  <c r="U131" i="2"/>
  <c r="U133" i="2" s="1"/>
  <c r="U134" i="2" s="1"/>
  <c r="U143" i="2" s="1"/>
  <c r="S98" i="2"/>
  <c r="AC151" i="1"/>
  <c r="AC165" i="29"/>
  <c r="S44" i="2"/>
  <c r="H121" i="2"/>
  <c r="AE151" i="1"/>
  <c r="AG156" i="1" s="1"/>
  <c r="AE165" i="29"/>
  <c r="S123" i="2"/>
  <c r="AT52" i="114"/>
  <c r="AJ151" i="29"/>
  <c r="AJ152" i="29" s="1"/>
  <c r="AJ153" i="29" s="1"/>
  <c r="AA107" i="29"/>
  <c r="F16" i="30"/>
  <c r="AA102" i="29"/>
  <c r="AC103" i="29" s="1"/>
  <c r="E101" i="29"/>
  <c r="K10" i="114" s="1"/>
  <c r="K17" i="114" s="1"/>
  <c r="Y105" i="29"/>
  <c r="D10" i="30" s="1"/>
  <c r="AH11" i="114" s="1"/>
  <c r="N107" i="29"/>
  <c r="R107" i="29"/>
  <c r="AA166" i="1"/>
  <c r="AA166" i="29" s="1"/>
  <c r="AA151" i="1"/>
  <c r="K166" i="1"/>
  <c r="K166" i="29" s="1"/>
  <c r="K151" i="1"/>
  <c r="N158" i="1"/>
  <c r="R158" i="1"/>
  <c r="N157" i="1"/>
  <c r="R157" i="1"/>
  <c r="AC116" i="1"/>
  <c r="I116" i="2"/>
  <c r="C122" i="2"/>
  <c r="C141" i="2"/>
  <c r="C144" i="2" s="1"/>
  <c r="U99" i="2"/>
  <c r="I118" i="2"/>
  <c r="C120" i="30"/>
  <c r="M102" i="1"/>
  <c r="S140" i="2"/>
  <c r="AE40" i="1"/>
  <c r="AE40" i="29" s="1"/>
  <c r="S125" i="2"/>
  <c r="C125" i="2"/>
  <c r="C127" i="2" s="1"/>
  <c r="U41" i="2"/>
  <c r="S116" i="2"/>
  <c r="S118" i="2"/>
  <c r="U38" i="2"/>
  <c r="J13" i="2"/>
  <c r="L19" i="2" s="1"/>
  <c r="J38" i="2"/>
  <c r="J121" i="2" s="1"/>
  <c r="U36" i="2"/>
  <c r="T118" i="2"/>
  <c r="T19" i="2"/>
  <c r="U89" i="2"/>
  <c r="AC105" i="29"/>
  <c r="H10" i="30" s="1"/>
  <c r="S131" i="2"/>
  <c r="S133" i="2" s="1"/>
  <c r="S134" i="2" s="1"/>
  <c r="S143" i="2" s="1"/>
  <c r="T41" i="2"/>
  <c r="H16" i="2"/>
  <c r="E122" i="2"/>
  <c r="J157" i="2"/>
  <c r="C163" i="2" s="1"/>
  <c r="H163" i="30" s="1"/>
  <c r="F51" i="2"/>
  <c r="F58" i="2" s="1"/>
  <c r="M165" i="1"/>
  <c r="M165" i="29" s="1"/>
  <c r="AC166" i="1"/>
  <c r="AC166" i="29" s="1"/>
  <c r="AO205" i="1"/>
  <c r="F70" i="2"/>
  <c r="D88" i="2"/>
  <c r="E125" i="2"/>
  <c r="O165" i="1"/>
  <c r="O165" i="29" s="1"/>
  <c r="AA242" i="1"/>
  <c r="F79" i="2"/>
  <c r="AD55" i="1"/>
  <c r="F148" i="2"/>
  <c r="T148" i="2" s="1"/>
  <c r="F44" i="3" s="1"/>
  <c r="F88" i="2"/>
  <c r="Q165" i="1"/>
  <c r="Q165" i="29" s="1"/>
  <c r="AE166" i="1"/>
  <c r="AE166" i="29" s="1"/>
  <c r="AE26" i="1"/>
  <c r="G79" i="2"/>
  <c r="L19" i="1"/>
  <c r="H27" i="1"/>
  <c r="S19" i="2"/>
  <c r="O99" i="1"/>
  <c r="AK311" i="29"/>
  <c r="AG76" i="114"/>
  <c r="AG78" i="114"/>
  <c r="AW112" i="114"/>
  <c r="AV112" i="114"/>
  <c r="N17" i="114"/>
  <c r="M17" i="114"/>
  <c r="AI17" i="114"/>
  <c r="BY8" i="115"/>
  <c r="N24" i="114"/>
  <c r="I44" i="2"/>
  <c r="I44" i="30" s="1"/>
  <c r="T23" i="2"/>
  <c r="T99" i="2"/>
  <c r="G14" i="3"/>
  <c r="I99" i="2"/>
  <c r="T44" i="2"/>
  <c r="T97" i="2"/>
  <c r="D110" i="29"/>
  <c r="I203" i="1"/>
  <c r="I205" i="1" s="1"/>
  <c r="T98" i="2"/>
  <c r="T43" i="2"/>
  <c r="U125" i="2"/>
  <c r="G131" i="2"/>
  <c r="G133" i="2" s="1"/>
  <c r="AC10" i="1"/>
  <c r="R10" i="1"/>
  <c r="U43" i="2"/>
  <c r="F28" i="2"/>
  <c r="I117" i="2"/>
  <c r="H17" i="2"/>
  <c r="H34" i="2"/>
  <c r="AO69" i="1"/>
  <c r="V29" i="2"/>
  <c r="AO55" i="1"/>
  <c r="AS15" i="1" s="1"/>
  <c r="AC103" i="1"/>
  <c r="S35" i="2"/>
  <c r="F16" i="2"/>
  <c r="AM99" i="1"/>
  <c r="AC98" i="1"/>
  <c r="AC99" i="1" s="1"/>
  <c r="T29" i="2"/>
  <c r="BN11" i="115"/>
  <c r="F36" i="2"/>
  <c r="AL19" i="1"/>
  <c r="F57" i="2"/>
  <c r="G29" i="2"/>
  <c r="T165" i="2"/>
  <c r="F122" i="2"/>
  <c r="I17" i="1"/>
  <c r="G36" i="2"/>
  <c r="F54" i="2"/>
  <c r="U118" i="2"/>
  <c r="AC37" i="1"/>
  <c r="M37" i="1" s="1"/>
  <c r="F9" i="722" s="1"/>
  <c r="E9" i="722" s="1"/>
  <c r="D51" i="2"/>
  <c r="D58" i="2" s="1"/>
  <c r="D57" i="367"/>
  <c r="D62" i="367" s="1"/>
  <c r="D63" i="367" s="1"/>
  <c r="R125" i="2"/>
  <c r="U34" i="2"/>
  <c r="U35" i="2" s="1"/>
  <c r="F55" i="2"/>
  <c r="Y69" i="1"/>
  <c r="U90" i="2"/>
  <c r="E14" i="3"/>
  <c r="E47" i="3" s="1"/>
  <c r="F89" i="2"/>
  <c r="L97" i="29"/>
  <c r="O98" i="29"/>
  <c r="O99" i="29" s="1"/>
  <c r="U44" i="2"/>
  <c r="F38" i="2"/>
  <c r="T117" i="2"/>
  <c r="Y58" i="1"/>
  <c r="Y61" i="1" s="1"/>
  <c r="Y55" i="1"/>
  <c r="E311" i="29"/>
  <c r="E99" i="2"/>
  <c r="AX114" i="114"/>
  <c r="R41" i="2"/>
  <c r="AY114" i="114"/>
  <c r="R12" i="114"/>
  <c r="R24" i="114" s="1"/>
  <c r="C10" i="3"/>
  <c r="D11" i="3" s="1"/>
  <c r="AD107" i="29"/>
  <c r="AD108" i="29" s="1"/>
  <c r="AY112" i="114"/>
  <c r="E44" i="2"/>
  <c r="U29" i="2"/>
  <c r="J98" i="2"/>
  <c r="E79" i="2"/>
  <c r="Q98" i="2"/>
  <c r="Q118" i="2"/>
  <c r="P107" i="29"/>
  <c r="P108" i="29" s="1"/>
  <c r="V12" i="114"/>
  <c r="Z24" i="114" s="1"/>
  <c r="E123" i="2"/>
  <c r="H10" i="2"/>
  <c r="E41" i="2"/>
  <c r="E17" i="2"/>
  <c r="E98" i="2"/>
  <c r="I57" i="367"/>
  <c r="I59" i="367" s="1"/>
  <c r="I60" i="367" s="1"/>
  <c r="I9" i="367"/>
  <c r="I7" i="367" s="1"/>
  <c r="I22" i="367" s="1"/>
  <c r="K97" i="29"/>
  <c r="E118" i="2"/>
  <c r="Q99" i="2"/>
  <c r="I35" i="2"/>
  <c r="Q123" i="2"/>
  <c r="U122" i="2"/>
  <c r="Q44" i="2"/>
  <c r="G35" i="2"/>
  <c r="AM55" i="1"/>
  <c r="AE67" i="1"/>
  <c r="F125" i="2"/>
  <c r="H17" i="30"/>
  <c r="AM130" i="114"/>
  <c r="Q40" i="30"/>
  <c r="AO68" i="1"/>
  <c r="R43" i="2"/>
  <c r="AX112" i="114"/>
  <c r="T166" i="2"/>
  <c r="AN106" i="29"/>
  <c r="AN105" i="29" s="1"/>
  <c r="U9" i="30"/>
  <c r="U16" i="30" s="1"/>
  <c r="F131" i="2"/>
  <c r="F133" i="2" s="1"/>
  <c r="F134" i="2" s="1"/>
  <c r="F143" i="2" s="1"/>
  <c r="O9" i="1"/>
  <c r="AH131" i="114"/>
  <c r="T20" i="2"/>
  <c r="AE205" i="1"/>
  <c r="Q205" i="1" s="1"/>
  <c r="AA105" i="29"/>
  <c r="F10" i="30" s="1"/>
  <c r="F158" i="2"/>
  <c r="T120" i="2"/>
  <c r="E141" i="2"/>
  <c r="E121" i="2"/>
  <c r="I125" i="2"/>
  <c r="K126" i="2" s="1"/>
  <c r="I140" i="2"/>
  <c r="AA98" i="29"/>
  <c r="AA97" i="29"/>
  <c r="V166" i="2"/>
  <c r="AC107" i="29"/>
  <c r="F116" i="2"/>
  <c r="G40" i="2"/>
  <c r="G111" i="2" s="1"/>
  <c r="AB40" i="1"/>
  <c r="F56" i="367" s="1"/>
  <c r="F57" i="367" s="1"/>
  <c r="F59" i="367" s="1"/>
  <c r="F60" i="367" s="1"/>
  <c r="AB52" i="1"/>
  <c r="AB55" i="1" s="1"/>
  <c r="AC39" i="1"/>
  <c r="AC40" i="1" s="1"/>
  <c r="AC81" i="1" s="1"/>
  <c r="AC81" i="29" s="1"/>
  <c r="T23" i="30"/>
  <c r="X58" i="1"/>
  <c r="I97" i="2"/>
  <c r="AO245" i="1"/>
  <c r="AP243" i="1" s="1"/>
  <c r="AP245" i="1" s="1"/>
  <c r="AX129" i="114"/>
  <c r="U166" i="2"/>
  <c r="I29" i="2"/>
  <c r="AK182" i="29"/>
  <c r="AK176" i="29"/>
  <c r="AK188" i="29"/>
  <c r="AK177" i="29"/>
  <c r="AK190" i="29"/>
  <c r="AK200" i="29"/>
  <c r="AK191" i="29"/>
  <c r="AK305" i="29"/>
  <c r="AK306" i="29" s="1"/>
  <c r="AK189" i="29"/>
  <c r="AK195" i="29"/>
  <c r="AK214" i="29"/>
  <c r="AK201" i="29"/>
  <c r="AK212" i="29"/>
  <c r="AK198" i="29"/>
  <c r="AK208" i="29"/>
  <c r="AK192" i="29"/>
  <c r="AK202" i="29"/>
  <c r="AK174" i="29"/>
  <c r="AK209" i="29"/>
  <c r="AK178" i="29"/>
  <c r="AK211" i="29"/>
  <c r="AK173" i="29"/>
  <c r="AK194" i="29"/>
  <c r="AK172" i="29"/>
  <c r="AK181" i="29"/>
  <c r="AK203" i="29"/>
  <c r="AK183" i="29"/>
  <c r="AK175" i="29"/>
  <c r="AK184" i="29"/>
  <c r="AM178" i="29"/>
  <c r="AA178" i="29" s="1"/>
  <c r="I178" i="29" s="1"/>
  <c r="AM211" i="29"/>
  <c r="AA211" i="29" s="1"/>
  <c r="I211" i="29" s="1"/>
  <c r="AM175" i="29"/>
  <c r="AA175" i="29" s="1"/>
  <c r="I175" i="29" s="1"/>
  <c r="AM193" i="29"/>
  <c r="AA193" i="29" s="1"/>
  <c r="I193" i="29" s="1"/>
  <c r="AM210" i="29"/>
  <c r="AA210" i="29" s="1"/>
  <c r="I210" i="29" s="1"/>
  <c r="AM176" i="29"/>
  <c r="AA176" i="29" s="1"/>
  <c r="I176" i="29" s="1"/>
  <c r="AM203" i="29"/>
  <c r="AM173" i="29"/>
  <c r="AA173" i="29" s="1"/>
  <c r="I173" i="29" s="1"/>
  <c r="AM194" i="29"/>
  <c r="AA194" i="29" s="1"/>
  <c r="I194" i="29" s="1"/>
  <c r="AM181" i="29"/>
  <c r="AA181" i="29" s="1"/>
  <c r="I181" i="29" s="1"/>
  <c r="AM195" i="29"/>
  <c r="AM188" i="29"/>
  <c r="AA188" i="29" s="1"/>
  <c r="I188" i="29" s="1"/>
  <c r="AM200" i="29"/>
  <c r="AM182" i="29"/>
  <c r="AA182" i="29" s="1"/>
  <c r="I182" i="29" s="1"/>
  <c r="AM212" i="29"/>
  <c r="AA212" i="29" s="1"/>
  <c r="I212" i="29" s="1"/>
  <c r="AM198" i="29"/>
  <c r="AM208" i="29"/>
  <c r="AA208" i="29" s="1"/>
  <c r="I208" i="29" s="1"/>
  <c r="AM189" i="29"/>
  <c r="AA189" i="29" s="1"/>
  <c r="I189" i="29" s="1"/>
  <c r="AM201" i="29"/>
  <c r="AM191" i="29"/>
  <c r="AA191" i="29" s="1"/>
  <c r="I191" i="29" s="1"/>
  <c r="AM214" i="29"/>
  <c r="AA214" i="29" s="1"/>
  <c r="I214" i="29" s="1"/>
  <c r="AM192" i="29"/>
  <c r="AA192" i="29" s="1"/>
  <c r="I192" i="29" s="1"/>
  <c r="AM177" i="29"/>
  <c r="AA177" i="29" s="1"/>
  <c r="I177" i="29" s="1"/>
  <c r="AM202" i="29"/>
  <c r="AM174" i="29"/>
  <c r="AA174" i="29" s="1"/>
  <c r="I174" i="29" s="1"/>
  <c r="AM209" i="29"/>
  <c r="AA209" i="29" s="1"/>
  <c r="I209" i="29" s="1"/>
  <c r="AM183" i="29"/>
  <c r="AA183" i="29" s="1"/>
  <c r="I183" i="29" s="1"/>
  <c r="AM305" i="29"/>
  <c r="AM190" i="29"/>
  <c r="AA190" i="29" s="1"/>
  <c r="I190" i="29" s="1"/>
  <c r="AM172" i="29"/>
  <c r="AA172" i="29" s="1"/>
  <c r="I172" i="29" s="1"/>
  <c r="E80" i="2"/>
  <c r="D80" i="2"/>
  <c r="R116" i="2"/>
  <c r="R158" i="2"/>
  <c r="R140" i="2"/>
  <c r="R131" i="2"/>
  <c r="R133" i="2" s="1"/>
  <c r="R134" i="2" s="1"/>
  <c r="R143" i="2" s="1"/>
  <c r="Y110" i="1"/>
  <c r="AA111" i="1" s="1"/>
  <c r="Y105" i="1"/>
  <c r="D10" i="2" s="1"/>
  <c r="D106" i="2"/>
  <c r="D11" i="2"/>
  <c r="E53" i="367"/>
  <c r="E67" i="367" s="1"/>
  <c r="E69" i="367" s="1"/>
  <c r="E71" i="367" s="1"/>
  <c r="F12" i="2"/>
  <c r="E19" i="367" s="1"/>
  <c r="D40" i="2"/>
  <c r="D111" i="2" s="1"/>
  <c r="Y40" i="1"/>
  <c r="C56" i="367" s="1"/>
  <c r="V40" i="2"/>
  <c r="U11" i="30"/>
  <c r="AB97" i="29"/>
  <c r="AC78" i="1"/>
  <c r="H114" i="2"/>
  <c r="H115" i="2" s="1"/>
  <c r="S117" i="2"/>
  <c r="I102" i="1"/>
  <c r="I101" i="29"/>
  <c r="M102" i="29" s="1"/>
  <c r="R19" i="1"/>
  <c r="E106" i="1"/>
  <c r="R114" i="30"/>
  <c r="Z111" i="1"/>
  <c r="AB112" i="1" s="1"/>
  <c r="C12" i="2"/>
  <c r="R23" i="114"/>
  <c r="R29" i="114" s="1"/>
  <c r="S10" i="114"/>
  <c r="AL10" i="114" s="1"/>
  <c r="D89" i="2"/>
  <c r="R117" i="2"/>
  <c r="AC111" i="1"/>
  <c r="D141" i="2"/>
  <c r="F121" i="2"/>
  <c r="D122" i="2"/>
  <c r="Y311" i="29"/>
  <c r="D14" i="3"/>
  <c r="D47" i="3" s="1"/>
  <c r="Q55" i="30"/>
  <c r="F71" i="2"/>
  <c r="F80" i="2"/>
  <c r="G80" i="2"/>
  <c r="AL315" i="29"/>
  <c r="I17" i="30"/>
  <c r="T35" i="2"/>
  <c r="J43" i="2"/>
  <c r="J44" i="2"/>
  <c r="J44" i="30" s="1"/>
  <c r="AA107" i="1"/>
  <c r="AC108" i="1" s="1"/>
  <c r="I107" i="29"/>
  <c r="H71" i="2"/>
  <c r="R51" i="30"/>
  <c r="R58" i="30" s="1"/>
  <c r="Y78" i="1"/>
  <c r="D114" i="2"/>
  <c r="F115" i="2" s="1"/>
  <c r="Z205" i="1"/>
  <c r="G205" i="1" s="1"/>
  <c r="M105" i="1"/>
  <c r="M106" i="29"/>
  <c r="F30" i="2"/>
  <c r="F13" i="2"/>
  <c r="G20" i="2" s="1"/>
  <c r="M111" i="1"/>
  <c r="M96" i="1"/>
  <c r="M116" i="1" s="1"/>
  <c r="H22" i="2"/>
  <c r="H23" i="2" s="1"/>
  <c r="AD97" i="1"/>
  <c r="AC96" i="29"/>
  <c r="AE98" i="1"/>
  <c r="AG99" i="1" s="1"/>
  <c r="AN96" i="1"/>
  <c r="V79" i="2"/>
  <c r="V141" i="2"/>
  <c r="R54" i="30"/>
  <c r="H151" i="2"/>
  <c r="H148" i="2"/>
  <c r="U148" i="2" s="1"/>
  <c r="J123" i="2"/>
  <c r="Q38" i="30"/>
  <c r="R57" i="30"/>
  <c r="R55" i="30"/>
  <c r="Q158" i="30"/>
  <c r="R56" i="30"/>
  <c r="H38" i="3"/>
  <c r="M9" i="1"/>
  <c r="M21" i="1"/>
  <c r="I98" i="1"/>
  <c r="I97" i="1"/>
  <c r="J97" i="1"/>
  <c r="I116" i="1"/>
  <c r="I96" i="29"/>
  <c r="AL55" i="1"/>
  <c r="AL58" i="1"/>
  <c r="AL61" i="1" s="1"/>
  <c r="AL66" i="1" s="1"/>
  <c r="H7" i="367"/>
  <c r="H22" i="367" s="1"/>
  <c r="H27" i="367" s="1"/>
  <c r="H8" i="367"/>
  <c r="Z245" i="1"/>
  <c r="C58" i="2"/>
  <c r="C51" i="30"/>
  <c r="R20" i="2"/>
  <c r="R19" i="2"/>
  <c r="F31" i="3"/>
  <c r="O21" i="1"/>
  <c r="O69" i="1"/>
  <c r="O18" i="1"/>
  <c r="O27" i="1" s="1"/>
  <c r="AC242" i="1"/>
  <c r="G22" i="3"/>
  <c r="AE228" i="1"/>
  <c r="AE242" i="1" s="1"/>
  <c r="AD242" i="1"/>
  <c r="AD245" i="1" s="1"/>
  <c r="I151" i="2"/>
  <c r="I148" i="2"/>
  <c r="AC203" i="1"/>
  <c r="AN205" i="1"/>
  <c r="AM205" i="1"/>
  <c r="AM205" i="29" s="1"/>
  <c r="AA205" i="29" s="1"/>
  <c r="I205" i="29" s="1"/>
  <c r="AM184" i="29"/>
  <c r="AA184" i="29" s="1"/>
  <c r="I184" i="29" s="1"/>
  <c r="E58" i="2"/>
  <c r="O121" i="115"/>
  <c r="N133" i="115"/>
  <c r="AE52" i="1"/>
  <c r="H29" i="367"/>
  <c r="AE10" i="1"/>
  <c r="F72" i="2"/>
  <c r="F81" i="2"/>
  <c r="F90" i="2"/>
  <c r="G81" i="2"/>
  <c r="J8" i="367"/>
  <c r="J7" i="367"/>
  <c r="M184" i="1"/>
  <c r="D8" i="3"/>
  <c r="C31" i="3"/>
  <c r="E143" i="2"/>
  <c r="E135" i="2"/>
  <c r="H13" i="2"/>
  <c r="U20" i="2"/>
  <c r="U19" i="2"/>
  <c r="V20" i="2"/>
  <c r="V19" i="2"/>
  <c r="AJ61" i="1"/>
  <c r="AJ61" i="29" s="1"/>
  <c r="AJ58" i="29"/>
  <c r="C92" i="2"/>
  <c r="C101" i="2"/>
  <c r="AB19" i="1"/>
  <c r="AD19" i="1"/>
  <c r="E42" i="367"/>
  <c r="E44" i="367"/>
  <c r="K184" i="1"/>
  <c r="AB205" i="1"/>
  <c r="Q58" i="2"/>
  <c r="Q51" i="30"/>
  <c r="Q58" i="30" s="1"/>
  <c r="C16" i="3"/>
  <c r="C37" i="3"/>
  <c r="C24" i="3"/>
  <c r="Q9" i="1"/>
  <c r="Q116" i="1"/>
  <c r="Q46" i="3"/>
  <c r="C47" i="3"/>
  <c r="AU23" i="114"/>
  <c r="AU17" i="114"/>
  <c r="E21" i="3"/>
  <c r="Q90" i="30"/>
  <c r="Q61" i="30"/>
  <c r="Q106" i="30"/>
  <c r="Q116" i="30"/>
  <c r="Q131" i="30"/>
  <c r="Q133" i="30" s="1"/>
  <c r="Q125" i="30"/>
  <c r="Q140" i="30"/>
  <c r="C56" i="30"/>
  <c r="E212" i="1"/>
  <c r="K105" i="29"/>
  <c r="Q11" i="114" s="1"/>
  <c r="AN130" i="114"/>
  <c r="AN131" i="114"/>
  <c r="AJ131" i="114"/>
  <c r="AJ130" i="114"/>
  <c r="AK131" i="114"/>
  <c r="Q56" i="30"/>
  <c r="H18" i="710"/>
  <c r="L17" i="710"/>
  <c r="I44" i="367"/>
  <c r="I42" i="367"/>
  <c r="I38" i="367"/>
  <c r="I43" i="367" s="1"/>
  <c r="C43" i="367" s="1"/>
  <c r="E184" i="1"/>
  <c r="F56" i="2"/>
  <c r="T135" i="2"/>
  <c r="T164" i="2" s="1"/>
  <c r="C135" i="2"/>
  <c r="Q54" i="30"/>
  <c r="R121" i="30"/>
  <c r="R141" i="30"/>
  <c r="R123" i="30"/>
  <c r="R122" i="30"/>
  <c r="M12" i="114"/>
  <c r="AI24" i="114"/>
  <c r="AI18" i="114"/>
  <c r="X39" i="29"/>
  <c r="X52" i="29" s="1"/>
  <c r="X17" i="29"/>
  <c r="X78" i="29" s="1"/>
  <c r="Q89" i="30"/>
  <c r="R34" i="30"/>
  <c r="R36" i="30"/>
  <c r="R38" i="30"/>
  <c r="C57" i="30"/>
  <c r="AE107" i="1"/>
  <c r="AE108" i="1" s="1"/>
  <c r="J11" i="2"/>
  <c r="Q106" i="1"/>
  <c r="Q110" i="1" s="1"/>
  <c r="J106" i="2"/>
  <c r="C55" i="30"/>
  <c r="O203" i="1"/>
  <c r="AD205" i="1"/>
  <c r="AV18" i="114"/>
  <c r="AV24" i="114"/>
  <c r="AV30" i="114" s="1"/>
  <c r="Q57" i="30"/>
  <c r="C13" i="30"/>
  <c r="AK58" i="1"/>
  <c r="AK55" i="1"/>
  <c r="G18" i="710"/>
  <c r="K17" i="710"/>
  <c r="G19" i="2"/>
  <c r="D22" i="3"/>
  <c r="D21" i="3"/>
  <c r="J107" i="1"/>
  <c r="F105" i="1"/>
  <c r="C7" i="711"/>
  <c r="C8" i="719"/>
  <c r="D21" i="29"/>
  <c r="D37" i="29"/>
  <c r="J54" i="114"/>
  <c r="G8" i="725" s="1"/>
  <c r="R28" i="30"/>
  <c r="R30" i="30"/>
  <c r="R13" i="30"/>
  <c r="H57" i="367"/>
  <c r="E202" i="1"/>
  <c r="AL203" i="1"/>
  <c r="AL205" i="1" s="1"/>
  <c r="E37" i="1"/>
  <c r="AV23" i="114"/>
  <c r="AV17" i="114"/>
  <c r="C7" i="719"/>
  <c r="J52" i="114"/>
  <c r="C54" i="30"/>
  <c r="AW129" i="114"/>
  <c r="AI131" i="114"/>
  <c r="AI130" i="114"/>
  <c r="AK130" i="114"/>
  <c r="C44" i="30"/>
  <c r="AD99" i="29"/>
  <c r="K102" i="29"/>
  <c r="Q10" i="114"/>
  <c r="X110" i="29"/>
  <c r="C12" i="30" s="1"/>
  <c r="AG52" i="114"/>
  <c r="Q141" i="30"/>
  <c r="Q122" i="30"/>
  <c r="Z61" i="1"/>
  <c r="G58" i="2"/>
  <c r="Q134" i="2"/>
  <c r="Q143" i="2" s="1"/>
  <c r="Q144" i="2" s="1"/>
  <c r="Q147" i="2" s="1"/>
  <c r="J102" i="1"/>
  <c r="K101" i="1"/>
  <c r="AL130" i="114"/>
  <c r="AY129" i="114"/>
  <c r="R44" i="30"/>
  <c r="C106" i="30"/>
  <c r="C38" i="30"/>
  <c r="Q127" i="2"/>
  <c r="Q128" i="2"/>
  <c r="F16" i="3"/>
  <c r="F37" i="3"/>
  <c r="AJ17" i="29"/>
  <c r="AJ69" i="29" s="1"/>
  <c r="AJ39" i="29"/>
  <c r="AT76" i="114" s="1"/>
  <c r="C142" i="30"/>
  <c r="C140" i="30"/>
  <c r="C118" i="30"/>
  <c r="C131" i="30"/>
  <c r="C116" i="30"/>
  <c r="Q338" i="726" s="1"/>
  <c r="AK313" i="29"/>
  <c r="AK324" i="29"/>
  <c r="E313" i="29"/>
  <c r="D181" i="30"/>
  <c r="Y313" i="29"/>
  <c r="Y324" i="29"/>
  <c r="S181" i="30"/>
  <c r="AL318" i="29"/>
  <c r="O110" i="1" l="1"/>
  <c r="O111" i="1" s="1"/>
  <c r="C56" i="724"/>
  <c r="C56" i="723"/>
  <c r="V93" i="2"/>
  <c r="V38" i="2"/>
  <c r="D33" i="723"/>
  <c r="D32" i="723"/>
  <c r="D33" i="724"/>
  <c r="D32" i="724"/>
  <c r="D8" i="724"/>
  <c r="D12" i="724"/>
  <c r="D15" i="724"/>
  <c r="D56" i="724" s="1"/>
  <c r="D15" i="723"/>
  <c r="D56" i="723" s="1"/>
  <c r="C22" i="724"/>
  <c r="D12" i="723"/>
  <c r="C32" i="724"/>
  <c r="D22" i="723"/>
  <c r="D23" i="723"/>
  <c r="C10" i="723"/>
  <c r="C23" i="723" s="1"/>
  <c r="C10" i="724"/>
  <c r="C19" i="724" s="1"/>
  <c r="C22" i="723"/>
  <c r="C17" i="723"/>
  <c r="C25" i="723"/>
  <c r="C35" i="723"/>
  <c r="C43" i="723"/>
  <c r="C49" i="723" s="1"/>
  <c r="C70" i="723" s="1"/>
  <c r="D8" i="723"/>
  <c r="D22" i="724"/>
  <c r="D23" i="724"/>
  <c r="C32" i="723"/>
  <c r="C17" i="724"/>
  <c r="C35" i="724"/>
  <c r="C43" i="724"/>
  <c r="C49" i="724" s="1"/>
  <c r="C70" i="724" s="1"/>
  <c r="C25" i="724"/>
  <c r="C88" i="723"/>
  <c r="D88" i="723" s="1"/>
  <c r="V110" i="2"/>
  <c r="J17" i="2"/>
  <c r="L17" i="2"/>
  <c r="AG106" i="29"/>
  <c r="L11" i="30" s="1"/>
  <c r="AG107" i="1"/>
  <c r="AG108" i="1" s="1"/>
  <c r="AG110" i="1"/>
  <c r="L12" i="2" s="1"/>
  <c r="U106" i="1"/>
  <c r="U110" i="1" s="1"/>
  <c r="AE97" i="29"/>
  <c r="AG98" i="29"/>
  <c r="C122" i="30"/>
  <c r="AC81" i="725"/>
  <c r="C133" i="30"/>
  <c r="C134" i="30" s="1"/>
  <c r="C143" i="30" s="1"/>
  <c r="AC110" i="725"/>
  <c r="AC117" i="725" s="1"/>
  <c r="D8" i="31"/>
  <c r="V80" i="2"/>
  <c r="D8" i="597"/>
  <c r="D8" i="598"/>
  <c r="C56" i="598"/>
  <c r="P11" i="722"/>
  <c r="O9" i="722"/>
  <c r="C56" i="597"/>
  <c r="C22" i="31"/>
  <c r="D33" i="31"/>
  <c r="D32" i="31"/>
  <c r="D33" i="598"/>
  <c r="D32" i="598"/>
  <c r="D12" i="598"/>
  <c r="D23" i="598"/>
  <c r="D22" i="598"/>
  <c r="D15" i="598"/>
  <c r="D15" i="31"/>
  <c r="D56" i="31" s="1"/>
  <c r="D15" i="597"/>
  <c r="D32" i="597"/>
  <c r="D33" i="597"/>
  <c r="C22" i="598"/>
  <c r="D23" i="597"/>
  <c r="D22" i="597"/>
  <c r="C56" i="31"/>
  <c r="C35" i="31"/>
  <c r="C25" i="31"/>
  <c r="C43" i="31"/>
  <c r="C49" i="31" s="1"/>
  <c r="C70" i="31" s="1"/>
  <c r="C17" i="31"/>
  <c r="C32" i="597"/>
  <c r="C35" i="597"/>
  <c r="C17" i="597"/>
  <c r="C25" i="597"/>
  <c r="C43" i="597"/>
  <c r="C49" i="597" s="1"/>
  <c r="C70" i="597" s="1"/>
  <c r="C95" i="597" s="1"/>
  <c r="D12" i="597"/>
  <c r="C32" i="598"/>
  <c r="D12" i="31"/>
  <c r="Q102" i="30"/>
  <c r="C10" i="597"/>
  <c r="C10" i="598"/>
  <c r="C12" i="598" s="1"/>
  <c r="C10" i="31"/>
  <c r="C19" i="31" s="1"/>
  <c r="D23" i="31"/>
  <c r="D22" i="31"/>
  <c r="C25" i="598"/>
  <c r="C35" i="598"/>
  <c r="C43" i="598"/>
  <c r="C49" i="598" s="1"/>
  <c r="C70" i="598" s="1"/>
  <c r="C17" i="598"/>
  <c r="C32" i="31"/>
  <c r="C22" i="597"/>
  <c r="C88" i="597"/>
  <c r="M10" i="722"/>
  <c r="L9" i="722"/>
  <c r="L11" i="722" s="1"/>
  <c r="M11" i="722" s="1"/>
  <c r="Q10" i="722"/>
  <c r="M15" i="722"/>
  <c r="Q14" i="722"/>
  <c r="D151" i="2"/>
  <c r="D151" i="30" s="1"/>
  <c r="S151" i="30" s="1"/>
  <c r="AE69" i="1"/>
  <c r="J108" i="2"/>
  <c r="P67" i="1"/>
  <c r="H13" i="722" s="1"/>
  <c r="K13" i="722" s="1"/>
  <c r="L13" i="722" s="1"/>
  <c r="C147" i="2"/>
  <c r="V111" i="2"/>
  <c r="V109" i="2"/>
  <c r="AT101" i="114"/>
  <c r="C110" i="30"/>
  <c r="C111" i="30"/>
  <c r="Q110" i="30"/>
  <c r="Q111" i="30"/>
  <c r="T108" i="29"/>
  <c r="Y238" i="29"/>
  <c r="AL238" i="29" s="1"/>
  <c r="Y239" i="29"/>
  <c r="AL239" i="29" s="1"/>
  <c r="Y237" i="29"/>
  <c r="AL237" i="29" s="1"/>
  <c r="Y236" i="29"/>
  <c r="AL236" i="29" s="1"/>
  <c r="Y223" i="29"/>
  <c r="AL223" i="29" s="1"/>
  <c r="Y227" i="29"/>
  <c r="AL227" i="29" s="1"/>
  <c r="Y219" i="29"/>
  <c r="AL219" i="29" s="1"/>
  <c r="Y220" i="29"/>
  <c r="AL220" i="29" s="1"/>
  <c r="Y224" i="29"/>
  <c r="AL224" i="29" s="1"/>
  <c r="Y225" i="29"/>
  <c r="AL225" i="29" s="1"/>
  <c r="Y226" i="29"/>
  <c r="AL226" i="29" s="1"/>
  <c r="Y232" i="29"/>
  <c r="AL232" i="29" s="1"/>
  <c r="Y235" i="29"/>
  <c r="AL235" i="29" s="1"/>
  <c r="Y240" i="29"/>
  <c r="AL240" i="29" s="1"/>
  <c r="Y228" i="29"/>
  <c r="AL228" i="29" s="1"/>
  <c r="Y221" i="29"/>
  <c r="AL221" i="29" s="1"/>
  <c r="Y231" i="29"/>
  <c r="AL231" i="29" s="1"/>
  <c r="V89" i="2"/>
  <c r="M18" i="1"/>
  <c r="M27" i="1" s="1"/>
  <c r="O11" i="720"/>
  <c r="O13" i="720" s="1"/>
  <c r="V122" i="2"/>
  <c r="V34" i="2"/>
  <c r="V35" i="2" s="1"/>
  <c r="V88" i="2"/>
  <c r="E76" i="367"/>
  <c r="E77" i="367" s="1"/>
  <c r="V36" i="2"/>
  <c r="H7" i="3"/>
  <c r="H8" i="3" s="1"/>
  <c r="F12" i="3"/>
  <c r="G11" i="3"/>
  <c r="F18" i="3"/>
  <c r="U82" i="2"/>
  <c r="R92" i="2"/>
  <c r="H72" i="2"/>
  <c r="J12" i="2"/>
  <c r="Q111" i="1"/>
  <c r="Q112" i="1" s="1"/>
  <c r="U73" i="2"/>
  <c r="U65" i="2"/>
  <c r="U67" i="2" s="1"/>
  <c r="T100" i="2"/>
  <c r="U91" i="2"/>
  <c r="R103" i="2"/>
  <c r="D64" i="2"/>
  <c r="E82" i="2" s="1"/>
  <c r="R101" i="2"/>
  <c r="I81" i="2"/>
  <c r="AV131" i="114"/>
  <c r="H90" i="2"/>
  <c r="H35" i="2"/>
  <c r="T178" i="30"/>
  <c r="S65" i="2"/>
  <c r="S82" i="2"/>
  <c r="S73" i="2"/>
  <c r="S91" i="2"/>
  <c r="Q91" i="2"/>
  <c r="Q65" i="2"/>
  <c r="T73" i="2"/>
  <c r="T91" i="2"/>
  <c r="T82" i="2"/>
  <c r="T65" i="2"/>
  <c r="I41" i="2"/>
  <c r="G102" i="2"/>
  <c r="G64" i="2"/>
  <c r="G100" i="2" s="1"/>
  <c r="E65" i="2"/>
  <c r="E73" i="2"/>
  <c r="E91" i="2"/>
  <c r="C94" i="30"/>
  <c r="C103" i="30"/>
  <c r="R82" i="2"/>
  <c r="D98" i="2"/>
  <c r="D102" i="2"/>
  <c r="V97" i="2"/>
  <c r="V102" i="2"/>
  <c r="R73" i="2"/>
  <c r="I65" i="2"/>
  <c r="I91" i="2"/>
  <c r="Q64" i="30"/>
  <c r="Q91" i="30" s="1"/>
  <c r="S106" i="30"/>
  <c r="G20" i="712"/>
  <c r="AE161" i="1"/>
  <c r="AF161" i="1"/>
  <c r="G16" i="3"/>
  <c r="K11" i="2"/>
  <c r="K17" i="2" s="1"/>
  <c r="AF107" i="1"/>
  <c r="AF108" i="1" s="1"/>
  <c r="S106" i="1"/>
  <c r="S110" i="1" s="1"/>
  <c r="S111" i="1" s="1"/>
  <c r="AE98" i="29"/>
  <c r="AF97" i="29"/>
  <c r="S99" i="29"/>
  <c r="J20" i="2"/>
  <c r="K20" i="2"/>
  <c r="AT107" i="114"/>
  <c r="G63" i="3"/>
  <c r="L17" i="114"/>
  <c r="R108" i="1"/>
  <c r="E22" i="3"/>
  <c r="N108" i="1"/>
  <c r="U144" i="2"/>
  <c r="E116" i="1"/>
  <c r="E116" i="29" s="1"/>
  <c r="E21" i="1"/>
  <c r="O106" i="29"/>
  <c r="E110" i="1"/>
  <c r="E110" i="29" s="1"/>
  <c r="F144" i="2"/>
  <c r="F147" i="2" s="1"/>
  <c r="E178" i="30"/>
  <c r="U127" i="2"/>
  <c r="G64" i="3"/>
  <c r="F127" i="2"/>
  <c r="G126" i="2"/>
  <c r="I127" i="2"/>
  <c r="I126" i="2"/>
  <c r="S127" i="2"/>
  <c r="S126" i="2"/>
  <c r="G31" i="3"/>
  <c r="G21" i="3"/>
  <c r="G62" i="3"/>
  <c r="G8" i="3"/>
  <c r="R128" i="2"/>
  <c r="R126" i="2"/>
  <c r="E127" i="2"/>
  <c r="E126" i="2"/>
  <c r="R125" i="30"/>
  <c r="R126" i="30" s="1"/>
  <c r="R115" i="30"/>
  <c r="D120" i="30"/>
  <c r="D153" i="30"/>
  <c r="S153" i="30" s="1"/>
  <c r="D33" i="30"/>
  <c r="D50" i="30"/>
  <c r="S50" i="30" s="1"/>
  <c r="D48" i="30"/>
  <c r="S48" i="30" s="1"/>
  <c r="D157" i="30"/>
  <c r="S157" i="30" s="1"/>
  <c r="D152" i="30"/>
  <c r="S152" i="30" s="1"/>
  <c r="D130" i="30"/>
  <c r="D27" i="30"/>
  <c r="D30" i="30" s="1"/>
  <c r="D155" i="30"/>
  <c r="S155" i="30" s="1"/>
  <c r="D132" i="30"/>
  <c r="D142" i="30" s="1"/>
  <c r="D47" i="30"/>
  <c r="D154" i="30"/>
  <c r="S154" i="30" s="1"/>
  <c r="D49" i="30"/>
  <c r="S49" i="30" s="1"/>
  <c r="AL310" i="29"/>
  <c r="S42" i="2"/>
  <c r="U42" i="2"/>
  <c r="E32" i="3"/>
  <c r="E11" i="3"/>
  <c r="AC108" i="29"/>
  <c r="F11" i="3"/>
  <c r="D163" i="2"/>
  <c r="I163" i="30" s="1"/>
  <c r="C78" i="3"/>
  <c r="G59" i="3" s="1"/>
  <c r="C164" i="2"/>
  <c r="T162" i="2" s="1"/>
  <c r="AC152" i="1"/>
  <c r="AC161" i="1"/>
  <c r="AD161" i="1"/>
  <c r="K152" i="1"/>
  <c r="K161" i="1"/>
  <c r="L161" i="1"/>
  <c r="G128" i="2"/>
  <c r="C125" i="30"/>
  <c r="C128" i="30" s="1"/>
  <c r="AE152" i="1"/>
  <c r="AG157" i="1" s="1"/>
  <c r="AC156" i="1"/>
  <c r="AA161" i="1"/>
  <c r="AB161" i="1"/>
  <c r="D59" i="367"/>
  <c r="D60" i="367" s="1"/>
  <c r="AE156" i="1"/>
  <c r="BK8" i="115"/>
  <c r="E105" i="29"/>
  <c r="K11" i="114" s="1"/>
  <c r="K12" i="114" s="1"/>
  <c r="K18" i="114" s="1"/>
  <c r="R108" i="29"/>
  <c r="N108" i="29"/>
  <c r="C141" i="30"/>
  <c r="C123" i="30"/>
  <c r="M103" i="1"/>
  <c r="M166" i="1"/>
  <c r="M166" i="29" s="1"/>
  <c r="M151" i="1"/>
  <c r="O166" i="1"/>
  <c r="O166" i="29" s="1"/>
  <c r="O151" i="1"/>
  <c r="S156" i="1" s="1"/>
  <c r="AA152" i="1"/>
  <c r="AA153" i="1" s="1"/>
  <c r="Q166" i="1"/>
  <c r="Q166" i="29" s="1"/>
  <c r="Q151" i="1"/>
  <c r="U156" i="1" s="1"/>
  <c r="F62" i="367"/>
  <c r="F63" i="367" s="1"/>
  <c r="C128" i="2"/>
  <c r="S128" i="2"/>
  <c r="S144" i="2"/>
  <c r="S147" i="2" s="1"/>
  <c r="R43" i="30"/>
  <c r="D77" i="3"/>
  <c r="G41" i="2"/>
  <c r="G42" i="2" s="1"/>
  <c r="V157" i="2"/>
  <c r="G24" i="3"/>
  <c r="G15" i="3"/>
  <c r="T42" i="2"/>
  <c r="G17" i="3"/>
  <c r="G97" i="2"/>
  <c r="G98" i="2"/>
  <c r="Q98" i="30"/>
  <c r="G37" i="3"/>
  <c r="AB58" i="1"/>
  <c r="AB61" i="1" s="1"/>
  <c r="G18" i="3"/>
  <c r="G47" i="3"/>
  <c r="R41" i="30"/>
  <c r="E128" i="2"/>
  <c r="I62" i="367"/>
  <c r="I63" i="367" s="1"/>
  <c r="AK232" i="29"/>
  <c r="AK62" i="29"/>
  <c r="R113" i="30" s="1"/>
  <c r="AK47" i="29"/>
  <c r="R63" i="30" s="1"/>
  <c r="R99" i="30" s="1"/>
  <c r="AK51" i="29"/>
  <c r="AK67" i="29"/>
  <c r="AK46" i="29"/>
  <c r="R62" i="30" s="1"/>
  <c r="R98" i="30" s="1"/>
  <c r="AK38" i="29"/>
  <c r="AK116" i="29"/>
  <c r="AK299" i="29"/>
  <c r="AK300" i="29" s="1"/>
  <c r="AK48" i="29"/>
  <c r="AK59" i="29"/>
  <c r="AK76" i="29"/>
  <c r="AU103" i="114" s="1"/>
  <c r="AK45" i="29"/>
  <c r="R61" i="30" s="1"/>
  <c r="AU81" i="114" s="1"/>
  <c r="AK37" i="29"/>
  <c r="AK17" i="29" s="1"/>
  <c r="AU54" i="114" s="1"/>
  <c r="AK8" i="29"/>
  <c r="AK42" i="29"/>
  <c r="R66" i="30" s="1"/>
  <c r="AK228" i="29"/>
  <c r="AK43" i="29"/>
  <c r="AK110" i="29"/>
  <c r="AK111" i="29" s="1"/>
  <c r="AK50" i="29"/>
  <c r="AK63" i="29"/>
  <c r="AK54" i="29"/>
  <c r="AK64" i="29"/>
  <c r="AK77" i="29"/>
  <c r="AU104" i="114" s="1"/>
  <c r="AK240" i="29"/>
  <c r="AK49" i="29"/>
  <c r="AK60" i="29"/>
  <c r="G99" i="2"/>
  <c r="Q118" i="30"/>
  <c r="Q99" i="30"/>
  <c r="Q123" i="30"/>
  <c r="Q44" i="30"/>
  <c r="J53" i="114"/>
  <c r="AG53" i="114"/>
  <c r="AG106" i="114"/>
  <c r="AG14" i="114"/>
  <c r="AG13" i="114" s="1"/>
  <c r="J14" i="114"/>
  <c r="J13" i="114" s="1"/>
  <c r="R30" i="114"/>
  <c r="AE68" i="1"/>
  <c r="G134" i="2"/>
  <c r="G143" i="2" s="1"/>
  <c r="G144" i="2" s="1"/>
  <c r="G147" i="2" s="1"/>
  <c r="I18" i="1"/>
  <c r="I27" i="1" s="1"/>
  <c r="AE99" i="1"/>
  <c r="U128" i="2"/>
  <c r="I37" i="1"/>
  <c r="AA37" i="1" s="1"/>
  <c r="AA39" i="1" s="1"/>
  <c r="AA17" i="1"/>
  <c r="AA21" i="1" s="1"/>
  <c r="E54" i="367" s="1"/>
  <c r="E55" i="367" s="1"/>
  <c r="I21" i="1"/>
  <c r="J35" i="2"/>
  <c r="E144" i="2"/>
  <c r="E147" i="2" s="1"/>
  <c r="AN107" i="29"/>
  <c r="AN108" i="29" s="1"/>
  <c r="R127" i="2"/>
  <c r="V98" i="2"/>
  <c r="V44" i="2"/>
  <c r="V123" i="2"/>
  <c r="D51" i="30"/>
  <c r="S51" i="30" s="1"/>
  <c r="AC52" i="1"/>
  <c r="AC58" i="1" s="1"/>
  <c r="H40" i="2"/>
  <c r="H111" i="2" s="1"/>
  <c r="R131" i="30"/>
  <c r="R133" i="30" s="1"/>
  <c r="R134" i="30" s="1"/>
  <c r="R143" i="30" s="1"/>
  <c r="C18" i="3"/>
  <c r="H18" i="2"/>
  <c r="I128" i="2"/>
  <c r="T167" i="2"/>
  <c r="F15" i="3"/>
  <c r="AE77" i="1"/>
  <c r="AE78" i="1" s="1"/>
  <c r="C22" i="3"/>
  <c r="F135" i="2"/>
  <c r="F17" i="3"/>
  <c r="C32" i="3"/>
  <c r="E73" i="367"/>
  <c r="E74" i="367" s="1"/>
  <c r="C12" i="3"/>
  <c r="E16" i="3"/>
  <c r="E18" i="3"/>
  <c r="E24" i="3"/>
  <c r="E26" i="3" s="1"/>
  <c r="E37" i="3"/>
  <c r="V24" i="114"/>
  <c r="V30" i="114" s="1"/>
  <c r="E299" i="29"/>
  <c r="E17" i="29"/>
  <c r="D8" i="719" s="1"/>
  <c r="D40" i="719" s="1"/>
  <c r="E8" i="29"/>
  <c r="R116" i="30"/>
  <c r="R144" i="2"/>
  <c r="R147" i="2" s="1"/>
  <c r="U135" i="2"/>
  <c r="U164" i="2" s="1"/>
  <c r="I8" i="367"/>
  <c r="R117" i="30"/>
  <c r="R118" i="30"/>
  <c r="F310" i="29"/>
  <c r="R140" i="30"/>
  <c r="R158" i="30"/>
  <c r="Q135" i="2"/>
  <c r="T123" i="2"/>
  <c r="T141" i="2"/>
  <c r="T144" i="2" s="1"/>
  <c r="T121" i="2"/>
  <c r="F20" i="3"/>
  <c r="T125" i="2"/>
  <c r="T126" i="2" s="1"/>
  <c r="T122" i="2"/>
  <c r="X58" i="29"/>
  <c r="X61" i="1"/>
  <c r="X69" i="29"/>
  <c r="AV29" i="114"/>
  <c r="G118" i="2"/>
  <c r="G123" i="2"/>
  <c r="G44" i="2"/>
  <c r="Y46" i="29"/>
  <c r="D62" i="30" s="1"/>
  <c r="Y54" i="29"/>
  <c r="AL54" i="29" s="1"/>
  <c r="Y48" i="29"/>
  <c r="Y51" i="29"/>
  <c r="AL51" i="29" s="1"/>
  <c r="Y66" i="29"/>
  <c r="AL66" i="29" s="1"/>
  <c r="Y67" i="29"/>
  <c r="Y299" i="29"/>
  <c r="Y50" i="29"/>
  <c r="AL50" i="29" s="1"/>
  <c r="Y76" i="29"/>
  <c r="Y49" i="29"/>
  <c r="AL49" i="29" s="1"/>
  <c r="Y45" i="29"/>
  <c r="D61" i="30" s="1"/>
  <c r="Y62" i="29"/>
  <c r="Y42" i="29"/>
  <c r="Y63" i="29"/>
  <c r="AL63" i="29" s="1"/>
  <c r="Y116" i="29"/>
  <c r="Y60" i="29"/>
  <c r="AL60" i="29" s="1"/>
  <c r="Y47" i="29"/>
  <c r="D63" i="30" s="1"/>
  <c r="Y117" i="29"/>
  <c r="Y59" i="29"/>
  <c r="AL59" i="29" s="1"/>
  <c r="Y43" i="29"/>
  <c r="AL43" i="29" s="1"/>
  <c r="Y37" i="29"/>
  <c r="Y38" i="29"/>
  <c r="AL38" i="29" s="1"/>
  <c r="Y14" i="29"/>
  <c r="Y118" i="29"/>
  <c r="Y77" i="29"/>
  <c r="AH104" i="114" s="1"/>
  <c r="Y58" i="29"/>
  <c r="AL172" i="29"/>
  <c r="AL214" i="29"/>
  <c r="AL198" i="29"/>
  <c r="AL208" i="29"/>
  <c r="AL174" i="29"/>
  <c r="AL181" i="29"/>
  <c r="AL201" i="29"/>
  <c r="AL191" i="29"/>
  <c r="AL182" i="29"/>
  <c r="AL188" i="29"/>
  <c r="AL189" i="29"/>
  <c r="AL173" i="29"/>
  <c r="AL192" i="29"/>
  <c r="AL178" i="29"/>
  <c r="AL177" i="29"/>
  <c r="AL209" i="29"/>
  <c r="AL183" i="29"/>
  <c r="AL211" i="29"/>
  <c r="AL190" i="29"/>
  <c r="AL305" i="29"/>
  <c r="AL195" i="29"/>
  <c r="AL175" i="29"/>
  <c r="AL194" i="29"/>
  <c r="AL176" i="29"/>
  <c r="AL200" i="29"/>
  <c r="AL212" i="29"/>
  <c r="Y212" i="29" s="1"/>
  <c r="AL202" i="29"/>
  <c r="E202" i="29" s="1"/>
  <c r="AL184" i="29"/>
  <c r="E184" i="29" s="1"/>
  <c r="G44" i="3"/>
  <c r="U167" i="2"/>
  <c r="R135" i="2"/>
  <c r="U10" i="30"/>
  <c r="U17" i="30"/>
  <c r="E17" i="3"/>
  <c r="B19" i="367"/>
  <c r="E18" i="2"/>
  <c r="H10" i="3"/>
  <c r="H11" i="3" s="1"/>
  <c r="V43" i="2"/>
  <c r="V41" i="2"/>
  <c r="V42" i="2" s="1"/>
  <c r="U22" i="2"/>
  <c r="U23" i="2" s="1"/>
  <c r="AN96" i="29"/>
  <c r="AO97" i="1"/>
  <c r="AN97" i="1"/>
  <c r="AO98" i="1"/>
  <c r="AP99" i="1" s="1"/>
  <c r="AN98" i="1"/>
  <c r="AN99" i="1" s="1"/>
  <c r="AN116" i="1"/>
  <c r="Z310" i="29"/>
  <c r="Y316" i="29"/>
  <c r="Y315" i="29" s="1"/>
  <c r="D43" i="2"/>
  <c r="D44" i="2"/>
  <c r="D97" i="2"/>
  <c r="D123" i="2"/>
  <c r="D99" i="2"/>
  <c r="E43" i="2"/>
  <c r="D40" i="30"/>
  <c r="AD23" i="725" s="1"/>
  <c r="D18" i="3"/>
  <c r="E15" i="3"/>
  <c r="M10" i="1"/>
  <c r="AC97" i="29"/>
  <c r="AC98" i="29"/>
  <c r="AC99" i="29" s="1"/>
  <c r="AD97" i="29"/>
  <c r="D116" i="2"/>
  <c r="D125" i="2"/>
  <c r="F126" i="2" s="1"/>
  <c r="D118" i="2"/>
  <c r="D131" i="2"/>
  <c r="D133" i="2" s="1"/>
  <c r="E158" i="2"/>
  <c r="D140" i="2"/>
  <c r="D114" i="30"/>
  <c r="AD86" i="725" s="1"/>
  <c r="F117" i="2"/>
  <c r="D158" i="2"/>
  <c r="D148" i="30"/>
  <c r="D17" i="3"/>
  <c r="AE112" i="1"/>
  <c r="D24" i="3"/>
  <c r="D25" i="3" s="1"/>
  <c r="E105" i="1"/>
  <c r="I107" i="1"/>
  <c r="M108" i="1" s="1"/>
  <c r="D37" i="3"/>
  <c r="N97" i="1"/>
  <c r="M96" i="29"/>
  <c r="Q98" i="1"/>
  <c r="U99" i="1" s="1"/>
  <c r="M97" i="1"/>
  <c r="AC112" i="1"/>
  <c r="D16" i="3"/>
  <c r="M98" i="1"/>
  <c r="M99" i="1" s="1"/>
  <c r="D15" i="3"/>
  <c r="O10" i="114"/>
  <c r="S23" i="114" s="1"/>
  <c r="I105" i="29"/>
  <c r="O11" i="114" s="1"/>
  <c r="I102" i="29"/>
  <c r="M103" i="29" s="1"/>
  <c r="J17" i="367"/>
  <c r="J22" i="367" s="1"/>
  <c r="F20" i="2"/>
  <c r="F19" i="2"/>
  <c r="C24" i="367"/>
  <c r="F17" i="2"/>
  <c r="AA195" i="29"/>
  <c r="M105" i="29"/>
  <c r="S11" i="114" s="1"/>
  <c r="S12" i="114" s="1"/>
  <c r="M107" i="29"/>
  <c r="M108" i="29" s="1"/>
  <c r="H140" i="2"/>
  <c r="H116" i="2"/>
  <c r="H131" i="2"/>
  <c r="H133" i="2" s="1"/>
  <c r="H125" i="2"/>
  <c r="H117" i="2"/>
  <c r="I195" i="29"/>
  <c r="H23" i="367"/>
  <c r="H28" i="367" s="1"/>
  <c r="S17" i="114"/>
  <c r="D12" i="2"/>
  <c r="C19" i="367" s="1"/>
  <c r="C53" i="367"/>
  <c r="AJ78" i="29"/>
  <c r="AJ40" i="29"/>
  <c r="AG60" i="114"/>
  <c r="G106" i="29"/>
  <c r="M11" i="114"/>
  <c r="M18" i="114"/>
  <c r="N18" i="114"/>
  <c r="R46" i="3"/>
  <c r="G55" i="3"/>
  <c r="AY130" i="114"/>
  <c r="AY131" i="114"/>
  <c r="AU14" i="114"/>
  <c r="R19" i="30"/>
  <c r="R20" i="30"/>
  <c r="J90" i="2"/>
  <c r="V63" i="2"/>
  <c r="J72" i="2"/>
  <c r="J99" i="2"/>
  <c r="J81" i="2"/>
  <c r="M8" i="3"/>
  <c r="Q23" i="114"/>
  <c r="Q17" i="114"/>
  <c r="R17" i="114"/>
  <c r="AK10" i="114"/>
  <c r="C89" i="30"/>
  <c r="C98" i="30"/>
  <c r="Q128" i="30"/>
  <c r="Q127" i="30"/>
  <c r="AE243" i="1"/>
  <c r="C58" i="30"/>
  <c r="AJ21" i="29"/>
  <c r="AT54" i="114"/>
  <c r="K102" i="1"/>
  <c r="K105" i="1"/>
  <c r="Q134" i="30"/>
  <c r="Q143" i="30" s="1"/>
  <c r="Q144" i="30" s="1"/>
  <c r="Q147" i="30" s="1"/>
  <c r="Q10" i="1"/>
  <c r="G16" i="712"/>
  <c r="O133" i="115"/>
  <c r="P121" i="115"/>
  <c r="J151" i="2"/>
  <c r="J148" i="2"/>
  <c r="V148" i="2" s="1"/>
  <c r="V167" i="2" s="1"/>
  <c r="C97" i="30"/>
  <c r="C88" i="30"/>
  <c r="X21" i="29"/>
  <c r="X55" i="29"/>
  <c r="X40" i="29"/>
  <c r="E205" i="1"/>
  <c r="AL205" i="29"/>
  <c r="C26" i="3"/>
  <c r="C28" i="3"/>
  <c r="C40" i="3"/>
  <c r="Y64" i="1"/>
  <c r="Y64" i="29" s="1"/>
  <c r="Y61" i="29"/>
  <c r="AW131" i="114"/>
  <c r="AW130" i="114"/>
  <c r="AX131" i="114"/>
  <c r="AX130" i="114"/>
  <c r="E203" i="1"/>
  <c r="AL203" i="29"/>
  <c r="J60" i="114"/>
  <c r="J91" i="114"/>
  <c r="J92" i="114"/>
  <c r="AA243" i="1"/>
  <c r="I97" i="29"/>
  <c r="J97" i="29"/>
  <c r="I98" i="29"/>
  <c r="I38" i="3"/>
  <c r="H62" i="367"/>
  <c r="H63" i="367" s="1"/>
  <c r="H59" i="367"/>
  <c r="H60" i="367" s="1"/>
  <c r="AK61" i="1"/>
  <c r="AK58" i="29"/>
  <c r="Q107" i="1"/>
  <c r="Q108" i="1" s="1"/>
  <c r="Q106" i="29"/>
  <c r="H19" i="2"/>
  <c r="H20" i="2"/>
  <c r="I20" i="2"/>
  <c r="H27" i="2"/>
  <c r="J19" i="2"/>
  <c r="AC205" i="1"/>
  <c r="C90" i="30"/>
  <c r="C99" i="30"/>
  <c r="Q97" i="30"/>
  <c r="Q88" i="30"/>
  <c r="I143" i="2"/>
  <c r="I144" i="2" s="1"/>
  <c r="I147" i="2" s="1"/>
  <c r="I27" i="367"/>
  <c r="I23" i="367"/>
  <c r="I28" i="367" s="1"/>
  <c r="M203" i="1"/>
  <c r="Z64" i="1"/>
  <c r="AJ52" i="29"/>
  <c r="AJ55" i="29" s="1"/>
  <c r="I135" i="2"/>
  <c r="S135" i="2"/>
  <c r="C91" i="30"/>
  <c r="C100" i="30"/>
  <c r="K205" i="1"/>
  <c r="O205" i="1"/>
  <c r="Q12" i="114"/>
  <c r="AE58" i="1"/>
  <c r="AE61" i="1" s="1"/>
  <c r="AE55" i="1"/>
  <c r="Y318" i="29"/>
  <c r="AL287" i="29" l="1"/>
  <c r="AL286" i="29"/>
  <c r="AL291" i="29"/>
  <c r="AL290" i="29"/>
  <c r="AL289" i="29"/>
  <c r="AL288" i="29"/>
  <c r="S112" i="1"/>
  <c r="C33" i="723"/>
  <c r="D11" i="723"/>
  <c r="C27" i="723"/>
  <c r="C29" i="723"/>
  <c r="C46" i="723"/>
  <c r="D11" i="724"/>
  <c r="C12" i="724"/>
  <c r="C23" i="724"/>
  <c r="E55" i="724"/>
  <c r="E55" i="723"/>
  <c r="C33" i="724"/>
  <c r="C19" i="723"/>
  <c r="C12" i="723"/>
  <c r="C38" i="723"/>
  <c r="C37" i="723"/>
  <c r="D19" i="724"/>
  <c r="D16" i="724"/>
  <c r="D35" i="724"/>
  <c r="D18" i="724"/>
  <c r="D25" i="724"/>
  <c r="D43" i="724"/>
  <c r="D49" i="724" s="1"/>
  <c r="D17" i="724"/>
  <c r="C27" i="724"/>
  <c r="C29" i="724"/>
  <c r="C46" i="724"/>
  <c r="C38" i="724"/>
  <c r="C37" i="724"/>
  <c r="D43" i="723"/>
  <c r="D49" i="723" s="1"/>
  <c r="D19" i="723"/>
  <c r="D25" i="723"/>
  <c r="D18" i="723"/>
  <c r="D35" i="723"/>
  <c r="D16" i="723"/>
  <c r="D17" i="723"/>
  <c r="J110" i="2"/>
  <c r="J18" i="2"/>
  <c r="L18" i="2"/>
  <c r="U107" i="1"/>
  <c r="U108" i="1" s="1"/>
  <c r="U106" i="29"/>
  <c r="AG111" i="1"/>
  <c r="AG112" i="1" s="1"/>
  <c r="U111" i="1"/>
  <c r="U112" i="1" s="1"/>
  <c r="AG99" i="29"/>
  <c r="AP98" i="29"/>
  <c r="AP97" i="29"/>
  <c r="D88" i="597"/>
  <c r="S130" i="30"/>
  <c r="AD98" i="725"/>
  <c r="C23" i="598"/>
  <c r="S120" i="30"/>
  <c r="AT106" i="114"/>
  <c r="AT86" i="114"/>
  <c r="AT88" i="114"/>
  <c r="AT87" i="114"/>
  <c r="AU86" i="114"/>
  <c r="C33" i="31"/>
  <c r="C19" i="598"/>
  <c r="D11" i="31"/>
  <c r="O10" i="722"/>
  <c r="Q11" i="722"/>
  <c r="P9" i="722"/>
  <c r="P10" i="722" s="1"/>
  <c r="D11" i="598"/>
  <c r="C29" i="598"/>
  <c r="C46" i="598"/>
  <c r="C27" i="598"/>
  <c r="C23" i="597"/>
  <c r="C12" i="597"/>
  <c r="D25" i="597"/>
  <c r="D18" i="597"/>
  <c r="D19" i="597"/>
  <c r="D17" i="597"/>
  <c r="D43" i="597"/>
  <c r="D49" i="597" s="1"/>
  <c r="D16" i="597"/>
  <c r="D35" i="597"/>
  <c r="C38" i="31"/>
  <c r="C37" i="31"/>
  <c r="C29" i="31"/>
  <c r="C27" i="31"/>
  <c r="C46" i="31"/>
  <c r="C23" i="31"/>
  <c r="C12" i="31"/>
  <c r="C33" i="598"/>
  <c r="C19" i="597"/>
  <c r="C33" i="597"/>
  <c r="C38" i="597"/>
  <c r="C37" i="597"/>
  <c r="D25" i="598"/>
  <c r="D19" i="598"/>
  <c r="D35" i="598"/>
  <c r="D16" i="598"/>
  <c r="D43" i="598"/>
  <c r="D18" i="598"/>
  <c r="D17" i="598"/>
  <c r="E55" i="31"/>
  <c r="E55" i="598"/>
  <c r="E55" i="597"/>
  <c r="D56" i="597"/>
  <c r="C46" i="597"/>
  <c r="C29" i="597"/>
  <c r="C27" i="597"/>
  <c r="D35" i="31"/>
  <c r="D36" i="31" s="1"/>
  <c r="D25" i="31"/>
  <c r="D43" i="31"/>
  <c r="D49" i="31" s="1"/>
  <c r="D17" i="31"/>
  <c r="D16" i="31"/>
  <c r="D18" i="31"/>
  <c r="D19" i="31"/>
  <c r="C38" i="598"/>
  <c r="C37" i="598"/>
  <c r="D11" i="597"/>
  <c r="D56" i="598"/>
  <c r="L15" i="722"/>
  <c r="K15" i="722"/>
  <c r="O13" i="722" s="1"/>
  <c r="L10" i="722"/>
  <c r="Y8" i="29"/>
  <c r="AL8" i="29" s="1"/>
  <c r="AL151" i="29" s="1"/>
  <c r="T68" i="1"/>
  <c r="P69" i="1"/>
  <c r="J111" i="2"/>
  <c r="J109" i="2"/>
  <c r="AK68" i="29"/>
  <c r="R108" i="30"/>
  <c r="AH98" i="114"/>
  <c r="D108" i="30"/>
  <c r="AD62" i="725" s="1"/>
  <c r="AD46" i="725" s="1"/>
  <c r="AL62" i="29"/>
  <c r="S113" i="30" s="1"/>
  <c r="D113" i="30"/>
  <c r="AD74" i="725" s="1"/>
  <c r="Z30" i="114"/>
  <c r="U101" i="2"/>
  <c r="U92" i="2"/>
  <c r="Q19" i="1"/>
  <c r="AL257" i="29"/>
  <c r="AL258" i="29"/>
  <c r="AL265" i="29"/>
  <c r="AL264" i="29"/>
  <c r="AL263" i="29"/>
  <c r="AL262" i="29"/>
  <c r="AL261" i="29"/>
  <c r="AL260" i="29"/>
  <c r="AL259" i="29"/>
  <c r="AL256" i="29"/>
  <c r="AL255" i="29"/>
  <c r="AL253" i="29"/>
  <c r="AL252" i="29"/>
  <c r="AL251" i="29"/>
  <c r="AL250" i="29"/>
  <c r="AL248" i="29"/>
  <c r="AL266" i="29"/>
  <c r="D100" i="2"/>
  <c r="D91" i="2"/>
  <c r="D65" i="2"/>
  <c r="D67" i="2" s="1"/>
  <c r="D103" i="2" s="1"/>
  <c r="D82" i="2"/>
  <c r="T179" i="30"/>
  <c r="U74" i="2"/>
  <c r="U83" i="2"/>
  <c r="I73" i="2"/>
  <c r="Q100" i="30"/>
  <c r="G65" i="2"/>
  <c r="I74" i="2" s="1"/>
  <c r="G73" i="2"/>
  <c r="G91" i="2"/>
  <c r="AL42" i="29"/>
  <c r="S66" i="30" s="1"/>
  <c r="D66" i="30"/>
  <c r="D93" i="30" s="1"/>
  <c r="I67" i="2"/>
  <c r="I92" i="2"/>
  <c r="I101" i="2"/>
  <c r="T67" i="2"/>
  <c r="U76" i="2" s="1"/>
  <c r="T101" i="2"/>
  <c r="T83" i="2"/>
  <c r="T74" i="2"/>
  <c r="T92" i="2"/>
  <c r="H43" i="2"/>
  <c r="H64" i="2"/>
  <c r="H102" i="2"/>
  <c r="R102" i="30"/>
  <c r="R84" i="30"/>
  <c r="R75" i="30"/>
  <c r="R93" i="30"/>
  <c r="S67" i="2"/>
  <c r="S101" i="2"/>
  <c r="S92" i="2"/>
  <c r="S74" i="2"/>
  <c r="S83" i="2"/>
  <c r="E67" i="2"/>
  <c r="E92" i="2"/>
  <c r="E74" i="2"/>
  <c r="E101" i="2"/>
  <c r="Q67" i="2"/>
  <c r="Q92" i="2"/>
  <c r="Q101" i="2"/>
  <c r="R83" i="2"/>
  <c r="R74" i="2"/>
  <c r="S33" i="30"/>
  <c r="Q65" i="30"/>
  <c r="Q67" i="30" s="1"/>
  <c r="R64" i="30"/>
  <c r="R73" i="30" s="1"/>
  <c r="U94" i="2"/>
  <c r="U103" i="2"/>
  <c r="S107" i="1"/>
  <c r="S108" i="1" s="1"/>
  <c r="S106" i="29"/>
  <c r="S107" i="29" s="1"/>
  <c r="AE162" i="1"/>
  <c r="AF162" i="1"/>
  <c r="AH63" i="114"/>
  <c r="AV63" i="114" s="1"/>
  <c r="K73" i="719"/>
  <c r="K84" i="719" s="1"/>
  <c r="U12" i="114"/>
  <c r="U18" i="114" s="1"/>
  <c r="AU105" i="114"/>
  <c r="O107" i="29"/>
  <c r="I111" i="1"/>
  <c r="M112" i="1" s="1"/>
  <c r="D13" i="30"/>
  <c r="D20" i="30" s="1"/>
  <c r="D141" i="30"/>
  <c r="R127" i="30"/>
  <c r="R128" i="30"/>
  <c r="AL311" i="29"/>
  <c r="E179" i="30"/>
  <c r="D122" i="30"/>
  <c r="D38" i="30"/>
  <c r="D54" i="30"/>
  <c r="D57" i="30"/>
  <c r="S47" i="30"/>
  <c r="S27" i="30"/>
  <c r="S30" i="30" s="1"/>
  <c r="D36" i="30"/>
  <c r="S132" i="30"/>
  <c r="U126" i="2"/>
  <c r="H127" i="2"/>
  <c r="H126" i="2"/>
  <c r="D55" i="30"/>
  <c r="D56" i="30"/>
  <c r="L18" i="114"/>
  <c r="I42" i="2"/>
  <c r="AE157" i="1"/>
  <c r="C144" i="30"/>
  <c r="C147" i="30" s="1"/>
  <c r="M19" i="1"/>
  <c r="H59" i="3"/>
  <c r="U163" i="2"/>
  <c r="H97" i="2"/>
  <c r="C127" i="30"/>
  <c r="AC54" i="1"/>
  <c r="AC55" i="1" s="1"/>
  <c r="H164" i="30"/>
  <c r="D78" i="3"/>
  <c r="G60" i="3"/>
  <c r="V162" i="2"/>
  <c r="V163" i="2"/>
  <c r="E28" i="3"/>
  <c r="H60" i="3"/>
  <c r="U162" i="2"/>
  <c r="D164" i="2"/>
  <c r="I164" i="30" s="1"/>
  <c r="T163" i="2"/>
  <c r="AE153" i="1"/>
  <c r="AG158" i="1" s="1"/>
  <c r="J41" i="2"/>
  <c r="L42" i="2" s="1"/>
  <c r="H44" i="2"/>
  <c r="AA163" i="1"/>
  <c r="AB163" i="1"/>
  <c r="AC157" i="1"/>
  <c r="AA162" i="1"/>
  <c r="AB162" i="1"/>
  <c r="O161" i="1"/>
  <c r="P161" i="1"/>
  <c r="K153" i="1"/>
  <c r="K162" i="1"/>
  <c r="L162" i="1"/>
  <c r="M161" i="1"/>
  <c r="N161" i="1"/>
  <c r="AC162" i="1"/>
  <c r="AD162" i="1"/>
  <c r="T147" i="2"/>
  <c r="Q161" i="1"/>
  <c r="R161" i="1"/>
  <c r="AC153" i="1"/>
  <c r="E40" i="3"/>
  <c r="E57" i="3" s="1"/>
  <c r="E84" i="3" s="1"/>
  <c r="AU52" i="114"/>
  <c r="AU72" i="114" s="1"/>
  <c r="AK151" i="29"/>
  <c r="AK161" i="29" s="1"/>
  <c r="R12" i="30"/>
  <c r="R18" i="30" s="1"/>
  <c r="O152" i="1"/>
  <c r="S157" i="1" s="1"/>
  <c r="O156" i="1"/>
  <c r="M152" i="1"/>
  <c r="Q156" i="1"/>
  <c r="Q152" i="1"/>
  <c r="U157" i="1" s="1"/>
  <c r="AM17" i="1"/>
  <c r="B10" i="728" s="1"/>
  <c r="B11" i="728" s="1"/>
  <c r="B23" i="728" s="1"/>
  <c r="B24" i="728" s="1"/>
  <c r="B26" i="728" s="1"/>
  <c r="B27" i="728" s="1"/>
  <c r="AA78" i="1"/>
  <c r="AC18" i="1"/>
  <c r="AE19" i="1" s="1"/>
  <c r="G40" i="3"/>
  <c r="G57" i="3" s="1"/>
  <c r="G84" i="3" s="1"/>
  <c r="P77" i="3"/>
  <c r="G26" i="3"/>
  <c r="AK69" i="29"/>
  <c r="G28" i="3"/>
  <c r="O78" i="3"/>
  <c r="P78" i="3" s="1"/>
  <c r="C163" i="30"/>
  <c r="C164" i="30" s="1"/>
  <c r="H99" i="2"/>
  <c r="AA18" i="1"/>
  <c r="AK21" i="29"/>
  <c r="R81" i="30"/>
  <c r="R90" i="30"/>
  <c r="R72" i="30"/>
  <c r="AK27" i="29"/>
  <c r="AK78" i="29"/>
  <c r="H118" i="2"/>
  <c r="AK18" i="29"/>
  <c r="J114" i="2"/>
  <c r="R70" i="30"/>
  <c r="H98" i="2"/>
  <c r="R97" i="30"/>
  <c r="R71" i="30"/>
  <c r="R144" i="30"/>
  <c r="R147" i="30" s="1"/>
  <c r="D7" i="719"/>
  <c r="D39" i="719" s="1"/>
  <c r="R88" i="30"/>
  <c r="R89" i="30"/>
  <c r="I43" i="2"/>
  <c r="R79" i="30"/>
  <c r="R80" i="30"/>
  <c r="AU98" i="114"/>
  <c r="H123" i="2"/>
  <c r="AK39" i="29"/>
  <c r="AU76" i="114" s="1"/>
  <c r="AU77" i="114" s="1"/>
  <c r="AA69" i="1"/>
  <c r="AA27" i="1"/>
  <c r="AC27" i="1"/>
  <c r="AK9" i="29"/>
  <c r="D58" i="30"/>
  <c r="AL76" i="29"/>
  <c r="AV103" i="114" s="1"/>
  <c r="AH103" i="114"/>
  <c r="AH76" i="114"/>
  <c r="AH78" i="114"/>
  <c r="AU106" i="114"/>
  <c r="AT78" i="114"/>
  <c r="AT53" i="114"/>
  <c r="AT60" i="114"/>
  <c r="G135" i="2"/>
  <c r="D28" i="3"/>
  <c r="E212" i="29"/>
  <c r="AE99" i="29"/>
  <c r="E27" i="3"/>
  <c r="K54" i="114"/>
  <c r="H8" i="725" s="1"/>
  <c r="AD8" i="725" s="1"/>
  <c r="E37" i="29"/>
  <c r="D7" i="711"/>
  <c r="E25" i="3"/>
  <c r="Y184" i="29"/>
  <c r="H128" i="2"/>
  <c r="E21" i="29"/>
  <c r="F311" i="29"/>
  <c r="K52" i="114"/>
  <c r="K72" i="114" s="1"/>
  <c r="D26" i="3"/>
  <c r="Y202" i="29"/>
  <c r="H18" i="367"/>
  <c r="T128" i="2"/>
  <c r="T127" i="2"/>
  <c r="F21" i="3"/>
  <c r="F22" i="3"/>
  <c r="F24" i="3"/>
  <c r="Q99" i="1"/>
  <c r="H12" i="3"/>
  <c r="D40" i="3"/>
  <c r="D57" i="3" s="1"/>
  <c r="D84" i="3" s="1"/>
  <c r="AL58" i="29"/>
  <c r="D27" i="3"/>
  <c r="F18" i="2"/>
  <c r="X64" i="1"/>
  <c r="X64" i="29" s="1"/>
  <c r="AL64" i="29" s="1"/>
  <c r="X61" i="29"/>
  <c r="AL61" i="29" s="1"/>
  <c r="J27" i="367"/>
  <c r="J23" i="367"/>
  <c r="E178" i="29"/>
  <c r="Y178" i="29"/>
  <c r="D106" i="30"/>
  <c r="AL45" i="29"/>
  <c r="S61" i="30" s="1"/>
  <c r="AV81" i="114" s="1"/>
  <c r="Y192" i="29"/>
  <c r="E192" i="29"/>
  <c r="H134" i="2"/>
  <c r="H143" i="2" s="1"/>
  <c r="H144" i="2" s="1"/>
  <c r="H147" i="2" s="1"/>
  <c r="U147" i="2" s="1"/>
  <c r="Z311" i="29"/>
  <c r="E173" i="29"/>
  <c r="Y173" i="29"/>
  <c r="M97" i="29"/>
  <c r="N97" i="29"/>
  <c r="Q98" i="29"/>
  <c r="U99" i="29" s="1"/>
  <c r="E189" i="29"/>
  <c r="Y189" i="29"/>
  <c r="E188" i="29"/>
  <c r="Y188" i="29"/>
  <c r="C67" i="367"/>
  <c r="C69" i="367" s="1"/>
  <c r="C71" i="367" s="1"/>
  <c r="C55" i="367"/>
  <c r="C57" i="367" s="1"/>
  <c r="D44" i="30"/>
  <c r="D43" i="30"/>
  <c r="S40" i="30"/>
  <c r="D123" i="30"/>
  <c r="AO99" i="1"/>
  <c r="Y200" i="29"/>
  <c r="E200" i="29"/>
  <c r="E182" i="29"/>
  <c r="Y182" i="29"/>
  <c r="Y39" i="29"/>
  <c r="Y17" i="29"/>
  <c r="Y69" i="29" s="1"/>
  <c r="E176" i="29"/>
  <c r="Y176" i="29"/>
  <c r="E191" i="29"/>
  <c r="Y191" i="29"/>
  <c r="AL67" i="29"/>
  <c r="I18" i="367"/>
  <c r="M98" i="29"/>
  <c r="M99" i="29" s="1"/>
  <c r="T18" i="114"/>
  <c r="S18" i="114"/>
  <c r="AL12" i="114"/>
  <c r="O12" i="114"/>
  <c r="S24" i="114" s="1"/>
  <c r="D140" i="30"/>
  <c r="D131" i="30"/>
  <c r="D116" i="30"/>
  <c r="R338" i="726" s="1"/>
  <c r="S114" i="30"/>
  <c r="D125" i="30"/>
  <c r="D158" i="30"/>
  <c r="D118" i="30"/>
  <c r="Y194" i="29"/>
  <c r="E194" i="29"/>
  <c r="E201" i="29"/>
  <c r="Y201" i="29"/>
  <c r="AU103" i="115"/>
  <c r="O23" i="114"/>
  <c r="AQ33" i="115" s="1"/>
  <c r="AQ54" i="115" s="1"/>
  <c r="O17" i="114"/>
  <c r="AQ30" i="115" s="1"/>
  <c r="AJ10" i="114"/>
  <c r="AK17" i="114" s="1"/>
  <c r="P17" i="114"/>
  <c r="AN98" i="29"/>
  <c r="AN99" i="29" s="1"/>
  <c r="AN97" i="29"/>
  <c r="AO98" i="29"/>
  <c r="AO97" i="29"/>
  <c r="E175" i="29"/>
  <c r="Y175" i="29"/>
  <c r="E181" i="29"/>
  <c r="Y181" i="29"/>
  <c r="Y195" i="29"/>
  <c r="E195" i="29"/>
  <c r="Y174" i="29"/>
  <c r="E174" i="29"/>
  <c r="AL47" i="29"/>
  <c r="S63" i="30" s="1"/>
  <c r="D134" i="2"/>
  <c r="D143" i="2" s="1"/>
  <c r="D144" i="2" s="1"/>
  <c r="D147" i="2" s="1"/>
  <c r="AM306" i="29"/>
  <c r="AL306" i="29"/>
  <c r="Y208" i="29"/>
  <c r="E208" i="29"/>
  <c r="Y190" i="29"/>
  <c r="E190" i="29"/>
  <c r="Y198" i="29"/>
  <c r="E198" i="29"/>
  <c r="AL48" i="29"/>
  <c r="D128" i="2"/>
  <c r="D127" i="2"/>
  <c r="E211" i="29"/>
  <c r="Y211" i="29"/>
  <c r="E214" i="29"/>
  <c r="Y214" i="29"/>
  <c r="Y183" i="29"/>
  <c r="E183" i="29"/>
  <c r="E172" i="29"/>
  <c r="Y172" i="29"/>
  <c r="Y209" i="29"/>
  <c r="E209" i="29"/>
  <c r="E177" i="29"/>
  <c r="Y177" i="29"/>
  <c r="AL77" i="29"/>
  <c r="AV104" i="114" s="1"/>
  <c r="AL46" i="29"/>
  <c r="S62" i="30" s="1"/>
  <c r="Q135" i="30"/>
  <c r="R135" i="30"/>
  <c r="I30" i="2"/>
  <c r="H38" i="2"/>
  <c r="H30" i="2"/>
  <c r="H28" i="2"/>
  <c r="H29" i="2" s="1"/>
  <c r="J28" i="2"/>
  <c r="L29" i="2" s="1"/>
  <c r="N8" i="3"/>
  <c r="E205" i="29"/>
  <c r="Y205" i="29"/>
  <c r="C92" i="30"/>
  <c r="C101" i="30"/>
  <c r="C135" i="30"/>
  <c r="Q107" i="29"/>
  <c r="Q108" i="29" s="1"/>
  <c r="W12" i="114"/>
  <c r="AE106" i="29"/>
  <c r="AG107" i="29" s="1"/>
  <c r="S46" i="3"/>
  <c r="AB66" i="1"/>
  <c r="Y203" i="29"/>
  <c r="E203" i="29"/>
  <c r="V151" i="2"/>
  <c r="J38" i="3"/>
  <c r="AU20" i="114"/>
  <c r="AU26" i="114"/>
  <c r="R18" i="114"/>
  <c r="Q24" i="114"/>
  <c r="AC61" i="1"/>
  <c r="C57" i="3"/>
  <c r="C84" i="3" s="1"/>
  <c r="C43" i="3"/>
  <c r="AK66" i="1"/>
  <c r="AK66" i="29" s="1"/>
  <c r="AK61" i="29"/>
  <c r="V72" i="2"/>
  <c r="V90" i="2"/>
  <c r="V81" i="2"/>
  <c r="V99" i="2"/>
  <c r="AK23" i="114"/>
  <c r="AK29" i="114" s="1"/>
  <c r="AX10" i="114"/>
  <c r="AL17" i="114"/>
  <c r="P133" i="115"/>
  <c r="Q121" i="115"/>
  <c r="Q133" i="115" s="1"/>
  <c r="AA40" i="1"/>
  <c r="E56" i="367" s="1"/>
  <c r="E57" i="367" s="1"/>
  <c r="F40" i="2"/>
  <c r="F111" i="2" s="1"/>
  <c r="AA52" i="1"/>
  <c r="AA245" i="1"/>
  <c r="AU74" i="114"/>
  <c r="AU59" i="114"/>
  <c r="AE245" i="1"/>
  <c r="AF243" i="1" s="1"/>
  <c r="AF245" i="1" s="1"/>
  <c r="AG243" i="1" s="1"/>
  <c r="G106" i="1"/>
  <c r="G105" i="29"/>
  <c r="K107" i="29"/>
  <c r="M205" i="1"/>
  <c r="Z313" i="29"/>
  <c r="Z324" i="29"/>
  <c r="F313" i="29"/>
  <c r="AL313" i="29"/>
  <c r="AL324" i="29"/>
  <c r="E181" i="30"/>
  <c r="T181" i="30"/>
  <c r="D50" i="723" l="1"/>
  <c r="D70" i="723"/>
  <c r="D28" i="723"/>
  <c r="D29" i="723"/>
  <c r="D46" i="723"/>
  <c r="D26" i="723"/>
  <c r="D27" i="723"/>
  <c r="D38" i="724"/>
  <c r="D37" i="724"/>
  <c r="D36" i="724"/>
  <c r="E10" i="724"/>
  <c r="E10" i="723"/>
  <c r="D50" i="724"/>
  <c r="D70" i="724"/>
  <c r="C52" i="723"/>
  <c r="C69" i="723"/>
  <c r="C94" i="723" s="1"/>
  <c r="E31" i="723"/>
  <c r="E31" i="724"/>
  <c r="C52" i="724"/>
  <c r="C69" i="724"/>
  <c r="C94" i="724" s="1"/>
  <c r="E40" i="724"/>
  <c r="E40" i="723"/>
  <c r="E21" i="723"/>
  <c r="E21" i="724"/>
  <c r="D28" i="724"/>
  <c r="D46" i="724"/>
  <c r="D27" i="724"/>
  <c r="D29" i="724"/>
  <c r="D26" i="724"/>
  <c r="D38" i="723"/>
  <c r="D36" i="723"/>
  <c r="D37" i="723"/>
  <c r="E15" i="724"/>
  <c r="E56" i="724" s="1"/>
  <c r="E15" i="723"/>
  <c r="E7" i="724"/>
  <c r="E8" i="724" s="1"/>
  <c r="E7" i="723"/>
  <c r="E8" i="723" s="1"/>
  <c r="U107" i="29"/>
  <c r="U108" i="29" s="1"/>
  <c r="AA12" i="114"/>
  <c r="E21" i="31"/>
  <c r="E21" i="597"/>
  <c r="E21" i="598"/>
  <c r="D50" i="31"/>
  <c r="D70" i="31"/>
  <c r="S121" i="30"/>
  <c r="J64" i="2"/>
  <c r="J91" i="2" s="1"/>
  <c r="AG245" i="1"/>
  <c r="S141" i="30"/>
  <c r="AP99" i="29"/>
  <c r="D164" i="30"/>
  <c r="E31" i="31"/>
  <c r="E31" i="598"/>
  <c r="E31" i="597"/>
  <c r="AD93" i="725"/>
  <c r="AD105" i="725"/>
  <c r="AD55" i="725"/>
  <c r="D133" i="30"/>
  <c r="D134" i="30" s="1"/>
  <c r="D143" i="30" s="1"/>
  <c r="D144" i="30" s="1"/>
  <c r="D147" i="30" s="1"/>
  <c r="AD110" i="725"/>
  <c r="AD81" i="725"/>
  <c r="AD69" i="725"/>
  <c r="AD39" i="725"/>
  <c r="P13" i="722"/>
  <c r="O14" i="722"/>
  <c r="D46" i="598"/>
  <c r="D47" i="598" s="1"/>
  <c r="D28" i="597"/>
  <c r="D26" i="597"/>
  <c r="D46" i="597"/>
  <c r="D29" i="597"/>
  <c r="D27" i="597"/>
  <c r="S55" i="30"/>
  <c r="E7" i="598"/>
  <c r="E8" i="598" s="1"/>
  <c r="E7" i="597"/>
  <c r="E7" i="31"/>
  <c r="E8" i="31" s="1"/>
  <c r="D37" i="31"/>
  <c r="D38" i="31"/>
  <c r="D38" i="598"/>
  <c r="D37" i="598"/>
  <c r="D36" i="598"/>
  <c r="D38" i="597"/>
  <c r="D36" i="597"/>
  <c r="D37" i="597"/>
  <c r="E10" i="598"/>
  <c r="E10" i="31"/>
  <c r="E10" i="597"/>
  <c r="S115" i="30"/>
  <c r="E15" i="598"/>
  <c r="E15" i="597"/>
  <c r="E15" i="31"/>
  <c r="D28" i="31"/>
  <c r="D26" i="31"/>
  <c r="D27" i="31"/>
  <c r="D29" i="31"/>
  <c r="D46" i="31"/>
  <c r="D49" i="598"/>
  <c r="C52" i="597"/>
  <c r="C69" i="597"/>
  <c r="C94" i="597" s="1"/>
  <c r="D50" i="597"/>
  <c r="D70" i="597"/>
  <c r="D95" i="597" s="1"/>
  <c r="C52" i="598"/>
  <c r="C69" i="598"/>
  <c r="C94" i="598" s="1"/>
  <c r="S142" i="30"/>
  <c r="E40" i="598"/>
  <c r="E40" i="31"/>
  <c r="E40" i="597"/>
  <c r="D27" i="598"/>
  <c r="D26" i="598"/>
  <c r="D29" i="598"/>
  <c r="D28" i="598"/>
  <c r="C52" i="31"/>
  <c r="C69" i="31"/>
  <c r="C94" i="31" s="1"/>
  <c r="AL152" i="29"/>
  <c r="AL153" i="29" s="1"/>
  <c r="Y114" i="29"/>
  <c r="AH52" i="114"/>
  <c r="AH72" i="114" s="1"/>
  <c r="AL9" i="29"/>
  <c r="AL10" i="29" s="1"/>
  <c r="AV52" i="114"/>
  <c r="AV57" i="114" s="1"/>
  <c r="Y110" i="29"/>
  <c r="D12" i="30" s="1"/>
  <c r="D110" i="30"/>
  <c r="D111" i="30"/>
  <c r="R111" i="30"/>
  <c r="R110" i="30"/>
  <c r="R109" i="30"/>
  <c r="AV98" i="114"/>
  <c r="AV99" i="114" s="1"/>
  <c r="S108" i="30"/>
  <c r="D92" i="2"/>
  <c r="Z219" i="29"/>
  <c r="Z226" i="29"/>
  <c r="U178" i="30"/>
  <c r="I7" i="720"/>
  <c r="I9" i="720" s="1"/>
  <c r="C16" i="720"/>
  <c r="Z238" i="29"/>
  <c r="AL245" i="29"/>
  <c r="AA80" i="1"/>
  <c r="AA80" i="29" s="1"/>
  <c r="C17" i="720"/>
  <c r="C8" i="720"/>
  <c r="D101" i="2"/>
  <c r="D94" i="2"/>
  <c r="E85" i="2"/>
  <c r="D83" i="2"/>
  <c r="D85" i="2"/>
  <c r="E83" i="2"/>
  <c r="T106" i="30"/>
  <c r="U85" i="2"/>
  <c r="U24" i="114"/>
  <c r="U30" i="114" s="1"/>
  <c r="V18" i="114"/>
  <c r="O108" i="29"/>
  <c r="D64" i="30"/>
  <c r="D65" i="30" s="1"/>
  <c r="D67" i="30" s="1"/>
  <c r="D103" i="30" s="1"/>
  <c r="Q101" i="30"/>
  <c r="Q92" i="30"/>
  <c r="S34" i="30"/>
  <c r="S35" i="30" s="1"/>
  <c r="S122" i="30"/>
  <c r="S56" i="30"/>
  <c r="S58" i="30"/>
  <c r="S57" i="30"/>
  <c r="S54" i="30"/>
  <c r="H65" i="2"/>
  <c r="H82" i="2"/>
  <c r="H91" i="2"/>
  <c r="I82" i="2"/>
  <c r="R91" i="30"/>
  <c r="Q94" i="30"/>
  <c r="Q103" i="30"/>
  <c r="Q94" i="2"/>
  <c r="R85" i="2"/>
  <c r="Q103" i="2"/>
  <c r="R76" i="2"/>
  <c r="R100" i="30"/>
  <c r="S85" i="2"/>
  <c r="S76" i="2"/>
  <c r="S94" i="2"/>
  <c r="S103" i="2"/>
  <c r="I103" i="2"/>
  <c r="I94" i="2"/>
  <c r="K76" i="2"/>
  <c r="H100" i="2"/>
  <c r="D102" i="30"/>
  <c r="D84" i="30"/>
  <c r="R82" i="30"/>
  <c r="S102" i="30"/>
  <c r="S84" i="30"/>
  <c r="S75" i="30"/>
  <c r="F64" i="2"/>
  <c r="F65" i="2" s="1"/>
  <c r="F67" i="2" s="1"/>
  <c r="F103" i="2" s="1"/>
  <c r="F102" i="2"/>
  <c r="S36" i="30"/>
  <c r="E103" i="2"/>
  <c r="E94" i="2"/>
  <c r="E76" i="2"/>
  <c r="T103" i="2"/>
  <c r="T85" i="2"/>
  <c r="T76" i="2"/>
  <c r="T94" i="2"/>
  <c r="G67" i="2"/>
  <c r="G92" i="2"/>
  <c r="G74" i="2"/>
  <c r="G101" i="2"/>
  <c r="S93" i="30"/>
  <c r="S64" i="30"/>
  <c r="S65" i="30" s="1"/>
  <c r="R65" i="30"/>
  <c r="AE163" i="1"/>
  <c r="AF163" i="1"/>
  <c r="Y12" i="114"/>
  <c r="AF106" i="29"/>
  <c r="AP106" i="29" s="1"/>
  <c r="S108" i="29"/>
  <c r="AU99" i="114"/>
  <c r="AU101" i="114"/>
  <c r="AU107" i="114"/>
  <c r="AV105" i="114"/>
  <c r="F178" i="30"/>
  <c r="AM310" i="29"/>
  <c r="AM21" i="1"/>
  <c r="S28" i="30"/>
  <c r="S29" i="30" s="1"/>
  <c r="S13" i="30"/>
  <c r="AV14" i="114" s="1"/>
  <c r="AV20" i="114" s="1"/>
  <c r="S38" i="30"/>
  <c r="E47" i="30"/>
  <c r="E114" i="30"/>
  <c r="E152" i="30"/>
  <c r="E154" i="30"/>
  <c r="E49" i="30"/>
  <c r="E51" i="30"/>
  <c r="E33" i="30"/>
  <c r="AE33" i="30" s="1"/>
  <c r="E120" i="30"/>
  <c r="E40" i="30"/>
  <c r="AE23" i="725" s="1"/>
  <c r="E151" i="30"/>
  <c r="E50" i="30"/>
  <c r="E157" i="30"/>
  <c r="E48" i="30"/>
  <c r="E132" i="30"/>
  <c r="E142" i="30" s="1"/>
  <c r="E155" i="30"/>
  <c r="E27" i="30"/>
  <c r="E28" i="30" s="1"/>
  <c r="E130" i="30"/>
  <c r="AE98" i="725" s="1"/>
  <c r="AQ98" i="725" s="1"/>
  <c r="E153" i="30"/>
  <c r="E148" i="30"/>
  <c r="AL117" i="29"/>
  <c r="AL15" i="29"/>
  <c r="AL118" i="29"/>
  <c r="AL116" i="29"/>
  <c r="AL299" i="29"/>
  <c r="AL300" i="29" s="1"/>
  <c r="AL14" i="29"/>
  <c r="AL110" i="29"/>
  <c r="S12" i="30" s="1"/>
  <c r="AC19" i="1"/>
  <c r="AU53" i="114"/>
  <c r="AU58" i="114" s="1"/>
  <c r="J125" i="2"/>
  <c r="J126" i="2" s="1"/>
  <c r="J115" i="2"/>
  <c r="AU60" i="114"/>
  <c r="G43" i="3"/>
  <c r="H43" i="3" s="1"/>
  <c r="E43" i="3"/>
  <c r="J116" i="2"/>
  <c r="Q157" i="1"/>
  <c r="Q162" i="1"/>
  <c r="R162" i="1"/>
  <c r="M153" i="1"/>
  <c r="M162" i="1"/>
  <c r="N162" i="1"/>
  <c r="O162" i="1"/>
  <c r="P162" i="1"/>
  <c r="AC163" i="1"/>
  <c r="AD163" i="1"/>
  <c r="AC158" i="1"/>
  <c r="K163" i="1"/>
  <c r="L163" i="1"/>
  <c r="D43" i="3"/>
  <c r="AE158" i="1"/>
  <c r="AU57" i="114"/>
  <c r="AL161" i="29"/>
  <c r="AU13" i="114"/>
  <c r="AU25" i="114" s="1"/>
  <c r="AK152" i="29"/>
  <c r="AK156" i="29"/>
  <c r="AL156" i="29"/>
  <c r="AM16" i="1"/>
  <c r="AN26" i="1" s="1"/>
  <c r="AM40" i="1"/>
  <c r="J56" i="367" s="1"/>
  <c r="AM78" i="1"/>
  <c r="AN27" i="1"/>
  <c r="Q153" i="1"/>
  <c r="U158" i="1" s="1"/>
  <c r="AN18" i="1"/>
  <c r="AO19" i="1" s="1"/>
  <c r="AM27" i="1"/>
  <c r="AM18" i="1"/>
  <c r="AM19" i="1" s="1"/>
  <c r="AM69" i="1"/>
  <c r="AA81" i="1"/>
  <c r="AA81" i="29" s="1"/>
  <c r="O153" i="1"/>
  <c r="S158" i="1" s="1"/>
  <c r="O157" i="1"/>
  <c r="D41" i="3"/>
  <c r="D163" i="30"/>
  <c r="E41" i="3"/>
  <c r="J131" i="2"/>
  <c r="J133" i="2" s="1"/>
  <c r="J118" i="2"/>
  <c r="V114" i="2"/>
  <c r="J140" i="2"/>
  <c r="AU100" i="114"/>
  <c r="J117" i="2"/>
  <c r="AK52" i="29"/>
  <c r="AK55" i="29" s="1"/>
  <c r="AK40" i="29"/>
  <c r="AU78" i="114"/>
  <c r="AH54" i="114"/>
  <c r="AH106" i="114" s="1"/>
  <c r="K53" i="114"/>
  <c r="K73" i="114" s="1"/>
  <c r="K14" i="114"/>
  <c r="AH14" i="114" s="1"/>
  <c r="AH13" i="114" s="1"/>
  <c r="AH19" i="114" s="1"/>
  <c r="K96" i="114"/>
  <c r="K95" i="114"/>
  <c r="K74" i="114"/>
  <c r="K97" i="114"/>
  <c r="K60" i="114"/>
  <c r="F299" i="29"/>
  <c r="G310" i="29"/>
  <c r="Y78" i="29"/>
  <c r="F25" i="3"/>
  <c r="F26" i="3"/>
  <c r="F27" i="3"/>
  <c r="F28" i="3"/>
  <c r="G25" i="3"/>
  <c r="G27" i="3"/>
  <c r="F40" i="3"/>
  <c r="S29" i="114"/>
  <c r="Q99" i="29"/>
  <c r="D135" i="2"/>
  <c r="Z49" i="29"/>
  <c r="Z76" i="29"/>
  <c r="AI103" i="114" s="1"/>
  <c r="Z244" i="29"/>
  <c r="Z62" i="29"/>
  <c r="E113" i="30" s="1"/>
  <c r="AE74" i="725" s="1"/>
  <c r="Z37" i="29"/>
  <c r="Z231" i="29"/>
  <c r="Z14" i="29"/>
  <c r="Z42" i="29"/>
  <c r="E66" i="30" s="1"/>
  <c r="Z45" i="29"/>
  <c r="E61" i="30" s="1"/>
  <c r="AI81" i="114" s="1"/>
  <c r="Z225" i="29"/>
  <c r="Z48" i="29"/>
  <c r="Z50" i="29"/>
  <c r="Z242" i="29"/>
  <c r="Z8" i="29"/>
  <c r="Z151" i="29" s="1"/>
  <c r="Z67" i="29"/>
  <c r="Z235" i="29"/>
  <c r="Z59" i="29"/>
  <c r="Z237" i="29"/>
  <c r="Z63" i="29"/>
  <c r="Z239" i="29"/>
  <c r="Z60" i="29"/>
  <c r="Z118" i="29"/>
  <c r="Z220" i="29"/>
  <c r="Z47" i="29"/>
  <c r="E63" i="30" s="1"/>
  <c r="Z116" i="29"/>
  <c r="Z228" i="29"/>
  <c r="Z223" i="29"/>
  <c r="Z38" i="29"/>
  <c r="Z240" i="29"/>
  <c r="Z227" i="29"/>
  <c r="Z232" i="29"/>
  <c r="Z15" i="29"/>
  <c r="Z117" i="29"/>
  <c r="Z46" i="29"/>
  <c r="E62" i="30" s="1"/>
  <c r="Z224" i="29"/>
  <c r="Z54" i="29"/>
  <c r="Z221" i="29"/>
  <c r="Z66" i="29"/>
  <c r="Z16" i="29"/>
  <c r="AI64" i="114" s="1"/>
  <c r="Z77" i="29"/>
  <c r="AI104" i="114" s="1"/>
  <c r="Z236" i="29"/>
  <c r="Z43" i="29"/>
  <c r="Z51" i="29"/>
  <c r="Z299" i="29"/>
  <c r="Z300" i="29" s="1"/>
  <c r="Z243" i="29"/>
  <c r="Z58" i="29"/>
  <c r="Z61" i="29"/>
  <c r="Z245" i="29"/>
  <c r="Z64" i="29"/>
  <c r="D90" i="30"/>
  <c r="D99" i="30"/>
  <c r="D81" i="30"/>
  <c r="AJ23" i="114"/>
  <c r="AJ17" i="114"/>
  <c r="AW10" i="114"/>
  <c r="AX17" i="114" s="1"/>
  <c r="AL23" i="114"/>
  <c r="AJ12" i="114"/>
  <c r="AL24" i="114" s="1"/>
  <c r="AU106" i="115"/>
  <c r="O18" i="114"/>
  <c r="AQ94" i="115" s="1"/>
  <c r="O24" i="114"/>
  <c r="S30" i="114" s="1"/>
  <c r="AQ51" i="115"/>
  <c r="AQ91" i="115" s="1"/>
  <c r="AQ16" i="115"/>
  <c r="AQ19" i="115"/>
  <c r="AM18" i="114"/>
  <c r="AL11" i="114"/>
  <c r="S41" i="30"/>
  <c r="S42" i="30" s="1"/>
  <c r="S43" i="30"/>
  <c r="S44" i="30"/>
  <c r="S123" i="30"/>
  <c r="AA310" i="29"/>
  <c r="Z316" i="29"/>
  <c r="Z315" i="29" s="1"/>
  <c r="AL68" i="29"/>
  <c r="J28" i="367"/>
  <c r="J18" i="367"/>
  <c r="AO99" i="29"/>
  <c r="D127" i="30"/>
  <c r="D128" i="30"/>
  <c r="C62" i="367"/>
  <c r="C63" i="367" s="1"/>
  <c r="C59" i="367"/>
  <c r="C60" i="367" s="1"/>
  <c r="S79" i="30"/>
  <c r="S88" i="30"/>
  <c r="S70" i="30"/>
  <c r="S97" i="30"/>
  <c r="S125" i="30"/>
  <c r="S126" i="30" s="1"/>
  <c r="S140" i="30"/>
  <c r="S118" i="30"/>
  <c r="S131" i="30"/>
  <c r="S133" i="30" s="1"/>
  <c r="S158" i="30"/>
  <c r="S116" i="30"/>
  <c r="S117" i="30"/>
  <c r="C76" i="367"/>
  <c r="C77" i="367" s="1"/>
  <c r="C73" i="367"/>
  <c r="C74" i="367" s="1"/>
  <c r="D88" i="30"/>
  <c r="D97" i="30"/>
  <c r="D79" i="30"/>
  <c r="S71" i="30"/>
  <c r="S80" i="30"/>
  <c r="S98" i="30"/>
  <c r="S89" i="30"/>
  <c r="AL17" i="29"/>
  <c r="Y21" i="29"/>
  <c r="H135" i="2"/>
  <c r="J172" i="2" s="1"/>
  <c r="J173" i="2" s="1"/>
  <c r="D89" i="30"/>
  <c r="D98" i="30"/>
  <c r="D80" i="30"/>
  <c r="S99" i="30"/>
  <c r="S81" i="30"/>
  <c r="S72" i="30"/>
  <c r="S90" i="30"/>
  <c r="Y40" i="29"/>
  <c r="AL39" i="29"/>
  <c r="AV76" i="114" s="1"/>
  <c r="AV77" i="114" s="1"/>
  <c r="Y52" i="29"/>
  <c r="AC66" i="1"/>
  <c r="G105" i="1"/>
  <c r="K107" i="1"/>
  <c r="O108" i="1" s="1"/>
  <c r="AA58" i="1"/>
  <c r="AA55" i="1"/>
  <c r="K38" i="3"/>
  <c r="F44" i="2"/>
  <c r="F41" i="2"/>
  <c r="F43" i="2"/>
  <c r="F123" i="2"/>
  <c r="F97" i="2"/>
  <c r="G43" i="2"/>
  <c r="F98" i="2"/>
  <c r="F118" i="2"/>
  <c r="F99" i="2"/>
  <c r="F128" i="2"/>
  <c r="H41" i="2"/>
  <c r="E62" i="367"/>
  <c r="E63" i="367" s="1"/>
  <c r="E59" i="367"/>
  <c r="E60" i="367" s="1"/>
  <c r="AB243" i="1"/>
  <c r="AE107" i="29"/>
  <c r="AE108" i="29" s="1"/>
  <c r="AO106" i="29"/>
  <c r="AO107" i="29" s="1"/>
  <c r="AO108" i="29" s="1"/>
  <c r="J11" i="30"/>
  <c r="L17" i="30" s="1"/>
  <c r="O8" i="3"/>
  <c r="W24" i="114"/>
  <c r="W30" i="114" s="1"/>
  <c r="W18" i="114"/>
  <c r="X18" i="114"/>
  <c r="J29" i="2"/>
  <c r="Z318" i="29"/>
  <c r="D47" i="723" l="1"/>
  <c r="D52" i="723"/>
  <c r="D69" i="723"/>
  <c r="D94" i="723" s="1"/>
  <c r="D96" i="723" s="1"/>
  <c r="E43" i="723"/>
  <c r="E49" i="723" s="1"/>
  <c r="E35" i="723"/>
  <c r="E19" i="723"/>
  <c r="E17" i="723"/>
  <c r="E18" i="723"/>
  <c r="E25" i="723"/>
  <c r="E16" i="723"/>
  <c r="D47" i="724"/>
  <c r="D69" i="724"/>
  <c r="D94" i="724" s="1"/>
  <c r="D52" i="724"/>
  <c r="E32" i="724"/>
  <c r="E33" i="724"/>
  <c r="E12" i="723"/>
  <c r="E11" i="723"/>
  <c r="E16" i="724"/>
  <c r="E43" i="724"/>
  <c r="E49" i="724" s="1"/>
  <c r="E35" i="724"/>
  <c r="E19" i="724"/>
  <c r="E18" i="724"/>
  <c r="E17" i="724"/>
  <c r="E25" i="724"/>
  <c r="E32" i="723"/>
  <c r="E33" i="723"/>
  <c r="E11" i="724"/>
  <c r="E12" i="724"/>
  <c r="E22" i="724"/>
  <c r="E23" i="724"/>
  <c r="E56" i="723"/>
  <c r="E22" i="723"/>
  <c r="E23" i="723"/>
  <c r="E23" i="598"/>
  <c r="AA24" i="114"/>
  <c r="AA30" i="114" s="1"/>
  <c r="AA18" i="114"/>
  <c r="AP12" i="114"/>
  <c r="V64" i="2"/>
  <c r="V73" i="2" s="1"/>
  <c r="J65" i="2"/>
  <c r="V65" i="2" s="1"/>
  <c r="J100" i="2"/>
  <c r="D50" i="598"/>
  <c r="D70" i="598"/>
  <c r="J73" i="2"/>
  <c r="J82" i="2"/>
  <c r="AP107" i="29"/>
  <c r="AP108" i="29" s="1"/>
  <c r="AG108" i="29"/>
  <c r="D135" i="30"/>
  <c r="E33" i="597"/>
  <c r="E32" i="597"/>
  <c r="E115" i="30"/>
  <c r="AE86" i="725"/>
  <c r="AE32" i="725"/>
  <c r="AQ23" i="725"/>
  <c r="E121" i="30"/>
  <c r="AD117" i="725"/>
  <c r="AV72" i="114"/>
  <c r="D69" i="598"/>
  <c r="D94" i="598" s="1"/>
  <c r="D96" i="598" s="1"/>
  <c r="D52" i="598"/>
  <c r="S67" i="30"/>
  <c r="S94" i="30" s="1"/>
  <c r="AV83" i="114"/>
  <c r="R83" i="30"/>
  <c r="AU83" i="114"/>
  <c r="E32" i="598"/>
  <c r="E22" i="598"/>
  <c r="P15" i="722"/>
  <c r="P14" i="722"/>
  <c r="E33" i="598"/>
  <c r="D52" i="31"/>
  <c r="D47" i="31"/>
  <c r="D69" i="31"/>
  <c r="D94" i="31" s="1"/>
  <c r="D96" i="31" s="1"/>
  <c r="E32" i="31"/>
  <c r="E17" i="597"/>
  <c r="E25" i="597"/>
  <c r="E18" i="597"/>
  <c r="E16" i="597"/>
  <c r="E19" i="597"/>
  <c r="E43" i="597"/>
  <c r="E49" i="597" s="1"/>
  <c r="E35" i="597"/>
  <c r="E22" i="597"/>
  <c r="E8" i="597"/>
  <c r="E25" i="598"/>
  <c r="E17" i="598"/>
  <c r="E35" i="598"/>
  <c r="E19" i="598"/>
  <c r="E43" i="598"/>
  <c r="E49" i="598" s="1"/>
  <c r="E16" i="598"/>
  <c r="E18" i="598"/>
  <c r="E11" i="597"/>
  <c r="E12" i="597"/>
  <c r="E23" i="597"/>
  <c r="D47" i="597"/>
  <c r="D52" i="597"/>
  <c r="D69" i="597"/>
  <c r="D94" i="597" s="1"/>
  <c r="D97" i="597" s="1"/>
  <c r="E33" i="31"/>
  <c r="E12" i="31"/>
  <c r="E11" i="31"/>
  <c r="D98" i="597"/>
  <c r="E23" i="31"/>
  <c r="E11" i="598"/>
  <c r="E12" i="598"/>
  <c r="E56" i="597"/>
  <c r="E22" i="31"/>
  <c r="E18" i="31"/>
  <c r="E35" i="31"/>
  <c r="E25" i="31"/>
  <c r="E19" i="31"/>
  <c r="E17" i="31"/>
  <c r="E16" i="31"/>
  <c r="E43" i="31"/>
  <c r="E49" i="31" s="1"/>
  <c r="E56" i="31"/>
  <c r="E56" i="598"/>
  <c r="AL162" i="29"/>
  <c r="U179" i="30"/>
  <c r="S111" i="30"/>
  <c r="S110" i="30"/>
  <c r="S109" i="30"/>
  <c r="AI98" i="114"/>
  <c r="AI99" i="114" s="1"/>
  <c r="E108" i="30"/>
  <c r="AE62" i="725" s="1"/>
  <c r="AE46" i="725" s="1"/>
  <c r="Y18" i="114"/>
  <c r="Z18" i="114"/>
  <c r="J54" i="367"/>
  <c r="J55" i="367" s="1"/>
  <c r="J57" i="367" s="1"/>
  <c r="J59" i="367" s="1"/>
  <c r="J60" i="367" s="1"/>
  <c r="I12" i="720"/>
  <c r="C9" i="720"/>
  <c r="C12" i="720"/>
  <c r="C24" i="720" s="1"/>
  <c r="C25" i="720" s="1"/>
  <c r="D94" i="30"/>
  <c r="D85" i="30"/>
  <c r="D82" i="30"/>
  <c r="D100" i="30"/>
  <c r="D91" i="30"/>
  <c r="F179" i="30"/>
  <c r="R74" i="30"/>
  <c r="R101" i="30"/>
  <c r="S91" i="30"/>
  <c r="S82" i="30"/>
  <c r="S100" i="30"/>
  <c r="S73" i="30"/>
  <c r="E93" i="30"/>
  <c r="E102" i="30"/>
  <c r="E75" i="30"/>
  <c r="E84" i="30"/>
  <c r="G103" i="2"/>
  <c r="G94" i="2"/>
  <c r="G76" i="2"/>
  <c r="I76" i="2"/>
  <c r="H67" i="2"/>
  <c r="I83" i="2"/>
  <c r="H92" i="2"/>
  <c r="H83" i="2"/>
  <c r="H101" i="2"/>
  <c r="AB40" i="30"/>
  <c r="E64" i="30"/>
  <c r="E65" i="30" s="1"/>
  <c r="R67" i="30"/>
  <c r="R92" i="30"/>
  <c r="AF107" i="29"/>
  <c r="AF108" i="29" s="1"/>
  <c r="K11" i="30"/>
  <c r="W11" i="30" s="1"/>
  <c r="Y24" i="114"/>
  <c r="Y30" i="114" s="1"/>
  <c r="AI63" i="114"/>
  <c r="L73" i="719"/>
  <c r="AI105" i="114"/>
  <c r="AV101" i="114"/>
  <c r="AV107" i="114"/>
  <c r="AM311" i="29"/>
  <c r="AL111" i="29"/>
  <c r="AL112" i="29" s="1"/>
  <c r="E158" i="30"/>
  <c r="V125" i="2"/>
  <c r="V126" i="2" s="1"/>
  <c r="E43" i="30"/>
  <c r="AV26" i="114"/>
  <c r="AV32" i="114" s="1"/>
  <c r="S19" i="30"/>
  <c r="J128" i="2"/>
  <c r="J127" i="2"/>
  <c r="E41" i="30"/>
  <c r="S20" i="30"/>
  <c r="AI76" i="114"/>
  <c r="AI77" i="114" s="1"/>
  <c r="E131" i="30"/>
  <c r="E140" i="30"/>
  <c r="E118" i="30"/>
  <c r="E125" i="30"/>
  <c r="E55" i="30"/>
  <c r="E57" i="30"/>
  <c r="E122" i="30"/>
  <c r="AB38" i="30"/>
  <c r="E117" i="30"/>
  <c r="E38" i="30"/>
  <c r="E116" i="30"/>
  <c r="S338" i="726" s="1"/>
  <c r="AU73" i="114"/>
  <c r="E36" i="30"/>
  <c r="E44" i="30"/>
  <c r="E13" i="30"/>
  <c r="E19" i="30" s="1"/>
  <c r="E123" i="30"/>
  <c r="E56" i="30"/>
  <c r="E34" i="30"/>
  <c r="E30" i="30"/>
  <c r="E141" i="30"/>
  <c r="E58" i="30"/>
  <c r="G189" i="30"/>
  <c r="E54" i="30"/>
  <c r="V116" i="2"/>
  <c r="V115" i="2"/>
  <c r="AM26" i="1"/>
  <c r="AA16" i="1"/>
  <c r="AC26" i="1" s="1"/>
  <c r="Q158" i="1"/>
  <c r="Q163" i="1"/>
  <c r="R163" i="1"/>
  <c r="O158" i="1"/>
  <c r="O163" i="1"/>
  <c r="P163" i="1"/>
  <c r="M163" i="1"/>
  <c r="N163" i="1"/>
  <c r="AV67" i="114"/>
  <c r="AK157" i="29"/>
  <c r="AK162" i="29"/>
  <c r="AU19" i="114"/>
  <c r="AL157" i="29"/>
  <c r="Z152" i="29"/>
  <c r="Z153" i="29" s="1"/>
  <c r="AK153" i="29"/>
  <c r="AK163" i="29" s="1"/>
  <c r="AN19" i="1"/>
  <c r="V131" i="2"/>
  <c r="V140" i="2"/>
  <c r="H14" i="3"/>
  <c r="H18" i="3" s="1"/>
  <c r="V118" i="2"/>
  <c r="AH60" i="114"/>
  <c r="AH74" i="114"/>
  <c r="AH53" i="114"/>
  <c r="AH73" i="114" s="1"/>
  <c r="K13" i="114"/>
  <c r="K19" i="114" s="1"/>
  <c r="AH20" i="114"/>
  <c r="K20" i="114"/>
  <c r="AX23" i="114"/>
  <c r="AL69" i="29"/>
  <c r="AL27" i="29"/>
  <c r="G311" i="29"/>
  <c r="L38" i="114"/>
  <c r="L54" i="114"/>
  <c r="I8" i="725" s="1"/>
  <c r="L40" i="114"/>
  <c r="L14" i="114"/>
  <c r="L39" i="114"/>
  <c r="F41" i="3"/>
  <c r="F43" i="3"/>
  <c r="F57" i="3"/>
  <c r="F84" i="3" s="1"/>
  <c r="G41" i="3"/>
  <c r="Z68" i="29"/>
  <c r="S128" i="30"/>
  <c r="S127" i="30"/>
  <c r="Z9" i="29"/>
  <c r="Z110" i="29"/>
  <c r="AI52" i="114"/>
  <c r="AI72" i="114" s="1"/>
  <c r="S92" i="30"/>
  <c r="S101" i="30"/>
  <c r="S74" i="30"/>
  <c r="S83" i="30"/>
  <c r="D83" i="30"/>
  <c r="D92" i="30"/>
  <c r="D101" i="30"/>
  <c r="S18" i="30"/>
  <c r="AV13" i="114"/>
  <c r="AJ18" i="114"/>
  <c r="AJ11" i="114"/>
  <c r="AJ24" i="114"/>
  <c r="AL30" i="114" s="1"/>
  <c r="AW12" i="114"/>
  <c r="AL29" i="114"/>
  <c r="E106" i="30"/>
  <c r="AL78" i="29"/>
  <c r="AL16" i="29"/>
  <c r="AL21" i="29"/>
  <c r="AL37" i="29"/>
  <c r="AL18" i="29"/>
  <c r="AL19" i="29" s="1"/>
  <c r="AV54" i="114"/>
  <c r="AV86" i="114" s="1"/>
  <c r="AW17" i="114"/>
  <c r="AW23" i="114"/>
  <c r="AW29" i="114" s="1"/>
  <c r="Z24" i="29"/>
  <c r="Z17" i="29"/>
  <c r="Y55" i="29"/>
  <c r="AL55" i="29" s="1"/>
  <c r="AL52" i="29"/>
  <c r="Z39" i="29"/>
  <c r="Z52" i="29" s="1"/>
  <c r="AL40" i="29"/>
  <c r="AA311" i="29"/>
  <c r="S134" i="30"/>
  <c r="S143" i="30" s="1"/>
  <c r="S144" i="30" s="1"/>
  <c r="S147" i="30" s="1"/>
  <c r="L38" i="3"/>
  <c r="AB245" i="1"/>
  <c r="J134" i="2"/>
  <c r="J135" i="2" s="1"/>
  <c r="V135" i="2" s="1"/>
  <c r="V164" i="2" s="1"/>
  <c r="V133" i="2"/>
  <c r="AA61" i="1"/>
  <c r="P8" i="3"/>
  <c r="H42" i="2"/>
  <c r="J42" i="2"/>
  <c r="AN12" i="114"/>
  <c r="J17" i="30"/>
  <c r="V11" i="30"/>
  <c r="V17" i="30" s="1"/>
  <c r="F181" i="30"/>
  <c r="AM313" i="29"/>
  <c r="AM324" i="29"/>
  <c r="G313" i="29"/>
  <c r="AA313" i="29"/>
  <c r="AA324" i="29"/>
  <c r="U181" i="30"/>
  <c r="E50" i="724" l="1"/>
  <c r="E70" i="724"/>
  <c r="E50" i="723"/>
  <c r="E70" i="723"/>
  <c r="E36" i="723"/>
  <c r="E37" i="723"/>
  <c r="E38" i="723"/>
  <c r="V100" i="2"/>
  <c r="E38" i="724"/>
  <c r="E37" i="724"/>
  <c r="E36" i="724"/>
  <c r="D96" i="724"/>
  <c r="E27" i="724"/>
  <c r="E28" i="724"/>
  <c r="E26" i="724"/>
  <c r="E29" i="724"/>
  <c r="E46" i="724"/>
  <c r="E28" i="723"/>
  <c r="E46" i="723"/>
  <c r="E29" i="723"/>
  <c r="E26" i="723"/>
  <c r="E27" i="723"/>
  <c r="AP24" i="114"/>
  <c r="J83" i="2"/>
  <c r="J92" i="2"/>
  <c r="V91" i="2"/>
  <c r="V82" i="2"/>
  <c r="J67" i="2"/>
  <c r="J103" i="2" s="1"/>
  <c r="J101" i="2"/>
  <c r="J74" i="2"/>
  <c r="E50" i="31"/>
  <c r="E70" i="31"/>
  <c r="E50" i="598"/>
  <c r="E70" i="598"/>
  <c r="S103" i="30"/>
  <c r="AQ46" i="725"/>
  <c r="AQ74" i="725"/>
  <c r="E133" i="30"/>
  <c r="E134" i="30" s="1"/>
  <c r="E143" i="30" s="1"/>
  <c r="E144" i="30" s="1"/>
  <c r="E147" i="30" s="1"/>
  <c r="AE110" i="725"/>
  <c r="AQ62" i="725"/>
  <c r="AQ86" i="725"/>
  <c r="AV88" i="114"/>
  <c r="AV82" i="114"/>
  <c r="AV87" i="114" s="1"/>
  <c r="E67" i="30"/>
  <c r="E94" i="30" s="1"/>
  <c r="AI83" i="114"/>
  <c r="AU88" i="114"/>
  <c r="AU82" i="114"/>
  <c r="AU87" i="114" s="1"/>
  <c r="E50" i="597"/>
  <c r="E70" i="597"/>
  <c r="E95" i="597" s="1"/>
  <c r="E29" i="31"/>
  <c r="E28" i="31"/>
  <c r="E46" i="31"/>
  <c r="E27" i="31"/>
  <c r="E26" i="31"/>
  <c r="E27" i="597"/>
  <c r="E46" i="597"/>
  <c r="E29" i="597"/>
  <c r="E28" i="597"/>
  <c r="E26" i="597"/>
  <c r="E37" i="31"/>
  <c r="E38" i="31"/>
  <c r="E36" i="31"/>
  <c r="E38" i="597"/>
  <c r="E37" i="597"/>
  <c r="E36" i="597"/>
  <c r="E46" i="598"/>
  <c r="E26" i="598"/>
  <c r="E29" i="598"/>
  <c r="E28" i="598"/>
  <c r="E27" i="598"/>
  <c r="E38" i="598"/>
  <c r="E37" i="598"/>
  <c r="E36" i="598"/>
  <c r="V178" i="30"/>
  <c r="U106" i="30"/>
  <c r="E111" i="30"/>
  <c r="E110" i="30"/>
  <c r="E109" i="30"/>
  <c r="AA238" i="29"/>
  <c r="AM238" i="29" s="1"/>
  <c r="AA220" i="29"/>
  <c r="AM220" i="29" s="1"/>
  <c r="AA219" i="29"/>
  <c r="AM219" i="29" s="1"/>
  <c r="AA232" i="29"/>
  <c r="AM232" i="29" s="1"/>
  <c r="AA227" i="29"/>
  <c r="AM227" i="29" s="1"/>
  <c r="AA226" i="29"/>
  <c r="AM226" i="29" s="1"/>
  <c r="AA225" i="29"/>
  <c r="AM225" i="29" s="1"/>
  <c r="AA239" i="29"/>
  <c r="AM239" i="29" s="1"/>
  <c r="AA224" i="29"/>
  <c r="AM224" i="29" s="1"/>
  <c r="AA237" i="29"/>
  <c r="AM237" i="29" s="1"/>
  <c r="AA223" i="29"/>
  <c r="AM223" i="29" s="1"/>
  <c r="AA236" i="29"/>
  <c r="AM236" i="29" s="1"/>
  <c r="AA235" i="29"/>
  <c r="AM235" i="29" s="1"/>
  <c r="AA221" i="29"/>
  <c r="AM221" i="29" s="1"/>
  <c r="AA240" i="29"/>
  <c r="AM240" i="29" s="1"/>
  <c r="AA228" i="29"/>
  <c r="AM228" i="29" s="1"/>
  <c r="AA231" i="29"/>
  <c r="AM231" i="29" s="1"/>
  <c r="C13" i="720"/>
  <c r="O7" i="720"/>
  <c r="G193" i="30"/>
  <c r="G194" i="30" s="1"/>
  <c r="AE125" i="30"/>
  <c r="AE126" i="30" s="1"/>
  <c r="G178" i="30"/>
  <c r="F33" i="30"/>
  <c r="F36" i="30" s="1"/>
  <c r="F27" i="30"/>
  <c r="F13" i="30" s="1"/>
  <c r="F151" i="30"/>
  <c r="T151" i="30" s="1"/>
  <c r="F152" i="30"/>
  <c r="T152" i="30" s="1"/>
  <c r="F132" i="30"/>
  <c r="F142" i="30" s="1"/>
  <c r="F153" i="30"/>
  <c r="T153" i="30" s="1"/>
  <c r="F157" i="30"/>
  <c r="T157" i="30" s="1"/>
  <c r="F120" i="30"/>
  <c r="F148" i="30"/>
  <c r="T148" i="30" s="1"/>
  <c r="F50" i="30"/>
  <c r="F48" i="30"/>
  <c r="T48" i="30" s="1"/>
  <c r="F51" i="30"/>
  <c r="F154" i="30"/>
  <c r="T154" i="30" s="1"/>
  <c r="F114" i="30"/>
  <c r="F47" i="30"/>
  <c r="T47" i="30" s="1"/>
  <c r="F130" i="30"/>
  <c r="F155" i="30"/>
  <c r="T155" i="30" s="1"/>
  <c r="F49" i="30"/>
  <c r="F40" i="30"/>
  <c r="H103" i="2"/>
  <c r="H94" i="2"/>
  <c r="H85" i="2"/>
  <c r="I85" i="2"/>
  <c r="V67" i="2"/>
  <c r="V83" i="2"/>
  <c r="V74" i="2"/>
  <c r="V101" i="2"/>
  <c r="V92" i="2"/>
  <c r="R94" i="30"/>
  <c r="R103" i="30"/>
  <c r="R76" i="30"/>
  <c r="R85" i="30"/>
  <c r="S85" i="30"/>
  <c r="S76" i="30"/>
  <c r="V127" i="2"/>
  <c r="V128" i="2"/>
  <c r="AO12" i="114"/>
  <c r="K17" i="30"/>
  <c r="AN310" i="29"/>
  <c r="L78" i="719"/>
  <c r="L84" i="719"/>
  <c r="L86" i="719" s="1"/>
  <c r="J62" i="367"/>
  <c r="J63" i="367" s="1"/>
  <c r="AM118" i="29"/>
  <c r="AM299" i="29"/>
  <c r="AM300" i="29" s="1"/>
  <c r="AM243" i="29"/>
  <c r="AM117" i="29"/>
  <c r="AM110" i="29"/>
  <c r="AM111" i="29" s="1"/>
  <c r="AM112" i="29" s="1"/>
  <c r="AM116" i="29"/>
  <c r="AM245" i="29"/>
  <c r="AM242" i="29"/>
  <c r="AI101" i="114"/>
  <c r="AI107" i="114"/>
  <c r="E128" i="30"/>
  <c r="E126" i="30"/>
  <c r="E127" i="30"/>
  <c r="AB125" i="30"/>
  <c r="E20" i="30"/>
  <c r="H17" i="3"/>
  <c r="H15" i="3"/>
  <c r="AL163" i="29"/>
  <c r="AK158" i="29"/>
  <c r="AL158" i="29"/>
  <c r="AV53" i="114"/>
  <c r="AV106" i="114"/>
  <c r="AV100" i="114"/>
  <c r="AV78" i="114"/>
  <c r="Z78" i="29"/>
  <c r="Z27" i="29"/>
  <c r="G141" i="29"/>
  <c r="Z141" i="29" s="1"/>
  <c r="G188" i="29"/>
  <c r="Z188" i="29" s="1"/>
  <c r="G205" i="29"/>
  <c r="Z205" i="29" s="1"/>
  <c r="G184" i="29"/>
  <c r="Z184" i="29" s="1"/>
  <c r="G194" i="29"/>
  <c r="Z194" i="29" s="1"/>
  <c r="G182" i="29"/>
  <c r="Z182" i="29" s="1"/>
  <c r="G201" i="29"/>
  <c r="Z201" i="29" s="1"/>
  <c r="G175" i="29"/>
  <c r="Z175" i="29" s="1"/>
  <c r="G190" i="29"/>
  <c r="Z190" i="29" s="1"/>
  <c r="G195" i="29"/>
  <c r="Z195" i="29" s="1"/>
  <c r="G189" i="29"/>
  <c r="Z189" i="29" s="1"/>
  <c r="G176" i="29"/>
  <c r="Z176" i="29" s="1"/>
  <c r="G191" i="29"/>
  <c r="Z191" i="29" s="1"/>
  <c r="G198" i="29"/>
  <c r="Z198" i="29" s="1"/>
  <c r="G142" i="29"/>
  <c r="Z142" i="29" s="1"/>
  <c r="G174" i="29"/>
  <c r="Z174" i="29" s="1"/>
  <c r="G192" i="29"/>
  <c r="Z192" i="29" s="1"/>
  <c r="G299" i="29"/>
  <c r="G173" i="29"/>
  <c r="Z173" i="29" s="1"/>
  <c r="G181" i="29"/>
  <c r="Z181" i="29" s="1"/>
  <c r="G209" i="29"/>
  <c r="Z209" i="29" s="1"/>
  <c r="G214" i="29"/>
  <c r="Z214" i="29" s="1"/>
  <c r="G177" i="29"/>
  <c r="Z177" i="29" s="1"/>
  <c r="G178" i="29"/>
  <c r="Z178" i="29" s="1"/>
  <c r="G211" i="29"/>
  <c r="Z211" i="29" s="1"/>
  <c r="G183" i="29"/>
  <c r="Z183" i="29" s="1"/>
  <c r="G200" i="29"/>
  <c r="Z200" i="29" s="1"/>
  <c r="G212" i="29"/>
  <c r="Z212" i="29" s="1"/>
  <c r="G193" i="29"/>
  <c r="G208" i="29"/>
  <c r="Z208" i="29" s="1"/>
  <c r="G203" i="29"/>
  <c r="Z203" i="29" s="1"/>
  <c r="G172" i="29"/>
  <c r="Z172" i="29" s="1"/>
  <c r="G143" i="29"/>
  <c r="Z143" i="29" s="1"/>
  <c r="G202" i="29"/>
  <c r="Z202" i="29" s="1"/>
  <c r="F8" i="29"/>
  <c r="L52" i="114"/>
  <c r="L72" i="114" s="1"/>
  <c r="L13" i="114"/>
  <c r="L20" i="114"/>
  <c r="F17" i="29"/>
  <c r="L74" i="114"/>
  <c r="H310" i="29"/>
  <c r="AX29" i="114"/>
  <c r="AA59" i="29"/>
  <c r="AM59" i="29" s="1"/>
  <c r="AA63" i="29"/>
  <c r="AM63" i="29" s="1"/>
  <c r="AA14" i="29"/>
  <c r="AA299" i="29"/>
  <c r="AA300" i="29" s="1"/>
  <c r="AA15" i="29"/>
  <c r="AM15" i="29" s="1"/>
  <c r="AM25" i="29" s="1"/>
  <c r="AA46" i="29"/>
  <c r="F62" i="30" s="1"/>
  <c r="AA244" i="29"/>
  <c r="AA54" i="29"/>
  <c r="AA38" i="29"/>
  <c r="AM38" i="29" s="1"/>
  <c r="AA77" i="29"/>
  <c r="AJ104" i="114" s="1"/>
  <c r="AA42" i="29"/>
  <c r="AA51" i="29"/>
  <c r="AM51" i="29" s="1"/>
  <c r="AA66" i="29"/>
  <c r="AM66" i="29" s="1"/>
  <c r="AA43" i="29"/>
  <c r="AM43" i="29" s="1"/>
  <c r="AA76" i="29"/>
  <c r="AJ103" i="114" s="1"/>
  <c r="AA45" i="29"/>
  <c r="F61" i="30" s="1"/>
  <c r="AJ81" i="114" s="1"/>
  <c r="AA49" i="29"/>
  <c r="AM49" i="29" s="1"/>
  <c r="AA118" i="29"/>
  <c r="AA62" i="29"/>
  <c r="AA50" i="29"/>
  <c r="AM50" i="29" s="1"/>
  <c r="AA48" i="29"/>
  <c r="AA67" i="29"/>
  <c r="AA117" i="29"/>
  <c r="AA8" i="29"/>
  <c r="AA151" i="29" s="1"/>
  <c r="AA161" i="29" s="1"/>
  <c r="AA60" i="29"/>
  <c r="AM60" i="29" s="1"/>
  <c r="AA242" i="29"/>
  <c r="AA47" i="29"/>
  <c r="F63" i="30" s="1"/>
  <c r="AA116" i="29"/>
  <c r="AA37" i="29"/>
  <c r="AA243" i="29"/>
  <c r="AA245" i="29"/>
  <c r="AA16" i="29"/>
  <c r="AJ64" i="114" s="1"/>
  <c r="AW64" i="114" s="1"/>
  <c r="AA58" i="29"/>
  <c r="AM58" i="29" s="1"/>
  <c r="Z55" i="29"/>
  <c r="AI54" i="114"/>
  <c r="AI86" i="114" s="1"/>
  <c r="E91" i="30"/>
  <c r="E82" i="30"/>
  <c r="E73" i="30"/>
  <c r="E100" i="30"/>
  <c r="AI14" i="114"/>
  <c r="AI57" i="114"/>
  <c r="Z69" i="29"/>
  <c r="Z18" i="29"/>
  <c r="Z21" i="29"/>
  <c r="Z111" i="29"/>
  <c r="E12" i="30"/>
  <c r="E18" i="30" s="1"/>
  <c r="E88" i="30"/>
  <c r="E70" i="30"/>
  <c r="E79" i="30"/>
  <c r="E97" i="30"/>
  <c r="AV25" i="114"/>
  <c r="AV31" i="114" s="1"/>
  <c r="AV19" i="114"/>
  <c r="Z40" i="29"/>
  <c r="E71" i="30"/>
  <c r="E89" i="30"/>
  <c r="E98" i="30"/>
  <c r="E80" i="30"/>
  <c r="S135" i="30"/>
  <c r="E72" i="30"/>
  <c r="E90" i="30"/>
  <c r="E99" i="30"/>
  <c r="E81" i="30"/>
  <c r="AB310" i="29"/>
  <c r="AA316" i="29"/>
  <c r="AA315" i="29" s="1"/>
  <c r="AV60" i="114"/>
  <c r="AV74" i="114"/>
  <c r="AV59" i="114"/>
  <c r="AV69" i="114" s="1"/>
  <c r="AW18" i="114"/>
  <c r="AW11" i="114"/>
  <c r="AW24" i="114"/>
  <c r="AW30" i="114" s="1"/>
  <c r="AC243" i="1"/>
  <c r="J143" i="2"/>
  <c r="J144" i="2" s="1"/>
  <c r="J147" i="2" s="1"/>
  <c r="V147" i="2" s="1"/>
  <c r="V134" i="2"/>
  <c r="V143" i="2" s="1"/>
  <c r="V144" i="2" s="1"/>
  <c r="Q8" i="3"/>
  <c r="M38" i="3"/>
  <c r="AA64" i="1"/>
  <c r="AA61" i="29"/>
  <c r="AM61" i="29" s="1"/>
  <c r="AN18" i="114"/>
  <c r="AN24" i="114"/>
  <c r="AN30" i="114" s="1"/>
  <c r="AY12" i="114"/>
  <c r="AA318" i="29"/>
  <c r="AM291" i="29" l="1"/>
  <c r="AM290" i="29"/>
  <c r="AM286" i="29"/>
  <c r="AM270" i="29"/>
  <c r="AM289" i="29"/>
  <c r="AM288" i="29"/>
  <c r="AM287" i="29"/>
  <c r="J85" i="2"/>
  <c r="E47" i="723"/>
  <c r="E52" i="723"/>
  <c r="E69" i="723"/>
  <c r="E94" i="723" s="1"/>
  <c r="J76" i="2"/>
  <c r="F55" i="723"/>
  <c r="F55" i="724"/>
  <c r="E47" i="724"/>
  <c r="E52" i="724"/>
  <c r="E69" i="724"/>
  <c r="E94" i="724" s="1"/>
  <c r="F53" i="723"/>
  <c r="F53" i="724"/>
  <c r="K85" i="2"/>
  <c r="J94" i="2"/>
  <c r="AP30" i="114"/>
  <c r="AO24" i="114"/>
  <c r="AP18" i="114"/>
  <c r="V179" i="30"/>
  <c r="E135" i="30"/>
  <c r="T130" i="30"/>
  <c r="AF98" i="725"/>
  <c r="F115" i="30"/>
  <c r="AF86" i="725"/>
  <c r="E85" i="30"/>
  <c r="T40" i="30"/>
  <c r="AF23" i="725"/>
  <c r="AQ110" i="725"/>
  <c r="F141" i="30"/>
  <c r="E76" i="30"/>
  <c r="E103" i="30"/>
  <c r="AI82" i="114"/>
  <c r="AI87" i="114" s="1"/>
  <c r="AI88" i="114"/>
  <c r="E52" i="598"/>
  <c r="E47" i="598"/>
  <c r="E69" i="598"/>
  <c r="E94" i="598" s="1"/>
  <c r="F55" i="31"/>
  <c r="F55" i="598"/>
  <c r="F55" i="597"/>
  <c r="E47" i="31"/>
  <c r="E52" i="31"/>
  <c r="E69" i="31"/>
  <c r="E94" i="31" s="1"/>
  <c r="E47" i="597"/>
  <c r="E52" i="597"/>
  <c r="E69" i="597"/>
  <c r="E94" i="597" s="1"/>
  <c r="F53" i="598"/>
  <c r="F53" i="597"/>
  <c r="F53" i="31"/>
  <c r="E98" i="597"/>
  <c r="AM62" i="29"/>
  <c r="T113" i="30" s="1"/>
  <c r="F113" i="30"/>
  <c r="AF74" i="725" s="1"/>
  <c r="AJ98" i="114"/>
  <c r="AJ99" i="114" s="1"/>
  <c r="F108" i="30"/>
  <c r="AF62" i="725" s="1"/>
  <c r="F34" i="30"/>
  <c r="F38" i="30"/>
  <c r="T27" i="30"/>
  <c r="T30" i="30" s="1"/>
  <c r="F30" i="30"/>
  <c r="F28" i="30"/>
  <c r="T33" i="30"/>
  <c r="AM258" i="29"/>
  <c r="AM252" i="29"/>
  <c r="AM257" i="29"/>
  <c r="AM256" i="29"/>
  <c r="AM255" i="29"/>
  <c r="AM261" i="29"/>
  <c r="AM259" i="29"/>
  <c r="AM248" i="29"/>
  <c r="AM253" i="29"/>
  <c r="AM260" i="29"/>
  <c r="AM251" i="29"/>
  <c r="AM264" i="29"/>
  <c r="AM250" i="29"/>
  <c r="AM265" i="29"/>
  <c r="AM262" i="29"/>
  <c r="AM263" i="29"/>
  <c r="AM266" i="29"/>
  <c r="G179" i="30"/>
  <c r="O9" i="720"/>
  <c r="U9" i="720"/>
  <c r="U10" i="720" s="1"/>
  <c r="U12" i="720" s="1"/>
  <c r="T132" i="30"/>
  <c r="AN311" i="29"/>
  <c r="F58" i="30"/>
  <c r="F56" i="30"/>
  <c r="F57" i="30"/>
  <c r="T50" i="30"/>
  <c r="AJ76" i="114"/>
  <c r="AJ77" i="114" s="1"/>
  <c r="F43" i="30"/>
  <c r="F116" i="30"/>
  <c r="T338" i="726" s="1"/>
  <c r="F140" i="30"/>
  <c r="F54" i="30"/>
  <c r="F121" i="30"/>
  <c r="T120" i="30"/>
  <c r="F158" i="30"/>
  <c r="F55" i="30"/>
  <c r="F122" i="30"/>
  <c r="T114" i="30"/>
  <c r="F125" i="30"/>
  <c r="F123" i="30"/>
  <c r="F41" i="30"/>
  <c r="F117" i="30"/>
  <c r="T49" i="30"/>
  <c r="F118" i="30"/>
  <c r="F131" i="30"/>
  <c r="F44" i="30"/>
  <c r="T51" i="30"/>
  <c r="V103" i="2"/>
  <c r="V76" i="2"/>
  <c r="V85" i="2"/>
  <c r="V94" i="2"/>
  <c r="AM42" i="29"/>
  <c r="T66" i="30" s="1"/>
  <c r="F66" i="30"/>
  <c r="AA64" i="29"/>
  <c r="AO18" i="114"/>
  <c r="AJ63" i="114"/>
  <c r="AW63" i="114" s="1"/>
  <c r="M73" i="719"/>
  <c r="T12" i="30"/>
  <c r="T18" i="30" s="1"/>
  <c r="AJ105" i="114"/>
  <c r="AA152" i="29"/>
  <c r="AI53" i="114"/>
  <c r="AI106" i="114"/>
  <c r="L53" i="114"/>
  <c r="L73" i="114" s="1"/>
  <c r="AI100" i="114"/>
  <c r="AI78" i="114"/>
  <c r="AV58" i="114"/>
  <c r="AV68" i="114" s="1"/>
  <c r="AV73" i="114"/>
  <c r="L60" i="114"/>
  <c r="H311" i="29"/>
  <c r="E7" i="711"/>
  <c r="E8" i="719"/>
  <c r="E40" i="719" s="1"/>
  <c r="F17" i="1"/>
  <c r="F37" i="29"/>
  <c r="F21" i="29"/>
  <c r="F110" i="29"/>
  <c r="L19" i="114"/>
  <c r="E7" i="719"/>
  <c r="E39" i="719" s="1"/>
  <c r="F8" i="1"/>
  <c r="AA202" i="29"/>
  <c r="I202" i="29" s="1"/>
  <c r="AA203" i="29"/>
  <c r="I203" i="29" s="1"/>
  <c r="AA200" i="29"/>
  <c r="I200" i="29" s="1"/>
  <c r="AA201" i="29"/>
  <c r="I201" i="29" s="1"/>
  <c r="AA198" i="29"/>
  <c r="I198" i="29" s="1"/>
  <c r="AA110" i="29"/>
  <c r="AA9" i="29"/>
  <c r="AM8" i="29"/>
  <c r="AM151" i="29" s="1"/>
  <c r="AM161" i="29" s="1"/>
  <c r="AM77" i="29"/>
  <c r="AW104" i="114" s="1"/>
  <c r="AA68" i="29"/>
  <c r="AM67" i="29"/>
  <c r="AM48" i="29"/>
  <c r="AI13" i="114"/>
  <c r="AI20" i="114"/>
  <c r="AI26" i="114"/>
  <c r="M14" i="114"/>
  <c r="AM54" i="29"/>
  <c r="F19" i="30"/>
  <c r="F20" i="30"/>
  <c r="T165" i="30"/>
  <c r="AM46" i="29"/>
  <c r="T62" i="30" s="1"/>
  <c r="AM16" i="29"/>
  <c r="AM26" i="29" s="1"/>
  <c r="F106" i="30"/>
  <c r="AM45" i="29"/>
  <c r="T61" i="30" s="1"/>
  <c r="AW81" i="114" s="1"/>
  <c r="AI60" i="114"/>
  <c r="M54" i="114"/>
  <c r="J8" i="725" s="1"/>
  <c r="AE8" i="725" s="1"/>
  <c r="AI74" i="114"/>
  <c r="AI59" i="114"/>
  <c r="AM76" i="29"/>
  <c r="AW103" i="114" s="1"/>
  <c r="AB311" i="29"/>
  <c r="AB296" i="29"/>
  <c r="AN296" i="29" s="1"/>
  <c r="AN297" i="29" s="1"/>
  <c r="AO296" i="29" s="1"/>
  <c r="AO297" i="29" s="1"/>
  <c r="AP296" i="29" s="1"/>
  <c r="AP297" i="29" s="1"/>
  <c r="AA39" i="29"/>
  <c r="AA52" i="29" s="1"/>
  <c r="AM52" i="29" s="1"/>
  <c r="AM37" i="29"/>
  <c r="AA24" i="29"/>
  <c r="AA17" i="29"/>
  <c r="AM14" i="29"/>
  <c r="AM24" i="29" s="1"/>
  <c r="E74" i="30"/>
  <c r="E101" i="30"/>
  <c r="E92" i="30"/>
  <c r="E83" i="30"/>
  <c r="AM47" i="29"/>
  <c r="T63" i="30" s="1"/>
  <c r="R8" i="3"/>
  <c r="AC245" i="1"/>
  <c r="N38" i="3"/>
  <c r="H313" i="29"/>
  <c r="AB313" i="29"/>
  <c r="AB324" i="29"/>
  <c r="G181" i="30"/>
  <c r="AN313" i="29"/>
  <c r="AN324" i="29"/>
  <c r="V181" i="30"/>
  <c r="W178" i="30" l="1"/>
  <c r="F21" i="723"/>
  <c r="F21" i="724"/>
  <c r="F31" i="723"/>
  <c r="F31" i="724"/>
  <c r="E96" i="723"/>
  <c r="F15" i="724"/>
  <c r="F56" i="724" s="1"/>
  <c r="F15" i="723"/>
  <c r="F40" i="723"/>
  <c r="F40" i="724"/>
  <c r="F7" i="724"/>
  <c r="F7" i="723"/>
  <c r="F10" i="724"/>
  <c r="F10" i="723"/>
  <c r="E96" i="724"/>
  <c r="F31" i="31"/>
  <c r="F31" i="598"/>
  <c r="T41" i="30"/>
  <c r="T42" i="30" s="1"/>
  <c r="T163" i="30"/>
  <c r="V106" i="30"/>
  <c r="F10" i="31"/>
  <c r="F31" i="597"/>
  <c r="F10" i="598"/>
  <c r="T43" i="30"/>
  <c r="AE55" i="725"/>
  <c r="AE105" i="725"/>
  <c r="AF46" i="725"/>
  <c r="F10" i="597"/>
  <c r="F11" i="597" s="1"/>
  <c r="AE16" i="725"/>
  <c r="AQ8" i="725"/>
  <c r="AQ105" i="725" s="1"/>
  <c r="AE39" i="725"/>
  <c r="AE81" i="725"/>
  <c r="AE93" i="725"/>
  <c r="AE69" i="725"/>
  <c r="AE117" i="725"/>
  <c r="AF32" i="725"/>
  <c r="F133" i="30"/>
  <c r="F134" i="30" s="1"/>
  <c r="F143" i="30" s="1"/>
  <c r="F144" i="30" s="1"/>
  <c r="F147" i="30" s="1"/>
  <c r="T147" i="30" s="1"/>
  <c r="AF110" i="725"/>
  <c r="E96" i="31"/>
  <c r="F40" i="598"/>
  <c r="F40" i="31"/>
  <c r="F40" i="597"/>
  <c r="E97" i="597"/>
  <c r="F21" i="598"/>
  <c r="F21" i="597"/>
  <c r="F21" i="31"/>
  <c r="E96" i="598"/>
  <c r="T115" i="30"/>
  <c r="F15" i="31"/>
  <c r="F15" i="597"/>
  <c r="F56" i="597" s="1"/>
  <c r="F15" i="598"/>
  <c r="F56" i="598" s="1"/>
  <c r="T55" i="30"/>
  <c r="F7" i="598"/>
  <c r="F8" i="598" s="1"/>
  <c r="F7" i="597"/>
  <c r="F7" i="31"/>
  <c r="B63" i="714"/>
  <c r="B40" i="715"/>
  <c r="B70" i="713"/>
  <c r="T58" i="30"/>
  <c r="F109" i="30"/>
  <c r="F110" i="30"/>
  <c r="F111" i="30"/>
  <c r="AW98" i="114"/>
  <c r="AW99" i="114" s="1"/>
  <c r="T108" i="30"/>
  <c r="T13" i="30"/>
  <c r="T20" i="30" s="1"/>
  <c r="H178" i="30"/>
  <c r="T36" i="30"/>
  <c r="T162" i="30"/>
  <c r="T54" i="30"/>
  <c r="T34" i="30"/>
  <c r="T35" i="30" s="1"/>
  <c r="T44" i="30"/>
  <c r="T56" i="30"/>
  <c r="T122" i="30"/>
  <c r="T38" i="30"/>
  <c r="T28" i="30"/>
  <c r="T29" i="30" s="1"/>
  <c r="T57" i="30"/>
  <c r="G120" i="30"/>
  <c r="G132" i="30"/>
  <c r="G142" i="30" s="1"/>
  <c r="G157" i="30"/>
  <c r="G51" i="30"/>
  <c r="G151" i="30"/>
  <c r="G152" i="30"/>
  <c r="G40" i="30"/>
  <c r="G47" i="30"/>
  <c r="G114" i="30"/>
  <c r="G148" i="30"/>
  <c r="AD148" i="30" s="1"/>
  <c r="G130" i="30"/>
  <c r="AG98" i="725" s="1"/>
  <c r="AR98" i="725" s="1"/>
  <c r="G153" i="30"/>
  <c r="G27" i="30"/>
  <c r="G13" i="30" s="1"/>
  <c r="G49" i="30"/>
  <c r="G50" i="30"/>
  <c r="G48" i="30"/>
  <c r="G155" i="30"/>
  <c r="G33" i="30"/>
  <c r="AF33" i="30" s="1"/>
  <c r="AF34" i="30" s="1"/>
  <c r="G154" i="30"/>
  <c r="G106" i="30"/>
  <c r="T142" i="30"/>
  <c r="AB238" i="29"/>
  <c r="F126" i="30"/>
  <c r="AO310" i="29"/>
  <c r="B43" i="715"/>
  <c r="B73" i="713"/>
  <c r="B66" i="714"/>
  <c r="AN110" i="29"/>
  <c r="AN111" i="29" s="1"/>
  <c r="AN112" i="29" s="1"/>
  <c r="AN116" i="29"/>
  <c r="AN118" i="29"/>
  <c r="AN299" i="29"/>
  <c r="AN300" i="29" s="1"/>
  <c r="AN243" i="29"/>
  <c r="AN117" i="29"/>
  <c r="T131" i="30"/>
  <c r="T133" i="30" s="1"/>
  <c r="T134" i="30" s="1"/>
  <c r="T143" i="30" s="1"/>
  <c r="T140" i="30"/>
  <c r="T116" i="30"/>
  <c r="T125" i="30"/>
  <c r="T126" i="30" s="1"/>
  <c r="AJ101" i="114"/>
  <c r="AJ107" i="114"/>
  <c r="T118" i="30"/>
  <c r="T117" i="30"/>
  <c r="T141" i="30"/>
  <c r="T121" i="30"/>
  <c r="T123" i="30"/>
  <c r="F128" i="30"/>
  <c r="F127" i="30"/>
  <c r="T158" i="30"/>
  <c r="T102" i="30"/>
  <c r="T84" i="30"/>
  <c r="T75" i="30"/>
  <c r="T93" i="30"/>
  <c r="F102" i="30"/>
  <c r="F75" i="30"/>
  <c r="F84" i="30"/>
  <c r="F93" i="30"/>
  <c r="F64" i="30"/>
  <c r="F65" i="30" s="1"/>
  <c r="T64" i="30"/>
  <c r="T65" i="30" s="1"/>
  <c r="F82" i="2"/>
  <c r="F91" i="2"/>
  <c r="H73" i="2"/>
  <c r="F73" i="2"/>
  <c r="G82" i="2"/>
  <c r="F94" i="2"/>
  <c r="F100" i="2"/>
  <c r="AM64" i="29"/>
  <c r="M78" i="719"/>
  <c r="M80" i="719" s="1"/>
  <c r="M84" i="719"/>
  <c r="M86" i="719" s="1"/>
  <c r="AW105" i="114"/>
  <c r="AA153" i="29"/>
  <c r="AA163" i="29" s="1"/>
  <c r="AA162" i="29"/>
  <c r="AM152" i="29"/>
  <c r="AM156" i="29"/>
  <c r="AI58" i="114"/>
  <c r="AI73" i="114"/>
  <c r="AA78" i="29"/>
  <c r="AA27" i="29"/>
  <c r="H8" i="29"/>
  <c r="H17" i="29"/>
  <c r="H299" i="29"/>
  <c r="H300" i="29" s="1"/>
  <c r="H116" i="29"/>
  <c r="H110" i="29"/>
  <c r="H111" i="29" s="1"/>
  <c r="J9" i="1"/>
  <c r="N10" i="1" s="1"/>
  <c r="F110" i="1"/>
  <c r="J111" i="1" s="1"/>
  <c r="N112" i="1" s="1"/>
  <c r="F21" i="1"/>
  <c r="F37" i="1"/>
  <c r="J18" i="1"/>
  <c r="I310" i="29"/>
  <c r="AA69" i="29"/>
  <c r="AB38" i="29"/>
  <c r="AB219" i="29"/>
  <c r="AB47" i="29"/>
  <c r="G63" i="30" s="1"/>
  <c r="AB117" i="29"/>
  <c r="AB58" i="29"/>
  <c r="AB59" i="29"/>
  <c r="AB45" i="29"/>
  <c r="G61" i="30" s="1"/>
  <c r="AK81" i="114" s="1"/>
  <c r="AB14" i="29"/>
  <c r="AB299" i="29"/>
  <c r="AB300" i="29" s="1"/>
  <c r="AB8" i="29"/>
  <c r="AB151" i="29" s="1"/>
  <c r="AB161" i="29" s="1"/>
  <c r="AB15" i="29"/>
  <c r="AB25" i="29" s="1"/>
  <c r="AB232" i="29"/>
  <c r="AB50" i="29"/>
  <c r="AB46" i="29"/>
  <c r="G62" i="30" s="1"/>
  <c r="AB221" i="29"/>
  <c r="AB64" i="29"/>
  <c r="AB54" i="29"/>
  <c r="AB224" i="29"/>
  <c r="AB67" i="29"/>
  <c r="AB77" i="29"/>
  <c r="AK104" i="114" s="1"/>
  <c r="AB227" i="29"/>
  <c r="AB16" i="29"/>
  <c r="AB51" i="29"/>
  <c r="AB239" i="29"/>
  <c r="AB43" i="29"/>
  <c r="AB76" i="29"/>
  <c r="AB244" i="29"/>
  <c r="AB63" i="29"/>
  <c r="AB118" i="29"/>
  <c r="AB231" i="29"/>
  <c r="AB49" i="29"/>
  <c r="AB116" i="29"/>
  <c r="AB225" i="29"/>
  <c r="AB42" i="29"/>
  <c r="G66" i="30" s="1"/>
  <c r="AB37" i="29"/>
  <c r="AB235" i="29"/>
  <c r="AB62" i="29"/>
  <c r="G113" i="30" s="1"/>
  <c r="AG74" i="725" s="1"/>
  <c r="AB228" i="29"/>
  <c r="AB220" i="29"/>
  <c r="AB48" i="29"/>
  <c r="AB223" i="29"/>
  <c r="AB237" i="29"/>
  <c r="AB60" i="29"/>
  <c r="AB236" i="29"/>
  <c r="AB240" i="29"/>
  <c r="AB61" i="29"/>
  <c r="AB66" i="29"/>
  <c r="AB243" i="29"/>
  <c r="AB245" i="29"/>
  <c r="F72" i="30"/>
  <c r="F90" i="30"/>
  <c r="F99" i="30"/>
  <c r="F81" i="30"/>
  <c r="AA40" i="29"/>
  <c r="AM39" i="29"/>
  <c r="AW76" i="114" s="1"/>
  <c r="AW77" i="114" s="1"/>
  <c r="F79" i="30"/>
  <c r="F88" i="30"/>
  <c r="F70" i="30"/>
  <c r="F97" i="30"/>
  <c r="T81" i="30"/>
  <c r="T90" i="30"/>
  <c r="T72" i="30"/>
  <c r="T99" i="30"/>
  <c r="AC310" i="29"/>
  <c r="AB316" i="29"/>
  <c r="AB297" i="29"/>
  <c r="AA55" i="29"/>
  <c r="AM55" i="29" s="1"/>
  <c r="G8" i="29"/>
  <c r="M20" i="114"/>
  <c r="M52" i="114"/>
  <c r="M72" i="114" s="1"/>
  <c r="M13" i="114"/>
  <c r="B69" i="713"/>
  <c r="B39" i="715"/>
  <c r="B62" i="714"/>
  <c r="AM68" i="29"/>
  <c r="AI19" i="114"/>
  <c r="AI25" i="114"/>
  <c r="M74" i="114"/>
  <c r="G17" i="29"/>
  <c r="T71" i="30"/>
  <c r="T89" i="30"/>
  <c r="T80" i="30"/>
  <c r="T98" i="30"/>
  <c r="B55" i="714"/>
  <c r="B32" i="715"/>
  <c r="B62" i="713"/>
  <c r="AM9" i="29"/>
  <c r="AM10" i="29" s="1"/>
  <c r="AA18" i="29"/>
  <c r="AA21" i="29"/>
  <c r="AM17" i="29"/>
  <c r="AM27" i="29" s="1"/>
  <c r="T79" i="30"/>
  <c r="T88" i="30"/>
  <c r="T70" i="30"/>
  <c r="T97" i="30"/>
  <c r="F80" i="30"/>
  <c r="F71" i="30"/>
  <c r="F89" i="30"/>
  <c r="F98" i="30"/>
  <c r="AM85" i="29"/>
  <c r="AM90" i="29"/>
  <c r="AM86" i="29"/>
  <c r="AM87" i="29"/>
  <c r="AM88" i="29"/>
  <c r="AM89" i="29"/>
  <c r="AM84" i="29"/>
  <c r="F12" i="30"/>
  <c r="F18" i="30" s="1"/>
  <c r="AA111" i="29"/>
  <c r="S8" i="3"/>
  <c r="O38" i="3"/>
  <c r="H179" i="30" l="1"/>
  <c r="W179" i="30"/>
  <c r="F33" i="723"/>
  <c r="F12" i="724"/>
  <c r="F11" i="724"/>
  <c r="F32" i="31"/>
  <c r="F33" i="598"/>
  <c r="F33" i="724"/>
  <c r="F32" i="724"/>
  <c r="F23" i="724"/>
  <c r="F22" i="724"/>
  <c r="F32" i="723"/>
  <c r="F8" i="723"/>
  <c r="F8" i="724"/>
  <c r="F33" i="31"/>
  <c r="F18" i="723"/>
  <c r="F43" i="723"/>
  <c r="F49" i="723" s="1"/>
  <c r="F35" i="723"/>
  <c r="F19" i="723"/>
  <c r="F25" i="723"/>
  <c r="F17" i="723"/>
  <c r="F16" i="723"/>
  <c r="F23" i="723"/>
  <c r="F22" i="723"/>
  <c r="F12" i="723"/>
  <c r="F11" i="723"/>
  <c r="F35" i="724"/>
  <c r="F19" i="724"/>
  <c r="F18" i="724"/>
  <c r="F43" i="724"/>
  <c r="F49" i="724" s="1"/>
  <c r="F16" i="724"/>
  <c r="F17" i="724"/>
  <c r="F25" i="724"/>
  <c r="F56" i="723"/>
  <c r="F33" i="597"/>
  <c r="F11" i="31"/>
  <c r="F11" i="598"/>
  <c r="F12" i="597"/>
  <c r="F135" i="30"/>
  <c r="AQ117" i="725"/>
  <c r="AQ55" i="725"/>
  <c r="G115" i="30"/>
  <c r="AG86" i="725"/>
  <c r="G121" i="30"/>
  <c r="AQ39" i="725"/>
  <c r="AQ81" i="725"/>
  <c r="AQ69" i="725"/>
  <c r="AQ93" i="725"/>
  <c r="AK76" i="114"/>
  <c r="AK77" i="114" s="1"/>
  <c r="AG23" i="725"/>
  <c r="T19" i="30"/>
  <c r="F67" i="30"/>
  <c r="F103" i="30" s="1"/>
  <c r="AJ83" i="114"/>
  <c r="T67" i="30"/>
  <c r="T76" i="30" s="1"/>
  <c r="AW83" i="114"/>
  <c r="F12" i="31"/>
  <c r="F12" i="598"/>
  <c r="F32" i="598"/>
  <c r="F22" i="31"/>
  <c r="F23" i="31"/>
  <c r="F23" i="597"/>
  <c r="F22" i="597"/>
  <c r="F19" i="597"/>
  <c r="F18" i="597"/>
  <c r="F43" i="597"/>
  <c r="F49" i="597" s="1"/>
  <c r="F17" i="597"/>
  <c r="F16" i="597"/>
  <c r="F25" i="597"/>
  <c r="F35" i="597"/>
  <c r="F8" i="31"/>
  <c r="F17" i="31"/>
  <c r="F19" i="31"/>
  <c r="F43" i="31"/>
  <c r="F49" i="31" s="1"/>
  <c r="F16" i="31"/>
  <c r="F35" i="31"/>
  <c r="F25" i="31"/>
  <c r="F18" i="31"/>
  <c r="F23" i="598"/>
  <c r="F22" i="598"/>
  <c r="F35" i="598"/>
  <c r="F25" i="598"/>
  <c r="F17" i="598"/>
  <c r="F43" i="598"/>
  <c r="F49" i="598" s="1"/>
  <c r="F18" i="598"/>
  <c r="F16" i="598"/>
  <c r="F19" i="598"/>
  <c r="F32" i="597"/>
  <c r="F8" i="597"/>
  <c r="F56" i="31"/>
  <c r="B64" i="714"/>
  <c r="B67" i="714" s="1"/>
  <c r="B41" i="715"/>
  <c r="B44" i="715" s="1"/>
  <c r="B71" i="713"/>
  <c r="B74" i="713" s="1"/>
  <c r="AK98" i="114"/>
  <c r="AK99" i="114" s="1"/>
  <c r="G108" i="30"/>
  <c r="AG62" i="725" s="1"/>
  <c r="T110" i="30"/>
  <c r="T111" i="30"/>
  <c r="T109" i="30"/>
  <c r="G141" i="30"/>
  <c r="G41" i="30"/>
  <c r="G42" i="30" s="1"/>
  <c r="AO311" i="29"/>
  <c r="G43" i="30"/>
  <c r="AD40" i="30"/>
  <c r="AD59" i="30" s="1"/>
  <c r="G55" i="30"/>
  <c r="G123" i="30"/>
  <c r="G36" i="30"/>
  <c r="G122" i="30"/>
  <c r="G56" i="30"/>
  <c r="G57" i="30"/>
  <c r="G125" i="30"/>
  <c r="G126" i="30" s="1"/>
  <c r="G118" i="30"/>
  <c r="G116" i="30"/>
  <c r="U338" i="726" s="1"/>
  <c r="G140" i="30"/>
  <c r="G131" i="30"/>
  <c r="G54" i="30"/>
  <c r="G44" i="30"/>
  <c r="G28" i="30"/>
  <c r="G29" i="30" s="1"/>
  <c r="G30" i="30"/>
  <c r="H189" i="30"/>
  <c r="H190" i="30" s="1"/>
  <c r="G58" i="30"/>
  <c r="AD38" i="30"/>
  <c r="G38" i="30"/>
  <c r="G34" i="30"/>
  <c r="T128" i="30"/>
  <c r="T127" i="30"/>
  <c r="T144" i="30"/>
  <c r="G64" i="30"/>
  <c r="G65" i="30" s="1"/>
  <c r="F82" i="30"/>
  <c r="G102" i="30"/>
  <c r="G75" i="30"/>
  <c r="G84" i="30"/>
  <c r="G93" i="30"/>
  <c r="F85" i="2"/>
  <c r="G85" i="2"/>
  <c r="F76" i="2"/>
  <c r="H76" i="2"/>
  <c r="F100" i="30"/>
  <c r="H74" i="2"/>
  <c r="G83" i="2"/>
  <c r="F92" i="2"/>
  <c r="F83" i="2"/>
  <c r="F74" i="2"/>
  <c r="F101" i="2"/>
  <c r="F91" i="30"/>
  <c r="F73" i="30"/>
  <c r="AK63" i="114"/>
  <c r="N73" i="719"/>
  <c r="AK105" i="114"/>
  <c r="AW107" i="114"/>
  <c r="AW101" i="114"/>
  <c r="AM157" i="29"/>
  <c r="AM162" i="29"/>
  <c r="AM153" i="29"/>
  <c r="AB152" i="29"/>
  <c r="AB156" i="29"/>
  <c r="AB26" i="29"/>
  <c r="AK64" i="114"/>
  <c r="AD149" i="30"/>
  <c r="AK103" i="114"/>
  <c r="M53" i="114"/>
  <c r="M60" i="114"/>
  <c r="N19" i="1"/>
  <c r="J27" i="1"/>
  <c r="I311" i="29"/>
  <c r="N54" i="114"/>
  <c r="K8" i="725" s="1"/>
  <c r="H37" i="29"/>
  <c r="G7" i="711"/>
  <c r="H18" i="29"/>
  <c r="H27" i="29" s="1"/>
  <c r="H21" i="29"/>
  <c r="G8" i="719"/>
  <c r="G24" i="719" s="1"/>
  <c r="G7" i="719"/>
  <c r="G23" i="719" s="1"/>
  <c r="H9" i="29"/>
  <c r="N52" i="114"/>
  <c r="N72" i="114" s="1"/>
  <c r="B34" i="715"/>
  <c r="B64" i="713"/>
  <c r="B57" i="714"/>
  <c r="AM18" i="29"/>
  <c r="AM19" i="29" s="1"/>
  <c r="AM21" i="29"/>
  <c r="AC311" i="29"/>
  <c r="AC296" i="29"/>
  <c r="M19" i="114"/>
  <c r="G110" i="29"/>
  <c r="AB242" i="29"/>
  <c r="F7" i="711"/>
  <c r="F8" i="719"/>
  <c r="G17" i="1"/>
  <c r="G37" i="29"/>
  <c r="G21" i="29"/>
  <c r="AB110" i="29"/>
  <c r="AB9" i="29"/>
  <c r="AB10" i="29" s="1"/>
  <c r="F7" i="719"/>
  <c r="G116" i="29"/>
  <c r="G8" i="1"/>
  <c r="AM78" i="29"/>
  <c r="AB24" i="29"/>
  <c r="AB17" i="29"/>
  <c r="AB33" i="29" s="1"/>
  <c r="B59" i="714"/>
  <c r="B61" i="714" s="1"/>
  <c r="AM40" i="29"/>
  <c r="B36" i="715"/>
  <c r="B38" i="715" s="1"/>
  <c r="B66" i="713"/>
  <c r="B68" i="713" s="1"/>
  <c r="G19" i="30"/>
  <c r="G20" i="30"/>
  <c r="AM69" i="29"/>
  <c r="T135" i="30"/>
  <c r="T164" i="30" s="1"/>
  <c r="F83" i="30"/>
  <c r="F74" i="30"/>
  <c r="F92" i="30"/>
  <c r="F101" i="30"/>
  <c r="AB39" i="29"/>
  <c r="AB68" i="29"/>
  <c r="T82" i="30"/>
  <c r="T73" i="30"/>
  <c r="T91" i="30"/>
  <c r="T100" i="30"/>
  <c r="AB315" i="29"/>
  <c r="AC315" i="29"/>
  <c r="P38" i="3"/>
  <c r="H181" i="30"/>
  <c r="W181" i="30"/>
  <c r="I313" i="29"/>
  <c r="AO313" i="29"/>
  <c r="AO324" i="29"/>
  <c r="AB318" i="29"/>
  <c r="AC313" i="29"/>
  <c r="AC324" i="29"/>
  <c r="I178" i="30" l="1"/>
  <c r="H130" i="30"/>
  <c r="AH98" i="725" s="1"/>
  <c r="H148" i="30"/>
  <c r="H155" i="30"/>
  <c r="U155" i="30" s="1"/>
  <c r="H151" i="30"/>
  <c r="U151" i="30" s="1"/>
  <c r="H106" i="30"/>
  <c r="H120" i="30"/>
  <c r="H27" i="30"/>
  <c r="U27" i="30" s="1"/>
  <c r="H132" i="30"/>
  <c r="H142" i="30" s="1"/>
  <c r="H154" i="30"/>
  <c r="U154" i="30" s="1"/>
  <c r="H153" i="30"/>
  <c r="U153" i="30" s="1"/>
  <c r="H33" i="30"/>
  <c r="H34" i="30" s="1"/>
  <c r="H152" i="30"/>
  <c r="U152" i="30" s="1"/>
  <c r="H114" i="30"/>
  <c r="H140" i="30" s="1"/>
  <c r="H40" i="30"/>
  <c r="AH23" i="725" s="1"/>
  <c r="AH32" i="725" s="1"/>
  <c r="H157" i="30"/>
  <c r="U157" i="30" s="1"/>
  <c r="G55" i="723" s="1"/>
  <c r="X178" i="30"/>
  <c r="F50" i="723"/>
  <c r="F70" i="723"/>
  <c r="F50" i="724"/>
  <c r="F70" i="724"/>
  <c r="F37" i="723"/>
  <c r="F36" i="723"/>
  <c r="F38" i="723"/>
  <c r="F26" i="724"/>
  <c r="F29" i="724"/>
  <c r="F46" i="724"/>
  <c r="F28" i="724"/>
  <c r="F27" i="724"/>
  <c r="F37" i="724"/>
  <c r="F38" i="724"/>
  <c r="F36" i="724"/>
  <c r="F27" i="723"/>
  <c r="F46" i="723"/>
  <c r="F28" i="723"/>
  <c r="F29" i="723"/>
  <c r="F26" i="723"/>
  <c r="F50" i="598"/>
  <c r="F70" i="598"/>
  <c r="F50" i="31"/>
  <c r="F70" i="31"/>
  <c r="AP310" i="29"/>
  <c r="G35" i="30"/>
  <c r="U339" i="726"/>
  <c r="AK107" i="114"/>
  <c r="AG46" i="725"/>
  <c r="AR62" i="725"/>
  <c r="AG32" i="725"/>
  <c r="AR23" i="725"/>
  <c r="K16" i="725"/>
  <c r="AR74" i="725"/>
  <c r="G133" i="30"/>
  <c r="G134" i="30" s="1"/>
  <c r="G143" i="30" s="1"/>
  <c r="G144" i="30" s="1"/>
  <c r="G147" i="30" s="1"/>
  <c r="AG110" i="725"/>
  <c r="AR86" i="725"/>
  <c r="F76" i="30"/>
  <c r="T103" i="30"/>
  <c r="T85" i="30"/>
  <c r="T94" i="30"/>
  <c r="F94" i="30"/>
  <c r="F85" i="30"/>
  <c r="AW82" i="114"/>
  <c r="AJ82" i="114"/>
  <c r="G67" i="30"/>
  <c r="G103" i="30" s="1"/>
  <c r="AK83" i="114"/>
  <c r="F28" i="31"/>
  <c r="F27" i="31"/>
  <c r="F26" i="31"/>
  <c r="F46" i="31"/>
  <c r="F29" i="31"/>
  <c r="F37" i="31"/>
  <c r="F36" i="31"/>
  <c r="F38" i="31"/>
  <c r="F27" i="598"/>
  <c r="F28" i="598"/>
  <c r="F29" i="598"/>
  <c r="F46" i="598"/>
  <c r="F26" i="598"/>
  <c r="F37" i="597"/>
  <c r="F38" i="597"/>
  <c r="F36" i="597"/>
  <c r="F50" i="597"/>
  <c r="F70" i="597"/>
  <c r="F95" i="597" s="1"/>
  <c r="F38" i="598"/>
  <c r="F36" i="598"/>
  <c r="F37" i="598"/>
  <c r="F27" i="597"/>
  <c r="F26" i="597"/>
  <c r="F46" i="597"/>
  <c r="F29" i="597"/>
  <c r="F28" i="597"/>
  <c r="AK101" i="114"/>
  <c r="AS11" i="1"/>
  <c r="AS12" i="1" s="1"/>
  <c r="G110" i="30"/>
  <c r="G111" i="30"/>
  <c r="G109" i="30"/>
  <c r="H193" i="30"/>
  <c r="H194" i="30" s="1"/>
  <c r="AD125" i="30"/>
  <c r="AD127" i="30" s="1"/>
  <c r="AD41" i="30"/>
  <c r="AF125" i="30"/>
  <c r="AF126" i="30" s="1"/>
  <c r="G128" i="30"/>
  <c r="AO110" i="29"/>
  <c r="AO117" i="29"/>
  <c r="AO299" i="29"/>
  <c r="AO116" i="29"/>
  <c r="AO118" i="29"/>
  <c r="G127" i="30"/>
  <c r="AD151" i="30"/>
  <c r="AC238" i="29"/>
  <c r="AN238" i="29" s="1"/>
  <c r="N78" i="719"/>
  <c r="N80" i="719" s="1"/>
  <c r="N84" i="719"/>
  <c r="N86" i="719" s="1"/>
  <c r="AB157" i="29"/>
  <c r="AB162" i="29"/>
  <c r="AM158" i="29"/>
  <c r="AM163" i="29"/>
  <c r="AB153" i="29"/>
  <c r="AD150" i="30"/>
  <c r="AD152" i="30" s="1"/>
  <c r="N53" i="114"/>
  <c r="N58" i="114" s="1"/>
  <c r="M73" i="114"/>
  <c r="AB78" i="29"/>
  <c r="AB27" i="29"/>
  <c r="I17" i="29"/>
  <c r="I110" i="29"/>
  <c r="I111" i="29" s="1"/>
  <c r="I8" i="29"/>
  <c r="I116" i="29"/>
  <c r="I299" i="29"/>
  <c r="I300" i="29" s="1"/>
  <c r="N57" i="114"/>
  <c r="N14" i="114"/>
  <c r="G13" i="711"/>
  <c r="G19" i="711"/>
  <c r="N59" i="114"/>
  <c r="N60" i="114"/>
  <c r="N92" i="114"/>
  <c r="N91" i="114"/>
  <c r="N74" i="114"/>
  <c r="J310" i="29"/>
  <c r="AC43" i="29"/>
  <c r="AN43" i="29" s="1"/>
  <c r="AC59" i="29"/>
  <c r="AN59" i="29" s="1"/>
  <c r="AC236" i="29"/>
  <c r="AN236" i="29" s="1"/>
  <c r="AC37" i="29"/>
  <c r="AC14" i="29"/>
  <c r="AC299" i="29"/>
  <c r="AC300" i="29" s="1"/>
  <c r="AC45" i="29"/>
  <c r="H61" i="30" s="1"/>
  <c r="AL81" i="114" s="1"/>
  <c r="AC15" i="29"/>
  <c r="AC227" i="29"/>
  <c r="AN227" i="29" s="1"/>
  <c r="AC50" i="29"/>
  <c r="AN50" i="29" s="1"/>
  <c r="AC46" i="29"/>
  <c r="H62" i="30" s="1"/>
  <c r="AC219" i="29"/>
  <c r="AN219" i="29" s="1"/>
  <c r="AC8" i="29"/>
  <c r="AC244" i="29"/>
  <c r="AN244" i="29" s="1"/>
  <c r="AC231" i="29"/>
  <c r="AN231" i="29" s="1"/>
  <c r="AC64" i="29"/>
  <c r="AN64" i="29" s="1"/>
  <c r="AC77" i="29"/>
  <c r="AL104" i="114" s="1"/>
  <c r="AC239" i="29"/>
  <c r="AN239" i="29" s="1"/>
  <c r="AC67" i="29"/>
  <c r="AC16" i="29"/>
  <c r="AC63" i="29"/>
  <c r="AN63" i="29" s="1"/>
  <c r="AC118" i="29"/>
  <c r="AC223" i="29"/>
  <c r="AN223" i="29" s="1"/>
  <c r="AC49" i="29"/>
  <c r="AN49" i="29" s="1"/>
  <c r="AC220" i="29"/>
  <c r="AN220" i="29" s="1"/>
  <c r="AC228" i="29"/>
  <c r="AN228" i="29" s="1"/>
  <c r="AC42" i="29"/>
  <c r="AC237" i="29"/>
  <c r="AN237" i="29" s="1"/>
  <c r="AC116" i="29"/>
  <c r="AC62" i="29"/>
  <c r="AC76" i="29"/>
  <c r="AC240" i="29"/>
  <c r="AN240" i="29" s="1"/>
  <c r="AC51" i="29"/>
  <c r="AN51" i="29" s="1"/>
  <c r="AC48" i="29"/>
  <c r="AC225" i="29"/>
  <c r="AN225" i="29" s="1"/>
  <c r="AC58" i="29"/>
  <c r="AN58" i="29" s="1"/>
  <c r="AC60" i="29"/>
  <c r="AN60" i="29" s="1"/>
  <c r="AC235" i="29"/>
  <c r="AN235" i="29" s="1"/>
  <c r="AC54" i="29"/>
  <c r="AC61" i="29"/>
  <c r="AN61" i="29" s="1"/>
  <c r="AC117" i="29"/>
  <c r="AC232" i="29"/>
  <c r="AN232" i="29" s="1"/>
  <c r="AC38" i="29"/>
  <c r="AN38" i="29" s="1"/>
  <c r="AC221" i="29"/>
  <c r="AN221" i="29" s="1"/>
  <c r="AC47" i="29"/>
  <c r="H63" i="30" s="1"/>
  <c r="AC224" i="29"/>
  <c r="AN224" i="29" s="1"/>
  <c r="AC66" i="29"/>
  <c r="AN66" i="29" s="1"/>
  <c r="AC243" i="29"/>
  <c r="AC245" i="29"/>
  <c r="AN245" i="29" s="1"/>
  <c r="AB195" i="29"/>
  <c r="K195" i="29" s="1"/>
  <c r="AB172" i="29"/>
  <c r="K172" i="29" s="1"/>
  <c r="AB177" i="29"/>
  <c r="K177" i="29" s="1"/>
  <c r="AB193" i="29"/>
  <c r="K193" i="29" s="1"/>
  <c r="AB178" i="29"/>
  <c r="K178" i="29" s="1"/>
  <c r="AB194" i="29"/>
  <c r="K194" i="29" s="1"/>
  <c r="AB174" i="29"/>
  <c r="K174" i="29" s="1"/>
  <c r="AB203" i="29"/>
  <c r="K203" i="29" s="1"/>
  <c r="AB173" i="29"/>
  <c r="K173" i="29" s="1"/>
  <c r="AB212" i="29"/>
  <c r="K212" i="29" s="1"/>
  <c r="AB175" i="29"/>
  <c r="K175" i="29" s="1"/>
  <c r="AB210" i="29"/>
  <c r="K210" i="29" s="1"/>
  <c r="AB200" i="29"/>
  <c r="K200" i="29" s="1"/>
  <c r="AB183" i="29"/>
  <c r="K183" i="29" s="1"/>
  <c r="AB211" i="29"/>
  <c r="K211" i="29" s="1"/>
  <c r="AB201" i="29"/>
  <c r="K201" i="29" s="1"/>
  <c r="AB209" i="29"/>
  <c r="K209" i="29" s="1"/>
  <c r="AB189" i="29"/>
  <c r="K189" i="29" s="1"/>
  <c r="AB214" i="29"/>
  <c r="K214" i="29" s="1"/>
  <c r="AB190" i="29"/>
  <c r="K190" i="29" s="1"/>
  <c r="AB184" i="29"/>
  <c r="K184" i="29" s="1"/>
  <c r="AB208" i="29"/>
  <c r="K208" i="29" s="1"/>
  <c r="AB205" i="29"/>
  <c r="K205" i="29" s="1"/>
  <c r="AB191" i="29"/>
  <c r="K191" i="29" s="1"/>
  <c r="AB181" i="29"/>
  <c r="K181" i="29" s="1"/>
  <c r="AB198" i="29"/>
  <c r="K198" i="29" s="1"/>
  <c r="AB188" i="29"/>
  <c r="K188" i="29" s="1"/>
  <c r="AB192" i="29"/>
  <c r="K192" i="29" s="1"/>
  <c r="AB182" i="29"/>
  <c r="K182" i="29" s="1"/>
  <c r="AB176" i="29"/>
  <c r="K176" i="29" s="1"/>
  <c r="AB202" i="29"/>
  <c r="K202" i="29" s="1"/>
  <c r="U130" i="30"/>
  <c r="AB18" i="29"/>
  <c r="AB19" i="29" s="1"/>
  <c r="AB21" i="29"/>
  <c r="G72" i="30"/>
  <c r="G99" i="30"/>
  <c r="G90" i="30"/>
  <c r="G81" i="30"/>
  <c r="G12" i="30"/>
  <c r="G18" i="30" s="1"/>
  <c r="AB111" i="29"/>
  <c r="AB112" i="29" s="1"/>
  <c r="G98" i="30"/>
  <c r="G89" i="30"/>
  <c r="G80" i="30"/>
  <c r="G71" i="30"/>
  <c r="AB69" i="29"/>
  <c r="G91" i="30"/>
  <c r="G82" i="30"/>
  <c r="G100" i="30"/>
  <c r="G73" i="30"/>
  <c r="G70" i="30"/>
  <c r="G79" i="30"/>
  <c r="G88" i="30"/>
  <c r="G97" i="30"/>
  <c r="G110" i="1"/>
  <c r="K111" i="1" s="1"/>
  <c r="O112" i="1" s="1"/>
  <c r="K9" i="1"/>
  <c r="O10" i="1" s="1"/>
  <c r="G116" i="1"/>
  <c r="U148" i="30"/>
  <c r="AB52" i="29"/>
  <c r="AB55" i="29" s="1"/>
  <c r="AB40" i="29"/>
  <c r="AD310" i="29"/>
  <c r="AC297" i="29"/>
  <c r="AC316" i="29"/>
  <c r="AN315" i="29"/>
  <c r="F39" i="719"/>
  <c r="G39" i="719"/>
  <c r="G21" i="1"/>
  <c r="K18" i="1"/>
  <c r="G37" i="1"/>
  <c r="F40" i="719"/>
  <c r="G40" i="719"/>
  <c r="T92" i="30"/>
  <c r="T74" i="30"/>
  <c r="T83" i="30"/>
  <c r="T101" i="30"/>
  <c r="I179" i="30"/>
  <c r="Q38" i="3"/>
  <c r="I181" i="30"/>
  <c r="AC318" i="29"/>
  <c r="U33" i="30" l="1"/>
  <c r="G7" i="598" s="1"/>
  <c r="H122" i="30"/>
  <c r="H36" i="30"/>
  <c r="H30" i="30"/>
  <c r="H123" i="30"/>
  <c r="U120" i="30"/>
  <c r="G21" i="724" s="1"/>
  <c r="H121" i="30"/>
  <c r="H38" i="30"/>
  <c r="H141" i="30"/>
  <c r="AH86" i="725"/>
  <c r="H28" i="30"/>
  <c r="H29" i="30" s="1"/>
  <c r="H115" i="30"/>
  <c r="U114" i="30"/>
  <c r="G15" i="724" s="1"/>
  <c r="H131" i="30"/>
  <c r="H118" i="30"/>
  <c r="AL76" i="114"/>
  <c r="AL77" i="114" s="1"/>
  <c r="H125" i="30"/>
  <c r="H127" i="30" s="1"/>
  <c r="H116" i="30"/>
  <c r="V338" i="726" s="1"/>
  <c r="U40" i="30"/>
  <c r="U118" i="30" s="1"/>
  <c r="G55" i="597"/>
  <c r="H43" i="30"/>
  <c r="H41" i="30"/>
  <c r="H42" i="30" s="1"/>
  <c r="H44" i="30"/>
  <c r="U132" i="30"/>
  <c r="G40" i="597" s="1"/>
  <c r="G55" i="598"/>
  <c r="G55" i="724"/>
  <c r="G55" i="31"/>
  <c r="AN286" i="29"/>
  <c r="AN291" i="29"/>
  <c r="AN270" i="29"/>
  <c r="AN289" i="29"/>
  <c r="AN288" i="29"/>
  <c r="AN287" i="29"/>
  <c r="AN290" i="29"/>
  <c r="X179" i="30"/>
  <c r="G31" i="723"/>
  <c r="G31" i="724"/>
  <c r="F47" i="724"/>
  <c r="F69" i="724"/>
  <c r="F94" i="724" s="1"/>
  <c r="F52" i="724"/>
  <c r="G7" i="723"/>
  <c r="G7" i="724"/>
  <c r="G53" i="723"/>
  <c r="G53" i="724"/>
  <c r="F47" i="723"/>
  <c r="F69" i="723"/>
  <c r="F94" i="723" s="1"/>
  <c r="F52" i="723"/>
  <c r="AO300" i="29"/>
  <c r="AO111" i="29"/>
  <c r="AO112" i="29" s="1"/>
  <c r="AP311" i="29"/>
  <c r="AP321" i="29"/>
  <c r="H35" i="30"/>
  <c r="V339" i="726"/>
  <c r="G135" i="30"/>
  <c r="AR46" i="725"/>
  <c r="H133" i="30"/>
  <c r="H134" i="30" s="1"/>
  <c r="H143" i="30" s="1"/>
  <c r="AH110" i="725"/>
  <c r="AR32" i="725"/>
  <c r="AR110" i="725"/>
  <c r="G94" i="30"/>
  <c r="G76" i="30"/>
  <c r="G85" i="30"/>
  <c r="AK82" i="114"/>
  <c r="F47" i="597"/>
  <c r="F69" i="597"/>
  <c r="F94" i="597" s="1"/>
  <c r="F52" i="597"/>
  <c r="G31" i="31"/>
  <c r="G31" i="598"/>
  <c r="G31" i="597"/>
  <c r="G7" i="597"/>
  <c r="F98" i="597"/>
  <c r="G53" i="597"/>
  <c r="G53" i="598"/>
  <c r="G53" i="31"/>
  <c r="F47" i="598"/>
  <c r="F69" i="598"/>
  <c r="F94" i="598" s="1"/>
  <c r="F52" i="598"/>
  <c r="F47" i="31"/>
  <c r="F69" i="31"/>
  <c r="F94" i="31" s="1"/>
  <c r="F52" i="31"/>
  <c r="AS14" i="1"/>
  <c r="AS16" i="1"/>
  <c r="AN62" i="29"/>
  <c r="U113" i="30" s="1"/>
  <c r="H113" i="30"/>
  <c r="AH74" i="725" s="1"/>
  <c r="AL98" i="114"/>
  <c r="H108" i="30"/>
  <c r="AH62" i="725" s="1"/>
  <c r="AH46" i="725" s="1"/>
  <c r="AN265" i="29"/>
  <c r="AN264" i="29"/>
  <c r="AN252" i="29"/>
  <c r="AN260" i="29"/>
  <c r="AN263" i="29"/>
  <c r="AN262" i="29"/>
  <c r="AN259" i="29"/>
  <c r="AN256" i="29"/>
  <c r="AN255" i="29"/>
  <c r="AN253" i="29"/>
  <c r="AN261" i="29"/>
  <c r="AN258" i="29"/>
  <c r="AN257" i="29"/>
  <c r="AN251" i="29"/>
  <c r="AN250" i="29"/>
  <c r="AN248" i="29"/>
  <c r="AN266" i="29"/>
  <c r="AN42" i="29"/>
  <c r="U66" i="30" s="1"/>
  <c r="H66" i="30"/>
  <c r="AL63" i="114"/>
  <c r="AX63" i="114" s="1"/>
  <c r="O73" i="719"/>
  <c r="AL105" i="114"/>
  <c r="AB158" i="29"/>
  <c r="AB163" i="29"/>
  <c r="AC151" i="29"/>
  <c r="AN76" i="29"/>
  <c r="AX103" i="114" s="1"/>
  <c r="AL103" i="114"/>
  <c r="AC26" i="29"/>
  <c r="AL64" i="114"/>
  <c r="AX64" i="114" s="1"/>
  <c r="N73" i="114"/>
  <c r="O19" i="1"/>
  <c r="K27" i="1"/>
  <c r="AN15" i="29"/>
  <c r="AN25" i="29" s="1"/>
  <c r="AC25" i="29"/>
  <c r="J311" i="29"/>
  <c r="N20" i="114"/>
  <c r="N26" i="114"/>
  <c r="N13" i="114"/>
  <c r="H7" i="719"/>
  <c r="I9" i="29"/>
  <c r="O52" i="114"/>
  <c r="O72" i="114" s="1"/>
  <c r="H8" i="719"/>
  <c r="I37" i="29"/>
  <c r="I18" i="29"/>
  <c r="I27" i="29" s="1"/>
  <c r="I21" i="29"/>
  <c r="O54" i="114"/>
  <c r="L8" i="725" s="1"/>
  <c r="H7" i="711"/>
  <c r="AC174" i="29"/>
  <c r="M174" i="29" s="1"/>
  <c r="AC184" i="29"/>
  <c r="M184" i="29" s="1"/>
  <c r="AC182" i="29"/>
  <c r="M182" i="29" s="1"/>
  <c r="AC203" i="29"/>
  <c r="M203" i="29" s="1"/>
  <c r="AC183" i="29"/>
  <c r="M183" i="29" s="1"/>
  <c r="AC205" i="29"/>
  <c r="M205" i="29" s="1"/>
  <c r="AC189" i="29"/>
  <c r="M189" i="29" s="1"/>
  <c r="AC175" i="29"/>
  <c r="M175" i="29" s="1"/>
  <c r="AC201" i="29"/>
  <c r="M201" i="29" s="1"/>
  <c r="AC181" i="29"/>
  <c r="M181" i="29" s="1"/>
  <c r="AC190" i="29"/>
  <c r="M190" i="29" s="1"/>
  <c r="AC188" i="29"/>
  <c r="M188" i="29" s="1"/>
  <c r="AC208" i="29"/>
  <c r="M208" i="29" s="1"/>
  <c r="AC193" i="29"/>
  <c r="M193" i="29" s="1"/>
  <c r="AC191" i="29"/>
  <c r="M191" i="29" s="1"/>
  <c r="AC202" i="29"/>
  <c r="M202" i="29" s="1"/>
  <c r="AC172" i="29"/>
  <c r="M172" i="29" s="1"/>
  <c r="AC198" i="29"/>
  <c r="M198" i="29" s="1"/>
  <c r="AC200" i="29"/>
  <c r="M200" i="29" s="1"/>
  <c r="AC209" i="29"/>
  <c r="M209" i="29" s="1"/>
  <c r="AC194" i="29"/>
  <c r="M194" i="29" s="1"/>
  <c r="AC192" i="29"/>
  <c r="M192" i="29" s="1"/>
  <c r="AC176" i="29"/>
  <c r="M176" i="29" s="1"/>
  <c r="AC210" i="29"/>
  <c r="M210" i="29" s="1"/>
  <c r="AC177" i="29"/>
  <c r="M177" i="29" s="1"/>
  <c r="AC212" i="29"/>
  <c r="M212" i="29" s="1"/>
  <c r="AC178" i="29"/>
  <c r="M178" i="29" s="1"/>
  <c r="AC195" i="29"/>
  <c r="M195" i="29" s="1"/>
  <c r="AC211" i="29"/>
  <c r="M211" i="29" s="1"/>
  <c r="AC214" i="29"/>
  <c r="M214" i="29" s="1"/>
  <c r="AC173" i="29"/>
  <c r="M173" i="29" s="1"/>
  <c r="I132" i="30"/>
  <c r="I152" i="30"/>
  <c r="I157" i="30"/>
  <c r="I106" i="30"/>
  <c r="I154" i="30"/>
  <c r="I130" i="30"/>
  <c r="AI98" i="725" s="1"/>
  <c r="AS98" i="725" s="1"/>
  <c r="I114" i="30"/>
  <c r="AI86" i="725" s="1"/>
  <c r="I155" i="30"/>
  <c r="I153" i="30"/>
  <c r="I148" i="30"/>
  <c r="G64" i="31" s="1"/>
  <c r="G64" i="724" s="1"/>
  <c r="I151" i="30"/>
  <c r="AC242" i="29"/>
  <c r="AN242" i="29" s="1"/>
  <c r="AD315" i="29"/>
  <c r="AN316" i="29"/>
  <c r="G74" i="30"/>
  <c r="G83" i="30"/>
  <c r="G101" i="30"/>
  <c r="G92" i="30"/>
  <c r="AN47" i="29"/>
  <c r="U63" i="30" s="1"/>
  <c r="AC110" i="29"/>
  <c r="AC9" i="29"/>
  <c r="AC10" i="29" s="1"/>
  <c r="AN8" i="29"/>
  <c r="AN151" i="29" s="1"/>
  <c r="AN161" i="29" s="1"/>
  <c r="U162" i="30"/>
  <c r="U34" i="30"/>
  <c r="U35" i="30" s="1"/>
  <c r="U36" i="30"/>
  <c r="U38" i="30"/>
  <c r="AN46" i="29"/>
  <c r="U62" i="30" s="1"/>
  <c r="AD296" i="29"/>
  <c r="AD311" i="29"/>
  <c r="U165" i="30"/>
  <c r="AN54" i="29"/>
  <c r="AN45" i="29"/>
  <c r="U61" i="30" s="1"/>
  <c r="AX81" i="114" s="1"/>
  <c r="U28" i="30"/>
  <c r="U29" i="30" s="1"/>
  <c r="U30" i="30"/>
  <c r="AC17" i="29"/>
  <c r="AC24" i="29"/>
  <c r="AN14" i="29"/>
  <c r="J178" i="30"/>
  <c r="U140" i="30"/>
  <c r="U131" i="30"/>
  <c r="AN16" i="29"/>
  <c r="AN26" i="29" s="1"/>
  <c r="AC39" i="29"/>
  <c r="AN37" i="29"/>
  <c r="AC68" i="29"/>
  <c r="AN67" i="29"/>
  <c r="AN48" i="29"/>
  <c r="C43" i="715"/>
  <c r="C73" i="713"/>
  <c r="C66" i="714"/>
  <c r="AN77" i="29"/>
  <c r="AX104" i="114" s="1"/>
  <c r="R38" i="3"/>
  <c r="X181" i="30"/>
  <c r="AN318" i="29"/>
  <c r="AD313" i="29"/>
  <c r="AD324" i="29"/>
  <c r="AP313" i="29"/>
  <c r="AP324" i="29"/>
  <c r="J313" i="29"/>
  <c r="U116" i="30" l="1"/>
  <c r="U125" i="30"/>
  <c r="U126" i="30" s="1"/>
  <c r="G7" i="31"/>
  <c r="G15" i="31"/>
  <c r="G35" i="31" s="1"/>
  <c r="G15" i="598"/>
  <c r="G15" i="597"/>
  <c r="G21" i="597"/>
  <c r="U115" i="30"/>
  <c r="G15" i="723"/>
  <c r="G17" i="723" s="1"/>
  <c r="G21" i="598"/>
  <c r="U122" i="30"/>
  <c r="U141" i="30"/>
  <c r="G21" i="31"/>
  <c r="G25" i="31" s="1"/>
  <c r="U142" i="30"/>
  <c r="H128" i="30"/>
  <c r="G40" i="724"/>
  <c r="G43" i="724" s="1"/>
  <c r="G49" i="724" s="1"/>
  <c r="G21" i="723"/>
  <c r="G25" i="723" s="1"/>
  <c r="H126" i="30"/>
  <c r="G40" i="31"/>
  <c r="G43" i="31" s="1"/>
  <c r="G49" i="31" s="1"/>
  <c r="AL107" i="114"/>
  <c r="AL101" i="114"/>
  <c r="G40" i="598"/>
  <c r="G43" i="598" s="1"/>
  <c r="G49" i="598" s="1"/>
  <c r="G40" i="723"/>
  <c r="G10" i="723"/>
  <c r="G19" i="723" s="1"/>
  <c r="G10" i="31"/>
  <c r="G23" i="31" s="1"/>
  <c r="H144" i="30"/>
  <c r="H147" i="30" s="1"/>
  <c r="U147" i="30" s="1"/>
  <c r="G10" i="724"/>
  <c r="G19" i="724" s="1"/>
  <c r="G10" i="597"/>
  <c r="G19" i="597" s="1"/>
  <c r="U43" i="30"/>
  <c r="U123" i="30"/>
  <c r="G10" i="598"/>
  <c r="G33" i="598" s="1"/>
  <c r="U41" i="30"/>
  <c r="U42" i="30" s="1"/>
  <c r="U44" i="30"/>
  <c r="G56" i="724"/>
  <c r="U163" i="30"/>
  <c r="U133" i="30"/>
  <c r="U134" i="30" s="1"/>
  <c r="U143" i="30" s="1"/>
  <c r="F96" i="723"/>
  <c r="G32" i="724"/>
  <c r="G35" i="724"/>
  <c r="G25" i="724"/>
  <c r="G18" i="724"/>
  <c r="G17" i="724"/>
  <c r="G16" i="724"/>
  <c r="G74" i="724"/>
  <c r="G8" i="724"/>
  <c r="G8" i="723"/>
  <c r="G74" i="723"/>
  <c r="F96" i="724"/>
  <c r="G32" i="723"/>
  <c r="G22" i="724"/>
  <c r="G56" i="723"/>
  <c r="G64" i="723"/>
  <c r="AP117" i="29"/>
  <c r="AP116" i="29"/>
  <c r="AP299" i="29"/>
  <c r="AP300" i="29" s="1"/>
  <c r="AP110" i="29"/>
  <c r="AP111" i="29" s="1"/>
  <c r="AP112" i="29" s="1"/>
  <c r="AP118" i="29"/>
  <c r="AP322" i="29"/>
  <c r="AS86" i="725"/>
  <c r="L16" i="725"/>
  <c r="AF8" i="725"/>
  <c r="G64" i="597"/>
  <c r="G64" i="598"/>
  <c r="G17" i="31"/>
  <c r="G8" i="598"/>
  <c r="G74" i="598"/>
  <c r="F96" i="598"/>
  <c r="G56" i="597"/>
  <c r="G43" i="597"/>
  <c r="G49" i="597" s="1"/>
  <c r="G18" i="597"/>
  <c r="G25" i="597"/>
  <c r="G16" i="597"/>
  <c r="G17" i="597"/>
  <c r="G35" i="597"/>
  <c r="G32" i="597"/>
  <c r="G22" i="598"/>
  <c r="G32" i="598"/>
  <c r="G22" i="31"/>
  <c r="F97" i="597"/>
  <c r="G32" i="31"/>
  <c r="G22" i="597"/>
  <c r="G74" i="31"/>
  <c r="G8" i="31"/>
  <c r="F96" i="31"/>
  <c r="G18" i="598"/>
  <c r="G16" i="598"/>
  <c r="G17" i="598"/>
  <c r="G35" i="598"/>
  <c r="G25" i="598"/>
  <c r="G8" i="597"/>
  <c r="G74" i="597"/>
  <c r="G56" i="598"/>
  <c r="G56" i="31"/>
  <c r="C40" i="715"/>
  <c r="C63" i="714"/>
  <c r="C70" i="713"/>
  <c r="AL99" i="114"/>
  <c r="AX98" i="114"/>
  <c r="AX99" i="114" s="1"/>
  <c r="U108" i="30"/>
  <c r="H111" i="30"/>
  <c r="H110" i="30"/>
  <c r="H109" i="30"/>
  <c r="AD238" i="29"/>
  <c r="H75" i="30"/>
  <c r="H102" i="30"/>
  <c r="H84" i="30"/>
  <c r="H93" i="30"/>
  <c r="U84" i="30"/>
  <c r="U102" i="30"/>
  <c r="U75" i="30"/>
  <c r="U93" i="30"/>
  <c r="H64" i="30"/>
  <c r="H65" i="30" s="1"/>
  <c r="U64" i="30"/>
  <c r="U65" i="30" s="1"/>
  <c r="AN24" i="29"/>
  <c r="O78" i="719"/>
  <c r="O80" i="719" s="1"/>
  <c r="O84" i="719"/>
  <c r="O86" i="719" s="1"/>
  <c r="I115" i="30"/>
  <c r="AX105" i="114"/>
  <c r="AC152" i="29"/>
  <c r="AC153" i="29" s="1"/>
  <c r="AC161" i="29"/>
  <c r="AN152" i="29"/>
  <c r="AN156" i="29"/>
  <c r="AC156" i="29"/>
  <c r="O53" i="114"/>
  <c r="AC69" i="29"/>
  <c r="AC27" i="29"/>
  <c r="J142" i="29"/>
  <c r="N147" i="29" s="1"/>
  <c r="J143" i="29"/>
  <c r="N148" i="29" s="1"/>
  <c r="J299" i="29"/>
  <c r="J8" i="29"/>
  <c r="J141" i="29"/>
  <c r="J116" i="29"/>
  <c r="J17" i="29"/>
  <c r="J110" i="29"/>
  <c r="H19" i="711"/>
  <c r="H13" i="711"/>
  <c r="O96" i="114"/>
  <c r="AU112" i="115"/>
  <c r="O97" i="114"/>
  <c r="O59" i="114"/>
  <c r="O74" i="114"/>
  <c r="AQ100" i="115" s="1"/>
  <c r="O60" i="114"/>
  <c r="O95" i="114"/>
  <c r="AJ54" i="114"/>
  <c r="H40" i="719"/>
  <c r="H24" i="719"/>
  <c r="O14" i="114"/>
  <c r="O57" i="114"/>
  <c r="AJ52" i="114"/>
  <c r="AJ72" i="114" s="1"/>
  <c r="H39" i="719"/>
  <c r="H23" i="719"/>
  <c r="N25" i="114"/>
  <c r="N19" i="114"/>
  <c r="K310" i="29"/>
  <c r="AC78" i="29"/>
  <c r="AN182" i="29"/>
  <c r="AN193" i="29"/>
  <c r="AN202" i="29"/>
  <c r="AN173" i="29"/>
  <c r="AN209" i="29"/>
  <c r="AN189" i="29"/>
  <c r="AN177" i="29"/>
  <c r="AN211" i="29"/>
  <c r="AN200" i="29"/>
  <c r="AN194" i="29"/>
  <c r="AN190" i="29"/>
  <c r="AN208" i="29"/>
  <c r="AN181" i="29"/>
  <c r="AN175" i="29"/>
  <c r="AN183" i="29"/>
  <c r="AN178" i="29"/>
  <c r="AN184" i="29"/>
  <c r="AN214" i="29"/>
  <c r="AN172" i="29"/>
  <c r="AN305" i="29"/>
  <c r="AN306" i="29" s="1"/>
  <c r="AN176" i="29"/>
  <c r="AN188" i="29"/>
  <c r="AN195" i="29"/>
  <c r="AN210" i="29"/>
  <c r="AN191" i="29"/>
  <c r="AN212" i="29"/>
  <c r="AN201" i="29"/>
  <c r="AN174" i="29"/>
  <c r="AN192" i="29"/>
  <c r="AN203" i="29"/>
  <c r="AN198" i="29"/>
  <c r="AN205" i="29"/>
  <c r="AD62" i="29"/>
  <c r="I113" i="30" s="1"/>
  <c r="AI74" i="725" s="1"/>
  <c r="AD232" i="29"/>
  <c r="AD61" i="29"/>
  <c r="AD224" i="29"/>
  <c r="AD14" i="29"/>
  <c r="AD60" i="29"/>
  <c r="AD236" i="29"/>
  <c r="AD51" i="29"/>
  <c r="AD47" i="29"/>
  <c r="I63" i="30" s="1"/>
  <c r="AD299" i="29"/>
  <c r="AD77" i="29"/>
  <c r="AM104" i="114" s="1"/>
  <c r="AD66" i="29"/>
  <c r="AD59" i="29"/>
  <c r="AD227" i="29"/>
  <c r="AD76" i="29"/>
  <c r="AM103" i="114" s="1"/>
  <c r="AD116" i="29"/>
  <c r="AD219" i="29"/>
  <c r="AD67" i="29"/>
  <c r="I108" i="30" s="1"/>
  <c r="AI62" i="725" s="1"/>
  <c r="AD45" i="29"/>
  <c r="I61" i="30" s="1"/>
  <c r="AM81" i="114" s="1"/>
  <c r="AD15" i="29"/>
  <c r="AD239" i="29"/>
  <c r="AD244" i="29"/>
  <c r="AD50" i="29"/>
  <c r="AD46" i="29"/>
  <c r="I62" i="30" s="1"/>
  <c r="AD231" i="29"/>
  <c r="AD64" i="29"/>
  <c r="AD54" i="29"/>
  <c r="AD225" i="29"/>
  <c r="AD223" i="29"/>
  <c r="AD221" i="29"/>
  <c r="AD43" i="29"/>
  <c r="AD118" i="29"/>
  <c r="AD235" i="29"/>
  <c r="AD237" i="29"/>
  <c r="AD16" i="29"/>
  <c r="AD117" i="29"/>
  <c r="AD220" i="29"/>
  <c r="AD63" i="29"/>
  <c r="AD49" i="29"/>
  <c r="AD240" i="29"/>
  <c r="AD228" i="29"/>
  <c r="AD42" i="29"/>
  <c r="I66" i="30" s="1"/>
  <c r="AD243" i="29"/>
  <c r="AO243" i="29" s="1"/>
  <c r="AD245" i="29"/>
  <c r="AD48" i="29"/>
  <c r="U97" i="30"/>
  <c r="U79" i="30"/>
  <c r="U88" i="30"/>
  <c r="U70" i="30"/>
  <c r="H135" i="30"/>
  <c r="H88" i="30"/>
  <c r="H70" i="30"/>
  <c r="H97" i="30"/>
  <c r="H79" i="30"/>
  <c r="AD316" i="29"/>
  <c r="AN68" i="29"/>
  <c r="C39" i="715"/>
  <c r="C69" i="713"/>
  <c r="C62" i="714"/>
  <c r="AE310" i="29"/>
  <c r="AD297" i="29"/>
  <c r="U127" i="30"/>
  <c r="U128" i="30"/>
  <c r="J179" i="30"/>
  <c r="U71" i="30"/>
  <c r="U89" i="30"/>
  <c r="U80" i="30"/>
  <c r="U98" i="30"/>
  <c r="H80" i="30"/>
  <c r="H71" i="30"/>
  <c r="H98" i="30"/>
  <c r="H89" i="30"/>
  <c r="C55" i="714"/>
  <c r="C32" i="715"/>
  <c r="C62" i="713"/>
  <c r="AN9" i="29"/>
  <c r="AN10" i="29" s="1"/>
  <c r="I131" i="30"/>
  <c r="I140" i="30"/>
  <c r="AC21" i="29"/>
  <c r="AC18" i="29"/>
  <c r="AC19" i="29" s="1"/>
  <c r="AN17" i="29"/>
  <c r="H12" i="30"/>
  <c r="AC111" i="29"/>
  <c r="AC112" i="29" s="1"/>
  <c r="AC52" i="29"/>
  <c r="AC40" i="29"/>
  <c r="AN39" i="29"/>
  <c r="AX76" i="114" s="1"/>
  <c r="AX77" i="114" s="1"/>
  <c r="U99" i="30"/>
  <c r="U72" i="30"/>
  <c r="U81" i="30"/>
  <c r="U90" i="30"/>
  <c r="H81" i="30"/>
  <c r="H72" i="30"/>
  <c r="H99" i="30"/>
  <c r="H90" i="30"/>
  <c r="AN84" i="29"/>
  <c r="AN85" i="29"/>
  <c r="AN90" i="29"/>
  <c r="AN86" i="29"/>
  <c r="AN89" i="29"/>
  <c r="AN87" i="29"/>
  <c r="AN88" i="29"/>
  <c r="I142" i="30"/>
  <c r="S38" i="3"/>
  <c r="AD318" i="29"/>
  <c r="J181" i="30"/>
  <c r="G16" i="31" l="1"/>
  <c r="G18" i="31"/>
  <c r="G22" i="723"/>
  <c r="G11" i="723"/>
  <c r="G23" i="723"/>
  <c r="G18" i="723"/>
  <c r="U144" i="30"/>
  <c r="G33" i="723"/>
  <c r="G12" i="723"/>
  <c r="G16" i="723"/>
  <c r="G12" i="724"/>
  <c r="G43" i="723"/>
  <c r="G35" i="723"/>
  <c r="G38" i="723" s="1"/>
  <c r="G33" i="724"/>
  <c r="G12" i="597"/>
  <c r="G23" i="724"/>
  <c r="G11" i="597"/>
  <c r="G33" i="597"/>
  <c r="G19" i="31"/>
  <c r="G12" i="31"/>
  <c r="G11" i="724"/>
  <c r="G11" i="31"/>
  <c r="G33" i="31"/>
  <c r="G12" i="598"/>
  <c r="G11" i="598"/>
  <c r="G23" i="597"/>
  <c r="G19" i="598"/>
  <c r="G23" i="598"/>
  <c r="G46" i="723"/>
  <c r="G47" i="723" s="1"/>
  <c r="G49" i="723"/>
  <c r="G50" i="723" s="1"/>
  <c r="G36" i="723"/>
  <c r="G37" i="723"/>
  <c r="G50" i="724"/>
  <c r="G70" i="724"/>
  <c r="G26" i="724"/>
  <c r="G27" i="724"/>
  <c r="G29" i="724"/>
  <c r="G46" i="724"/>
  <c r="G28" i="724"/>
  <c r="G38" i="724"/>
  <c r="G37" i="724"/>
  <c r="G36" i="724"/>
  <c r="G27" i="723"/>
  <c r="G29" i="723"/>
  <c r="G28" i="723"/>
  <c r="G26" i="723"/>
  <c r="G50" i="31"/>
  <c r="G70" i="31"/>
  <c r="G50" i="598"/>
  <c r="G70" i="598"/>
  <c r="AF55" i="725"/>
  <c r="AF105" i="725"/>
  <c r="AF16" i="725"/>
  <c r="AF81" i="725"/>
  <c r="AF39" i="725"/>
  <c r="AF93" i="725"/>
  <c r="AF69" i="725"/>
  <c r="AF117" i="725"/>
  <c r="I133" i="30"/>
  <c r="I134" i="30" s="1"/>
  <c r="I143" i="30" s="1"/>
  <c r="AI110" i="725"/>
  <c r="AS62" i="725"/>
  <c r="U67" i="30"/>
  <c r="U103" i="30" s="1"/>
  <c r="AX83" i="114"/>
  <c r="AJ86" i="114"/>
  <c r="AJ88" i="114"/>
  <c r="AJ87" i="114"/>
  <c r="H67" i="30"/>
  <c r="H94" i="30" s="1"/>
  <c r="AL83" i="114"/>
  <c r="C41" i="715"/>
  <c r="C44" i="715" s="1"/>
  <c r="G50" i="597"/>
  <c r="G70" i="597"/>
  <c r="G95" i="597" s="1"/>
  <c r="G26" i="597"/>
  <c r="G46" i="597"/>
  <c r="G29" i="597"/>
  <c r="G28" i="597"/>
  <c r="G27" i="597"/>
  <c r="G38" i="597"/>
  <c r="G37" i="597"/>
  <c r="G36" i="597"/>
  <c r="G37" i="31"/>
  <c r="G36" i="31"/>
  <c r="G38" i="31"/>
  <c r="G36" i="598"/>
  <c r="G37" i="598"/>
  <c r="G38" i="598"/>
  <c r="G27" i="598"/>
  <c r="G29" i="598"/>
  <c r="G46" i="598"/>
  <c r="G26" i="598"/>
  <c r="G28" i="598"/>
  <c r="G27" i="31"/>
  <c r="G26" i="31"/>
  <c r="G46" i="31"/>
  <c r="G29" i="31"/>
  <c r="G28" i="31"/>
  <c r="C64" i="714"/>
  <c r="C67" i="714" s="1"/>
  <c r="J151" i="29"/>
  <c r="J152" i="29" s="1"/>
  <c r="J153" i="29" s="1"/>
  <c r="C71" i="713"/>
  <c r="C74" i="713" s="1"/>
  <c r="H91" i="30"/>
  <c r="I109" i="30"/>
  <c r="U110" i="30"/>
  <c r="U109" i="30"/>
  <c r="U111" i="30"/>
  <c r="H82" i="30"/>
  <c r="H100" i="30"/>
  <c r="H73" i="30"/>
  <c r="I75" i="30"/>
  <c r="I84" i="30"/>
  <c r="P73" i="719"/>
  <c r="P84" i="719" s="1"/>
  <c r="P86" i="719" s="1"/>
  <c r="AN33" i="29"/>
  <c r="AC33" i="29" s="1"/>
  <c r="AD25" i="29"/>
  <c r="AM98" i="114"/>
  <c r="AM99" i="114" s="1"/>
  <c r="AD300" i="29"/>
  <c r="AM63" i="114"/>
  <c r="J105" i="30"/>
  <c r="J107" i="30"/>
  <c r="J106" i="30"/>
  <c r="AM105" i="114"/>
  <c r="AX107" i="114"/>
  <c r="AX101" i="114"/>
  <c r="AC158" i="29"/>
  <c r="AC163" i="29"/>
  <c r="AC157" i="29"/>
  <c r="AC162" i="29"/>
  <c r="AN157" i="29"/>
  <c r="AN162" i="29"/>
  <c r="AN153" i="29"/>
  <c r="AD26" i="29"/>
  <c r="AM64" i="114"/>
  <c r="AJ53" i="114"/>
  <c r="AJ106" i="114"/>
  <c r="AJ100" i="114"/>
  <c r="AJ78" i="114"/>
  <c r="O58" i="114"/>
  <c r="O73" i="114"/>
  <c r="AN69" i="29"/>
  <c r="AN27" i="29"/>
  <c r="K311" i="29"/>
  <c r="P13" i="114"/>
  <c r="J111" i="29"/>
  <c r="AJ57" i="114"/>
  <c r="AW52" i="114"/>
  <c r="AW72" i="114" s="1"/>
  <c r="I7" i="711"/>
  <c r="I8" i="719"/>
  <c r="K17" i="29"/>
  <c r="J37" i="29"/>
  <c r="J21" i="29"/>
  <c r="P54" i="114"/>
  <c r="M8" i="725" s="1"/>
  <c r="J18" i="29"/>
  <c r="J27" i="29" s="1"/>
  <c r="O20" i="114"/>
  <c r="AQ97" i="115" s="1"/>
  <c r="AU109" i="115"/>
  <c r="O26" i="114"/>
  <c r="O13" i="114"/>
  <c r="AJ14" i="114"/>
  <c r="K8" i="29"/>
  <c r="J9" i="29"/>
  <c r="I7" i="719"/>
  <c r="P52" i="114"/>
  <c r="P72" i="114" s="1"/>
  <c r="P38" i="114"/>
  <c r="P46" i="114" s="1"/>
  <c r="P39" i="114"/>
  <c r="P47" i="114" s="1"/>
  <c r="P40" i="114"/>
  <c r="P48" i="114" s="1"/>
  <c r="J300" i="29"/>
  <c r="AW54" i="114"/>
  <c r="AJ59" i="114"/>
  <c r="AJ60" i="114"/>
  <c r="AJ74" i="114"/>
  <c r="U135" i="30"/>
  <c r="U164" i="30" s="1"/>
  <c r="AD176" i="29"/>
  <c r="O176" i="29" s="1"/>
  <c r="AD210" i="29"/>
  <c r="O210" i="29" s="1"/>
  <c r="AD200" i="29"/>
  <c r="O200" i="29" s="1"/>
  <c r="AD212" i="29"/>
  <c r="O212" i="29" s="1"/>
  <c r="AD177" i="29"/>
  <c r="O177" i="29" s="1"/>
  <c r="AD198" i="29"/>
  <c r="O198" i="29" s="1"/>
  <c r="AD178" i="29"/>
  <c r="O178" i="29" s="1"/>
  <c r="AD211" i="29"/>
  <c r="O211" i="29" s="1"/>
  <c r="AD173" i="29"/>
  <c r="O173" i="29" s="1"/>
  <c r="AD202" i="29"/>
  <c r="O202" i="29" s="1"/>
  <c r="AD174" i="29"/>
  <c r="O174" i="29" s="1"/>
  <c r="AD203" i="29"/>
  <c r="O203" i="29" s="1"/>
  <c r="AD181" i="29"/>
  <c r="O181" i="29" s="1"/>
  <c r="AD205" i="29"/>
  <c r="O205" i="29" s="1"/>
  <c r="AD182" i="29"/>
  <c r="O182" i="29" s="1"/>
  <c r="AD184" i="29"/>
  <c r="O184" i="29" s="1"/>
  <c r="AD183" i="29"/>
  <c r="O183" i="29" s="1"/>
  <c r="AD208" i="29"/>
  <c r="O208" i="29" s="1"/>
  <c r="AD191" i="29"/>
  <c r="O191" i="29" s="1"/>
  <c r="AD188" i="29"/>
  <c r="O188" i="29" s="1"/>
  <c r="AD195" i="29"/>
  <c r="O195" i="29" s="1"/>
  <c r="AD172" i="29"/>
  <c r="O172" i="29" s="1"/>
  <c r="AD175" i="29"/>
  <c r="O175" i="29" s="1"/>
  <c r="AD189" i="29"/>
  <c r="O189" i="29" s="1"/>
  <c r="AD209" i="29"/>
  <c r="O209" i="29" s="1"/>
  <c r="AD201" i="29"/>
  <c r="O201" i="29" s="1"/>
  <c r="AD192" i="29"/>
  <c r="O192" i="29" s="1"/>
  <c r="AD193" i="29"/>
  <c r="O193" i="29" s="1"/>
  <c r="AD214" i="29"/>
  <c r="O214" i="29" s="1"/>
  <c r="AD194" i="29"/>
  <c r="O194" i="29" s="1"/>
  <c r="AD190" i="29"/>
  <c r="O190" i="29" s="1"/>
  <c r="J154" i="30"/>
  <c r="V154" i="30" s="1"/>
  <c r="J155" i="30"/>
  <c r="V155" i="30" s="1"/>
  <c r="J130" i="30"/>
  <c r="AJ98" i="725" s="1"/>
  <c r="J132" i="30"/>
  <c r="J152" i="30"/>
  <c r="V152" i="30" s="1"/>
  <c r="J153" i="30"/>
  <c r="V153" i="30" s="1"/>
  <c r="J151" i="30"/>
  <c r="V151" i="30" s="1"/>
  <c r="J114" i="30"/>
  <c r="J148" i="30"/>
  <c r="V148" i="30" s="1"/>
  <c r="AE315" i="29"/>
  <c r="AN78" i="29"/>
  <c r="C36" i="715"/>
  <c r="C38" i="715" s="1"/>
  <c r="C59" i="714"/>
  <c r="C61" i="714" s="1"/>
  <c r="AN40" i="29"/>
  <c r="C66" i="713"/>
  <c r="C68" i="713" s="1"/>
  <c r="AE311" i="29"/>
  <c r="AE296" i="29"/>
  <c r="AD242" i="29"/>
  <c r="H18" i="30"/>
  <c r="H13" i="30"/>
  <c r="AN52" i="29"/>
  <c r="AC55" i="29"/>
  <c r="AN55" i="29" s="1"/>
  <c r="H101" i="30"/>
  <c r="H83" i="30"/>
  <c r="H92" i="30"/>
  <c r="H74" i="30"/>
  <c r="AD24" i="29"/>
  <c r="K178" i="30"/>
  <c r="AN21" i="29"/>
  <c r="AN18" i="29"/>
  <c r="AN19" i="29" s="1"/>
  <c r="C64" i="713"/>
  <c r="C34" i="715"/>
  <c r="C57" i="714"/>
  <c r="AD68" i="29"/>
  <c r="U82" i="30"/>
  <c r="U73" i="30"/>
  <c r="U100" i="30"/>
  <c r="U91" i="30"/>
  <c r="K313" i="29"/>
  <c r="AE313" i="29"/>
  <c r="AE324" i="29"/>
  <c r="G52" i="723" l="1"/>
  <c r="G69" i="723"/>
  <c r="G94" i="723" s="1"/>
  <c r="G96" i="723" s="1"/>
  <c r="G70" i="723"/>
  <c r="G47" i="724"/>
  <c r="G69" i="724"/>
  <c r="G94" i="724" s="1"/>
  <c r="G52" i="724"/>
  <c r="H53" i="723"/>
  <c r="H53" i="724"/>
  <c r="AO315" i="29"/>
  <c r="H103" i="30"/>
  <c r="U94" i="30"/>
  <c r="J115" i="30"/>
  <c r="AJ86" i="725"/>
  <c r="M16" i="725"/>
  <c r="U85" i="30"/>
  <c r="U76" i="30"/>
  <c r="AS110" i="725"/>
  <c r="H85" i="30"/>
  <c r="H76" i="30"/>
  <c r="AL82" i="114"/>
  <c r="AW86" i="114"/>
  <c r="AW88" i="114"/>
  <c r="AW87" i="114"/>
  <c r="AX82" i="114"/>
  <c r="G47" i="597"/>
  <c r="G69" i="597"/>
  <c r="G94" i="597" s="1"/>
  <c r="G97" i="597" s="1"/>
  <c r="G52" i="597"/>
  <c r="H53" i="31"/>
  <c r="H53" i="597"/>
  <c r="H53" i="598"/>
  <c r="G47" i="598"/>
  <c r="G69" i="598"/>
  <c r="G94" i="598" s="1"/>
  <c r="G52" i="598"/>
  <c r="G47" i="31"/>
  <c r="G69" i="31"/>
  <c r="G94" i="31" s="1"/>
  <c r="G52" i="31"/>
  <c r="G98" i="597"/>
  <c r="K151" i="29"/>
  <c r="K161" i="29" s="1"/>
  <c r="AE238" i="29"/>
  <c r="AO238" i="29" s="1"/>
  <c r="AO270" i="29" s="1"/>
  <c r="P78" i="719"/>
  <c r="P80" i="719" s="1"/>
  <c r="AF310" i="29"/>
  <c r="K179" i="30"/>
  <c r="AN158" i="29"/>
  <c r="AN163" i="29"/>
  <c r="AW53" i="114"/>
  <c r="AW106" i="114"/>
  <c r="P53" i="114"/>
  <c r="AW78" i="114"/>
  <c r="AW100" i="114"/>
  <c r="AJ58" i="114"/>
  <c r="AJ73" i="114"/>
  <c r="K143" i="29"/>
  <c r="K299" i="29"/>
  <c r="K300" i="29" s="1"/>
  <c r="K116" i="29"/>
  <c r="O19" i="114"/>
  <c r="O25" i="114"/>
  <c r="P60" i="114"/>
  <c r="P59" i="114"/>
  <c r="P74" i="114"/>
  <c r="I39" i="719"/>
  <c r="I23" i="719"/>
  <c r="AW74" i="114"/>
  <c r="AW59" i="114"/>
  <c r="AW69" i="114" s="1"/>
  <c r="AW60" i="114"/>
  <c r="K18" i="29"/>
  <c r="K27" i="29" s="1"/>
  <c r="K37" i="29"/>
  <c r="J8" i="719"/>
  <c r="J7" i="711"/>
  <c r="K21" i="29"/>
  <c r="Q54" i="114"/>
  <c r="N8" i="725" s="1"/>
  <c r="N16" i="725" s="1"/>
  <c r="I40" i="719"/>
  <c r="I24" i="719"/>
  <c r="I13" i="711"/>
  <c r="I19" i="711"/>
  <c r="P14" i="114"/>
  <c r="P57" i="114"/>
  <c r="AW14" i="114"/>
  <c r="AW57" i="114"/>
  <c r="AW67" i="114" s="1"/>
  <c r="J7" i="719"/>
  <c r="Q52" i="114"/>
  <c r="Q72" i="114" s="1"/>
  <c r="K110" i="29"/>
  <c r="K111" i="29" s="1"/>
  <c r="K9" i="29"/>
  <c r="P19" i="114"/>
  <c r="P25" i="114"/>
  <c r="AJ13" i="114"/>
  <c r="AJ26" i="114"/>
  <c r="AJ20" i="114"/>
  <c r="L310" i="29"/>
  <c r="I135" i="30"/>
  <c r="AE45" i="29"/>
  <c r="J61" i="30" s="1"/>
  <c r="AN81" i="114" s="1"/>
  <c r="AE59" i="29"/>
  <c r="AO59" i="29" s="1"/>
  <c r="AE223" i="29"/>
  <c r="AO223" i="29" s="1"/>
  <c r="AE14" i="29"/>
  <c r="AE118" i="29"/>
  <c r="AE235" i="29"/>
  <c r="AO235" i="29" s="1"/>
  <c r="AE60" i="29"/>
  <c r="AO60" i="29" s="1"/>
  <c r="AE51" i="29"/>
  <c r="AO51" i="29" s="1"/>
  <c r="AE224" i="29"/>
  <c r="AO224" i="29" s="1"/>
  <c r="AE67" i="29"/>
  <c r="AE66" i="29"/>
  <c r="AO66" i="29" s="1"/>
  <c r="AE231" i="29"/>
  <c r="AO231" i="29" s="1"/>
  <c r="AE240" i="29"/>
  <c r="AO240" i="29" s="1"/>
  <c r="AE54" i="29"/>
  <c r="AO54" i="29" s="1"/>
  <c r="AE221" i="29"/>
  <c r="AO221" i="29" s="1"/>
  <c r="AE76" i="29"/>
  <c r="AE50" i="29"/>
  <c r="AO50" i="29" s="1"/>
  <c r="AE220" i="29"/>
  <c r="AO220" i="29" s="1"/>
  <c r="AE47" i="29"/>
  <c r="J63" i="30" s="1"/>
  <c r="AE63" i="29"/>
  <c r="AO63" i="29" s="1"/>
  <c r="AE243" i="29"/>
  <c r="AE64" i="29"/>
  <c r="AO64" i="29" s="1"/>
  <c r="AE237" i="29"/>
  <c r="AO237" i="29" s="1"/>
  <c r="AE116" i="29"/>
  <c r="AE43" i="29"/>
  <c r="AO43" i="29" s="1"/>
  <c r="AE219" i="29"/>
  <c r="AO219" i="29" s="1"/>
  <c r="AE228" i="29"/>
  <c r="AO228" i="29" s="1"/>
  <c r="AE16" i="29"/>
  <c r="AE227" i="29"/>
  <c r="AO227" i="29" s="1"/>
  <c r="AE77" i="29"/>
  <c r="AE49" i="29"/>
  <c r="AO49" i="29" s="1"/>
  <c r="AE236" i="29"/>
  <c r="AO236" i="29" s="1"/>
  <c r="AE61" i="29"/>
  <c r="AO61" i="29" s="1"/>
  <c r="AE42" i="29"/>
  <c r="AE299" i="29"/>
  <c r="AE245" i="29"/>
  <c r="AO245" i="29" s="1"/>
  <c r="AE48" i="29"/>
  <c r="AE244" i="29"/>
  <c r="AO244" i="29" s="1"/>
  <c r="AE225" i="29"/>
  <c r="AO225" i="29" s="1"/>
  <c r="AE62" i="29"/>
  <c r="AE239" i="29"/>
  <c r="AO239" i="29" s="1"/>
  <c r="AE15" i="29"/>
  <c r="AE117" i="29"/>
  <c r="AE46" i="29"/>
  <c r="J62" i="30" s="1"/>
  <c r="AE232" i="29"/>
  <c r="AO232" i="29" s="1"/>
  <c r="I80" i="30"/>
  <c r="I71" i="30"/>
  <c r="AE297" i="29"/>
  <c r="V165" i="30"/>
  <c r="J140" i="30"/>
  <c r="J131" i="30"/>
  <c r="V114" i="30"/>
  <c r="U13" i="30"/>
  <c r="H19" i="30"/>
  <c r="H20" i="30"/>
  <c r="I81" i="30"/>
  <c r="I72" i="30"/>
  <c r="J142" i="30"/>
  <c r="V132" i="30"/>
  <c r="V130" i="30"/>
  <c r="I79" i="30"/>
  <c r="I70" i="30"/>
  <c r="AE316" i="29"/>
  <c r="U92" i="30"/>
  <c r="U101" i="30"/>
  <c r="U74" i="30"/>
  <c r="U83" i="30"/>
  <c r="AE318" i="29"/>
  <c r="K181" i="30"/>
  <c r="AO286" i="29" l="1"/>
  <c r="AO289" i="29"/>
  <c r="AO288" i="29"/>
  <c r="AO287" i="29"/>
  <c r="AO291" i="29"/>
  <c r="AO290" i="29"/>
  <c r="H15" i="724"/>
  <c r="H15" i="723"/>
  <c r="H40" i="723"/>
  <c r="H40" i="724"/>
  <c r="H31" i="724"/>
  <c r="H31" i="723"/>
  <c r="G96" i="724"/>
  <c r="AE300" i="29"/>
  <c r="AO316" i="29"/>
  <c r="AG8" i="725"/>
  <c r="J133" i="30"/>
  <c r="J134" i="30" s="1"/>
  <c r="J143" i="30" s="1"/>
  <c r="AJ110" i="725"/>
  <c r="G96" i="31"/>
  <c r="G96" i="598"/>
  <c r="H31" i="597"/>
  <c r="H31" i="598"/>
  <c r="H31" i="31"/>
  <c r="H15" i="597"/>
  <c r="H15" i="31"/>
  <c r="H15" i="598"/>
  <c r="H40" i="598"/>
  <c r="H40" i="31"/>
  <c r="H40" i="597"/>
  <c r="K152" i="29"/>
  <c r="K162" i="29" s="1"/>
  <c r="AN98" i="114"/>
  <c r="AN99" i="114" s="1"/>
  <c r="J108" i="30"/>
  <c r="AJ62" i="725" s="1"/>
  <c r="AO62" i="29"/>
  <c r="V113" i="30" s="1"/>
  <c r="J113" i="30"/>
  <c r="AJ74" i="725" s="1"/>
  <c r="AO253" i="29"/>
  <c r="AO252" i="29"/>
  <c r="AO251" i="29"/>
  <c r="AO248" i="29"/>
  <c r="AO250" i="29"/>
  <c r="AO264" i="29"/>
  <c r="AO265" i="29"/>
  <c r="AO255" i="29"/>
  <c r="AO256" i="29"/>
  <c r="AO257" i="29"/>
  <c r="AO263" i="29"/>
  <c r="AO260" i="29"/>
  <c r="AO262" i="29"/>
  <c r="AO261" i="29"/>
  <c r="AO259" i="29"/>
  <c r="AO258" i="29"/>
  <c r="AO266" i="29"/>
  <c r="AE242" i="29"/>
  <c r="AO242" i="29" s="1"/>
  <c r="AO42" i="29"/>
  <c r="V66" i="30" s="1"/>
  <c r="J66" i="30"/>
  <c r="K152" i="30"/>
  <c r="K153" i="30"/>
  <c r="K154" i="30"/>
  <c r="K132" i="30"/>
  <c r="K148" i="30"/>
  <c r="K130" i="30"/>
  <c r="K151" i="30"/>
  <c r="K155" i="30"/>
  <c r="K114" i="30"/>
  <c r="AN63" i="114"/>
  <c r="AY63" i="114" s="1"/>
  <c r="Q73" i="719"/>
  <c r="AF315" i="29"/>
  <c r="AF311" i="29"/>
  <c r="AF296" i="29"/>
  <c r="L178" i="30"/>
  <c r="V115" i="30"/>
  <c r="AN104" i="114"/>
  <c r="AN105" i="114" s="1"/>
  <c r="AE26" i="29"/>
  <c r="AN64" i="114"/>
  <c r="AY64" i="114" s="1"/>
  <c r="AO76" i="29"/>
  <c r="AY103" i="114" s="1"/>
  <c r="AN103" i="114"/>
  <c r="Q53" i="114"/>
  <c r="P58" i="114"/>
  <c r="P73" i="114"/>
  <c r="AW58" i="114"/>
  <c r="AW68" i="114" s="1"/>
  <c r="AW73" i="114"/>
  <c r="AK54" i="114"/>
  <c r="AO15" i="29"/>
  <c r="AO25" i="29" s="1"/>
  <c r="AE25" i="29"/>
  <c r="J23" i="719"/>
  <c r="J39" i="719"/>
  <c r="J19" i="711"/>
  <c r="J13" i="711"/>
  <c r="Q14" i="114"/>
  <c r="Q57" i="114"/>
  <c r="AW13" i="114"/>
  <c r="AW26" i="114"/>
  <c r="AW32" i="114" s="1"/>
  <c r="AW20" i="114"/>
  <c r="AK52" i="114"/>
  <c r="AK72" i="114" s="1"/>
  <c r="P12" i="114"/>
  <c r="P20" i="114"/>
  <c r="P26" i="114"/>
  <c r="L311" i="29"/>
  <c r="L296" i="29"/>
  <c r="AJ19" i="114"/>
  <c r="AJ25" i="114"/>
  <c r="Q74" i="114"/>
  <c r="Q60" i="114"/>
  <c r="Q59" i="114"/>
  <c r="J24" i="719"/>
  <c r="J40" i="719"/>
  <c r="O148" i="29"/>
  <c r="AD148" i="29" s="1"/>
  <c r="K148" i="29"/>
  <c r="AB148" i="29" s="1"/>
  <c r="AB143" i="29"/>
  <c r="AE192" i="29"/>
  <c r="AE189" i="29"/>
  <c r="AE201" i="29"/>
  <c r="AE202" i="29"/>
  <c r="AE190" i="29"/>
  <c r="AE193" i="29"/>
  <c r="AE212" i="29"/>
  <c r="AE183" i="29"/>
  <c r="AE208" i="29"/>
  <c r="AE194" i="29"/>
  <c r="AE203" i="29"/>
  <c r="AE210" i="29"/>
  <c r="AE195" i="29"/>
  <c r="AE172" i="29"/>
  <c r="AE198" i="29"/>
  <c r="AE176" i="29"/>
  <c r="AE211" i="29"/>
  <c r="AE200" i="29"/>
  <c r="AE178" i="29"/>
  <c r="AE191" i="29"/>
  <c r="AE209" i="29"/>
  <c r="AE175" i="29"/>
  <c r="AE214" i="29"/>
  <c r="J157" i="30" s="1"/>
  <c r="V157" i="30" s="1"/>
  <c r="AE205" i="29"/>
  <c r="AE182" i="29"/>
  <c r="AE177" i="29"/>
  <c r="AE181" i="29"/>
  <c r="AE174" i="29"/>
  <c r="AE173" i="29"/>
  <c r="AE184" i="29"/>
  <c r="AE188" i="29"/>
  <c r="U12" i="30"/>
  <c r="U18" i="30" s="1"/>
  <c r="U19" i="30"/>
  <c r="U20" i="30"/>
  <c r="AE68" i="29"/>
  <c r="AO67" i="29"/>
  <c r="AO48" i="29"/>
  <c r="V142" i="30"/>
  <c r="AE24" i="29"/>
  <c r="AO14" i="29"/>
  <c r="AO47" i="29"/>
  <c r="V131" i="30"/>
  <c r="V133" i="30" s="1"/>
  <c r="V140" i="30"/>
  <c r="AO45" i="29"/>
  <c r="AO77" i="29"/>
  <c r="AY104" i="114" s="1"/>
  <c r="AO46" i="29"/>
  <c r="AO16" i="29"/>
  <c r="AO26" i="29" s="1"/>
  <c r="L313" i="29"/>
  <c r="AF313" i="29"/>
  <c r="AF324" i="29"/>
  <c r="AO318" i="29"/>
  <c r="L179" i="30" l="1"/>
  <c r="H35" i="723"/>
  <c r="H43" i="723"/>
  <c r="H49" i="723" s="1"/>
  <c r="H16" i="723"/>
  <c r="H55" i="723"/>
  <c r="H56" i="723" s="1"/>
  <c r="H55" i="724"/>
  <c r="H56" i="724" s="1"/>
  <c r="H35" i="724"/>
  <c r="H16" i="724"/>
  <c r="H43" i="724"/>
  <c r="H49" i="724" s="1"/>
  <c r="H55" i="31"/>
  <c r="H56" i="31" s="1"/>
  <c r="H55" i="597"/>
  <c r="H56" i="597" s="1"/>
  <c r="H55" i="598"/>
  <c r="H56" i="598" s="1"/>
  <c r="AK86" i="725"/>
  <c r="AT86" i="725" s="1"/>
  <c r="AK98" i="725"/>
  <c r="AT98" i="725" s="1"/>
  <c r="AO305" i="29"/>
  <c r="AF42" i="29"/>
  <c r="K66" i="30" s="1"/>
  <c r="AG310" i="29"/>
  <c r="AG55" i="725"/>
  <c r="AG105" i="725"/>
  <c r="H43" i="598"/>
  <c r="H49" i="598" s="1"/>
  <c r="AG16" i="725"/>
  <c r="AG69" i="725"/>
  <c r="AG93" i="725"/>
  <c r="AG39" i="725"/>
  <c r="AG81" i="725"/>
  <c r="AG117" i="725"/>
  <c r="AR8" i="725"/>
  <c r="K153" i="29"/>
  <c r="K163" i="29" s="1"/>
  <c r="AK86" i="114"/>
  <c r="AK88" i="114"/>
  <c r="AK87" i="114"/>
  <c r="H16" i="31"/>
  <c r="H35" i="31"/>
  <c r="H43" i="31"/>
  <c r="H49" i="31" s="1"/>
  <c r="H43" i="597"/>
  <c r="H49" i="597" s="1"/>
  <c r="H35" i="597"/>
  <c r="H16" i="597"/>
  <c r="H35" i="598"/>
  <c r="H16" i="598"/>
  <c r="D40" i="715"/>
  <c r="D70" i="713"/>
  <c r="C40" i="713" s="1"/>
  <c r="D63" i="714"/>
  <c r="C33" i="714" s="1"/>
  <c r="AY98" i="114"/>
  <c r="AY99" i="114" s="1"/>
  <c r="V108" i="30"/>
  <c r="J109" i="30"/>
  <c r="L72" i="29"/>
  <c r="AF238" i="29"/>
  <c r="J84" i="30"/>
  <c r="J75" i="30"/>
  <c r="V84" i="30"/>
  <c r="V75" i="30"/>
  <c r="K140" i="30"/>
  <c r="K131" i="30"/>
  <c r="K115" i="30"/>
  <c r="K142" i="30"/>
  <c r="AO24" i="29"/>
  <c r="AF118" i="29"/>
  <c r="AF117" i="29"/>
  <c r="AF116" i="29"/>
  <c r="AF299" i="29"/>
  <c r="AF300" i="29" s="1"/>
  <c r="AF245" i="29"/>
  <c r="AF243" i="29"/>
  <c r="AF240" i="29"/>
  <c r="AF237" i="29"/>
  <c r="AF235" i="29"/>
  <c r="AF231" i="29"/>
  <c r="AF228" i="29"/>
  <c r="AF225" i="29"/>
  <c r="AF223" i="29"/>
  <c r="AF220" i="29"/>
  <c r="AF219" i="29"/>
  <c r="AF244" i="29"/>
  <c r="AF239" i="29"/>
  <c r="AF236" i="29"/>
  <c r="AF232" i="29"/>
  <c r="AF227" i="29"/>
  <c r="AF224" i="29"/>
  <c r="AF221" i="29"/>
  <c r="AF63" i="29"/>
  <c r="AF60" i="29"/>
  <c r="AF50" i="29"/>
  <c r="AF46" i="29"/>
  <c r="AF43" i="29"/>
  <c r="AF16" i="29"/>
  <c r="AF64" i="29"/>
  <c r="AF48" i="29"/>
  <c r="AF15" i="29"/>
  <c r="AF14" i="29"/>
  <c r="AF67" i="29"/>
  <c r="AF66" i="29"/>
  <c r="AF62" i="29"/>
  <c r="AF61" i="29"/>
  <c r="AF54" i="29"/>
  <c r="AF47" i="29"/>
  <c r="AF45" i="29"/>
  <c r="AF77" i="29"/>
  <c r="AF76" i="29"/>
  <c r="AF59" i="29"/>
  <c r="AF51" i="29"/>
  <c r="AF49" i="29"/>
  <c r="AF297" i="29"/>
  <c r="Q78" i="719"/>
  <c r="Q80" i="719" s="1"/>
  <c r="Q84" i="719"/>
  <c r="Q86" i="719" s="1"/>
  <c r="AY105" i="114"/>
  <c r="AF316" i="29"/>
  <c r="W154" i="2"/>
  <c r="W152" i="2"/>
  <c r="W155" i="2"/>
  <c r="W153" i="2"/>
  <c r="AK53" i="114"/>
  <c r="AK106" i="114"/>
  <c r="AK78" i="114"/>
  <c r="AK100" i="114"/>
  <c r="Q58" i="114"/>
  <c r="Q73" i="114"/>
  <c r="AK59" i="114"/>
  <c r="AK69" i="114" s="1"/>
  <c r="AK74" i="114"/>
  <c r="AK57" i="114"/>
  <c r="AK67" i="114" s="1"/>
  <c r="AK60" i="114"/>
  <c r="L17" i="29"/>
  <c r="L8" i="29"/>
  <c r="L299" i="29"/>
  <c r="L300" i="29" s="1"/>
  <c r="L116" i="29"/>
  <c r="P18" i="114"/>
  <c r="Q18" i="114"/>
  <c r="P11" i="114"/>
  <c r="AK12" i="114"/>
  <c r="P24" i="114"/>
  <c r="T24" i="114"/>
  <c r="AW25" i="114"/>
  <c r="AW31" i="114" s="1"/>
  <c r="AW19" i="114"/>
  <c r="Q26" i="114"/>
  <c r="Q20" i="114"/>
  <c r="Q13" i="114"/>
  <c r="M310" i="29"/>
  <c r="L297" i="29"/>
  <c r="AK14" i="114"/>
  <c r="J135" i="30"/>
  <c r="Q172" i="29"/>
  <c r="AO172" i="29"/>
  <c r="Q173" i="29"/>
  <c r="AO173" i="29"/>
  <c r="AO195" i="29"/>
  <c r="Q195" i="29"/>
  <c r="AO174" i="29"/>
  <c r="Q174" i="29"/>
  <c r="Q210" i="29"/>
  <c r="AO210" i="29"/>
  <c r="AO181" i="29"/>
  <c r="Q181" i="29"/>
  <c r="Q203" i="29"/>
  <c r="AO203" i="29"/>
  <c r="Q178" i="29"/>
  <c r="AO178" i="29"/>
  <c r="C22" i="713"/>
  <c r="C16" i="714"/>
  <c r="J79" i="30"/>
  <c r="J70" i="30"/>
  <c r="V61" i="30"/>
  <c r="AY81" i="114" s="1"/>
  <c r="Q177" i="29"/>
  <c r="AO177" i="29"/>
  <c r="Q194" i="29"/>
  <c r="AO194" i="29"/>
  <c r="AO182" i="29"/>
  <c r="Q182" i="29"/>
  <c r="Q208" i="29"/>
  <c r="AO208" i="29"/>
  <c r="Q184" i="29"/>
  <c r="AO184" i="29"/>
  <c r="J81" i="30"/>
  <c r="J72" i="30"/>
  <c r="V63" i="30"/>
  <c r="Q205" i="29"/>
  <c r="AO205" i="29"/>
  <c r="AO183" i="29"/>
  <c r="Q183" i="29"/>
  <c r="V134" i="30"/>
  <c r="V143" i="30" s="1"/>
  <c r="J80" i="30"/>
  <c r="J71" i="30"/>
  <c r="V62" i="30"/>
  <c r="AO90" i="29"/>
  <c r="AO86" i="29"/>
  <c r="AO87" i="29"/>
  <c r="AO88" i="29"/>
  <c r="AO84" i="29"/>
  <c r="AO89" i="29"/>
  <c r="AO85" i="29"/>
  <c r="AO214" i="29"/>
  <c r="Q214" i="29"/>
  <c r="Q212" i="29"/>
  <c r="AO212" i="29"/>
  <c r="AO175" i="29"/>
  <c r="Q175" i="29"/>
  <c r="Q193" i="29"/>
  <c r="AO193" i="29"/>
  <c r="AO209" i="29"/>
  <c r="Q209" i="29"/>
  <c r="AO190" i="29"/>
  <c r="Q190" i="29"/>
  <c r="AO191" i="29"/>
  <c r="Q191" i="29"/>
  <c r="Q202" i="29"/>
  <c r="AO202" i="29"/>
  <c r="AO201" i="29"/>
  <c r="Q201" i="29"/>
  <c r="AO200" i="29"/>
  <c r="Q200" i="29"/>
  <c r="AO189" i="29"/>
  <c r="Q189" i="29"/>
  <c r="Q211" i="29"/>
  <c r="AO211" i="29"/>
  <c r="Q192" i="29"/>
  <c r="AO192" i="29"/>
  <c r="AO176" i="29"/>
  <c r="Q176" i="29"/>
  <c r="D69" i="713"/>
  <c r="D62" i="714"/>
  <c r="AO68" i="29"/>
  <c r="D39" i="715"/>
  <c r="AO188" i="29"/>
  <c r="Q188" i="29"/>
  <c r="AO198" i="29"/>
  <c r="Q198" i="29"/>
  <c r="L181" i="30"/>
  <c r="AF318" i="29"/>
  <c r="L153" i="30" l="1"/>
  <c r="W153" i="30" s="1"/>
  <c r="L152" i="30"/>
  <c r="W152" i="30" s="1"/>
  <c r="L155" i="30"/>
  <c r="W155" i="30" s="1"/>
  <c r="L154" i="30"/>
  <c r="W154" i="30" s="1"/>
  <c r="L148" i="30"/>
  <c r="W148" i="30" s="1"/>
  <c r="L151" i="30"/>
  <c r="W151" i="30" s="1"/>
  <c r="L132" i="30"/>
  <c r="L130" i="30"/>
  <c r="W130" i="30" s="1"/>
  <c r="I31" i="724" s="1"/>
  <c r="J111" i="597"/>
  <c r="J120" i="597" s="1"/>
  <c r="J121" i="597" s="1"/>
  <c r="J14" i="597" s="1"/>
  <c r="M178" i="30"/>
  <c r="H50" i="723"/>
  <c r="H70" i="723"/>
  <c r="H36" i="723"/>
  <c r="H50" i="724"/>
  <c r="H70" i="724"/>
  <c r="H36" i="724"/>
  <c r="AG296" i="29"/>
  <c r="AO306" i="29"/>
  <c r="H50" i="31"/>
  <c r="H70" i="31"/>
  <c r="H50" i="598"/>
  <c r="H70" i="598"/>
  <c r="AO103" i="114"/>
  <c r="K63" i="30"/>
  <c r="K72" i="30" s="1"/>
  <c r="K62" i="30"/>
  <c r="K71" i="30" s="1"/>
  <c r="AG315" i="29"/>
  <c r="K113" i="30"/>
  <c r="AK74" i="725" s="1"/>
  <c r="AO104" i="114"/>
  <c r="AO105" i="114" s="1"/>
  <c r="K61" i="30"/>
  <c r="AO81" i="114" s="1"/>
  <c r="K108" i="30"/>
  <c r="AK62" i="725" s="1"/>
  <c r="AT62" i="725" s="1"/>
  <c r="AG321" i="29"/>
  <c r="AG311" i="29"/>
  <c r="AF25" i="29"/>
  <c r="AF26" i="29"/>
  <c r="AR55" i="725"/>
  <c r="AR105" i="725"/>
  <c r="AR16" i="725"/>
  <c r="AR81" i="725"/>
  <c r="AR69" i="725"/>
  <c r="AR39" i="725"/>
  <c r="AR93" i="725"/>
  <c r="AR117" i="725"/>
  <c r="K133" i="30"/>
  <c r="K134" i="30" s="1"/>
  <c r="K143" i="30" s="1"/>
  <c r="AK110" i="725"/>
  <c r="D41" i="715"/>
  <c r="H50" i="597"/>
  <c r="H70" i="597"/>
  <c r="H36" i="598"/>
  <c r="H36" i="597"/>
  <c r="H36" i="31"/>
  <c r="L151" i="29"/>
  <c r="L161" i="29" s="1"/>
  <c r="V109" i="30"/>
  <c r="K84" i="30"/>
  <c r="K75" i="30"/>
  <c r="AF211" i="29"/>
  <c r="S211" i="29" s="1"/>
  <c r="AF209" i="29"/>
  <c r="S209" i="29" s="1"/>
  <c r="AF205" i="29"/>
  <c r="S205" i="29" s="1"/>
  <c r="AF202" i="29"/>
  <c r="S202" i="29" s="1"/>
  <c r="AF194" i="29"/>
  <c r="S194" i="29" s="1"/>
  <c r="AF190" i="29"/>
  <c r="S190" i="29" s="1"/>
  <c r="AF172" i="29"/>
  <c r="S172" i="29" s="1"/>
  <c r="AF210" i="29"/>
  <c r="S210" i="29" s="1"/>
  <c r="AF200" i="29"/>
  <c r="S200" i="29" s="1"/>
  <c r="AF195" i="29"/>
  <c r="S195" i="29" s="1"/>
  <c r="AF189" i="29"/>
  <c r="S189" i="29" s="1"/>
  <c r="AF184" i="29"/>
  <c r="S184" i="29" s="1"/>
  <c r="AF183" i="29"/>
  <c r="S183" i="29" s="1"/>
  <c r="AF181" i="29"/>
  <c r="S181" i="29" s="1"/>
  <c r="AF176" i="29"/>
  <c r="S176" i="29" s="1"/>
  <c r="AF174" i="29"/>
  <c r="S174" i="29" s="1"/>
  <c r="AF214" i="29"/>
  <c r="AF208" i="29"/>
  <c r="S208" i="29" s="1"/>
  <c r="AF201" i="29"/>
  <c r="S201" i="29" s="1"/>
  <c r="AF198" i="29"/>
  <c r="S198" i="29" s="1"/>
  <c r="AF192" i="29"/>
  <c r="S192" i="29" s="1"/>
  <c r="AF188" i="29"/>
  <c r="S188" i="29" s="1"/>
  <c r="AF182" i="29"/>
  <c r="S182" i="29" s="1"/>
  <c r="AF178" i="29"/>
  <c r="S178" i="29" s="1"/>
  <c r="AF173" i="29"/>
  <c r="S173" i="29" s="1"/>
  <c r="AF212" i="29"/>
  <c r="S212" i="29" s="1"/>
  <c r="AF203" i="29"/>
  <c r="S203" i="29" s="1"/>
  <c r="AF193" i="29"/>
  <c r="S193" i="29" s="1"/>
  <c r="AF191" i="29"/>
  <c r="S191" i="29" s="1"/>
  <c r="AF177" i="29"/>
  <c r="S177" i="29" s="1"/>
  <c r="AF175" i="29"/>
  <c r="S175" i="29" s="1"/>
  <c r="AF242" i="29"/>
  <c r="AO98" i="114"/>
  <c r="AO99" i="114" s="1"/>
  <c r="AF68" i="29"/>
  <c r="R73" i="719"/>
  <c r="AF24" i="29"/>
  <c r="W132" i="2"/>
  <c r="W142" i="2" s="1"/>
  <c r="AK58" i="114"/>
  <c r="AK68" i="114" s="1"/>
  <c r="AK73" i="114"/>
  <c r="Q19" i="114"/>
  <c r="Q25" i="114"/>
  <c r="AK26" i="114"/>
  <c r="AK32" i="114" s="1"/>
  <c r="AK20" i="114"/>
  <c r="AK13" i="114"/>
  <c r="M311" i="29"/>
  <c r="M296" i="29"/>
  <c r="T30" i="114"/>
  <c r="X30" i="114"/>
  <c r="AK18" i="114"/>
  <c r="AK11" i="114"/>
  <c r="AK24" i="114"/>
  <c r="AK30" i="114" s="1"/>
  <c r="AX12" i="114"/>
  <c r="AM24" i="114"/>
  <c r="AO30" i="114" s="1"/>
  <c r="AL18" i="114"/>
  <c r="L9" i="29"/>
  <c r="L10" i="29" s="1"/>
  <c r="M8" i="29"/>
  <c r="K7" i="719"/>
  <c r="R52" i="114"/>
  <c r="R72" i="114" s="1"/>
  <c r="R54" i="114"/>
  <c r="O8" i="725" s="1"/>
  <c r="K7" i="711"/>
  <c r="K8" i="719"/>
  <c r="L37" i="29"/>
  <c r="L18" i="29"/>
  <c r="L21" i="29"/>
  <c r="M17" i="29"/>
  <c r="S54" i="114" s="1"/>
  <c r="P8" i="725" s="1"/>
  <c r="P16" i="725" s="1"/>
  <c r="V135" i="30"/>
  <c r="V164" i="30" s="1"/>
  <c r="C32" i="714"/>
  <c r="D64" i="714"/>
  <c r="D71" i="713"/>
  <c r="C39" i="713"/>
  <c r="V70" i="30"/>
  <c r="V79" i="30"/>
  <c r="V80" i="30"/>
  <c r="V71" i="30"/>
  <c r="V81" i="30"/>
  <c r="V72" i="30"/>
  <c r="M313" i="29"/>
  <c r="AG313" i="29"/>
  <c r="AG324" i="29"/>
  <c r="J112" i="597" l="1"/>
  <c r="J6" i="597" s="1"/>
  <c r="I111" i="597"/>
  <c r="I31" i="597"/>
  <c r="I31" i="598"/>
  <c r="I31" i="723"/>
  <c r="L142" i="30"/>
  <c r="W132" i="30"/>
  <c r="I53" i="723"/>
  <c r="I53" i="724"/>
  <c r="I53" i="597"/>
  <c r="J6" i="723"/>
  <c r="J6" i="724"/>
  <c r="J14" i="723"/>
  <c r="J14" i="724"/>
  <c r="AG65" i="29"/>
  <c r="K80" i="30"/>
  <c r="K81" i="30"/>
  <c r="AG299" i="29"/>
  <c r="AG300" i="29" s="1"/>
  <c r="AG15" i="29"/>
  <c r="AG14" i="29"/>
  <c r="AG223" i="29"/>
  <c r="AP223" i="29" s="1"/>
  <c r="AG237" i="29"/>
  <c r="AP237" i="29" s="1"/>
  <c r="AG219" i="29"/>
  <c r="AP219" i="29" s="1"/>
  <c r="AG235" i="29"/>
  <c r="AP235" i="29" s="1"/>
  <c r="AG225" i="29"/>
  <c r="AP225" i="29" s="1"/>
  <c r="AG227" i="29"/>
  <c r="AP227" i="29" s="1"/>
  <c r="AG236" i="29"/>
  <c r="AP236" i="29" s="1"/>
  <c r="AG231" i="29"/>
  <c r="AP231" i="29" s="1"/>
  <c r="AG238" i="29"/>
  <c r="AP238" i="29" s="1"/>
  <c r="AP270" i="29" s="1"/>
  <c r="AG244" i="29"/>
  <c r="AP244" i="29" s="1"/>
  <c r="AG220" i="29"/>
  <c r="AP220" i="29" s="1"/>
  <c r="AG239" i="29"/>
  <c r="AP239" i="29" s="1"/>
  <c r="AG224" i="29"/>
  <c r="AP224" i="29" s="1"/>
  <c r="AG16" i="29"/>
  <c r="AG240" i="29"/>
  <c r="AP240" i="29" s="1"/>
  <c r="AG221" i="29"/>
  <c r="AP221" i="29" s="1"/>
  <c r="AG232" i="29"/>
  <c r="AP232" i="29" s="1"/>
  <c r="AG228" i="29"/>
  <c r="AG243" i="29"/>
  <c r="AP243" i="29" s="1"/>
  <c r="AG245" i="29"/>
  <c r="AP245" i="29" s="1"/>
  <c r="AG297" i="29"/>
  <c r="S214" i="29"/>
  <c r="K157" i="30"/>
  <c r="K109" i="30"/>
  <c r="AG54" i="29"/>
  <c r="AG51" i="29"/>
  <c r="AP51" i="29" s="1"/>
  <c r="AG50" i="29"/>
  <c r="AP50" i="29" s="1"/>
  <c r="AG49" i="29"/>
  <c r="AP49" i="29" s="1"/>
  <c r="AG48" i="29"/>
  <c r="AP48" i="29" s="1"/>
  <c r="AG118" i="29"/>
  <c r="AG47" i="29"/>
  <c r="AG117" i="29"/>
  <c r="AG46" i="29"/>
  <c r="AG116" i="29"/>
  <c r="AG45" i="29"/>
  <c r="L61" i="30" s="1"/>
  <c r="AG76" i="29"/>
  <c r="AP76" i="29" s="1"/>
  <c r="AG66" i="29"/>
  <c r="AP66" i="29" s="1"/>
  <c r="AG64" i="29"/>
  <c r="AP64" i="29" s="1"/>
  <c r="AG63" i="29"/>
  <c r="AP63" i="29" s="1"/>
  <c r="AG62" i="29"/>
  <c r="AG61" i="29"/>
  <c r="AP61" i="29" s="1"/>
  <c r="AG60" i="29"/>
  <c r="AP60" i="29" s="1"/>
  <c r="AG59" i="29"/>
  <c r="AP59" i="29" s="1"/>
  <c r="AG43" i="29"/>
  <c r="AP43" i="29" s="1"/>
  <c r="AG42" i="29"/>
  <c r="AG322" i="29"/>
  <c r="K70" i="30"/>
  <c r="AP315" i="29"/>
  <c r="K79" i="30"/>
  <c r="AG316" i="29"/>
  <c r="AT110" i="725"/>
  <c r="O16" i="725"/>
  <c r="AH8" i="725"/>
  <c r="J6" i="598"/>
  <c r="J6" i="31" s="1"/>
  <c r="I120" i="597"/>
  <c r="I121" i="597" s="1"/>
  <c r="I112" i="597"/>
  <c r="H95" i="597"/>
  <c r="J14" i="598"/>
  <c r="J14" i="31" s="1"/>
  <c r="L152" i="29"/>
  <c r="L162" i="29" s="1"/>
  <c r="K135" i="30"/>
  <c r="R84" i="719"/>
  <c r="R78" i="719"/>
  <c r="M151" i="29"/>
  <c r="R53" i="114"/>
  <c r="L19" i="29"/>
  <c r="L27" i="29"/>
  <c r="AM30" i="114"/>
  <c r="M299" i="29"/>
  <c r="M300" i="29" s="1"/>
  <c r="M116" i="29"/>
  <c r="AX18" i="114"/>
  <c r="AX11" i="114"/>
  <c r="AX24" i="114"/>
  <c r="AX30" i="114" s="1"/>
  <c r="AY18" i="114"/>
  <c r="AY24" i="114"/>
  <c r="L8" i="719"/>
  <c r="L7" i="711"/>
  <c r="M21" i="29"/>
  <c r="M37" i="29"/>
  <c r="M18" i="29"/>
  <c r="K24" i="719"/>
  <c r="K40" i="719"/>
  <c r="N310" i="29"/>
  <c r="M297" i="29"/>
  <c r="K19" i="711"/>
  <c r="K13" i="711"/>
  <c r="AK25" i="114"/>
  <c r="AK31" i="114" s="1"/>
  <c r="AK19" i="114"/>
  <c r="R59" i="114"/>
  <c r="R69" i="114" s="1"/>
  <c r="R60" i="114"/>
  <c r="R74" i="114"/>
  <c r="R92" i="114"/>
  <c r="R91" i="114"/>
  <c r="R14" i="114"/>
  <c r="R57" i="114"/>
  <c r="R67" i="114" s="1"/>
  <c r="K23" i="719"/>
  <c r="K39" i="719"/>
  <c r="S52" i="114"/>
  <c r="L7" i="719"/>
  <c r="M9" i="29"/>
  <c r="M10" i="29" s="1"/>
  <c r="M110" i="29"/>
  <c r="M111" i="29" s="1"/>
  <c r="M112" i="29" s="1"/>
  <c r="C41" i="713"/>
  <c r="C34" i="714"/>
  <c r="AG318" i="29"/>
  <c r="M181" i="30"/>
  <c r="W142" i="30" l="1"/>
  <c r="I40" i="724"/>
  <c r="I40" i="723"/>
  <c r="I40" i="597"/>
  <c r="I40" i="31"/>
  <c r="I40" i="598"/>
  <c r="M146" i="2"/>
  <c r="X146" i="2" s="1"/>
  <c r="M132" i="2"/>
  <c r="AG177" i="29"/>
  <c r="AG201" i="29"/>
  <c r="AG176" i="29"/>
  <c r="AG200" i="29"/>
  <c r="AG198" i="29"/>
  <c r="AG174" i="29"/>
  <c r="AG175" i="29"/>
  <c r="AG195" i="29"/>
  <c r="AG191" i="29"/>
  <c r="AG178" i="29"/>
  <c r="AG190" i="29"/>
  <c r="AG189" i="29"/>
  <c r="AG183" i="29"/>
  <c r="AG181" i="29"/>
  <c r="AG194" i="29"/>
  <c r="AG193" i="29"/>
  <c r="AG211" i="29"/>
  <c r="AG212" i="29"/>
  <c r="AG205" i="29"/>
  <c r="AG188" i="29"/>
  <c r="AG182" i="29"/>
  <c r="AG208" i="29"/>
  <c r="AG172" i="29"/>
  <c r="AG209" i="29"/>
  <c r="AG202" i="29"/>
  <c r="AG203" i="29"/>
  <c r="AG214" i="29"/>
  <c r="AG173" i="29"/>
  <c r="AG192" i="29"/>
  <c r="AG210" i="29"/>
  <c r="AG184" i="29"/>
  <c r="AG242" i="29"/>
  <c r="AP242" i="29" s="1"/>
  <c r="AP228" i="29"/>
  <c r="AP302" i="29"/>
  <c r="AG24" i="29"/>
  <c r="AP14" i="29"/>
  <c r="AP24" i="29" s="1"/>
  <c r="AG25" i="29"/>
  <c r="AP15" i="29"/>
  <c r="AP25" i="29" s="1"/>
  <c r="AG26" i="29"/>
  <c r="AP16" i="29"/>
  <c r="AP26" i="29" s="1"/>
  <c r="AP42" i="29"/>
  <c r="L66" i="30"/>
  <c r="AP62" i="29"/>
  <c r="L113" i="30"/>
  <c r="AP47" i="29"/>
  <c r="L63" i="30"/>
  <c r="L70" i="30"/>
  <c r="L79" i="30"/>
  <c r="AP46" i="29"/>
  <c r="L62" i="30"/>
  <c r="AP45" i="29"/>
  <c r="AP316" i="29"/>
  <c r="AP90" i="29"/>
  <c r="AP89" i="29"/>
  <c r="AP88" i="29"/>
  <c r="AP87" i="29"/>
  <c r="AP86" i="29"/>
  <c r="AP85" i="29"/>
  <c r="AP84" i="29"/>
  <c r="AP54" i="29"/>
  <c r="AH55" i="725"/>
  <c r="AH105" i="725"/>
  <c r="AH16" i="725"/>
  <c r="AH81" i="725"/>
  <c r="AH39" i="725"/>
  <c r="AH93" i="725"/>
  <c r="AH117" i="725"/>
  <c r="AH69" i="725"/>
  <c r="H98" i="597"/>
  <c r="L153" i="29"/>
  <c r="L163" i="29" s="1"/>
  <c r="S72" i="114"/>
  <c r="S14" i="114"/>
  <c r="M152" i="29"/>
  <c r="M162" i="29" s="1"/>
  <c r="M161" i="29"/>
  <c r="M19" i="29"/>
  <c r="M27" i="29"/>
  <c r="S53" i="114"/>
  <c r="R58" i="114"/>
  <c r="R68" i="114" s="1"/>
  <c r="R73" i="114"/>
  <c r="N296" i="29"/>
  <c r="N311" i="29"/>
  <c r="AL54" i="114"/>
  <c r="S95" i="114"/>
  <c r="S74" i="114"/>
  <c r="S60" i="114"/>
  <c r="S96" i="114"/>
  <c r="S97" i="114"/>
  <c r="S59" i="114"/>
  <c r="S69" i="114" s="1"/>
  <c r="R26" i="114"/>
  <c r="R32" i="114" s="1"/>
  <c r="R13" i="114"/>
  <c r="R20" i="114"/>
  <c r="L23" i="719"/>
  <c r="L39" i="719"/>
  <c r="L13" i="711"/>
  <c r="L19" i="711"/>
  <c r="AL52" i="114"/>
  <c r="AL72" i="114" s="1"/>
  <c r="S57" i="114"/>
  <c r="S67" i="114" s="1"/>
  <c r="L24" i="719"/>
  <c r="L40" i="719"/>
  <c r="AY30" i="114"/>
  <c r="N313" i="29"/>
  <c r="AP318" i="29"/>
  <c r="AP261" i="29" l="1"/>
  <c r="AP286" i="29"/>
  <c r="AP260" i="29"/>
  <c r="AP259" i="29"/>
  <c r="AP258" i="29"/>
  <c r="AP256" i="29"/>
  <c r="AP255" i="29"/>
  <c r="AP254" i="29"/>
  <c r="AP291" i="29"/>
  <c r="AP253" i="29"/>
  <c r="AP252" i="29"/>
  <c r="AP250" i="29"/>
  <c r="AP290" i="29"/>
  <c r="AP289" i="29"/>
  <c r="AP266" i="29"/>
  <c r="AP264" i="29"/>
  <c r="AP257" i="29"/>
  <c r="AP251" i="29"/>
  <c r="AP248" i="29"/>
  <c r="AP287" i="29"/>
  <c r="AP265" i="29"/>
  <c r="AP263" i="29"/>
  <c r="AP262" i="29"/>
  <c r="AP288" i="29"/>
  <c r="M142" i="2"/>
  <c r="X132" i="2"/>
  <c r="X142" i="2" s="1"/>
  <c r="AP305" i="29"/>
  <c r="AP306" i="29" s="1"/>
  <c r="AP209" i="29"/>
  <c r="U209" i="29"/>
  <c r="U193" i="29"/>
  <c r="AP193" i="29"/>
  <c r="U195" i="29"/>
  <c r="AP195" i="29"/>
  <c r="AP184" i="29"/>
  <c r="U184" i="29"/>
  <c r="AP172" i="29"/>
  <c r="U172" i="29"/>
  <c r="AP194" i="29"/>
  <c r="U194" i="29"/>
  <c r="U175" i="29"/>
  <c r="AP175" i="29"/>
  <c r="U210" i="29"/>
  <c r="AP210" i="29"/>
  <c r="AP208" i="29"/>
  <c r="U208" i="29"/>
  <c r="U181" i="29"/>
  <c r="AP181" i="29"/>
  <c r="U174" i="29"/>
  <c r="AP174" i="29"/>
  <c r="U192" i="29"/>
  <c r="AP192" i="29"/>
  <c r="U182" i="29"/>
  <c r="AP182" i="29"/>
  <c r="U183" i="29"/>
  <c r="AP183" i="29"/>
  <c r="U198" i="29"/>
  <c r="AP198" i="29"/>
  <c r="AP303" i="29"/>
  <c r="U173" i="29"/>
  <c r="AP173" i="29"/>
  <c r="U188" i="29"/>
  <c r="AP188" i="29"/>
  <c r="AP189" i="29"/>
  <c r="U189" i="29"/>
  <c r="U200" i="29"/>
  <c r="AP200" i="29"/>
  <c r="L157" i="30"/>
  <c r="AP214" i="29"/>
  <c r="U214" i="29"/>
  <c r="U205" i="29"/>
  <c r="AP205" i="29"/>
  <c r="AP190" i="29"/>
  <c r="U190" i="29"/>
  <c r="U176" i="29"/>
  <c r="AP176" i="29"/>
  <c r="U203" i="29"/>
  <c r="AP203" i="29"/>
  <c r="U212" i="29"/>
  <c r="AP212" i="29"/>
  <c r="U178" i="29"/>
  <c r="AP178" i="29"/>
  <c r="U201" i="29"/>
  <c r="AP201" i="29"/>
  <c r="AP202" i="29"/>
  <c r="U202" i="29"/>
  <c r="AP211" i="29"/>
  <c r="U211" i="29"/>
  <c r="AP191" i="29"/>
  <c r="U191" i="29"/>
  <c r="U177" i="29"/>
  <c r="AP177" i="29"/>
  <c r="L80" i="30"/>
  <c r="L71" i="30"/>
  <c r="L84" i="30"/>
  <c r="L75" i="30"/>
  <c r="M66" i="30"/>
  <c r="M66" i="2" s="1"/>
  <c r="W66" i="30"/>
  <c r="L81" i="30"/>
  <c r="L72" i="30"/>
  <c r="AL86" i="114"/>
  <c r="AL88" i="114"/>
  <c r="AL87" i="114"/>
  <c r="M153" i="29"/>
  <c r="M163" i="29" s="1"/>
  <c r="AL53" i="114"/>
  <c r="AL106" i="114"/>
  <c r="AL78" i="114"/>
  <c r="AL100" i="114"/>
  <c r="S58" i="114"/>
  <c r="S68" i="114" s="1"/>
  <c r="S73" i="114"/>
  <c r="N67" i="29"/>
  <c r="T98" i="114" s="1"/>
  <c r="Q62" i="725" s="1"/>
  <c r="N116" i="29"/>
  <c r="N299" i="29"/>
  <c r="N300" i="29" s="1"/>
  <c r="N17" i="29"/>
  <c r="N141" i="29"/>
  <c r="N146" i="29" s="1"/>
  <c r="N318" i="29"/>
  <c r="N214" i="29" s="1"/>
  <c r="N8" i="29"/>
  <c r="R19" i="114"/>
  <c r="R25" i="114"/>
  <c r="R31" i="114" s="1"/>
  <c r="L110" i="29"/>
  <c r="L111" i="29" s="1"/>
  <c r="L112" i="29" s="1"/>
  <c r="AL14" i="114"/>
  <c r="S20" i="114"/>
  <c r="S26" i="114"/>
  <c r="S32" i="114" s="1"/>
  <c r="S13" i="114"/>
  <c r="AL60" i="114"/>
  <c r="AL74" i="114"/>
  <c r="AL59" i="114"/>
  <c r="AL69" i="114" s="1"/>
  <c r="AX54" i="114"/>
  <c r="O310" i="29"/>
  <c r="N297" i="29"/>
  <c r="AX52" i="114"/>
  <c r="AX72" i="114" s="1"/>
  <c r="AL57" i="114"/>
  <c r="AL67" i="114" s="1"/>
  <c r="M84" i="2" l="1"/>
  <c r="M75" i="2"/>
  <c r="N66" i="30"/>
  <c r="N66" i="2" s="1"/>
  <c r="M84" i="30"/>
  <c r="M75" i="30"/>
  <c r="W75" i="30"/>
  <c r="W84" i="30"/>
  <c r="AX86" i="114"/>
  <c r="AX88" i="114"/>
  <c r="AX87" i="114"/>
  <c r="N151" i="29"/>
  <c r="AX53" i="114"/>
  <c r="AX106" i="114"/>
  <c r="AX100" i="114"/>
  <c r="AX78" i="114"/>
  <c r="AL58" i="114"/>
  <c r="AL68" i="114" s="1"/>
  <c r="AL73" i="114"/>
  <c r="AX57" i="114"/>
  <c r="AX67" i="114" s="1"/>
  <c r="S19" i="114"/>
  <c r="S25" i="114"/>
  <c r="S31" i="114" s="1"/>
  <c r="AL20" i="114"/>
  <c r="AL26" i="114"/>
  <c r="AL32" i="114" s="1"/>
  <c r="AX14" i="114"/>
  <c r="AL13" i="114"/>
  <c r="AX59" i="114"/>
  <c r="AX69" i="114" s="1"/>
  <c r="AX60" i="114"/>
  <c r="AX74" i="114"/>
  <c r="O311" i="29"/>
  <c r="O296" i="29"/>
  <c r="N110" i="29"/>
  <c r="N111" i="29" s="1"/>
  <c r="N112" i="29" s="1"/>
  <c r="T52" i="114"/>
  <c r="T72" i="114" s="1"/>
  <c r="M7" i="719"/>
  <c r="N9" i="29"/>
  <c r="N10" i="29" s="1"/>
  <c r="N37" i="29"/>
  <c r="N21" i="29"/>
  <c r="N18" i="29"/>
  <c r="T54" i="114"/>
  <c r="M8" i="719"/>
  <c r="M7" i="711"/>
  <c r="N69" i="29"/>
  <c r="O313" i="29"/>
  <c r="X66" i="2" l="1"/>
  <c r="N75" i="2"/>
  <c r="N84" i="2"/>
  <c r="N84" i="30"/>
  <c r="X66" i="30"/>
  <c r="N75" i="30"/>
  <c r="T76" i="114"/>
  <c r="Q8" i="725"/>
  <c r="N156" i="29"/>
  <c r="N161" i="29"/>
  <c r="N152" i="29"/>
  <c r="N157" i="29" s="1"/>
  <c r="N19" i="29"/>
  <c r="N27" i="29"/>
  <c r="T100" i="114"/>
  <c r="T53" i="114"/>
  <c r="AX58" i="114"/>
  <c r="AX68" i="114" s="1"/>
  <c r="AX73" i="114"/>
  <c r="O8" i="29"/>
  <c r="O318" i="29"/>
  <c r="O67" i="29"/>
  <c r="O141" i="29"/>
  <c r="AD141" i="29" s="1"/>
  <c r="O116" i="29"/>
  <c r="O299" i="29"/>
  <c r="O300" i="29" s="1"/>
  <c r="O17" i="29"/>
  <c r="M13" i="711"/>
  <c r="M19" i="711"/>
  <c r="M23" i="719"/>
  <c r="M39" i="719"/>
  <c r="T60" i="114"/>
  <c r="T59" i="114"/>
  <c r="T69" i="114" s="1"/>
  <c r="T74" i="114"/>
  <c r="T57" i="114"/>
  <c r="T67" i="114" s="1"/>
  <c r="T14" i="114"/>
  <c r="M40" i="719"/>
  <c r="M24" i="719"/>
  <c r="O297" i="29"/>
  <c r="P310" i="29"/>
  <c r="AL19" i="114"/>
  <c r="AL25" i="114"/>
  <c r="AL31" i="114" s="1"/>
  <c r="AX20" i="114"/>
  <c r="AX26" i="114"/>
  <c r="AX32" i="114" s="1"/>
  <c r="AX13" i="114"/>
  <c r="X84" i="2" l="1"/>
  <c r="X75" i="2"/>
  <c r="X84" i="30"/>
  <c r="X75" i="30"/>
  <c r="Q16" i="725"/>
  <c r="T83" i="114"/>
  <c r="T88" i="114" s="1"/>
  <c r="Q23" i="725"/>
  <c r="Q46" i="725" s="1"/>
  <c r="Q55" i="725" s="1"/>
  <c r="U98" i="114"/>
  <c r="R62" i="725" s="1"/>
  <c r="N153" i="29"/>
  <c r="N162" i="29"/>
  <c r="O151" i="29"/>
  <c r="T58" i="114"/>
  <c r="T68" i="114" s="1"/>
  <c r="T73" i="114"/>
  <c r="O69" i="29"/>
  <c r="P311" i="29"/>
  <c r="P296" i="29"/>
  <c r="AX25" i="114"/>
  <c r="AX31" i="114" s="1"/>
  <c r="AX19" i="114"/>
  <c r="T13" i="114"/>
  <c r="T26" i="114"/>
  <c r="T32" i="114" s="1"/>
  <c r="T20" i="114"/>
  <c r="AD17" i="29"/>
  <c r="O21" i="29"/>
  <c r="N8" i="719"/>
  <c r="U54" i="114"/>
  <c r="O18" i="29"/>
  <c r="N7" i="711"/>
  <c r="O37" i="29"/>
  <c r="AD37" i="29" s="1"/>
  <c r="N7" i="719"/>
  <c r="U52" i="114"/>
  <c r="O9" i="29"/>
  <c r="O10" i="29" s="1"/>
  <c r="AD8" i="29"/>
  <c r="O110" i="29"/>
  <c r="P313" i="29"/>
  <c r="U81" i="114" l="1"/>
  <c r="T81" i="114" s="1"/>
  <c r="T86" i="114" s="1"/>
  <c r="R8" i="725"/>
  <c r="Q39" i="725"/>
  <c r="P67" i="29"/>
  <c r="V98" i="114" s="1"/>
  <c r="S62" i="725" s="1"/>
  <c r="P72" i="29"/>
  <c r="AD27" i="29"/>
  <c r="AD33" i="29"/>
  <c r="AD34" i="29" s="1"/>
  <c r="U72" i="114"/>
  <c r="O111" i="29"/>
  <c r="O112" i="29" s="1"/>
  <c r="O161" i="29"/>
  <c r="N158" i="29"/>
  <c r="N163" i="29"/>
  <c r="O156" i="29"/>
  <c r="AD151" i="29"/>
  <c r="O152" i="29"/>
  <c r="O19" i="29"/>
  <c r="O27" i="29"/>
  <c r="U100" i="114"/>
  <c r="U53" i="114"/>
  <c r="P299" i="29"/>
  <c r="P300" i="29" s="1"/>
  <c r="P318" i="29"/>
  <c r="P17" i="29"/>
  <c r="P8" i="29"/>
  <c r="P116" i="29"/>
  <c r="T25" i="114"/>
  <c r="T31" i="114" s="1"/>
  <c r="T19" i="114"/>
  <c r="N19" i="711"/>
  <c r="N13" i="711"/>
  <c r="H27" i="711"/>
  <c r="U74" i="114"/>
  <c r="U60" i="114"/>
  <c r="U59" i="114"/>
  <c r="AM54" i="114"/>
  <c r="AM86" i="114" s="1"/>
  <c r="N39" i="719"/>
  <c r="N23" i="719"/>
  <c r="N40" i="719"/>
  <c r="N24" i="719"/>
  <c r="AD78" i="29"/>
  <c r="AD18" i="29"/>
  <c r="AD19" i="29" s="1"/>
  <c r="AD69" i="29"/>
  <c r="AD21" i="29"/>
  <c r="AD39" i="29"/>
  <c r="AD9" i="29"/>
  <c r="AD10" i="29" s="1"/>
  <c r="AD110" i="29"/>
  <c r="AM52" i="114"/>
  <c r="AM72" i="114" s="1"/>
  <c r="U14" i="114"/>
  <c r="U57" i="114"/>
  <c r="U67" i="114" s="1"/>
  <c r="Q310" i="29"/>
  <c r="P297" i="29"/>
  <c r="T82" i="114" l="1"/>
  <c r="T87" i="114" s="1"/>
  <c r="R16" i="725"/>
  <c r="AI8" i="725"/>
  <c r="AI105" i="725" s="1"/>
  <c r="P69" i="29"/>
  <c r="V100" i="114" s="1"/>
  <c r="P151" i="29"/>
  <c r="P156" i="29" s="1"/>
  <c r="AD161" i="29"/>
  <c r="O157" i="29"/>
  <c r="O162" i="29"/>
  <c r="AD156" i="29"/>
  <c r="AD152" i="29"/>
  <c r="O153" i="29"/>
  <c r="AM106" i="114"/>
  <c r="AM100" i="114"/>
  <c r="AM53" i="114"/>
  <c r="U58" i="114"/>
  <c r="U68" i="114" s="1"/>
  <c r="U73" i="114"/>
  <c r="AM57" i="114"/>
  <c r="AM67" i="114" s="1"/>
  <c r="AM60" i="114"/>
  <c r="AM59" i="114"/>
  <c r="AM69" i="114" s="1"/>
  <c r="I33" i="30"/>
  <c r="I110" i="30" s="1"/>
  <c r="AM74" i="114"/>
  <c r="Q311" i="29"/>
  <c r="Q296" i="29"/>
  <c r="I12" i="30"/>
  <c r="AD111" i="29"/>
  <c r="AD112" i="29" s="1"/>
  <c r="U69" i="114"/>
  <c r="AD52" i="29"/>
  <c r="AD38" i="29"/>
  <c r="U13" i="114"/>
  <c r="U20" i="114"/>
  <c r="U26" i="114"/>
  <c r="U32" i="114" s="1"/>
  <c r="AM14" i="114"/>
  <c r="V52" i="114"/>
  <c r="O7" i="719"/>
  <c r="P9" i="29"/>
  <c r="P10" i="29" s="1"/>
  <c r="P110" i="29"/>
  <c r="P37" i="29"/>
  <c r="O7" i="711"/>
  <c r="P18" i="29"/>
  <c r="V54" i="114"/>
  <c r="S8" i="725" s="1"/>
  <c r="O8" i="719"/>
  <c r="P21" i="29"/>
  <c r="Q313" i="29"/>
  <c r="S16" i="725" l="1"/>
  <c r="AI16" i="725"/>
  <c r="AI93" i="725"/>
  <c r="AI69" i="725"/>
  <c r="AI117" i="725"/>
  <c r="AS8" i="725"/>
  <c r="AS105" i="725" s="1"/>
  <c r="V76" i="114"/>
  <c r="V81" i="114"/>
  <c r="W81" i="114" s="1"/>
  <c r="P152" i="29"/>
  <c r="P157" i="29" s="1"/>
  <c r="Q67" i="29"/>
  <c r="Q72" i="29"/>
  <c r="P111" i="29"/>
  <c r="P112" i="29" s="1"/>
  <c r="V72" i="114"/>
  <c r="P161" i="29"/>
  <c r="I93" i="30"/>
  <c r="AG33" i="30"/>
  <c r="AG34" i="30" s="1"/>
  <c r="I18" i="30"/>
  <c r="AD157" i="29"/>
  <c r="AD162" i="29"/>
  <c r="O158" i="29"/>
  <c r="O163" i="29"/>
  <c r="AD153" i="29"/>
  <c r="P19" i="29"/>
  <c r="P27" i="29"/>
  <c r="V53" i="114"/>
  <c r="AM58" i="114"/>
  <c r="AM68" i="114" s="1"/>
  <c r="AM73" i="114"/>
  <c r="Q299" i="29"/>
  <c r="Q300" i="29" s="1"/>
  <c r="Q17" i="29"/>
  <c r="Q318" i="29"/>
  <c r="Q8" i="29"/>
  <c r="Q116" i="29"/>
  <c r="AD55" i="29"/>
  <c r="AD58" i="29"/>
  <c r="U19" i="114"/>
  <c r="U25" i="114"/>
  <c r="U31" i="114" s="1"/>
  <c r="O24" i="719"/>
  <c r="O40" i="719"/>
  <c r="O13" i="711"/>
  <c r="O19" i="711"/>
  <c r="V60" i="114"/>
  <c r="V59" i="114"/>
  <c r="V74" i="114"/>
  <c r="Q297" i="29"/>
  <c r="R310" i="29"/>
  <c r="O39" i="719"/>
  <c r="O23" i="719"/>
  <c r="V57" i="114"/>
  <c r="V67" i="114" s="1"/>
  <c r="V14" i="114"/>
  <c r="I90" i="30"/>
  <c r="I36" i="30"/>
  <c r="I189" i="30"/>
  <c r="I190" i="30" s="1"/>
  <c r="I116" i="30"/>
  <c r="W338" i="726" s="1"/>
  <c r="I88" i="30"/>
  <c r="I34" i="30"/>
  <c r="I40" i="30"/>
  <c r="AI23" i="725" s="1"/>
  <c r="AI46" i="725" s="1"/>
  <c r="AI55" i="725" s="1"/>
  <c r="I89" i="30"/>
  <c r="I120" i="30"/>
  <c r="I27" i="30"/>
  <c r="I38" i="30" s="1"/>
  <c r="AM26" i="114"/>
  <c r="AM32" i="114" s="1"/>
  <c r="AM20" i="114"/>
  <c r="AM13" i="114"/>
  <c r="W98" i="114" l="1"/>
  <c r="T62" i="725" s="1"/>
  <c r="I35" i="30"/>
  <c r="W339" i="726"/>
  <c r="AS16" i="725"/>
  <c r="AS93" i="725"/>
  <c r="AS69" i="725"/>
  <c r="AS117" i="725"/>
  <c r="AI81" i="725"/>
  <c r="AS74" i="725"/>
  <c r="AS81" i="725" s="1"/>
  <c r="AI32" i="725"/>
  <c r="AI39" i="725"/>
  <c r="AS23" i="725"/>
  <c r="V83" i="114"/>
  <c r="V82" i="114" s="1"/>
  <c r="V87" i="114" s="1"/>
  <c r="S23" i="725"/>
  <c r="Q69" i="29"/>
  <c r="W100" i="114" s="1"/>
  <c r="P153" i="29"/>
  <c r="P163" i="29" s="1"/>
  <c r="P162" i="29"/>
  <c r="I102" i="30"/>
  <c r="I111" i="30"/>
  <c r="AM76" i="114"/>
  <c r="I64" i="30"/>
  <c r="I100" i="30" s="1"/>
  <c r="AD158" i="29"/>
  <c r="AD163" i="29"/>
  <c r="Q151" i="29"/>
  <c r="Q161" i="29" s="1"/>
  <c r="V58" i="114"/>
  <c r="V68" i="114" s="1"/>
  <c r="V73" i="114"/>
  <c r="AM25" i="114"/>
  <c r="AM31" i="114" s="1"/>
  <c r="AM19" i="114"/>
  <c r="V26" i="114"/>
  <c r="V32" i="114" s="1"/>
  <c r="V13" i="114"/>
  <c r="V20" i="114"/>
  <c r="R311" i="29"/>
  <c r="R296" i="29"/>
  <c r="I123" i="30"/>
  <c r="I121" i="30"/>
  <c r="I141" i="30"/>
  <c r="I144" i="30" s="1"/>
  <c r="I147" i="30" s="1"/>
  <c r="I125" i="30"/>
  <c r="P7" i="719"/>
  <c r="W52" i="114"/>
  <c r="Q9" i="29"/>
  <c r="Q10" i="29" s="1"/>
  <c r="AE8" i="29"/>
  <c r="AE151" i="29" s="1"/>
  <c r="Q110" i="29"/>
  <c r="Q111" i="29" s="1"/>
  <c r="Q112" i="29" s="1"/>
  <c r="I13" i="30"/>
  <c r="I30" i="30"/>
  <c r="I28" i="30"/>
  <c r="I29" i="30" s="1"/>
  <c r="I41" i="30"/>
  <c r="I42" i="30" s="1"/>
  <c r="I43" i="30"/>
  <c r="I118" i="30"/>
  <c r="I99" i="30"/>
  <c r="I98" i="30"/>
  <c r="I97" i="30"/>
  <c r="P8" i="719"/>
  <c r="Q37" i="29"/>
  <c r="AE37" i="29" s="1"/>
  <c r="Q21" i="29"/>
  <c r="Q21" i="1" s="1"/>
  <c r="W54" i="114"/>
  <c r="Q18" i="29"/>
  <c r="AE17" i="29"/>
  <c r="AE27" i="29" s="1"/>
  <c r="V69" i="114"/>
  <c r="R313" i="29"/>
  <c r="W72" i="114" l="1"/>
  <c r="V88" i="114"/>
  <c r="W86" i="114"/>
  <c r="T8" i="725"/>
  <c r="S46" i="725"/>
  <c r="S55" i="725" s="1"/>
  <c r="S39" i="725"/>
  <c r="AS32" i="725"/>
  <c r="AS39" i="725"/>
  <c r="AM78" i="114"/>
  <c r="U76" i="114"/>
  <c r="R23" i="725" s="1"/>
  <c r="P158" i="29"/>
  <c r="AO37" i="29"/>
  <c r="I126" i="30"/>
  <c r="AG125" i="30"/>
  <c r="AG126" i="30" s="1"/>
  <c r="AM101" i="114"/>
  <c r="AM77" i="114"/>
  <c r="AM107" i="114"/>
  <c r="I65" i="30"/>
  <c r="AM83" i="114" s="1"/>
  <c r="I82" i="30"/>
  <c r="I73" i="30"/>
  <c r="I91" i="30"/>
  <c r="R8" i="29"/>
  <c r="AE161" i="29"/>
  <c r="Q152" i="29"/>
  <c r="Q162" i="29" s="1"/>
  <c r="AE152" i="29"/>
  <c r="AE156" i="29"/>
  <c r="Q156" i="29"/>
  <c r="W53" i="114"/>
  <c r="Q19" i="29"/>
  <c r="Q27" i="29"/>
  <c r="R67" i="29"/>
  <c r="X98" i="114" s="1"/>
  <c r="R116" i="29"/>
  <c r="R17" i="29"/>
  <c r="R299" i="29"/>
  <c r="R318" i="29"/>
  <c r="R214" i="29" s="1"/>
  <c r="AF20" i="2"/>
  <c r="AF33" i="2" s="1"/>
  <c r="AF34" i="2" s="1"/>
  <c r="AE110" i="29"/>
  <c r="AE9" i="29"/>
  <c r="AE10" i="29" s="1"/>
  <c r="AO8" i="29"/>
  <c r="AO151" i="29" s="1"/>
  <c r="P40" i="719"/>
  <c r="P24" i="719"/>
  <c r="W14" i="114"/>
  <c r="W57" i="114"/>
  <c r="W67" i="114" s="1"/>
  <c r="AN52" i="114"/>
  <c r="AN72" i="114" s="1"/>
  <c r="P23" i="719"/>
  <c r="P39" i="719"/>
  <c r="I193" i="30"/>
  <c r="I194" i="30" s="1"/>
  <c r="I128" i="30"/>
  <c r="I127" i="30"/>
  <c r="S310" i="29"/>
  <c r="R297" i="29"/>
  <c r="V19" i="114"/>
  <c r="V25" i="114"/>
  <c r="V31" i="114" s="1"/>
  <c r="AE39" i="29"/>
  <c r="AE21" i="29"/>
  <c r="AE18" i="29"/>
  <c r="AE19" i="29" s="1"/>
  <c r="AE78" i="29"/>
  <c r="AE69" i="29"/>
  <c r="AO17" i="29"/>
  <c r="W74" i="114"/>
  <c r="W59" i="114"/>
  <c r="W69" i="114" s="1"/>
  <c r="W60" i="114"/>
  <c r="AN54" i="114"/>
  <c r="AN86" i="114" s="1"/>
  <c r="I19" i="30"/>
  <c r="I20" i="30"/>
  <c r="R300" i="29" l="1"/>
  <c r="AO161" i="29"/>
  <c r="R46" i="725"/>
  <c r="R55" i="725" s="1"/>
  <c r="R39" i="725"/>
  <c r="X99" i="114"/>
  <c r="U62" i="725"/>
  <c r="T16" i="725"/>
  <c r="AJ8" i="725"/>
  <c r="AJ105" i="725" s="1"/>
  <c r="AM82" i="114"/>
  <c r="AM87" i="114" s="1"/>
  <c r="AM88" i="114"/>
  <c r="U78" i="114"/>
  <c r="U83" i="114"/>
  <c r="R151" i="29"/>
  <c r="R152" i="29" s="1"/>
  <c r="I67" i="30"/>
  <c r="I83" i="30"/>
  <c r="I74" i="30"/>
  <c r="I92" i="30"/>
  <c r="I101" i="30"/>
  <c r="AO27" i="29"/>
  <c r="AO33" i="29"/>
  <c r="Q157" i="29"/>
  <c r="Q153" i="29"/>
  <c r="Q158" i="29" s="1"/>
  <c r="AE157" i="29"/>
  <c r="AE162" i="29"/>
  <c r="AE153" i="29"/>
  <c r="AO152" i="29"/>
  <c r="AO156" i="29"/>
  <c r="AN106" i="114"/>
  <c r="AN100" i="114"/>
  <c r="AN53" i="114"/>
  <c r="W58" i="114"/>
  <c r="W68" i="114" s="1"/>
  <c r="W73" i="114"/>
  <c r="AN57" i="114"/>
  <c r="AN67" i="114" s="1"/>
  <c r="AY52" i="114"/>
  <c r="AY72" i="114" s="1"/>
  <c r="W20" i="114"/>
  <c r="W13" i="114"/>
  <c r="W26" i="114"/>
  <c r="W32" i="114" s="1"/>
  <c r="AN14" i="114"/>
  <c r="AE52" i="29"/>
  <c r="AO39" i="29"/>
  <c r="AY76" i="114" s="1"/>
  <c r="AE38" i="29"/>
  <c r="AO38" i="29" s="1"/>
  <c r="AO69" i="29"/>
  <c r="AO78" i="29"/>
  <c r="AO21" i="29"/>
  <c r="AO18" i="29"/>
  <c r="AO19" i="29" s="1"/>
  <c r="D34" i="715"/>
  <c r="D64" i="713"/>
  <c r="C11" i="713" s="1"/>
  <c r="D57" i="714"/>
  <c r="C10" i="714" s="1"/>
  <c r="D32" i="715"/>
  <c r="D62" i="713"/>
  <c r="D55" i="714"/>
  <c r="AO9" i="29"/>
  <c r="AO10" i="29" s="1"/>
  <c r="AE111" i="29"/>
  <c r="AE112" i="29" s="1"/>
  <c r="J12" i="30"/>
  <c r="J18" i="30" s="1"/>
  <c r="S311" i="29"/>
  <c r="S296" i="29"/>
  <c r="X52" i="114"/>
  <c r="R9" i="29"/>
  <c r="R10" i="29" s="1"/>
  <c r="R110" i="29"/>
  <c r="R111" i="29" s="1"/>
  <c r="R112" i="29" s="1"/>
  <c r="R37" i="29"/>
  <c r="X54" i="114"/>
  <c r="U8" i="725" s="1"/>
  <c r="R21" i="29"/>
  <c r="R18" i="29"/>
  <c r="AY54" i="114"/>
  <c r="AY86" i="114" s="1"/>
  <c r="J33" i="30"/>
  <c r="AN74" i="114"/>
  <c r="AN59" i="114"/>
  <c r="AN69" i="114" s="1"/>
  <c r="AN60" i="114"/>
  <c r="R68" i="29"/>
  <c r="R69" i="29"/>
  <c r="S313" i="29"/>
  <c r="AO153" i="29" l="1"/>
  <c r="AO158" i="29" s="1"/>
  <c r="AJ16" i="725"/>
  <c r="AJ93" i="725"/>
  <c r="AJ69" i="725"/>
  <c r="AJ117" i="725"/>
  <c r="U16" i="725"/>
  <c r="AS46" i="725"/>
  <c r="AS55" i="725" s="1"/>
  <c r="X76" i="114"/>
  <c r="X77" i="114" s="1"/>
  <c r="X81" i="114"/>
  <c r="Y81" i="114" s="1"/>
  <c r="U82" i="114"/>
  <c r="U87" i="114" s="1"/>
  <c r="U88" i="114"/>
  <c r="J110" i="30"/>
  <c r="R156" i="29"/>
  <c r="R161" i="29"/>
  <c r="T310" i="29"/>
  <c r="J93" i="30"/>
  <c r="I94" i="30"/>
  <c r="I103" i="30"/>
  <c r="I76" i="30"/>
  <c r="I85" i="30"/>
  <c r="AO34" i="29"/>
  <c r="AE33" i="29"/>
  <c r="S17" i="29"/>
  <c r="S116" i="29"/>
  <c r="S67" i="29"/>
  <c r="S8" i="29"/>
  <c r="R153" i="29"/>
  <c r="AY77" i="114"/>
  <c r="AY107" i="114"/>
  <c r="AY101" i="114"/>
  <c r="Q163" i="29"/>
  <c r="R157" i="29"/>
  <c r="R162" i="29"/>
  <c r="AE158" i="29"/>
  <c r="AE163" i="29"/>
  <c r="AO157" i="29"/>
  <c r="AO162" i="29"/>
  <c r="R19" i="29"/>
  <c r="R27" i="29"/>
  <c r="AY53" i="114"/>
  <c r="AY106" i="114"/>
  <c r="X100" i="114"/>
  <c r="X53" i="114"/>
  <c r="AY78" i="114"/>
  <c r="AY100" i="114"/>
  <c r="AN58" i="114"/>
  <c r="AN68" i="114" s="1"/>
  <c r="AN73" i="114"/>
  <c r="X72" i="114"/>
  <c r="AY57" i="114"/>
  <c r="AY67" i="114" s="1"/>
  <c r="S299" i="29"/>
  <c r="S300" i="29" s="1"/>
  <c r="S318" i="29"/>
  <c r="C18" i="714"/>
  <c r="C28" i="714" s="1"/>
  <c r="C24" i="713"/>
  <c r="C35" i="713" s="1"/>
  <c r="C8" i="715"/>
  <c r="C20" i="715"/>
  <c r="Q7" i="719"/>
  <c r="X14" i="114"/>
  <c r="X57" i="114"/>
  <c r="X67" i="114" s="1"/>
  <c r="X59" i="114"/>
  <c r="X74" i="114"/>
  <c r="X60" i="114"/>
  <c r="AB60" i="114" s="1"/>
  <c r="AF27" i="2"/>
  <c r="AF35" i="2" s="1"/>
  <c r="Q8" i="719"/>
  <c r="AO40" i="29"/>
  <c r="D36" i="715"/>
  <c r="D59" i="714"/>
  <c r="D66" i="713"/>
  <c r="S297" i="29"/>
  <c r="AE55" i="29"/>
  <c r="AO55" i="29" s="1"/>
  <c r="AE58" i="29"/>
  <c r="AO58" i="29" s="1"/>
  <c r="AO52" i="29"/>
  <c r="AN20" i="114"/>
  <c r="J27" i="30"/>
  <c r="J38" i="30" s="1"/>
  <c r="AN13" i="114"/>
  <c r="AN26" i="114"/>
  <c r="AN32" i="114" s="1"/>
  <c r="AY14" i="114"/>
  <c r="W19" i="114"/>
  <c r="W25" i="114"/>
  <c r="W31" i="114" s="1"/>
  <c r="J90" i="30"/>
  <c r="V33" i="30"/>
  <c r="J88" i="30"/>
  <c r="G21" i="712" s="1"/>
  <c r="J34" i="30"/>
  <c r="J40" i="30"/>
  <c r="J120" i="30"/>
  <c r="J36" i="30"/>
  <c r="J116" i="30"/>
  <c r="X338" i="726" s="1"/>
  <c r="J89" i="30"/>
  <c r="AY60" i="114"/>
  <c r="AY74" i="114"/>
  <c r="AY59" i="114"/>
  <c r="AY69" i="114" s="1"/>
  <c r="C27" i="714"/>
  <c r="C7" i="714"/>
  <c r="C39" i="714"/>
  <c r="C26" i="714"/>
  <c r="C38" i="714"/>
  <c r="C40" i="714"/>
  <c r="C33" i="713"/>
  <c r="C45" i="713"/>
  <c r="C47" i="713"/>
  <c r="C46" i="713"/>
  <c r="C7" i="713"/>
  <c r="C34" i="713"/>
  <c r="H7" i="723" l="1"/>
  <c r="H7" i="724"/>
  <c r="AO163" i="29"/>
  <c r="J35" i="30"/>
  <c r="X339" i="726"/>
  <c r="AJ81" i="725"/>
  <c r="X83" i="114"/>
  <c r="X88" i="114" s="1"/>
  <c r="U23" i="725"/>
  <c r="J111" i="30"/>
  <c r="AJ23" i="725"/>
  <c r="AJ46" i="725" s="1"/>
  <c r="AJ55" i="725" s="1"/>
  <c r="H7" i="598"/>
  <c r="H7" i="31"/>
  <c r="H7" i="597"/>
  <c r="T296" i="29"/>
  <c r="V93" i="30"/>
  <c r="V110" i="30"/>
  <c r="T311" i="29"/>
  <c r="J64" i="30"/>
  <c r="J102" i="30"/>
  <c r="AE34" i="29"/>
  <c r="Y52" i="114"/>
  <c r="S110" i="29"/>
  <c r="S111" i="29" s="1"/>
  <c r="S112" i="29" s="1"/>
  <c r="S151" i="29"/>
  <c r="AF8" i="29"/>
  <c r="S69" i="29"/>
  <c r="Y98" i="114"/>
  <c r="V62" i="725" s="1"/>
  <c r="S68" i="29"/>
  <c r="Y54" i="114"/>
  <c r="AF17" i="29"/>
  <c r="R163" i="29"/>
  <c r="R158" i="29"/>
  <c r="AN76" i="114"/>
  <c r="K106" i="30"/>
  <c r="Q40" i="719"/>
  <c r="Q39" i="719"/>
  <c r="X58" i="114"/>
  <c r="X68" i="114" s="1"/>
  <c r="X73" i="114"/>
  <c r="AY58" i="114"/>
  <c r="AY68" i="114" s="1"/>
  <c r="AY73" i="114"/>
  <c r="AN19" i="114"/>
  <c r="AN25" i="114"/>
  <c r="AN31" i="114" s="1"/>
  <c r="J13" i="30"/>
  <c r="J30" i="30"/>
  <c r="V27" i="30"/>
  <c r="V38" i="30" s="1"/>
  <c r="J28" i="30"/>
  <c r="AF28" i="2"/>
  <c r="X69" i="114"/>
  <c r="J125" i="30"/>
  <c r="J123" i="30"/>
  <c r="J121" i="30"/>
  <c r="J141" i="30"/>
  <c r="J144" i="30" s="1"/>
  <c r="J147" i="30" s="1"/>
  <c r="V147" i="30" s="1"/>
  <c r="V120" i="30"/>
  <c r="V40" i="30"/>
  <c r="J99" i="30"/>
  <c r="J41" i="30"/>
  <c r="J42" i="30" s="1"/>
  <c r="J118" i="30"/>
  <c r="J98" i="30"/>
  <c r="J43" i="30"/>
  <c r="J97" i="30"/>
  <c r="X13" i="114"/>
  <c r="X20" i="114"/>
  <c r="X26" i="114"/>
  <c r="X32" i="114" s="1"/>
  <c r="Q23" i="719"/>
  <c r="D68" i="713"/>
  <c r="C21" i="713"/>
  <c r="V34" i="30"/>
  <c r="V35" i="30" s="1"/>
  <c r="V36" i="30"/>
  <c r="V90" i="30"/>
  <c r="V162" i="30"/>
  <c r="V88" i="30"/>
  <c r="V116" i="30"/>
  <c r="V89" i="30"/>
  <c r="C15" i="714"/>
  <c r="D61" i="714"/>
  <c r="D38" i="715"/>
  <c r="C10" i="715"/>
  <c r="C11" i="715" s="1"/>
  <c r="C22" i="715"/>
  <c r="C23" i="715" s="1"/>
  <c r="Q24" i="719"/>
  <c r="S9" i="1"/>
  <c r="S10" i="1" s="1"/>
  <c r="AF9" i="1"/>
  <c r="AF10" i="1" s="1"/>
  <c r="S18" i="1"/>
  <c r="S21" i="1"/>
  <c r="AY13" i="114"/>
  <c r="AY20" i="114"/>
  <c r="AY26" i="114"/>
  <c r="AY32" i="114" s="1"/>
  <c r="T313" i="29"/>
  <c r="H10" i="724" l="1"/>
  <c r="H10" i="723"/>
  <c r="H21" i="723"/>
  <c r="H21" i="724"/>
  <c r="H32" i="724"/>
  <c r="H8" i="724"/>
  <c r="H74" i="724"/>
  <c r="H17" i="724"/>
  <c r="H18" i="724"/>
  <c r="H37" i="724"/>
  <c r="H8" i="723"/>
  <c r="H74" i="723"/>
  <c r="H32" i="723"/>
  <c r="H17" i="723"/>
  <c r="H18" i="723"/>
  <c r="H37" i="723"/>
  <c r="X82" i="114"/>
  <c r="X87" i="114" s="1"/>
  <c r="J29" i="30"/>
  <c r="J65" i="30"/>
  <c r="J92" i="30" s="1"/>
  <c r="AJ32" i="725"/>
  <c r="AJ39" i="725"/>
  <c r="U46" i="725"/>
  <c r="U55" i="725" s="1"/>
  <c r="U32" i="725"/>
  <c r="U39" i="725"/>
  <c r="Y86" i="114"/>
  <c r="V8" i="725"/>
  <c r="AN101" i="114"/>
  <c r="W76" i="114"/>
  <c r="T23" i="725" s="1"/>
  <c r="V111" i="30"/>
  <c r="H10" i="597"/>
  <c r="H10" i="598"/>
  <c r="H10" i="31"/>
  <c r="H32" i="597"/>
  <c r="H8" i="597"/>
  <c r="H74" i="597"/>
  <c r="H17" i="597"/>
  <c r="H18" i="597"/>
  <c r="H37" i="597"/>
  <c r="H21" i="597"/>
  <c r="H21" i="31"/>
  <c r="H21" i="598"/>
  <c r="H8" i="31"/>
  <c r="H32" i="31"/>
  <c r="H31" i="3" s="1"/>
  <c r="H30" i="3" s="1"/>
  <c r="H17" i="31"/>
  <c r="H16" i="3" s="1"/>
  <c r="H18" i="31"/>
  <c r="H37" i="31"/>
  <c r="H8" i="598"/>
  <c r="H74" i="598"/>
  <c r="H18" i="598"/>
  <c r="H17" i="598"/>
  <c r="H32" i="598"/>
  <c r="H37" i="598"/>
  <c r="AF33" i="29"/>
  <c r="AF34" i="29" s="1"/>
  <c r="U310" i="29"/>
  <c r="T67" i="29"/>
  <c r="T17" i="29"/>
  <c r="T8" i="29"/>
  <c r="T116" i="29"/>
  <c r="T318" i="29"/>
  <c r="T214" i="29" s="1"/>
  <c r="T299" i="29"/>
  <c r="T300" i="29" s="1"/>
  <c r="T297" i="29"/>
  <c r="S152" i="29"/>
  <c r="S157" i="29" s="1"/>
  <c r="J126" i="30"/>
  <c r="J100" i="30"/>
  <c r="J91" i="30"/>
  <c r="J82" i="30"/>
  <c r="J73" i="30"/>
  <c r="V64" i="30"/>
  <c r="V82" i="30" s="1"/>
  <c r="V102" i="30"/>
  <c r="AN107" i="114"/>
  <c r="AN77" i="114"/>
  <c r="AF18" i="29"/>
  <c r="AF19" i="29" s="1"/>
  <c r="AF78" i="29"/>
  <c r="AF69" i="29"/>
  <c r="AF39" i="29"/>
  <c r="AF21" i="29"/>
  <c r="AF27" i="29"/>
  <c r="Y100" i="114"/>
  <c r="Y99" i="114"/>
  <c r="Y60" i="114"/>
  <c r="AC60" i="114" s="1"/>
  <c r="Y53" i="114"/>
  <c r="Y59" i="114"/>
  <c r="Y69" i="114" s="1"/>
  <c r="R8" i="719"/>
  <c r="Y74" i="114"/>
  <c r="AO54" i="114"/>
  <c r="Y14" i="114"/>
  <c r="Y57" i="114"/>
  <c r="Y67" i="114" s="1"/>
  <c r="R7" i="719"/>
  <c r="Y72" i="114"/>
  <c r="AO52" i="114"/>
  <c r="AF151" i="29"/>
  <c r="AF110" i="29"/>
  <c r="AF9" i="29"/>
  <c r="AF10" i="29" s="1"/>
  <c r="S156" i="29"/>
  <c r="S161" i="29"/>
  <c r="AN78" i="114"/>
  <c r="S19" i="1"/>
  <c r="S27" i="1"/>
  <c r="C12" i="714"/>
  <c r="C22" i="714" s="1"/>
  <c r="C25" i="714"/>
  <c r="C19" i="714"/>
  <c r="C32" i="713"/>
  <c r="C17" i="713"/>
  <c r="C28" i="713" s="1"/>
  <c r="C25" i="713"/>
  <c r="V125" i="30"/>
  <c r="D43" i="715"/>
  <c r="D44" i="715" s="1"/>
  <c r="V141" i="30"/>
  <c r="V144" i="30" s="1"/>
  <c r="D73" i="713"/>
  <c r="V123" i="30"/>
  <c r="V122" i="30"/>
  <c r="D66" i="714"/>
  <c r="AY25" i="114"/>
  <c r="AY31" i="114" s="1"/>
  <c r="AY19" i="114"/>
  <c r="X19" i="114"/>
  <c r="X25" i="114"/>
  <c r="X31" i="114" s="1"/>
  <c r="J127" i="30"/>
  <c r="J128" i="30"/>
  <c r="K33" i="2"/>
  <c r="K110" i="2" s="1"/>
  <c r="AF18" i="1"/>
  <c r="AF19" i="1" s="1"/>
  <c r="AF21" i="1"/>
  <c r="V30" i="30"/>
  <c r="V28" i="30"/>
  <c r="V29" i="30" s="1"/>
  <c r="J20" i="30"/>
  <c r="J19" i="30"/>
  <c r="V13" i="30"/>
  <c r="V44" i="30"/>
  <c r="V98" i="30"/>
  <c r="V99" i="30"/>
  <c r="V43" i="30"/>
  <c r="V97" i="30"/>
  <c r="V118" i="30"/>
  <c r="V163" i="30"/>
  <c r="V41" i="30"/>
  <c r="V42" i="30" s="1"/>
  <c r="J101" i="30" l="1"/>
  <c r="AN83" i="114"/>
  <c r="AN82" i="114" s="1"/>
  <c r="AN87" i="114" s="1"/>
  <c r="V65" i="30"/>
  <c r="V101" i="30" s="1"/>
  <c r="J74" i="30"/>
  <c r="J83" i="30"/>
  <c r="J67" i="30"/>
  <c r="J85" i="30" s="1"/>
  <c r="H23" i="723"/>
  <c r="H22" i="723"/>
  <c r="H25" i="723"/>
  <c r="H23" i="724"/>
  <c r="H22" i="724"/>
  <c r="H25" i="724"/>
  <c r="H12" i="723"/>
  <c r="H11" i="723"/>
  <c r="H19" i="723"/>
  <c r="H33" i="723"/>
  <c r="H38" i="723"/>
  <c r="H12" i="724"/>
  <c r="H11" i="724"/>
  <c r="H19" i="724"/>
  <c r="H33" i="724"/>
  <c r="H38" i="724"/>
  <c r="T68" i="29"/>
  <c r="Z99" i="114" s="1"/>
  <c r="J103" i="30"/>
  <c r="AF52" i="29"/>
  <c r="AF55" i="29" s="1"/>
  <c r="AO86" i="114"/>
  <c r="V16" i="725"/>
  <c r="AK8" i="725"/>
  <c r="AK105" i="725" s="1"/>
  <c r="T46" i="725"/>
  <c r="T55" i="725" s="1"/>
  <c r="T39" i="725"/>
  <c r="W78" i="114"/>
  <c r="W83" i="114"/>
  <c r="H23" i="598"/>
  <c r="H22" i="598"/>
  <c r="H25" i="598"/>
  <c r="H22" i="31"/>
  <c r="H21" i="3" s="1"/>
  <c r="H20" i="3" s="1"/>
  <c r="H23" i="31"/>
  <c r="H25" i="31"/>
  <c r="H23" i="597"/>
  <c r="H22" i="597"/>
  <c r="H25" i="597"/>
  <c r="H11" i="31"/>
  <c r="H12" i="31"/>
  <c r="H19" i="31"/>
  <c r="H33" i="31"/>
  <c r="H38" i="31"/>
  <c r="H11" i="598"/>
  <c r="H12" i="598"/>
  <c r="H19" i="598"/>
  <c r="H33" i="598"/>
  <c r="H38" i="598"/>
  <c r="H11" i="597"/>
  <c r="H12" i="597"/>
  <c r="H19" i="597"/>
  <c r="H33" i="597"/>
  <c r="H38" i="597"/>
  <c r="U296" i="29"/>
  <c r="U311" i="29"/>
  <c r="S153" i="29"/>
  <c r="S163" i="29" s="1"/>
  <c r="Z52" i="114"/>
  <c r="T151" i="29"/>
  <c r="T110" i="29"/>
  <c r="T111" i="29" s="1"/>
  <c r="T112" i="29" s="1"/>
  <c r="T9" i="29"/>
  <c r="T10" i="29" s="1"/>
  <c r="T37" i="29"/>
  <c r="Z54" i="114"/>
  <c r="T21" i="29"/>
  <c r="T18" i="29"/>
  <c r="S162" i="29"/>
  <c r="Z98" i="114"/>
  <c r="T69" i="29"/>
  <c r="V100" i="30"/>
  <c r="V73" i="30"/>
  <c r="V91" i="30"/>
  <c r="V67" i="30"/>
  <c r="V74" i="30"/>
  <c r="K93" i="2"/>
  <c r="K94" i="2"/>
  <c r="K33" i="30"/>
  <c r="K32" i="30" s="1"/>
  <c r="K107" i="30" s="1"/>
  <c r="AO100" i="114"/>
  <c r="AO53" i="114"/>
  <c r="AO59" i="114"/>
  <c r="AO69" i="114" s="1"/>
  <c r="AO60" i="114"/>
  <c r="AO106" i="114"/>
  <c r="AO74" i="114"/>
  <c r="Y13" i="114"/>
  <c r="Y26" i="114"/>
  <c r="Y32" i="114" s="1"/>
  <c r="Y20" i="114"/>
  <c r="AO14" i="114"/>
  <c r="AF152" i="29"/>
  <c r="AF156" i="29"/>
  <c r="AF161" i="29"/>
  <c r="R23" i="719"/>
  <c r="R39" i="719"/>
  <c r="K12" i="30"/>
  <c r="K18" i="30" s="1"/>
  <c r="AF111" i="29"/>
  <c r="AF112" i="29" s="1"/>
  <c r="R24" i="719"/>
  <c r="R40" i="719"/>
  <c r="AO72" i="114"/>
  <c r="AO57" i="114"/>
  <c r="AO67" i="114" s="1"/>
  <c r="Y58" i="114"/>
  <c r="Y68" i="114" s="1"/>
  <c r="Y73" i="114"/>
  <c r="K38" i="2"/>
  <c r="K121" i="2" s="1"/>
  <c r="K122" i="2"/>
  <c r="K122" i="30" s="1"/>
  <c r="K116" i="2"/>
  <c r="K127" i="2"/>
  <c r="K117" i="2"/>
  <c r="V126" i="30"/>
  <c r="C45" i="714"/>
  <c r="C49" i="714" s="1"/>
  <c r="D67" i="714"/>
  <c r="C46" i="714" s="1"/>
  <c r="C50" i="714" s="1"/>
  <c r="C52" i="713"/>
  <c r="C56" i="713" s="1"/>
  <c r="D74" i="713"/>
  <c r="C53" i="713" s="1"/>
  <c r="C57" i="713" s="1"/>
  <c r="S37" i="29"/>
  <c r="AF37" i="29" s="1"/>
  <c r="S18" i="29"/>
  <c r="H37" i="3"/>
  <c r="H32" i="3"/>
  <c r="K36" i="2"/>
  <c r="K34" i="2"/>
  <c r="K35" i="2" s="1"/>
  <c r="V128" i="30"/>
  <c r="V127" i="30"/>
  <c r="C38" i="713"/>
  <c r="C44" i="713" s="1"/>
  <c r="C50" i="713" s="1"/>
  <c r="C36" i="713"/>
  <c r="C31" i="714"/>
  <c r="C37" i="714" s="1"/>
  <c r="C43" i="714" s="1"/>
  <c r="C29" i="714"/>
  <c r="V12" i="30"/>
  <c r="V18" i="30" s="1"/>
  <c r="V19" i="30"/>
  <c r="V20" i="30"/>
  <c r="U313" i="29"/>
  <c r="V92" i="30" l="1"/>
  <c r="V83" i="30"/>
  <c r="J76" i="30"/>
  <c r="J94" i="30"/>
  <c r="AN88" i="114"/>
  <c r="AF58" i="29"/>
  <c r="AY83" i="114"/>
  <c r="AY82" i="114" s="1"/>
  <c r="AY87" i="114" s="1"/>
  <c r="H28" i="724"/>
  <c r="H29" i="724"/>
  <c r="H26" i="724"/>
  <c r="H27" i="724"/>
  <c r="H46" i="724"/>
  <c r="H27" i="723"/>
  <c r="H28" i="723"/>
  <c r="H26" i="723"/>
  <c r="H29" i="723"/>
  <c r="H46" i="723"/>
  <c r="U8" i="29"/>
  <c r="V310" i="29"/>
  <c r="W62" i="725"/>
  <c r="Z76" i="114"/>
  <c r="AF153" i="29"/>
  <c r="AF158" i="29" s="1"/>
  <c r="T152" i="29"/>
  <c r="T162" i="29" s="1"/>
  <c r="U116" i="29"/>
  <c r="K110" i="30"/>
  <c r="Z81" i="114"/>
  <c r="W8" i="725"/>
  <c r="AK16" i="725"/>
  <c r="AK93" i="725"/>
  <c r="AK69" i="725"/>
  <c r="AK117" i="725"/>
  <c r="AT8" i="725"/>
  <c r="AT105" i="725" s="1"/>
  <c r="W82" i="114"/>
  <c r="W87" i="114" s="1"/>
  <c r="W88" i="114"/>
  <c r="H27" i="597"/>
  <c r="H26" i="597"/>
  <c r="H46" i="597"/>
  <c r="H28" i="597"/>
  <c r="H29" i="597"/>
  <c r="H26" i="31"/>
  <c r="H28" i="31"/>
  <c r="H46" i="31"/>
  <c r="H27" i="31"/>
  <c r="H29" i="31"/>
  <c r="H27" i="598"/>
  <c r="H46" i="598"/>
  <c r="H26" i="598"/>
  <c r="H29" i="598"/>
  <c r="H28" i="598"/>
  <c r="AF38" i="29"/>
  <c r="U297" i="29"/>
  <c r="V296" i="29" s="1"/>
  <c r="V297" i="29" s="1"/>
  <c r="S158" i="29"/>
  <c r="U318" i="29"/>
  <c r="U299" i="29"/>
  <c r="U300" i="29" s="1"/>
  <c r="Z100" i="114"/>
  <c r="T27" i="29"/>
  <c r="T19" i="29"/>
  <c r="Z53" i="114"/>
  <c r="Z60" i="114"/>
  <c r="AD60" i="114" s="1"/>
  <c r="Z59" i="114"/>
  <c r="Z69" i="114" s="1"/>
  <c r="Z74" i="114"/>
  <c r="T156" i="29"/>
  <c r="T161" i="29"/>
  <c r="Z14" i="114"/>
  <c r="Z57" i="114"/>
  <c r="Z67" i="114" s="1"/>
  <c r="Z72" i="114"/>
  <c r="K93" i="30"/>
  <c r="AH33" i="30"/>
  <c r="AH34" i="30" s="1"/>
  <c r="V94" i="30"/>
  <c r="V103" i="30"/>
  <c r="V76" i="30"/>
  <c r="V85" i="30"/>
  <c r="K120" i="30"/>
  <c r="AO58" i="114"/>
  <c r="AO68" i="114" s="1"/>
  <c r="AO73" i="114"/>
  <c r="AF157" i="29"/>
  <c r="AF162" i="29"/>
  <c r="K89" i="30"/>
  <c r="K88" i="30"/>
  <c r="K90" i="30"/>
  <c r="K116" i="30"/>
  <c r="K34" i="30"/>
  <c r="Y339" i="726" s="1"/>
  <c r="K36" i="30"/>
  <c r="J189" i="30"/>
  <c r="AO26" i="114"/>
  <c r="AO32" i="114" s="1"/>
  <c r="AO13" i="114"/>
  <c r="AO20" i="114"/>
  <c r="K27" i="30"/>
  <c r="Y25" i="114"/>
  <c r="Y31" i="114" s="1"/>
  <c r="Y19" i="114"/>
  <c r="S19" i="29"/>
  <c r="S27" i="29"/>
  <c r="K91" i="2"/>
  <c r="K100" i="2"/>
  <c r="K82" i="2"/>
  <c r="K73" i="2"/>
  <c r="K98" i="2"/>
  <c r="K80" i="2"/>
  <c r="K89" i="2"/>
  <c r="K71" i="2"/>
  <c r="K41" i="2"/>
  <c r="K42" i="2" s="1"/>
  <c r="K43" i="2"/>
  <c r="K44" i="2"/>
  <c r="K44" i="30" s="1"/>
  <c r="K81" i="2"/>
  <c r="K72" i="2"/>
  <c r="K99" i="2"/>
  <c r="K90" i="2"/>
  <c r="H22" i="3"/>
  <c r="H24" i="3"/>
  <c r="AY88" i="114" l="1"/>
  <c r="AF163" i="29"/>
  <c r="T153" i="29"/>
  <c r="T158" i="29" s="1"/>
  <c r="T157" i="29"/>
  <c r="H47" i="724"/>
  <c r="H69" i="724"/>
  <c r="H94" i="724" s="1"/>
  <c r="H52" i="724"/>
  <c r="H47" i="723"/>
  <c r="H69" i="723"/>
  <c r="H94" i="723" s="1"/>
  <c r="H52" i="723"/>
  <c r="V311" i="29"/>
  <c r="AA52" i="114"/>
  <c r="U9" i="29"/>
  <c r="U10" i="29" s="1"/>
  <c r="K38" i="30"/>
  <c r="Y338" i="726"/>
  <c r="K121" i="30"/>
  <c r="W16" i="725"/>
  <c r="AT16" i="725"/>
  <c r="AT93" i="725"/>
  <c r="AT69" i="725"/>
  <c r="AT117" i="725"/>
  <c r="H47" i="598"/>
  <c r="H69" i="598"/>
  <c r="H94" i="598" s="1"/>
  <c r="H52" i="598"/>
  <c r="H47" i="31"/>
  <c r="H69" i="31"/>
  <c r="H94" i="31" s="1"/>
  <c r="H52" i="31"/>
  <c r="H47" i="597"/>
  <c r="H69" i="597"/>
  <c r="H52" i="597"/>
  <c r="Z13" i="114"/>
  <c r="Z26" i="114"/>
  <c r="Z32" i="114" s="1"/>
  <c r="Z20" i="114"/>
  <c r="Z58" i="114"/>
  <c r="Z68" i="114" s="1"/>
  <c r="Z73" i="114"/>
  <c r="K125" i="30"/>
  <c r="K141" i="30"/>
  <c r="K144" i="30" s="1"/>
  <c r="K147" i="30" s="1"/>
  <c r="K35" i="30"/>
  <c r="AO25" i="114"/>
  <c r="AO31" i="114" s="1"/>
  <c r="AO19" i="114"/>
  <c r="J190" i="30"/>
  <c r="J191" i="30"/>
  <c r="K28" i="30"/>
  <c r="K29" i="30" s="1"/>
  <c r="K13" i="30"/>
  <c r="B8" i="727" s="1"/>
  <c r="K30" i="30"/>
  <c r="K105" i="30" s="1"/>
  <c r="K40" i="30"/>
  <c r="S9" i="29"/>
  <c r="S10" i="29" s="1"/>
  <c r="S21" i="29"/>
  <c r="I31" i="31"/>
  <c r="K83" i="2"/>
  <c r="K92" i="2"/>
  <c r="K101" i="2"/>
  <c r="K74" i="2"/>
  <c r="H27" i="3"/>
  <c r="H28" i="3"/>
  <c r="H40" i="3"/>
  <c r="H26" i="3"/>
  <c r="H25" i="3"/>
  <c r="V313" i="29"/>
  <c r="T163" i="29" l="1"/>
  <c r="H96" i="724"/>
  <c r="H96" i="723"/>
  <c r="V299" i="29"/>
  <c r="V300" i="29" s="1"/>
  <c r="V318" i="29"/>
  <c r="AA14" i="114"/>
  <c r="AA57" i="114"/>
  <c r="AA67" i="114" s="1"/>
  <c r="AA72" i="114"/>
  <c r="AK23" i="725"/>
  <c r="AK46" i="725" s="1"/>
  <c r="AK55" i="725" s="1"/>
  <c r="AK81" i="725"/>
  <c r="AT74" i="725"/>
  <c r="AT81" i="725" s="1"/>
  <c r="H96" i="31"/>
  <c r="H96" i="598"/>
  <c r="H94" i="597"/>
  <c r="K97" i="30"/>
  <c r="K111" i="30"/>
  <c r="Z25" i="114"/>
  <c r="Z31" i="114" s="1"/>
  <c r="Z19" i="114"/>
  <c r="J193" i="30"/>
  <c r="J194" i="30" s="1"/>
  <c r="AH125" i="30"/>
  <c r="AH126" i="30" s="1"/>
  <c r="K127" i="30"/>
  <c r="K126" i="30"/>
  <c r="K64" i="30"/>
  <c r="K102" i="30"/>
  <c r="K20" i="30"/>
  <c r="K19" i="30"/>
  <c r="AO76" i="114"/>
  <c r="Y76" i="114" s="1"/>
  <c r="K98" i="30"/>
  <c r="K118" i="30"/>
  <c r="K123" i="30"/>
  <c r="K41" i="30"/>
  <c r="K42" i="30" s="1"/>
  <c r="K43" i="30"/>
  <c r="K99" i="30"/>
  <c r="K128" i="30"/>
  <c r="L172" i="2"/>
  <c r="L173" i="2" s="1"/>
  <c r="K97" i="2"/>
  <c r="K70" i="2"/>
  <c r="K79" i="2"/>
  <c r="K88" i="2"/>
  <c r="H41" i="3"/>
  <c r="H44" i="3"/>
  <c r="AT23" i="725" l="1"/>
  <c r="AK39" i="725"/>
  <c r="AK32" i="725"/>
  <c r="AA13" i="114"/>
  <c r="AA26" i="114"/>
  <c r="AA32" i="114" s="1"/>
  <c r="AP14" i="114"/>
  <c r="AA20" i="114"/>
  <c r="K100" i="30"/>
  <c r="V23" i="725"/>
  <c r="V39" i="725" s="1"/>
  <c r="Y77" i="114"/>
  <c r="W130" i="2"/>
  <c r="AL98" i="725"/>
  <c r="AT32" i="725"/>
  <c r="AT39" i="725"/>
  <c r="Y78" i="114"/>
  <c r="Y83" i="114"/>
  <c r="H97" i="597"/>
  <c r="K82" i="30"/>
  <c r="K73" i="30"/>
  <c r="K91" i="30"/>
  <c r="K65" i="30"/>
  <c r="M130" i="30"/>
  <c r="N130" i="30" s="1"/>
  <c r="N130" i="2" s="1"/>
  <c r="AO78" i="114"/>
  <c r="AO107" i="114"/>
  <c r="AO77" i="114"/>
  <c r="AO101" i="114"/>
  <c r="H46" i="3"/>
  <c r="H47" i="3" s="1"/>
  <c r="W120" i="2"/>
  <c r="W141" i="2" s="1"/>
  <c r="AP20" i="114" l="1"/>
  <c r="L27" i="30"/>
  <c r="AP26" i="114"/>
  <c r="AP32" i="114" s="1"/>
  <c r="AP13" i="114"/>
  <c r="AA25" i="114"/>
  <c r="AA31" i="114" s="1"/>
  <c r="AA19" i="114"/>
  <c r="V32" i="725"/>
  <c r="V46" i="725"/>
  <c r="V55" i="725" s="1"/>
  <c r="M130" i="2"/>
  <c r="X130" i="2" s="1"/>
  <c r="AT46" i="725"/>
  <c r="AT55" i="725" s="1"/>
  <c r="Y82" i="114"/>
  <c r="Y87" i="114" s="1"/>
  <c r="Y88" i="114"/>
  <c r="K101" i="30"/>
  <c r="AO83" i="114"/>
  <c r="K67" i="30"/>
  <c r="K74" i="30"/>
  <c r="K92" i="30"/>
  <c r="K83" i="30"/>
  <c r="H49" i="3"/>
  <c r="L28" i="30" l="1"/>
  <c r="L29" i="30" s="1"/>
  <c r="W27" i="30"/>
  <c r="L30" i="30"/>
  <c r="L13" i="30"/>
  <c r="AP25" i="114"/>
  <c r="AP31" i="114" s="1"/>
  <c r="AP19" i="114"/>
  <c r="K76" i="30"/>
  <c r="AO82" i="114"/>
  <c r="AO87" i="114" s="1"/>
  <c r="AO88" i="114"/>
  <c r="K94" i="30"/>
  <c r="K103" i="30"/>
  <c r="K85" i="30"/>
  <c r="H52" i="3"/>
  <c r="H50" i="3"/>
  <c r="L20" i="30" l="1"/>
  <c r="L19" i="30"/>
  <c r="H62" i="3"/>
  <c r="H71" i="3"/>
  <c r="H64" i="3"/>
  <c r="H63" i="3"/>
  <c r="H57" i="3"/>
  <c r="H84" i="3" s="1"/>
  <c r="H53" i="3"/>
  <c r="R13" i="719" l="1"/>
  <c r="R45" i="719" l="1"/>
  <c r="R74" i="719"/>
  <c r="R85" i="719" l="1"/>
  <c r="R86" i="719" s="1"/>
  <c r="R79" i="719"/>
  <c r="R80" i="719" s="1"/>
  <c r="AB52" i="114" l="1"/>
  <c r="AB57" i="114" l="1"/>
  <c r="AB67" i="114" s="1"/>
  <c r="AB54" i="114"/>
  <c r="AB14" i="114"/>
  <c r="AC52" i="114"/>
  <c r="AP52" i="114"/>
  <c r="AC54" i="114" l="1"/>
  <c r="AQ54" i="114" s="1"/>
  <c r="AQ103" i="114" s="1"/>
  <c r="AD52" i="114"/>
  <c r="AC57" i="114"/>
  <c r="AC67" i="114" s="1"/>
  <c r="AC14" i="114"/>
  <c r="AQ14" i="114" s="1"/>
  <c r="M27" i="30" s="1"/>
  <c r="AB26" i="114"/>
  <c r="AB32" i="114" s="1"/>
  <c r="AB59" i="114"/>
  <c r="AB69" i="114" s="1"/>
  <c r="AB53" i="114"/>
  <c r="AQ52" i="114"/>
  <c r="AB20" i="114"/>
  <c r="W113" i="2"/>
  <c r="AL74" i="725"/>
  <c r="W113" i="30"/>
  <c r="AZ52" i="114"/>
  <c r="AP57" i="114"/>
  <c r="AP67" i="114" s="1"/>
  <c r="AP72" i="114"/>
  <c r="U151" i="29" l="1"/>
  <c r="AG8" i="29"/>
  <c r="AG9" i="29" s="1"/>
  <c r="AG10" i="29" s="1"/>
  <c r="U110" i="29"/>
  <c r="U111" i="29" s="1"/>
  <c r="U112" i="29" s="1"/>
  <c r="M33" i="30"/>
  <c r="M13" i="30"/>
  <c r="M27" i="2" s="1"/>
  <c r="M13" i="2" s="1"/>
  <c r="M28" i="30"/>
  <c r="M29" i="30" s="1"/>
  <c r="AB58" i="114"/>
  <c r="AB68" i="114" s="1"/>
  <c r="AQ60" i="114"/>
  <c r="AQ59" i="114"/>
  <c r="AQ69" i="114" s="1"/>
  <c r="AQ26" i="114"/>
  <c r="AQ32" i="114" s="1"/>
  <c r="AQ20" i="114"/>
  <c r="AD54" i="114"/>
  <c r="AD57" i="114"/>
  <c r="AD67" i="114" s="1"/>
  <c r="AD14" i="114"/>
  <c r="AG9" i="1"/>
  <c r="AG10" i="1" s="1"/>
  <c r="AQ57" i="114"/>
  <c r="AQ67" i="114" s="1"/>
  <c r="AQ72" i="114"/>
  <c r="AC26" i="114"/>
  <c r="AC32" i="114" s="1"/>
  <c r="AC20" i="114"/>
  <c r="AC53" i="114"/>
  <c r="AC74" i="114"/>
  <c r="AC59" i="114"/>
  <c r="AC69" i="114" s="1"/>
  <c r="AZ57" i="114"/>
  <c r="AZ67" i="114" s="1"/>
  <c r="AZ72" i="114"/>
  <c r="AZ14" i="114"/>
  <c r="M30" i="30"/>
  <c r="W63" i="30"/>
  <c r="W62" i="30"/>
  <c r="M20" i="2" l="1"/>
  <c r="M19" i="2"/>
  <c r="AP8" i="29"/>
  <c r="AP9" i="29" s="1"/>
  <c r="AP10" i="29" s="1"/>
  <c r="M30" i="2"/>
  <c r="M28" i="2"/>
  <c r="M29" i="2" s="1"/>
  <c r="U156" i="29"/>
  <c r="U161" i="29"/>
  <c r="AG151" i="29"/>
  <c r="AG152" i="29" s="1"/>
  <c r="U152" i="29"/>
  <c r="AG110" i="29"/>
  <c r="M19" i="30"/>
  <c r="M64" i="30"/>
  <c r="M64" i="2" s="1"/>
  <c r="M63" i="30"/>
  <c r="M63" i="2" s="1"/>
  <c r="M62" i="30"/>
  <c r="M62" i="2" s="1"/>
  <c r="M34" i="30"/>
  <c r="M35" i="30" s="1"/>
  <c r="M38" i="30"/>
  <c r="M93" i="30"/>
  <c r="M113" i="30"/>
  <c r="M113" i="2" s="1"/>
  <c r="M120" i="30"/>
  <c r="M33" i="2"/>
  <c r="M38" i="2" s="1"/>
  <c r="M114" i="30"/>
  <c r="AD20" i="114"/>
  <c r="AD26" i="114"/>
  <c r="AD32" i="114" s="1"/>
  <c r="AD53" i="114"/>
  <c r="AD74" i="114"/>
  <c r="AD59" i="114"/>
  <c r="AD69" i="114" s="1"/>
  <c r="AC58" i="114"/>
  <c r="AC68" i="114" s="1"/>
  <c r="AC73" i="114"/>
  <c r="AQ53" i="114"/>
  <c r="U9" i="1"/>
  <c r="U10" i="1" s="1"/>
  <c r="W27" i="2"/>
  <c r="W30" i="2" s="1"/>
  <c r="I53" i="31"/>
  <c r="I53" i="598"/>
  <c r="M147" i="30"/>
  <c r="AZ20" i="114"/>
  <c r="AZ26" i="114"/>
  <c r="AZ32" i="114" s="1"/>
  <c r="W40" i="2"/>
  <c r="W80" i="30"/>
  <c r="W71" i="30"/>
  <c r="W148" i="2"/>
  <c r="W167" i="2" s="1"/>
  <c r="W62" i="2"/>
  <c r="W165" i="30"/>
  <c r="W63" i="2"/>
  <c r="W72" i="30"/>
  <c r="W81" i="30"/>
  <c r="M147" i="2" l="1"/>
  <c r="AQ104" i="114"/>
  <c r="AQ105" i="114" s="1"/>
  <c r="M114" i="2"/>
  <c r="M73" i="2"/>
  <c r="M80" i="2"/>
  <c r="M71" i="2"/>
  <c r="AP151" i="29"/>
  <c r="AP161" i="29" s="1"/>
  <c r="M81" i="2"/>
  <c r="M72" i="2"/>
  <c r="M91" i="2"/>
  <c r="M90" i="2"/>
  <c r="M89" i="2"/>
  <c r="M93" i="2"/>
  <c r="AG111" i="29"/>
  <c r="AG112" i="29" s="1"/>
  <c r="L12" i="30"/>
  <c r="L18" i="30" s="1"/>
  <c r="AG153" i="29"/>
  <c r="AG157" i="29"/>
  <c r="AG162" i="29"/>
  <c r="U157" i="29"/>
  <c r="U162" i="29"/>
  <c r="U153" i="29"/>
  <c r="AG156" i="29"/>
  <c r="AG161" i="29"/>
  <c r="AQ106" i="114"/>
  <c r="M34" i="2"/>
  <c r="M35" i="2" s="1"/>
  <c r="M108" i="30"/>
  <c r="M108" i="2" s="1"/>
  <c r="M141" i="30"/>
  <c r="M121" i="30"/>
  <c r="M120" i="2"/>
  <c r="M71" i="30"/>
  <c r="M80" i="30"/>
  <c r="M73" i="30"/>
  <c r="M140" i="30"/>
  <c r="M125" i="30"/>
  <c r="M115" i="30"/>
  <c r="M131" i="30"/>
  <c r="M72" i="30"/>
  <c r="M81" i="30"/>
  <c r="M20" i="30"/>
  <c r="W28" i="2"/>
  <c r="W29" i="2" s="1"/>
  <c r="AQ58" i="114"/>
  <c r="AQ68" i="114" s="1"/>
  <c r="AD73" i="114"/>
  <c r="AD58" i="114"/>
  <c r="AD68" i="114" s="1"/>
  <c r="AP9" i="1"/>
  <c r="AP10" i="1" s="1"/>
  <c r="W102" i="2"/>
  <c r="W28" i="30"/>
  <c r="W29" i="30" s="1"/>
  <c r="W30" i="30"/>
  <c r="W13" i="30"/>
  <c r="W12" i="30" s="1"/>
  <c r="W151" i="2"/>
  <c r="W157" i="2"/>
  <c r="W157" i="30"/>
  <c r="W123" i="2"/>
  <c r="W41" i="2"/>
  <c r="W42" i="2" s="1"/>
  <c r="W163" i="2"/>
  <c r="W43" i="2"/>
  <c r="W80" i="2"/>
  <c r="W98" i="2"/>
  <c r="W71" i="2"/>
  <c r="W99" i="2"/>
  <c r="W72" i="2"/>
  <c r="W81" i="2"/>
  <c r="I55" i="723" l="1"/>
  <c r="I55" i="724"/>
  <c r="AP156" i="29"/>
  <c r="AP152" i="29"/>
  <c r="AP153" i="29" s="1"/>
  <c r="AP163" i="29" s="1"/>
  <c r="M117" i="2"/>
  <c r="M116" i="2"/>
  <c r="M115" i="2"/>
  <c r="M109" i="2"/>
  <c r="M111" i="2" s="1"/>
  <c r="M110" i="2"/>
  <c r="AQ98" i="114"/>
  <c r="AQ99" i="114" s="1"/>
  <c r="I55" i="31"/>
  <c r="I55" i="597"/>
  <c r="U158" i="29"/>
  <c r="U163" i="29"/>
  <c r="AG158" i="29"/>
  <c r="AG163" i="29"/>
  <c r="M127" i="30"/>
  <c r="M126" i="30"/>
  <c r="M133" i="30"/>
  <c r="M131" i="2"/>
  <c r="M122" i="2"/>
  <c r="M141" i="2"/>
  <c r="M121" i="2"/>
  <c r="M140" i="2"/>
  <c r="M125" i="2"/>
  <c r="M110" i="30"/>
  <c r="M109" i="30"/>
  <c r="W13" i="2"/>
  <c r="I55" i="598"/>
  <c r="W19" i="30"/>
  <c r="W20" i="30"/>
  <c r="AP157" i="29" l="1"/>
  <c r="AP162" i="29"/>
  <c r="AP158" i="29"/>
  <c r="AQ100" i="114"/>
  <c r="M127" i="2"/>
  <c r="M126" i="2"/>
  <c r="M134" i="30"/>
  <c r="M135" i="30" s="1"/>
  <c r="M135" i="2" s="1"/>
  <c r="M133" i="2"/>
  <c r="W11" i="2"/>
  <c r="W19" i="2"/>
  <c r="W20" i="2"/>
  <c r="M143" i="30" l="1"/>
  <c r="M144" i="30" s="1"/>
  <c r="M148" i="30" s="1"/>
  <c r="M157" i="30" s="1"/>
  <c r="M134" i="2"/>
  <c r="W17" i="2"/>
  <c r="M148" i="2" l="1"/>
  <c r="M143" i="2"/>
  <c r="M144" i="2" s="1"/>
  <c r="AP81" i="114" l="1"/>
  <c r="W61" i="30"/>
  <c r="AZ81" i="114" s="1"/>
  <c r="AA81" i="114" l="1"/>
  <c r="W61" i="2"/>
  <c r="W79" i="30"/>
  <c r="W70" i="30"/>
  <c r="W97" i="2" l="1"/>
  <c r="W79" i="2"/>
  <c r="W70" i="2"/>
  <c r="I91" i="598" l="1"/>
  <c r="M40" i="30" l="1"/>
  <c r="M41" i="30" l="1"/>
  <c r="M42" i="30" s="1"/>
  <c r="AQ76" i="114"/>
  <c r="M111" i="30"/>
  <c r="M67" i="30"/>
  <c r="M100" i="30"/>
  <c r="M128" i="30"/>
  <c r="M99" i="30"/>
  <c r="M98" i="30"/>
  <c r="M102" i="30"/>
  <c r="M123" i="30"/>
  <c r="M40" i="2"/>
  <c r="M118" i="30"/>
  <c r="M118" i="2" l="1"/>
  <c r="M128" i="2"/>
  <c r="M100" i="2"/>
  <c r="M102" i="2"/>
  <c r="M98" i="2"/>
  <c r="M99" i="2"/>
  <c r="AQ107" i="114"/>
  <c r="AQ101" i="114"/>
  <c r="AQ77" i="114"/>
  <c r="AQ78" i="114"/>
  <c r="M103" i="30"/>
  <c r="M65" i="30"/>
  <c r="AQ83" i="114" s="1"/>
  <c r="M94" i="30"/>
  <c r="M76" i="30"/>
  <c r="M41" i="2"/>
  <c r="M42" i="2" s="1"/>
  <c r="M123" i="2"/>
  <c r="M43" i="2"/>
  <c r="M44" i="2"/>
  <c r="AQ88" i="114" l="1"/>
  <c r="M101" i="30"/>
  <c r="M61" i="30"/>
  <c r="M92" i="30"/>
  <c r="M74" i="30"/>
  <c r="M65" i="2"/>
  <c r="AQ81" i="114" l="1"/>
  <c r="AQ86" i="114" s="1"/>
  <c r="M61" i="2"/>
  <c r="M74" i="2"/>
  <c r="M67" i="2"/>
  <c r="M101" i="2"/>
  <c r="M92" i="2"/>
  <c r="M88" i="30"/>
  <c r="M97" i="30"/>
  <c r="M70" i="30"/>
  <c r="M79" i="30"/>
  <c r="AQ82" i="114" l="1"/>
  <c r="AQ87" i="114" s="1"/>
  <c r="M79" i="2"/>
  <c r="M70" i="2"/>
  <c r="M88" i="2"/>
  <c r="M97" i="2"/>
  <c r="M76" i="2"/>
  <c r="M94" i="2"/>
  <c r="M103" i="2"/>
  <c r="AP21" i="1" l="1"/>
  <c r="AP18" i="1"/>
  <c r="AP19" i="1" s="1"/>
  <c r="AG17" i="1"/>
  <c r="L33" i="2" s="1"/>
  <c r="L90" i="2" l="1"/>
  <c r="L38" i="2"/>
  <c r="L121" i="2" s="1"/>
  <c r="L44" i="2"/>
  <c r="L44" i="30" s="1"/>
  <c r="L93" i="2"/>
  <c r="L88" i="2"/>
  <c r="L122" i="2"/>
  <c r="L122" i="30" s="1"/>
  <c r="L89" i="2"/>
  <c r="L34" i="2"/>
  <c r="L35" i="2" s="1"/>
  <c r="L36" i="2"/>
  <c r="W165" i="2"/>
  <c r="W166" i="2"/>
  <c r="W33" i="2"/>
  <c r="W38" i="2" s="1"/>
  <c r="M36" i="2"/>
  <c r="X165" i="2"/>
  <c r="X166" i="2"/>
  <c r="AG40" i="1"/>
  <c r="AG40" i="29" s="1"/>
  <c r="AG27" i="1"/>
  <c r="AG30" i="1"/>
  <c r="U17" i="1"/>
  <c r="U17" i="29" s="1"/>
  <c r="AG32" i="1"/>
  <c r="AG32" i="29" s="1"/>
  <c r="AG21" i="1"/>
  <c r="AG18" i="1"/>
  <c r="AG19" i="1" s="1"/>
  <c r="AP68" i="1"/>
  <c r="AG67" i="1"/>
  <c r="L108" i="2" s="1"/>
  <c r="AP69" i="1"/>
  <c r="L111" i="2" l="1"/>
  <c r="L109" i="2"/>
  <c r="W108" i="2"/>
  <c r="L110" i="2"/>
  <c r="W93" i="2"/>
  <c r="W36" i="2"/>
  <c r="W162" i="2"/>
  <c r="W34" i="2"/>
  <c r="W35" i="2" s="1"/>
  <c r="W122" i="2"/>
  <c r="W44" i="2"/>
  <c r="W89" i="2"/>
  <c r="W90" i="2"/>
  <c r="W88" i="2"/>
  <c r="U21" i="29"/>
  <c r="AA54" i="114"/>
  <c r="U18" i="29"/>
  <c r="U37" i="29"/>
  <c r="AG37" i="29" s="1"/>
  <c r="AP37" i="29" s="1"/>
  <c r="AG17" i="29"/>
  <c r="AG33" i="29" s="1"/>
  <c r="AG34" i="29" s="1"/>
  <c r="U67" i="1"/>
  <c r="U69" i="1" s="1"/>
  <c r="AG77" i="1"/>
  <c r="L114" i="2" s="1"/>
  <c r="U18" i="1"/>
  <c r="U37" i="1"/>
  <c r="U21" i="1"/>
  <c r="AG31" i="1"/>
  <c r="AG31" i="29" s="1"/>
  <c r="AG30" i="29"/>
  <c r="AG69" i="1"/>
  <c r="AG68" i="1"/>
  <c r="W109" i="2" l="1"/>
  <c r="W111" i="2"/>
  <c r="U68" i="1"/>
  <c r="U67" i="29"/>
  <c r="W110" i="2"/>
  <c r="L140" i="2"/>
  <c r="L131" i="2"/>
  <c r="L118" i="2"/>
  <c r="L114" i="30"/>
  <c r="L115" i="2"/>
  <c r="L64" i="2"/>
  <c r="W64" i="2" s="1"/>
  <c r="W114" i="2"/>
  <c r="L125" i="2"/>
  <c r="L117" i="2"/>
  <c r="L116" i="2"/>
  <c r="U19" i="29"/>
  <c r="U27" i="29"/>
  <c r="AA53" i="114"/>
  <c r="AA60" i="114"/>
  <c r="AE60" i="114" s="1"/>
  <c r="AA59" i="114"/>
  <c r="AA69" i="114" s="1"/>
  <c r="X8" i="725"/>
  <c r="AA74" i="114"/>
  <c r="AP54" i="114"/>
  <c r="AB74" i="114"/>
  <c r="AA86" i="114"/>
  <c r="AG27" i="29"/>
  <c r="AG18" i="29"/>
  <c r="AG19" i="29" s="1"/>
  <c r="AP17" i="29"/>
  <c r="AG21" i="29"/>
  <c r="AG39" i="29"/>
  <c r="AG78" i="1"/>
  <c r="AG77" i="29"/>
  <c r="U27" i="1"/>
  <c r="U19" i="1"/>
  <c r="AA98" i="114" l="1"/>
  <c r="U68" i="29"/>
  <c r="AA99" i="114" s="1"/>
  <c r="AG67" i="29"/>
  <c r="U69" i="29"/>
  <c r="W140" i="2"/>
  <c r="W115" i="2"/>
  <c r="W118" i="2"/>
  <c r="W116" i="2"/>
  <c r="L73" i="2"/>
  <c r="L100" i="2"/>
  <c r="L65" i="2"/>
  <c r="L82" i="2"/>
  <c r="M82" i="2"/>
  <c r="L91" i="2"/>
  <c r="L131" i="30"/>
  <c r="L140" i="30"/>
  <c r="L115" i="30"/>
  <c r="W114" i="30"/>
  <c r="AL86" i="725"/>
  <c r="AP104" i="114"/>
  <c r="AP105" i="114" s="1"/>
  <c r="L133" i="2"/>
  <c r="W131" i="2"/>
  <c r="L126" i="2"/>
  <c r="W125" i="2"/>
  <c r="L128" i="2"/>
  <c r="L127" i="2"/>
  <c r="L33" i="30"/>
  <c r="AZ54" i="114"/>
  <c r="AP59" i="114"/>
  <c r="AP69" i="114" s="1"/>
  <c r="AP74" i="114"/>
  <c r="AP103" i="114"/>
  <c r="AP53" i="114"/>
  <c r="AP60" i="114"/>
  <c r="AQ74" i="114"/>
  <c r="AP86" i="114"/>
  <c r="AP18" i="29"/>
  <c r="AP19" i="29" s="1"/>
  <c r="AP33" i="29"/>
  <c r="AP34" i="29" s="1"/>
  <c r="AP27" i="29"/>
  <c r="AP21" i="29"/>
  <c r="AA58" i="114"/>
  <c r="AA68" i="114" s="1"/>
  <c r="AA73" i="114"/>
  <c r="AB73" i="114"/>
  <c r="X16" i="725"/>
  <c r="AL8" i="725"/>
  <c r="AG52" i="29"/>
  <c r="AP39" i="29"/>
  <c r="AP40" i="29" s="1"/>
  <c r="AG38" i="29"/>
  <c r="AP38" i="29" s="1"/>
  <c r="AP77" i="29"/>
  <c r="AP78" i="29" s="1"/>
  <c r="AG78" i="29"/>
  <c r="Z83" i="114"/>
  <c r="Z77" i="114"/>
  <c r="AP106" i="114" l="1"/>
  <c r="I15" i="724"/>
  <c r="I15" i="723"/>
  <c r="L108" i="30"/>
  <c r="AG69" i="29"/>
  <c r="AG68" i="29"/>
  <c r="AP67" i="29"/>
  <c r="AP98" i="114"/>
  <c r="X62" i="725"/>
  <c r="AA100" i="114"/>
  <c r="I15" i="31"/>
  <c r="I15" i="598"/>
  <c r="I15" i="597"/>
  <c r="W140" i="30"/>
  <c r="W115" i="30"/>
  <c r="AZ104" i="114"/>
  <c r="AZ105" i="114" s="1"/>
  <c r="W131" i="30"/>
  <c r="W133" i="30" s="1"/>
  <c r="L133" i="30"/>
  <c r="AL110" i="725"/>
  <c r="AL117" i="725" s="1"/>
  <c r="L134" i="2"/>
  <c r="L135" i="2" s="1"/>
  <c r="W133" i="2"/>
  <c r="W82" i="2"/>
  <c r="W73" i="2"/>
  <c r="W100" i="2"/>
  <c r="W91" i="2"/>
  <c r="L101" i="2"/>
  <c r="L83" i="2"/>
  <c r="L67" i="2"/>
  <c r="L74" i="2"/>
  <c r="W65" i="2"/>
  <c r="M83" i="2"/>
  <c r="L92" i="2"/>
  <c r="W126" i="2"/>
  <c r="W128" i="2"/>
  <c r="W127" i="2"/>
  <c r="AZ103" i="114"/>
  <c r="AZ74" i="114"/>
  <c r="AZ59" i="114"/>
  <c r="AZ69" i="114" s="1"/>
  <c r="AZ60" i="114"/>
  <c r="AZ86" i="114"/>
  <c r="AZ53" i="114"/>
  <c r="AP73" i="114"/>
  <c r="AP58" i="114"/>
  <c r="AP68" i="114" s="1"/>
  <c r="AQ73" i="114"/>
  <c r="AL16" i="725"/>
  <c r="AL93" i="725"/>
  <c r="AL105" i="725"/>
  <c r="AL81" i="725"/>
  <c r="AP52" i="29"/>
  <c r="AG55" i="29"/>
  <c r="AP55" i="29" s="1"/>
  <c r="AG58" i="29"/>
  <c r="AP58" i="29" s="1"/>
  <c r="L89" i="30"/>
  <c r="L34" i="30"/>
  <c r="L110" i="30"/>
  <c r="L116" i="30"/>
  <c r="Z338" i="726" s="1"/>
  <c r="L38" i="30"/>
  <c r="L93" i="30"/>
  <c r="W33" i="30"/>
  <c r="L88" i="30"/>
  <c r="L189" i="30"/>
  <c r="L191" i="30" s="1"/>
  <c r="L36" i="30"/>
  <c r="L90" i="30"/>
  <c r="K189" i="30"/>
  <c r="M36" i="30"/>
  <c r="AI33" i="30"/>
  <c r="AI34" i="30" s="1"/>
  <c r="L40" i="30"/>
  <c r="L120" i="30"/>
  <c r="Z88" i="114"/>
  <c r="Z82" i="114"/>
  <c r="Z87" i="114" s="1"/>
  <c r="W23" i="725"/>
  <c r="I35" i="723" l="1"/>
  <c r="I43" i="723"/>
  <c r="I49" i="723" s="1"/>
  <c r="I16" i="723"/>
  <c r="I56" i="723"/>
  <c r="I7" i="723"/>
  <c r="I18" i="723" s="1"/>
  <c r="I7" i="724"/>
  <c r="I17" i="724" s="1"/>
  <c r="I35" i="724"/>
  <c r="I16" i="724"/>
  <c r="I43" i="724"/>
  <c r="I49" i="724" s="1"/>
  <c r="I56" i="724"/>
  <c r="AZ98" i="114"/>
  <c r="AP99" i="114"/>
  <c r="AP100" i="114"/>
  <c r="AP68" i="29"/>
  <c r="AP69" i="29"/>
  <c r="L109" i="30"/>
  <c r="AL62" i="725"/>
  <c r="AL69" i="725" s="1"/>
  <c r="W108" i="30"/>
  <c r="W109" i="30" s="1"/>
  <c r="W135" i="2"/>
  <c r="W164" i="2" s="1"/>
  <c r="M172" i="2"/>
  <c r="M173" i="2" s="1"/>
  <c r="AZ106" i="114"/>
  <c r="I16" i="597"/>
  <c r="I35" i="597"/>
  <c r="I36" i="597" s="1"/>
  <c r="I43" i="597"/>
  <c r="I49" i="597" s="1"/>
  <c r="I56" i="597"/>
  <c r="I16" i="598"/>
  <c r="I35" i="598"/>
  <c r="I36" i="598" s="1"/>
  <c r="I43" i="598"/>
  <c r="I49" i="598" s="1"/>
  <c r="I56" i="598"/>
  <c r="L134" i="30"/>
  <c r="L143" i="30" s="1"/>
  <c r="W83" i="2"/>
  <c r="W74" i="2"/>
  <c r="W101" i="2"/>
  <c r="W92" i="2"/>
  <c r="L85" i="2"/>
  <c r="L103" i="2"/>
  <c r="L76" i="2"/>
  <c r="W67" i="2"/>
  <c r="M85" i="2"/>
  <c r="L94" i="2"/>
  <c r="L143" i="2"/>
  <c r="L144" i="2" s="1"/>
  <c r="W134" i="2"/>
  <c r="W143" i="2" s="1"/>
  <c r="W144" i="2" s="1"/>
  <c r="W134" i="30"/>
  <c r="W143" i="30" s="1"/>
  <c r="I16" i="31"/>
  <c r="I35" i="31"/>
  <c r="I36" i="31" s="1"/>
  <c r="I43" i="31"/>
  <c r="I49" i="31" s="1"/>
  <c r="I56" i="31"/>
  <c r="W93" i="30"/>
  <c r="I7" i="31"/>
  <c r="I7" i="597"/>
  <c r="W162" i="30"/>
  <c r="W36" i="30"/>
  <c r="W34" i="30"/>
  <c r="W35" i="30" s="1"/>
  <c r="W116" i="30"/>
  <c r="I7" i="598"/>
  <c r="W90" i="30"/>
  <c r="W89" i="30"/>
  <c r="W38" i="30"/>
  <c r="W88" i="30"/>
  <c r="K191" i="30"/>
  <c r="K190" i="30"/>
  <c r="L141" i="30"/>
  <c r="L121" i="30"/>
  <c r="W120" i="30"/>
  <c r="L125" i="30"/>
  <c r="L123" i="30"/>
  <c r="L111" i="30"/>
  <c r="W40" i="30"/>
  <c r="L98" i="30"/>
  <c r="L64" i="30"/>
  <c r="L43" i="30"/>
  <c r="L99" i="30"/>
  <c r="L102" i="30"/>
  <c r="L118" i="30"/>
  <c r="L41" i="30"/>
  <c r="L42" i="30" s="1"/>
  <c r="AP76" i="114"/>
  <c r="AL23" i="725"/>
  <c r="L97" i="30"/>
  <c r="M43" i="30"/>
  <c r="L35" i="30"/>
  <c r="Z339" i="726"/>
  <c r="AZ73" i="114"/>
  <c r="AZ58" i="114"/>
  <c r="AZ68" i="114" s="1"/>
  <c r="W32" i="725"/>
  <c r="W46" i="725"/>
  <c r="W55" i="725" s="1"/>
  <c r="W39" i="725"/>
  <c r="W135" i="30" l="1"/>
  <c r="W164" i="30" s="1"/>
  <c r="I17" i="723"/>
  <c r="I18" i="724"/>
  <c r="I50" i="724"/>
  <c r="I70" i="724"/>
  <c r="I37" i="724"/>
  <c r="I36" i="724"/>
  <c r="I21" i="724"/>
  <c r="I21" i="723"/>
  <c r="I50" i="723"/>
  <c r="I70" i="723"/>
  <c r="J7" i="724"/>
  <c r="K7" i="724" s="1"/>
  <c r="L7" i="724" s="1"/>
  <c r="M7" i="724" s="1"/>
  <c r="N7" i="724" s="1"/>
  <c r="O7" i="724" s="1"/>
  <c r="P7" i="724" s="1"/>
  <c r="I8" i="724"/>
  <c r="I74" i="724"/>
  <c r="I32" i="724"/>
  <c r="I10" i="723"/>
  <c r="I12" i="723" s="1"/>
  <c r="I10" i="724"/>
  <c r="I38" i="724" s="1"/>
  <c r="J7" i="723"/>
  <c r="K7" i="723" s="1"/>
  <c r="L7" i="723" s="1"/>
  <c r="M7" i="723" s="1"/>
  <c r="N7" i="723" s="1"/>
  <c r="O7" i="723" s="1"/>
  <c r="P7" i="723" s="1"/>
  <c r="I8" i="723"/>
  <c r="I74" i="723"/>
  <c r="I32" i="723"/>
  <c r="I36" i="723"/>
  <c r="I37" i="723"/>
  <c r="W110" i="30"/>
  <c r="AZ99" i="114"/>
  <c r="AZ100" i="114"/>
  <c r="I50" i="597"/>
  <c r="I70" i="597"/>
  <c r="I90" i="597"/>
  <c r="W103" i="2"/>
  <c r="W76" i="2"/>
  <c r="W85" i="2"/>
  <c r="W94" i="2"/>
  <c r="L144" i="30"/>
  <c r="I70" i="598"/>
  <c r="I50" i="598"/>
  <c r="I50" i="31"/>
  <c r="I70" i="31"/>
  <c r="L135" i="30"/>
  <c r="L128" i="30"/>
  <c r="L126" i="30"/>
  <c r="L127" i="30"/>
  <c r="AI125" i="30"/>
  <c r="AI126" i="30" s="1"/>
  <c r="I37" i="597"/>
  <c r="J7" i="597"/>
  <c r="I32" i="597"/>
  <c r="I18" i="597"/>
  <c r="I74" i="597"/>
  <c r="I8" i="597"/>
  <c r="I7" i="3"/>
  <c r="I17" i="597"/>
  <c r="W43" i="30"/>
  <c r="I10" i="597"/>
  <c r="W102" i="30"/>
  <c r="W163" i="30"/>
  <c r="W118" i="30"/>
  <c r="W99" i="30"/>
  <c r="W44" i="30"/>
  <c r="W98" i="30"/>
  <c r="I10" i="598"/>
  <c r="I10" i="31"/>
  <c r="W111" i="30"/>
  <c r="W41" i="30"/>
  <c r="W42" i="30" s="1"/>
  <c r="W97" i="30"/>
  <c r="I74" i="31"/>
  <c r="I18" i="31"/>
  <c r="I17" i="31"/>
  <c r="I16" i="3" s="1"/>
  <c r="I32" i="31"/>
  <c r="I31" i="3" s="1"/>
  <c r="I8" i="31"/>
  <c r="J7" i="31"/>
  <c r="K7" i="31" s="1"/>
  <c r="L7" i="31" s="1"/>
  <c r="M7" i="31" s="1"/>
  <c r="N7" i="31" s="1"/>
  <c r="O7" i="31" s="1"/>
  <c r="P7" i="31" s="1"/>
  <c r="I37" i="31"/>
  <c r="AP78" i="114"/>
  <c r="AP101" i="114"/>
  <c r="AP107" i="114"/>
  <c r="AP77" i="114"/>
  <c r="AZ76" i="114"/>
  <c r="AA76" i="114"/>
  <c r="I74" i="598"/>
  <c r="I18" i="598"/>
  <c r="I17" i="598"/>
  <c r="I37" i="598"/>
  <c r="I8" i="598"/>
  <c r="I32" i="598"/>
  <c r="J7" i="598"/>
  <c r="W141" i="30"/>
  <c r="W144" i="30" s="1"/>
  <c r="W125" i="30"/>
  <c r="I21" i="598"/>
  <c r="I21" i="597"/>
  <c r="W122" i="30"/>
  <c r="W123" i="30"/>
  <c r="I21" i="31"/>
  <c r="L82" i="30"/>
  <c r="L65" i="30"/>
  <c r="L91" i="30"/>
  <c r="L73" i="30"/>
  <c r="M82" i="30"/>
  <c r="W64" i="30"/>
  <c r="L100" i="30"/>
  <c r="AL46" i="725"/>
  <c r="AL55" i="725" s="1"/>
  <c r="AL39" i="725"/>
  <c r="AL32" i="725"/>
  <c r="X130" i="30"/>
  <c r="I38" i="723" l="1"/>
  <c r="W7" i="724"/>
  <c r="Q7" i="724"/>
  <c r="R7" i="724" s="1"/>
  <c r="S7" i="724" s="1"/>
  <c r="T7" i="724" s="1"/>
  <c r="U7" i="724" s="1"/>
  <c r="U15" i="724" s="1"/>
  <c r="W7" i="723"/>
  <c r="Q7" i="723"/>
  <c r="R7" i="723" s="1"/>
  <c r="S7" i="723" s="1"/>
  <c r="T7" i="723" s="1"/>
  <c r="U7" i="723" s="1"/>
  <c r="U15" i="723" s="1"/>
  <c r="I11" i="724"/>
  <c r="I12" i="724"/>
  <c r="I33" i="724"/>
  <c r="I19" i="724"/>
  <c r="I22" i="723"/>
  <c r="I23" i="723"/>
  <c r="I25" i="723"/>
  <c r="J31" i="724"/>
  <c r="J31" i="723"/>
  <c r="I33" i="723"/>
  <c r="I11" i="723"/>
  <c r="I19" i="723"/>
  <c r="I23" i="724"/>
  <c r="I22" i="724"/>
  <c r="I25" i="724"/>
  <c r="I14" i="3"/>
  <c r="I15" i="3" s="1"/>
  <c r="I30" i="3"/>
  <c r="I95" i="597"/>
  <c r="I98" i="597" s="1"/>
  <c r="I101" i="597"/>
  <c r="K7" i="597"/>
  <c r="L7" i="597" s="1"/>
  <c r="M7" i="597" s="1"/>
  <c r="N7" i="597" s="1"/>
  <c r="O7" i="597" s="1"/>
  <c r="P7" i="597" s="1"/>
  <c r="J15" i="597"/>
  <c r="Y33" i="30"/>
  <c r="BA54" i="114"/>
  <c r="W73" i="30"/>
  <c r="W91" i="30"/>
  <c r="W100" i="30"/>
  <c r="W82" i="30"/>
  <c r="AA78" i="114"/>
  <c r="AA83" i="114"/>
  <c r="X23" i="725"/>
  <c r="AA77" i="114"/>
  <c r="AZ78" i="114"/>
  <c r="AZ77" i="114"/>
  <c r="AZ107" i="114"/>
  <c r="AZ101" i="114"/>
  <c r="I25" i="597"/>
  <c r="I22" i="597"/>
  <c r="J22" i="597" s="1"/>
  <c r="I23" i="597"/>
  <c r="I60" i="3"/>
  <c r="I59" i="3"/>
  <c r="I8" i="3"/>
  <c r="J7" i="3"/>
  <c r="I43" i="3"/>
  <c r="J15" i="598"/>
  <c r="K7" i="598"/>
  <c r="L7" i="598" s="1"/>
  <c r="M7" i="598" s="1"/>
  <c r="N7" i="598" s="1"/>
  <c r="O7" i="598" s="1"/>
  <c r="P7" i="598" s="1"/>
  <c r="I23" i="31"/>
  <c r="I22" i="31"/>
  <c r="I21" i="3" s="1"/>
  <c r="I20" i="3" s="1"/>
  <c r="I25" i="31"/>
  <c r="I12" i="597"/>
  <c r="I11" i="597"/>
  <c r="I19" i="597"/>
  <c r="I33" i="597"/>
  <c r="I38" i="597"/>
  <c r="L74" i="30"/>
  <c r="L67" i="30"/>
  <c r="L92" i="30"/>
  <c r="L83" i="30"/>
  <c r="AP83" i="114"/>
  <c r="L101" i="30"/>
  <c r="W65" i="30"/>
  <c r="M83" i="30"/>
  <c r="I22" i="598"/>
  <c r="I25" i="598"/>
  <c r="I23" i="598"/>
  <c r="Q7" i="31"/>
  <c r="R7" i="31" s="1"/>
  <c r="S7" i="31" s="1"/>
  <c r="T7" i="31" s="1"/>
  <c r="U7" i="31" s="1"/>
  <c r="W7" i="31"/>
  <c r="I11" i="31"/>
  <c r="I12" i="31"/>
  <c r="I19" i="31"/>
  <c r="I33" i="31"/>
  <c r="I38" i="31"/>
  <c r="I33" i="598"/>
  <c r="I11" i="598"/>
  <c r="I19" i="598"/>
  <c r="I12" i="598"/>
  <c r="I38" i="598"/>
  <c r="W128" i="30"/>
  <c r="W127" i="30"/>
  <c r="W126" i="30"/>
  <c r="J31" i="597"/>
  <c r="J32" i="723" l="1"/>
  <c r="I29" i="724"/>
  <c r="I28" i="724"/>
  <c r="I27" i="724"/>
  <c r="I26" i="724"/>
  <c r="I46" i="724"/>
  <c r="J32" i="724"/>
  <c r="I29" i="723"/>
  <c r="I27" i="723"/>
  <c r="I46" i="723"/>
  <c r="I26" i="723"/>
  <c r="I28" i="723"/>
  <c r="I17" i="3"/>
  <c r="I24" i="3"/>
  <c r="I26" i="3" s="1"/>
  <c r="I37" i="3"/>
  <c r="J43" i="3"/>
  <c r="I27" i="31"/>
  <c r="I26" i="31"/>
  <c r="I28" i="31"/>
  <c r="I46" i="31"/>
  <c r="I29" i="31"/>
  <c r="AA82" i="114"/>
  <c r="AA87" i="114" s="1"/>
  <c r="AA88" i="114"/>
  <c r="W74" i="30"/>
  <c r="W83" i="30"/>
  <c r="W92" i="30"/>
  <c r="AZ83" i="114"/>
  <c r="W101" i="30"/>
  <c r="I29" i="597"/>
  <c r="I26" i="597"/>
  <c r="I28" i="597"/>
  <c r="I46" i="597"/>
  <c r="I27" i="597"/>
  <c r="AP88" i="114"/>
  <c r="AP82" i="114"/>
  <c r="AP87" i="114" s="1"/>
  <c r="AR54" i="114"/>
  <c r="BA74" i="114"/>
  <c r="BA59" i="114"/>
  <c r="BA69" i="114" s="1"/>
  <c r="K7" i="3"/>
  <c r="J59" i="3"/>
  <c r="J60" i="3"/>
  <c r="X39" i="725"/>
  <c r="X46" i="725"/>
  <c r="X55" i="725" s="1"/>
  <c r="X32" i="725"/>
  <c r="I27" i="598"/>
  <c r="I28" i="598"/>
  <c r="I46" i="598"/>
  <c r="I26" i="598"/>
  <c r="I29" i="598"/>
  <c r="L94" i="30"/>
  <c r="L76" i="30"/>
  <c r="L85" i="30"/>
  <c r="L103" i="30"/>
  <c r="W67" i="30"/>
  <c r="M85" i="30"/>
  <c r="W7" i="598"/>
  <c r="Q7" i="598"/>
  <c r="R7" i="598" s="1"/>
  <c r="S7" i="598" s="1"/>
  <c r="T7" i="598" s="1"/>
  <c r="U7" i="598" s="1"/>
  <c r="J22" i="598"/>
  <c r="J21" i="597"/>
  <c r="K22" i="597"/>
  <c r="X114" i="30"/>
  <c r="J16" i="597"/>
  <c r="J18" i="597"/>
  <c r="Y114" i="30"/>
  <c r="J18" i="598"/>
  <c r="J16" i="598"/>
  <c r="Q7" i="597"/>
  <c r="R7" i="597" s="1"/>
  <c r="S7" i="597" s="1"/>
  <c r="T7" i="597" s="1"/>
  <c r="U7" i="597" s="1"/>
  <c r="W7" i="597"/>
  <c r="J32" i="597"/>
  <c r="J35" i="597"/>
  <c r="J43" i="597"/>
  <c r="X120" i="30" l="1"/>
  <c r="N120" i="30" s="1"/>
  <c r="J21" i="723"/>
  <c r="J15" i="724"/>
  <c r="J15" i="723"/>
  <c r="I47" i="724"/>
  <c r="I69" i="724"/>
  <c r="I94" i="724" s="1"/>
  <c r="I52" i="724"/>
  <c r="K22" i="723"/>
  <c r="K21" i="723" s="1"/>
  <c r="K22" i="724"/>
  <c r="K21" i="724" s="1"/>
  <c r="I47" i="723"/>
  <c r="I69" i="723"/>
  <c r="I94" i="723" s="1"/>
  <c r="I52" i="723"/>
  <c r="I25" i="3"/>
  <c r="I27" i="3"/>
  <c r="K43" i="3"/>
  <c r="I40" i="3"/>
  <c r="I44" i="3" s="1"/>
  <c r="I46" i="3" s="1"/>
  <c r="L22" i="597"/>
  <c r="K21" i="597"/>
  <c r="K22" i="598"/>
  <c r="J22" i="31"/>
  <c r="J21" i="598"/>
  <c r="I69" i="597"/>
  <c r="I47" i="597"/>
  <c r="I52" i="597"/>
  <c r="AZ88" i="114"/>
  <c r="AZ82" i="114"/>
  <c r="AZ87" i="114" s="1"/>
  <c r="BA104" i="114"/>
  <c r="X115" i="30"/>
  <c r="X140" i="30"/>
  <c r="N114" i="30"/>
  <c r="X131" i="30"/>
  <c r="X133" i="30" s="1"/>
  <c r="N33" i="30"/>
  <c r="AE54" i="114"/>
  <c r="AR59" i="114"/>
  <c r="AR69" i="114" s="1"/>
  <c r="AR74" i="114"/>
  <c r="AR103" i="114"/>
  <c r="L7" i="3"/>
  <c r="K60" i="3"/>
  <c r="K59" i="3"/>
  <c r="I47" i="598"/>
  <c r="I69" i="598"/>
  <c r="I94" i="598" s="1"/>
  <c r="I52" i="598"/>
  <c r="J52" i="598" s="1"/>
  <c r="K52" i="598" s="1"/>
  <c r="L52" i="598" s="1"/>
  <c r="M52" i="598" s="1"/>
  <c r="N52" i="598" s="1"/>
  <c r="O52" i="598" s="1"/>
  <c r="P52" i="598" s="1"/>
  <c r="Q52" i="598" s="1"/>
  <c r="R52" i="598" s="1"/>
  <c r="S52" i="598" s="1"/>
  <c r="T52" i="598" s="1"/>
  <c r="U52" i="598" s="1"/>
  <c r="W85" i="30"/>
  <c r="W76" i="30"/>
  <c r="W94" i="30"/>
  <c r="W103" i="30"/>
  <c r="J25" i="597"/>
  <c r="I69" i="31"/>
  <c r="I94" i="31" s="1"/>
  <c r="I52" i="31"/>
  <c r="J52" i="31" s="1"/>
  <c r="K52" i="31" s="1"/>
  <c r="L52" i="31" s="1"/>
  <c r="M52" i="31" s="1"/>
  <c r="N52" i="31" s="1"/>
  <c r="O52" i="31" s="1"/>
  <c r="P52" i="31" s="1"/>
  <c r="Q52" i="31" s="1"/>
  <c r="R52" i="31" s="1"/>
  <c r="S52" i="31" s="1"/>
  <c r="T52" i="31" s="1"/>
  <c r="U52" i="31" s="1"/>
  <c r="I47" i="31"/>
  <c r="J49" i="597"/>
  <c r="J36" i="597"/>
  <c r="J37" i="597"/>
  <c r="J21" i="724" l="1"/>
  <c r="X141" i="30"/>
  <c r="X125" i="30"/>
  <c r="J46" i="597"/>
  <c r="J47" i="597" s="1"/>
  <c r="I96" i="723"/>
  <c r="J18" i="723"/>
  <c r="J16" i="723"/>
  <c r="J17" i="723"/>
  <c r="K17" i="723" s="1"/>
  <c r="J43" i="723"/>
  <c r="J49" i="723" s="1"/>
  <c r="J50" i="723" s="1"/>
  <c r="J25" i="723"/>
  <c r="J35" i="723"/>
  <c r="J18" i="724"/>
  <c r="J17" i="724"/>
  <c r="K17" i="724" s="1"/>
  <c r="J16" i="724"/>
  <c r="J35" i="724"/>
  <c r="J25" i="724"/>
  <c r="J43" i="724"/>
  <c r="J49" i="724" s="1"/>
  <c r="J50" i="724" s="1"/>
  <c r="I96" i="724"/>
  <c r="L22" i="723"/>
  <c r="L21" i="723" s="1"/>
  <c r="L22" i="724"/>
  <c r="L21" i="724" s="1"/>
  <c r="J22" i="723"/>
  <c r="J22" i="724"/>
  <c r="I41" i="3"/>
  <c r="J27" i="597"/>
  <c r="J28" i="597"/>
  <c r="J26" i="597"/>
  <c r="L59" i="3"/>
  <c r="M7" i="3"/>
  <c r="L60" i="3"/>
  <c r="N114" i="2"/>
  <c r="AR104" i="114"/>
  <c r="AR98" i="114" s="1"/>
  <c r="N125" i="30"/>
  <c r="N116" i="30"/>
  <c r="N140" i="30"/>
  <c r="N115" i="30"/>
  <c r="N131" i="30"/>
  <c r="J25" i="598"/>
  <c r="BA103" i="114"/>
  <c r="X126" i="30"/>
  <c r="J21" i="31"/>
  <c r="J21" i="3"/>
  <c r="J20" i="3" s="1"/>
  <c r="K22" i="31"/>
  <c r="K21" i="598"/>
  <c r="I49" i="3"/>
  <c r="I47" i="3"/>
  <c r="I94" i="597"/>
  <c r="I97" i="597" s="1"/>
  <c r="I100" i="597"/>
  <c r="I96" i="598"/>
  <c r="AE59" i="114"/>
  <c r="AE69" i="114" s="1"/>
  <c r="AE74" i="114"/>
  <c r="AE52" i="114"/>
  <c r="AE53" i="114" s="1"/>
  <c r="L22" i="598"/>
  <c r="L21" i="597"/>
  <c r="M22" i="597"/>
  <c r="X134" i="30"/>
  <c r="X143" i="30" s="1"/>
  <c r="X144" i="30" s="1"/>
  <c r="I96" i="31"/>
  <c r="N33" i="2"/>
  <c r="N93" i="30"/>
  <c r="N34" i="30"/>
  <c r="N35" i="30" s="1"/>
  <c r="N36" i="30"/>
  <c r="N40" i="30"/>
  <c r="N118" i="30" s="1"/>
  <c r="N63" i="30"/>
  <c r="X33" i="30"/>
  <c r="X127" i="30" s="1"/>
  <c r="N64" i="30"/>
  <c r="N62" i="30"/>
  <c r="N113" i="30"/>
  <c r="BA105" i="114"/>
  <c r="BA106" i="114"/>
  <c r="N141" i="30"/>
  <c r="N120" i="2"/>
  <c r="N121" i="30"/>
  <c r="N122" i="30"/>
  <c r="L43" i="3"/>
  <c r="J50" i="597"/>
  <c r="J90" i="597"/>
  <c r="N123" i="30" l="1"/>
  <c r="X135" i="30"/>
  <c r="X164" i="30" s="1"/>
  <c r="J27" i="724"/>
  <c r="J26" i="724"/>
  <c r="J28" i="724"/>
  <c r="J46" i="724"/>
  <c r="K15" i="723"/>
  <c r="L17" i="723"/>
  <c r="J46" i="723"/>
  <c r="J47" i="723" s="1"/>
  <c r="J27" i="723"/>
  <c r="J26" i="723"/>
  <c r="J28" i="723"/>
  <c r="J36" i="724"/>
  <c r="J37" i="724"/>
  <c r="K15" i="724"/>
  <c r="L17" i="724"/>
  <c r="M22" i="723"/>
  <c r="M21" i="723" s="1"/>
  <c r="M22" i="724"/>
  <c r="M21" i="724" s="1"/>
  <c r="J36" i="723"/>
  <c r="J37" i="723"/>
  <c r="M43" i="3"/>
  <c r="BA98" i="114"/>
  <c r="AR100" i="114"/>
  <c r="AR99" i="114"/>
  <c r="N122" i="2"/>
  <c r="N141" i="2"/>
  <c r="X120" i="2"/>
  <c r="N64" i="2"/>
  <c r="N73" i="30"/>
  <c r="N82" i="30"/>
  <c r="N100" i="30"/>
  <c r="X64" i="30"/>
  <c r="N131" i="2"/>
  <c r="X131" i="2" s="1"/>
  <c r="N133" i="30"/>
  <c r="N36" i="2"/>
  <c r="N34" i="2"/>
  <c r="N35" i="2" s="1"/>
  <c r="X33" i="2"/>
  <c r="N93" i="2"/>
  <c r="X162" i="30"/>
  <c r="X93" i="30"/>
  <c r="X36" i="30"/>
  <c r="X34" i="30"/>
  <c r="X35" i="30" s="1"/>
  <c r="X116" i="30"/>
  <c r="X122" i="30"/>
  <c r="AE58" i="114"/>
  <c r="AE68" i="114" s="1"/>
  <c r="AR53" i="114"/>
  <c r="AE73" i="114"/>
  <c r="I52" i="3"/>
  <c r="I71" i="3"/>
  <c r="I50" i="3"/>
  <c r="M59" i="3"/>
  <c r="M60" i="3"/>
  <c r="N7" i="3"/>
  <c r="J28" i="598"/>
  <c r="J26" i="598"/>
  <c r="J27" i="598"/>
  <c r="L22" i="31"/>
  <c r="L21" i="598"/>
  <c r="N63" i="2"/>
  <c r="N72" i="30"/>
  <c r="N99" i="30"/>
  <c r="X63" i="30"/>
  <c r="N81" i="30"/>
  <c r="AR52" i="114"/>
  <c r="AE57" i="114"/>
  <c r="AE67" i="114" s="1"/>
  <c r="AE14" i="114"/>
  <c r="AE72" i="114"/>
  <c r="AR105" i="114"/>
  <c r="AR106" i="114"/>
  <c r="N62" i="2"/>
  <c r="N80" i="30"/>
  <c r="N98" i="30"/>
  <c r="X62" i="30"/>
  <c r="N71" i="30"/>
  <c r="X114" i="2"/>
  <c r="N116" i="2"/>
  <c r="N115" i="2"/>
  <c r="N117" i="2"/>
  <c r="N140" i="2"/>
  <c r="N125" i="2"/>
  <c r="N40" i="2"/>
  <c r="N118" i="2" s="1"/>
  <c r="N102" i="30"/>
  <c r="N41" i="30"/>
  <c r="N42" i="30" s="1"/>
  <c r="AR76" i="114"/>
  <c r="AR101" i="114" s="1"/>
  <c r="N67" i="30"/>
  <c r="X40" i="30"/>
  <c r="J10" i="723" s="1"/>
  <c r="J38" i="723" s="1"/>
  <c r="N43" i="30"/>
  <c r="K21" i="31"/>
  <c r="K21" i="3"/>
  <c r="K20" i="3" s="1"/>
  <c r="N113" i="2"/>
  <c r="X113" i="2" s="1"/>
  <c r="X113" i="30"/>
  <c r="N108" i="30"/>
  <c r="M22" i="598"/>
  <c r="N22" i="597"/>
  <c r="M21" i="597"/>
  <c r="N126" i="30"/>
  <c r="N128" i="30"/>
  <c r="N127" i="30"/>
  <c r="K18" i="724" l="1"/>
  <c r="K16" i="724"/>
  <c r="K25" i="724"/>
  <c r="L15" i="723"/>
  <c r="M17" i="723"/>
  <c r="J47" i="724"/>
  <c r="N22" i="723"/>
  <c r="N21" i="723" s="1"/>
  <c r="N22" i="724"/>
  <c r="N21" i="724" s="1"/>
  <c r="J12" i="723"/>
  <c r="J12" i="724" s="1"/>
  <c r="J10" i="724" s="1"/>
  <c r="J11" i="723"/>
  <c r="J33" i="723"/>
  <c r="J23" i="723"/>
  <c r="J19" i="723"/>
  <c r="K16" i="723"/>
  <c r="K25" i="723"/>
  <c r="K18" i="723"/>
  <c r="AR107" i="114"/>
  <c r="L15" i="724"/>
  <c r="M17" i="724"/>
  <c r="J29" i="723"/>
  <c r="N43" i="3"/>
  <c r="N123" i="2"/>
  <c r="N103" i="30"/>
  <c r="N65" i="30"/>
  <c r="N76" i="30"/>
  <c r="N94" i="30"/>
  <c r="N85" i="30"/>
  <c r="X67" i="30"/>
  <c r="M21" i="598"/>
  <c r="M22" i="31"/>
  <c r="X90" i="30"/>
  <c r="X81" i="30"/>
  <c r="X72" i="30"/>
  <c r="X99" i="30"/>
  <c r="X91" i="30"/>
  <c r="X82" i="30"/>
  <c r="X73" i="30"/>
  <c r="X100" i="30"/>
  <c r="AR60" i="114"/>
  <c r="AR72" i="114"/>
  <c r="BA52" i="114"/>
  <c r="AR57" i="114"/>
  <c r="AR67" i="114" s="1"/>
  <c r="I63" i="3"/>
  <c r="I64" i="3"/>
  <c r="I53" i="3"/>
  <c r="I57" i="3"/>
  <c r="I62" i="3"/>
  <c r="N109" i="30"/>
  <c r="N111" i="30"/>
  <c r="N110" i="30"/>
  <c r="N108" i="2"/>
  <c r="X108" i="30"/>
  <c r="X140" i="2"/>
  <c r="X116" i="2"/>
  <c r="X115" i="2"/>
  <c r="AR58" i="114"/>
  <c r="AR68" i="114" s="1"/>
  <c r="AR73" i="114"/>
  <c r="BA53" i="114"/>
  <c r="N22" i="598"/>
  <c r="O22" i="597"/>
  <c r="N21" i="597"/>
  <c r="N98" i="2"/>
  <c r="N41" i="2"/>
  <c r="N42" i="2" s="1"/>
  <c r="N44" i="2"/>
  <c r="N102" i="2"/>
  <c r="X40" i="2"/>
  <c r="X123" i="2" s="1"/>
  <c r="N43" i="2"/>
  <c r="N128" i="2"/>
  <c r="N127" i="2"/>
  <c r="X125" i="2"/>
  <c r="N126" i="2"/>
  <c r="X89" i="30"/>
  <c r="X80" i="30"/>
  <c r="X71" i="30"/>
  <c r="X98" i="30"/>
  <c r="N81" i="2"/>
  <c r="N72" i="2"/>
  <c r="X63" i="2"/>
  <c r="N90" i="2"/>
  <c r="N99" i="2"/>
  <c r="X162" i="2"/>
  <c r="X34" i="2"/>
  <c r="X35" i="2" s="1"/>
  <c r="X36" i="2"/>
  <c r="X93" i="2"/>
  <c r="AR78" i="114"/>
  <c r="AR77" i="114"/>
  <c r="BA76" i="114"/>
  <c r="BA101" i="114" s="1"/>
  <c r="N60" i="3"/>
  <c r="N59" i="3"/>
  <c r="O7" i="3"/>
  <c r="AE26" i="114"/>
  <c r="AE32" i="114" s="1"/>
  <c r="AR14" i="114"/>
  <c r="AE20" i="114"/>
  <c r="X64" i="2"/>
  <c r="N91" i="2"/>
  <c r="N82" i="2"/>
  <c r="N73" i="2"/>
  <c r="N100" i="2"/>
  <c r="X62" i="2"/>
  <c r="N71" i="2"/>
  <c r="N80" i="2"/>
  <c r="N89" i="2"/>
  <c r="N134" i="30"/>
  <c r="N133" i="2"/>
  <c r="X133" i="2" s="1"/>
  <c r="X163" i="30"/>
  <c r="J10" i="597"/>
  <c r="X102" i="30"/>
  <c r="X41" i="30"/>
  <c r="X42" i="30" s="1"/>
  <c r="X44" i="30"/>
  <c r="X43" i="30"/>
  <c r="X123" i="30"/>
  <c r="X118" i="30"/>
  <c r="X128" i="30"/>
  <c r="L21" i="3"/>
  <c r="L20" i="3" s="1"/>
  <c r="L21" i="31"/>
  <c r="X122" i="2"/>
  <c r="X141" i="2"/>
  <c r="BA99" i="114"/>
  <c r="BA100" i="114"/>
  <c r="J19" i="597" l="1"/>
  <c r="J23" i="597"/>
  <c r="J29" i="597"/>
  <c r="M15" i="723"/>
  <c r="N17" i="723"/>
  <c r="J11" i="724"/>
  <c r="J33" i="724"/>
  <c r="J23" i="724"/>
  <c r="J19" i="724"/>
  <c r="J29" i="724"/>
  <c r="J38" i="724"/>
  <c r="K28" i="724"/>
  <c r="K27" i="724"/>
  <c r="K26" i="724"/>
  <c r="M15" i="724"/>
  <c r="N17" i="724"/>
  <c r="L25" i="723"/>
  <c r="L16" i="723"/>
  <c r="L18" i="723"/>
  <c r="L25" i="724"/>
  <c r="L18" i="724"/>
  <c r="L16" i="724"/>
  <c r="K27" i="723"/>
  <c r="K28" i="723"/>
  <c r="K26" i="723"/>
  <c r="O22" i="723"/>
  <c r="O21" i="723" s="1"/>
  <c r="O22" i="724"/>
  <c r="O21" i="724" s="1"/>
  <c r="BA14" i="114"/>
  <c r="AR26" i="114"/>
  <c r="AR32" i="114" s="1"/>
  <c r="N27" i="30"/>
  <c r="AR20" i="114"/>
  <c r="N22" i="31"/>
  <c r="N21" i="598"/>
  <c r="X109" i="30"/>
  <c r="X110" i="30"/>
  <c r="X111" i="30"/>
  <c r="X89" i="2"/>
  <c r="X80" i="2"/>
  <c r="X71" i="2"/>
  <c r="X98" i="2"/>
  <c r="BA58" i="114"/>
  <c r="BA68" i="114" s="1"/>
  <c r="BA73" i="114"/>
  <c r="X108" i="2"/>
  <c r="N109" i="2"/>
  <c r="N110" i="2"/>
  <c r="BA78" i="114"/>
  <c r="BA77" i="114"/>
  <c r="BA107" i="114"/>
  <c r="X43" i="2"/>
  <c r="X44" i="2"/>
  <c r="X163" i="2"/>
  <c r="X41" i="2"/>
  <c r="X42" i="2" s="1"/>
  <c r="X102" i="2"/>
  <c r="O60" i="3"/>
  <c r="P7" i="3"/>
  <c r="O59" i="3"/>
  <c r="X103" i="30"/>
  <c r="X85" i="30"/>
  <c r="X94" i="30"/>
  <c r="X76" i="30"/>
  <c r="X90" i="2"/>
  <c r="X72" i="2"/>
  <c r="X81" i="2"/>
  <c r="X99" i="2"/>
  <c r="X126" i="2"/>
  <c r="X127" i="2"/>
  <c r="X128" i="2"/>
  <c r="BA72" i="114"/>
  <c r="BA57" i="114"/>
  <c r="BA67" i="114" s="1"/>
  <c r="BA60" i="114"/>
  <c r="X118" i="2"/>
  <c r="AR83" i="114"/>
  <c r="N92" i="30"/>
  <c r="N65" i="2"/>
  <c r="N74" i="30"/>
  <c r="N61" i="30"/>
  <c r="N101" i="30"/>
  <c r="X65" i="30"/>
  <c r="N83" i="30"/>
  <c r="J11" i="597"/>
  <c r="J12" i="597"/>
  <c r="J33" i="597"/>
  <c r="J38" i="597"/>
  <c r="N135" i="30"/>
  <c r="N135" i="2" s="1"/>
  <c r="X135" i="2" s="1"/>
  <c r="X164" i="2" s="1"/>
  <c r="N143" i="30"/>
  <c r="N144" i="30" s="1"/>
  <c r="N134" i="2"/>
  <c r="X91" i="2"/>
  <c r="X73" i="2"/>
  <c r="X82" i="2"/>
  <c r="X100" i="2"/>
  <c r="P22" i="597"/>
  <c r="O22" i="598"/>
  <c r="O21" i="597"/>
  <c r="M21" i="3"/>
  <c r="M20" i="3" s="1"/>
  <c r="M21" i="31"/>
  <c r="O43" i="3"/>
  <c r="L28" i="723" l="1"/>
  <c r="L26" i="723"/>
  <c r="L27" i="723"/>
  <c r="L27" i="724"/>
  <c r="L26" i="724"/>
  <c r="L28" i="724"/>
  <c r="P22" i="724"/>
  <c r="P21" i="724" s="1"/>
  <c r="P22" i="723"/>
  <c r="P21" i="723" s="1"/>
  <c r="N15" i="724"/>
  <c r="O17" i="724"/>
  <c r="M25" i="724"/>
  <c r="M16" i="724"/>
  <c r="M18" i="724"/>
  <c r="N15" i="723"/>
  <c r="O17" i="723"/>
  <c r="M18" i="723"/>
  <c r="M16" i="723"/>
  <c r="M25" i="723"/>
  <c r="P43" i="3"/>
  <c r="N74" i="2"/>
  <c r="N101" i="2"/>
  <c r="N67" i="2"/>
  <c r="N92" i="2"/>
  <c r="X65" i="2"/>
  <c r="N83" i="2"/>
  <c r="N21" i="3"/>
  <c r="N20" i="3" s="1"/>
  <c r="N21" i="31"/>
  <c r="X110" i="2"/>
  <c r="X109" i="2"/>
  <c r="X111" i="2"/>
  <c r="P60" i="3"/>
  <c r="Q7" i="3"/>
  <c r="V6" i="3" s="1"/>
  <c r="V8" i="3" s="1"/>
  <c r="P59" i="3"/>
  <c r="J12" i="598"/>
  <c r="J10" i="598" s="1"/>
  <c r="J12" i="31"/>
  <c r="J10" i="31" s="1"/>
  <c r="N61" i="2"/>
  <c r="N70" i="30"/>
  <c r="AR81" i="114"/>
  <c r="AR86" i="114" s="1"/>
  <c r="N97" i="30"/>
  <c r="N88" i="30"/>
  <c r="N79" i="30"/>
  <c r="X61" i="30"/>
  <c r="O21" i="598"/>
  <c r="O22" i="31"/>
  <c r="AR88" i="114"/>
  <c r="N28" i="30"/>
  <c r="N29" i="30" s="1"/>
  <c r="N30" i="30"/>
  <c r="X27" i="30"/>
  <c r="N13" i="30"/>
  <c r="N38" i="30"/>
  <c r="Q22" i="597"/>
  <c r="P21" i="597"/>
  <c r="P22" i="598"/>
  <c r="N143" i="2"/>
  <c r="N144" i="2" s="1"/>
  <c r="X134" i="2"/>
  <c r="X143" i="2" s="1"/>
  <c r="X144" i="2" s="1"/>
  <c r="BA83" i="114"/>
  <c r="X92" i="30"/>
  <c r="X74" i="30"/>
  <c r="X101" i="30"/>
  <c r="X83" i="30"/>
  <c r="BA26" i="114"/>
  <c r="BA32" i="114" s="1"/>
  <c r="BA20" i="114"/>
  <c r="M27" i="723" l="1"/>
  <c r="M28" i="723"/>
  <c r="M26" i="723"/>
  <c r="O15" i="723"/>
  <c r="P17" i="723"/>
  <c r="N18" i="724"/>
  <c r="N16" i="724"/>
  <c r="N25" i="724"/>
  <c r="Q22" i="723"/>
  <c r="Q21" i="723" s="1"/>
  <c r="Q22" i="724"/>
  <c r="Q21" i="724" s="1"/>
  <c r="N25" i="723"/>
  <c r="N18" i="723"/>
  <c r="N16" i="723"/>
  <c r="M27" i="724"/>
  <c r="M26" i="724"/>
  <c r="M28" i="724"/>
  <c r="O15" i="724"/>
  <c r="P17" i="724"/>
  <c r="AR82" i="114"/>
  <c r="AR87" i="114" s="1"/>
  <c r="Q43" i="3"/>
  <c r="P22" i="31"/>
  <c r="P21" i="598"/>
  <c r="R7" i="3"/>
  <c r="Q60" i="3"/>
  <c r="Q59" i="3"/>
  <c r="X83" i="2"/>
  <c r="X74" i="2"/>
  <c r="X92" i="2"/>
  <c r="X101" i="2"/>
  <c r="BA88" i="114"/>
  <c r="BA81" i="114"/>
  <c r="BA86" i="114" s="1"/>
  <c r="X97" i="30"/>
  <c r="X79" i="30"/>
  <c r="X70" i="30"/>
  <c r="X88" i="30"/>
  <c r="N27" i="2"/>
  <c r="N38" i="2" s="1"/>
  <c r="N121" i="2" s="1"/>
  <c r="N19" i="30"/>
  <c r="X13" i="30"/>
  <c r="N20" i="30"/>
  <c r="Q21" i="597"/>
  <c r="R22" i="597"/>
  <c r="Q22" i="598"/>
  <c r="J11" i="598"/>
  <c r="J19" i="598"/>
  <c r="J23" i="598"/>
  <c r="J29" i="598"/>
  <c r="X28" i="30"/>
  <c r="X29" i="30" s="1"/>
  <c r="X30" i="30"/>
  <c r="X38" i="30"/>
  <c r="N94" i="2"/>
  <c r="N76" i="2"/>
  <c r="N103" i="2"/>
  <c r="X67" i="2"/>
  <c r="N85" i="2"/>
  <c r="O21" i="31"/>
  <c r="O21" i="3"/>
  <c r="O20" i="3" s="1"/>
  <c r="N88" i="2"/>
  <c r="N97" i="2"/>
  <c r="N70" i="2"/>
  <c r="N79" i="2"/>
  <c r="X61" i="2"/>
  <c r="J11" i="31"/>
  <c r="J23" i="31"/>
  <c r="R22" i="724" l="1"/>
  <c r="R21" i="724" s="1"/>
  <c r="R22" i="723"/>
  <c r="R21" i="723" s="1"/>
  <c r="O16" i="724"/>
  <c r="O25" i="724"/>
  <c r="O18" i="724"/>
  <c r="O25" i="723"/>
  <c r="O16" i="723"/>
  <c r="O18" i="723"/>
  <c r="N28" i="724"/>
  <c r="N27" i="724"/>
  <c r="N26" i="724"/>
  <c r="N26" i="723"/>
  <c r="N27" i="723"/>
  <c r="N28" i="723"/>
  <c r="P15" i="723"/>
  <c r="Q17" i="723"/>
  <c r="P15" i="724"/>
  <c r="Q17" i="724"/>
  <c r="R43" i="3"/>
  <c r="R22" i="598"/>
  <c r="R21" i="597"/>
  <c r="S22" i="597"/>
  <c r="N28" i="2"/>
  <c r="X27" i="2"/>
  <c r="X38" i="2" s="1"/>
  <c r="N30" i="2"/>
  <c r="N13" i="2"/>
  <c r="X76" i="2"/>
  <c r="X85" i="2"/>
  <c r="X103" i="2"/>
  <c r="X94" i="2"/>
  <c r="P21" i="31"/>
  <c r="P21" i="3"/>
  <c r="P20" i="3" s="1"/>
  <c r="X79" i="2"/>
  <c r="X88" i="2"/>
  <c r="X70" i="2"/>
  <c r="X97" i="2"/>
  <c r="Q22" i="31"/>
  <c r="Q21" i="598"/>
  <c r="X20" i="30"/>
  <c r="X19" i="30"/>
  <c r="BA82" i="114"/>
  <c r="BA87" i="114" s="1"/>
  <c r="S7" i="3"/>
  <c r="R59" i="3"/>
  <c r="R60" i="3"/>
  <c r="Q15" i="724" l="1"/>
  <c r="R17" i="724"/>
  <c r="P16" i="724"/>
  <c r="P25" i="724"/>
  <c r="P18" i="724"/>
  <c r="O28" i="723"/>
  <c r="O27" i="723"/>
  <c r="O26" i="723"/>
  <c r="Q15" i="723"/>
  <c r="R17" i="723"/>
  <c r="O26" i="724"/>
  <c r="O28" i="724"/>
  <c r="O27" i="724"/>
  <c r="P25" i="723"/>
  <c r="P16" i="723"/>
  <c r="P18" i="723"/>
  <c r="S22" i="723"/>
  <c r="S21" i="723" s="1"/>
  <c r="S22" i="724"/>
  <c r="S21" i="724" s="1"/>
  <c r="S43" i="3"/>
  <c r="S21" i="597"/>
  <c r="T22" i="597"/>
  <c r="S22" i="598"/>
  <c r="Q21" i="3"/>
  <c r="Q20" i="3" s="1"/>
  <c r="Q21" i="31"/>
  <c r="S60" i="3"/>
  <c r="S59" i="3"/>
  <c r="R22" i="31"/>
  <c r="R21" i="598"/>
  <c r="X13" i="2"/>
  <c r="N19" i="2"/>
  <c r="N20" i="2"/>
  <c r="N29" i="2"/>
  <c r="N111" i="2"/>
  <c r="X30" i="2"/>
  <c r="X28" i="2"/>
  <c r="X29" i="2" s="1"/>
  <c r="R15" i="723" l="1"/>
  <c r="S17" i="723"/>
  <c r="Q16" i="723"/>
  <c r="Q18" i="723"/>
  <c r="Q25" i="723"/>
  <c r="T22" i="723"/>
  <c r="T22" i="724"/>
  <c r="P27" i="723"/>
  <c r="P28" i="723"/>
  <c r="P26" i="723"/>
  <c r="P27" i="724"/>
  <c r="P28" i="724"/>
  <c r="P26" i="724"/>
  <c r="R15" i="724"/>
  <c r="S17" i="724"/>
  <c r="Q16" i="724"/>
  <c r="Q25" i="724"/>
  <c r="Q18" i="724"/>
  <c r="R21" i="31"/>
  <c r="R21" i="3"/>
  <c r="R20" i="3" s="1"/>
  <c r="S22" i="31"/>
  <c r="S21" i="598"/>
  <c r="T21" i="597"/>
  <c r="U22" i="597"/>
  <c r="T32" i="597"/>
  <c r="T22" i="598"/>
  <c r="X19" i="2"/>
  <c r="X20" i="2"/>
  <c r="T32" i="723" l="1"/>
  <c r="T21" i="723"/>
  <c r="Q27" i="724"/>
  <c r="Q28" i="724"/>
  <c r="Q26" i="724"/>
  <c r="S15" i="724"/>
  <c r="T17" i="724"/>
  <c r="T15" i="724" s="1"/>
  <c r="Q27" i="723"/>
  <c r="Q28" i="723"/>
  <c r="Q26" i="723"/>
  <c r="R25" i="724"/>
  <c r="R18" i="724"/>
  <c r="R16" i="724"/>
  <c r="S15" i="723"/>
  <c r="T17" i="723"/>
  <c r="T15" i="723" s="1"/>
  <c r="U22" i="724"/>
  <c r="U22" i="723"/>
  <c r="T32" i="724"/>
  <c r="T21" i="724"/>
  <c r="R18" i="723"/>
  <c r="R16" i="723"/>
  <c r="R25" i="723"/>
  <c r="T22" i="31"/>
  <c r="T32" i="598"/>
  <c r="T21" i="598"/>
  <c r="T31" i="597"/>
  <c r="K32" i="597"/>
  <c r="K31" i="597" s="1"/>
  <c r="S21" i="3"/>
  <c r="S20" i="3" s="1"/>
  <c r="S21" i="31"/>
  <c r="U32" i="597"/>
  <c r="U31" i="597" s="1"/>
  <c r="U21" i="597"/>
  <c r="U22" i="598"/>
  <c r="S25" i="724" l="1"/>
  <c r="S16" i="724"/>
  <c r="S18" i="724"/>
  <c r="U32" i="723"/>
  <c r="U31" i="723" s="1"/>
  <c r="U21" i="723"/>
  <c r="U25" i="723" s="1"/>
  <c r="R27" i="724"/>
  <c r="R26" i="724"/>
  <c r="R28" i="724"/>
  <c r="T16" i="723"/>
  <c r="T25" i="723"/>
  <c r="T18" i="723"/>
  <c r="U18" i="723"/>
  <c r="U16" i="723"/>
  <c r="K32" i="724"/>
  <c r="K31" i="724" s="1"/>
  <c r="T31" i="724"/>
  <c r="T35" i="724" s="1"/>
  <c r="R27" i="723"/>
  <c r="R28" i="723"/>
  <c r="R26" i="723"/>
  <c r="S18" i="723"/>
  <c r="S16" i="723"/>
  <c r="S25" i="723"/>
  <c r="T25" i="724"/>
  <c r="T18" i="724"/>
  <c r="T16" i="724"/>
  <c r="U18" i="724"/>
  <c r="U16" i="724"/>
  <c r="U32" i="724"/>
  <c r="U31" i="724" s="1"/>
  <c r="U21" i="724"/>
  <c r="U25" i="724" s="1"/>
  <c r="T31" i="723"/>
  <c r="T43" i="723" s="1"/>
  <c r="T49" i="723" s="1"/>
  <c r="K32" i="723"/>
  <c r="K31" i="723" s="1"/>
  <c r="U17" i="598"/>
  <c r="U15" i="598" s="1"/>
  <c r="K17" i="597"/>
  <c r="U15" i="597"/>
  <c r="T31" i="598"/>
  <c r="J32" i="598"/>
  <c r="J31" i="598" s="1"/>
  <c r="U22" i="31"/>
  <c r="U21" i="598"/>
  <c r="U32" i="598"/>
  <c r="U31" i="598" s="1"/>
  <c r="T32" i="31"/>
  <c r="T17" i="31"/>
  <c r="T21" i="31"/>
  <c r="L32" i="597"/>
  <c r="T43" i="724" l="1"/>
  <c r="T49" i="724" s="1"/>
  <c r="L32" i="724"/>
  <c r="T37" i="724"/>
  <c r="K43" i="723"/>
  <c r="K35" i="723"/>
  <c r="T46" i="723"/>
  <c r="T28" i="723"/>
  <c r="T26" i="723"/>
  <c r="T27" i="723"/>
  <c r="U28" i="723"/>
  <c r="U27" i="723"/>
  <c r="U26" i="723"/>
  <c r="U27" i="724"/>
  <c r="U28" i="724"/>
  <c r="U26" i="724"/>
  <c r="U43" i="723"/>
  <c r="U49" i="723" s="1"/>
  <c r="U50" i="723" s="1"/>
  <c r="U35" i="723"/>
  <c r="K35" i="724"/>
  <c r="K43" i="724"/>
  <c r="S28" i="724"/>
  <c r="S27" i="724"/>
  <c r="S26" i="724"/>
  <c r="L32" i="723"/>
  <c r="T27" i="724"/>
  <c r="T26" i="724"/>
  <c r="T28" i="724"/>
  <c r="T35" i="723"/>
  <c r="U43" i="724"/>
  <c r="U49" i="724" s="1"/>
  <c r="U35" i="724"/>
  <c r="S28" i="723"/>
  <c r="S26" i="723"/>
  <c r="S27" i="723"/>
  <c r="U43" i="597"/>
  <c r="U49" i="597" s="1"/>
  <c r="U35" i="597"/>
  <c r="U25" i="597"/>
  <c r="T31" i="31"/>
  <c r="J32" i="31"/>
  <c r="K17" i="598"/>
  <c r="K15" i="598" s="1"/>
  <c r="K15" i="597"/>
  <c r="L17" i="597"/>
  <c r="J17" i="31"/>
  <c r="K17" i="31" s="1"/>
  <c r="T15" i="31"/>
  <c r="L31" i="597"/>
  <c r="M32" i="597"/>
  <c r="U25" i="598"/>
  <c r="U35" i="598"/>
  <c r="U43" i="598"/>
  <c r="U49" i="598" s="1"/>
  <c r="U32" i="31"/>
  <c r="U31" i="31" s="1"/>
  <c r="U17" i="31"/>
  <c r="U15" i="31" s="1"/>
  <c r="U21" i="31"/>
  <c r="J33" i="598"/>
  <c r="J43" i="598"/>
  <c r="J46" i="598" s="1"/>
  <c r="J35" i="598"/>
  <c r="K32" i="598"/>
  <c r="T46" i="724" l="1"/>
  <c r="U50" i="724"/>
  <c r="L31" i="724"/>
  <c r="M32" i="724"/>
  <c r="U46" i="723"/>
  <c r="U47" i="723" s="1"/>
  <c r="U46" i="724"/>
  <c r="U37" i="723"/>
  <c r="U36" i="723"/>
  <c r="U37" i="724"/>
  <c r="U36" i="724"/>
  <c r="T37" i="723"/>
  <c r="K36" i="723"/>
  <c r="K37" i="723"/>
  <c r="K49" i="724"/>
  <c r="K50" i="724" s="1"/>
  <c r="K46" i="724"/>
  <c r="K49" i="723"/>
  <c r="K50" i="723" s="1"/>
  <c r="K46" i="723"/>
  <c r="K36" i="724"/>
  <c r="K37" i="724"/>
  <c r="L31" i="723"/>
  <c r="M32" i="723"/>
  <c r="K16" i="3"/>
  <c r="K14" i="3" s="1"/>
  <c r="K15" i="31"/>
  <c r="J16" i="3"/>
  <c r="J14" i="3" s="1"/>
  <c r="J15" i="31"/>
  <c r="U37" i="598"/>
  <c r="U46" i="598"/>
  <c r="U27" i="598"/>
  <c r="K18" i="597"/>
  <c r="K25" i="597"/>
  <c r="K16" i="597"/>
  <c r="K43" i="597"/>
  <c r="K49" i="597" s="1"/>
  <c r="K35" i="597"/>
  <c r="M31" i="597"/>
  <c r="N32" i="597"/>
  <c r="M17" i="597"/>
  <c r="L15" i="597"/>
  <c r="L17" i="598"/>
  <c r="L15" i="598" s="1"/>
  <c r="K16" i="598"/>
  <c r="K18" i="598"/>
  <c r="K25" i="598"/>
  <c r="J37" i="598"/>
  <c r="J36" i="598"/>
  <c r="J38" i="598"/>
  <c r="K32" i="31"/>
  <c r="J31" i="3"/>
  <c r="J30" i="3" s="1"/>
  <c r="J31" i="31"/>
  <c r="J33" i="31" s="1"/>
  <c r="U27" i="597"/>
  <c r="U46" i="597"/>
  <c r="K31" i="598"/>
  <c r="K43" i="598" s="1"/>
  <c r="K49" i="598" s="1"/>
  <c r="L32" i="598"/>
  <c r="J49" i="598"/>
  <c r="J50" i="598" s="1"/>
  <c r="U35" i="31"/>
  <c r="U16" i="31"/>
  <c r="U43" i="31"/>
  <c r="U49" i="31" s="1"/>
  <c r="U25" i="31"/>
  <c r="U18" i="31"/>
  <c r="T43" i="31"/>
  <c r="T49" i="31" s="1"/>
  <c r="T25" i="31"/>
  <c r="T35" i="31"/>
  <c r="U37" i="597"/>
  <c r="J47" i="598"/>
  <c r="J53" i="598"/>
  <c r="L17" i="31"/>
  <c r="T80" i="723" l="1"/>
  <c r="M31" i="724"/>
  <c r="N32" i="724"/>
  <c r="L35" i="724"/>
  <c r="L43" i="724"/>
  <c r="L35" i="723"/>
  <c r="L43" i="723"/>
  <c r="K47" i="723"/>
  <c r="K47" i="724"/>
  <c r="T80" i="724"/>
  <c r="U47" i="724"/>
  <c r="M31" i="723"/>
  <c r="N32" i="723"/>
  <c r="K35" i="598"/>
  <c r="K36" i="598" s="1"/>
  <c r="K50" i="597"/>
  <c r="K90" i="597"/>
  <c r="J55" i="598"/>
  <c r="J56" i="598" s="1"/>
  <c r="L56" i="598" s="1"/>
  <c r="M56" i="598" s="1"/>
  <c r="N56" i="598" s="1"/>
  <c r="O56" i="598" s="1"/>
  <c r="P56" i="598" s="1"/>
  <c r="Q56" i="598" s="1"/>
  <c r="R56" i="598" s="1"/>
  <c r="S56" i="598" s="1"/>
  <c r="T56" i="598" s="1"/>
  <c r="U56" i="598" s="1"/>
  <c r="K28" i="597"/>
  <c r="K27" i="597"/>
  <c r="K26" i="597"/>
  <c r="U28" i="31"/>
  <c r="U27" i="31"/>
  <c r="U46" i="31"/>
  <c r="U26" i="31"/>
  <c r="N17" i="597"/>
  <c r="M17" i="598"/>
  <c r="M15" i="598" s="1"/>
  <c r="M15" i="597"/>
  <c r="K36" i="597"/>
  <c r="K37" i="597"/>
  <c r="U53" i="598"/>
  <c r="U58" i="598" s="1"/>
  <c r="T80" i="598"/>
  <c r="U50" i="31"/>
  <c r="N31" i="597"/>
  <c r="O32" i="597"/>
  <c r="J18" i="31"/>
  <c r="J43" i="31"/>
  <c r="J49" i="31" s="1"/>
  <c r="J50" i="31" s="1"/>
  <c r="J16" i="31"/>
  <c r="J25" i="31"/>
  <c r="J35" i="31"/>
  <c r="J19" i="31"/>
  <c r="T27" i="31"/>
  <c r="T46" i="31"/>
  <c r="K31" i="31"/>
  <c r="K35" i="31" s="1"/>
  <c r="K31" i="3"/>
  <c r="K30" i="3" s="1"/>
  <c r="K37" i="3" s="1"/>
  <c r="L32" i="31"/>
  <c r="K26" i="598"/>
  <c r="K46" i="598"/>
  <c r="K27" i="598"/>
  <c r="K28" i="598"/>
  <c r="K46" i="597"/>
  <c r="J37" i="3"/>
  <c r="J15" i="3"/>
  <c r="J24" i="3"/>
  <c r="J17" i="3"/>
  <c r="T37" i="31"/>
  <c r="K17" i="3"/>
  <c r="K24" i="3"/>
  <c r="K47" i="3"/>
  <c r="K15" i="3"/>
  <c r="L31" i="598"/>
  <c r="L35" i="598" s="1"/>
  <c r="M32" i="598"/>
  <c r="K50" i="598"/>
  <c r="L16" i="598"/>
  <c r="L18" i="598"/>
  <c r="L25" i="598"/>
  <c r="L18" i="597"/>
  <c r="L25" i="597"/>
  <c r="L16" i="597"/>
  <c r="L35" i="597"/>
  <c r="L43" i="597"/>
  <c r="M17" i="31"/>
  <c r="L16" i="3"/>
  <c r="L14" i="3" s="1"/>
  <c r="L15" i="31"/>
  <c r="U37" i="31"/>
  <c r="U36" i="31"/>
  <c r="T80" i="597"/>
  <c r="K25" i="31"/>
  <c r="K18" i="31"/>
  <c r="K16" i="31"/>
  <c r="J58" i="598" l="1"/>
  <c r="L49" i="724"/>
  <c r="L50" i="724" s="1"/>
  <c r="L46" i="724"/>
  <c r="L47" i="724" s="1"/>
  <c r="L37" i="724"/>
  <c r="L36" i="724"/>
  <c r="K37" i="598"/>
  <c r="N31" i="724"/>
  <c r="O32" i="724"/>
  <c r="M43" i="724"/>
  <c r="M46" i="724" s="1"/>
  <c r="M35" i="724"/>
  <c r="K43" i="31"/>
  <c r="K46" i="31" s="1"/>
  <c r="K53" i="31" s="1"/>
  <c r="N31" i="723"/>
  <c r="O32" i="723"/>
  <c r="M43" i="723"/>
  <c r="M35" i="723"/>
  <c r="L49" i="723"/>
  <c r="L50" i="723" s="1"/>
  <c r="L46" i="723"/>
  <c r="L36" i="723"/>
  <c r="L37" i="723"/>
  <c r="L46" i="597"/>
  <c r="L47" i="597" s="1"/>
  <c r="L43" i="598"/>
  <c r="L49" i="598" s="1"/>
  <c r="L50" i="598" s="1"/>
  <c r="L36" i="598"/>
  <c r="L37" i="598"/>
  <c r="K53" i="598"/>
  <c r="K47" i="598"/>
  <c r="J36" i="31"/>
  <c r="J37" i="31"/>
  <c r="J38" i="31"/>
  <c r="T80" i="31"/>
  <c r="U53" i="31"/>
  <c r="U47" i="31"/>
  <c r="T53" i="31"/>
  <c r="L37" i="597"/>
  <c r="L36" i="597"/>
  <c r="K26" i="3"/>
  <c r="K25" i="3"/>
  <c r="K27" i="3"/>
  <c r="K40" i="3"/>
  <c r="L31" i="31"/>
  <c r="L43" i="31" s="1"/>
  <c r="L49" i="31" s="1"/>
  <c r="L31" i="3"/>
  <c r="L30" i="3" s="1"/>
  <c r="L37" i="3" s="1"/>
  <c r="M32" i="31"/>
  <c r="L25" i="31"/>
  <c r="L18" i="31"/>
  <c r="L16" i="31"/>
  <c r="J26" i="31"/>
  <c r="J28" i="31"/>
  <c r="J46" i="31"/>
  <c r="J27" i="31"/>
  <c r="J29" i="31"/>
  <c r="J59" i="598"/>
  <c r="J61" i="598"/>
  <c r="O31" i="597"/>
  <c r="P32" i="597"/>
  <c r="U59" i="598"/>
  <c r="L27" i="597"/>
  <c r="L28" i="597"/>
  <c r="L26" i="597"/>
  <c r="L47" i="3"/>
  <c r="L15" i="3"/>
  <c r="L17" i="3"/>
  <c r="L24" i="3"/>
  <c r="M31" i="598"/>
  <c r="M35" i="598" s="1"/>
  <c r="N32" i="598"/>
  <c r="K47" i="597"/>
  <c r="M25" i="597"/>
  <c r="M16" i="597"/>
  <c r="M18" i="597"/>
  <c r="M35" i="597"/>
  <c r="M43" i="597"/>
  <c r="M49" i="597" s="1"/>
  <c r="K26" i="31"/>
  <c r="K28" i="31"/>
  <c r="K27" i="31"/>
  <c r="N17" i="31"/>
  <c r="M16" i="3"/>
  <c r="M14" i="3" s="1"/>
  <c r="M15" i="31"/>
  <c r="M16" i="598"/>
  <c r="M25" i="598"/>
  <c r="M18" i="598"/>
  <c r="L26" i="598"/>
  <c r="L27" i="598"/>
  <c r="L28" i="598"/>
  <c r="K36" i="31"/>
  <c r="K37" i="31"/>
  <c r="L49" i="597"/>
  <c r="L50" i="597" s="1"/>
  <c r="J25" i="3"/>
  <c r="J40" i="3"/>
  <c r="J26" i="3"/>
  <c r="J27" i="3"/>
  <c r="O17" i="597"/>
  <c r="N15" i="597"/>
  <c r="N17" i="598"/>
  <c r="N15" i="598" s="1"/>
  <c r="M49" i="724" l="1"/>
  <c r="M50" i="724" s="1"/>
  <c r="N35" i="724"/>
  <c r="N43" i="724"/>
  <c r="P32" i="724"/>
  <c r="O31" i="724"/>
  <c r="L46" i="598"/>
  <c r="L47" i="598" s="1"/>
  <c r="M36" i="724"/>
  <c r="M37" i="724"/>
  <c r="M47" i="724"/>
  <c r="K49" i="31"/>
  <c r="M49" i="723"/>
  <c r="M50" i="723" s="1"/>
  <c r="M46" i="723"/>
  <c r="N35" i="723"/>
  <c r="N43" i="723"/>
  <c r="M36" i="723"/>
  <c r="M37" i="723"/>
  <c r="O31" i="723"/>
  <c r="P32" i="723"/>
  <c r="L47" i="723"/>
  <c r="M50" i="597"/>
  <c r="L35" i="31"/>
  <c r="L37" i="31" s="1"/>
  <c r="M37" i="598"/>
  <c r="M36" i="598"/>
  <c r="J44" i="3"/>
  <c r="J41" i="3"/>
  <c r="M43" i="598"/>
  <c r="M46" i="598" s="1"/>
  <c r="M18" i="31"/>
  <c r="M16" i="31"/>
  <c r="M25" i="31"/>
  <c r="L25" i="3"/>
  <c r="L40" i="3"/>
  <c r="L27" i="3"/>
  <c r="L26" i="3"/>
  <c r="M31" i="3"/>
  <c r="M30" i="3" s="1"/>
  <c r="M37" i="3" s="1"/>
  <c r="M31" i="31"/>
  <c r="M35" i="31" s="1"/>
  <c r="N32" i="31"/>
  <c r="J81" i="598"/>
  <c r="J70" i="598"/>
  <c r="J72" i="598"/>
  <c r="J74" i="598"/>
  <c r="J62" i="598"/>
  <c r="J69" i="598"/>
  <c r="J94" i="598" s="1"/>
  <c r="J67" i="598"/>
  <c r="J73" i="598"/>
  <c r="J68" i="598"/>
  <c r="L26" i="31"/>
  <c r="L28" i="31"/>
  <c r="L27" i="31"/>
  <c r="L46" i="31"/>
  <c r="L50" i="31"/>
  <c r="K50" i="31"/>
  <c r="M15" i="3"/>
  <c r="M17" i="3"/>
  <c r="M24" i="3"/>
  <c r="M47" i="3"/>
  <c r="P31" i="597"/>
  <c r="Q32" i="597"/>
  <c r="K47" i="31"/>
  <c r="J47" i="31"/>
  <c r="J53" i="31"/>
  <c r="N16" i="597"/>
  <c r="N18" i="597"/>
  <c r="N25" i="597"/>
  <c r="N43" i="597"/>
  <c r="N35" i="597"/>
  <c r="M26" i="597"/>
  <c r="M28" i="597"/>
  <c r="M27" i="597"/>
  <c r="P17" i="597"/>
  <c r="O15" i="597"/>
  <c r="O17" i="598"/>
  <c r="O15" i="598" s="1"/>
  <c r="M28" i="598"/>
  <c r="M27" i="598"/>
  <c r="M26" i="598"/>
  <c r="O17" i="31"/>
  <c r="N16" i="3"/>
  <c r="N14" i="3" s="1"/>
  <c r="N15" i="31"/>
  <c r="K58" i="598"/>
  <c r="K91" i="598"/>
  <c r="N25" i="598"/>
  <c r="N18" i="598"/>
  <c r="N16" i="598"/>
  <c r="M46" i="597"/>
  <c r="K41" i="3"/>
  <c r="K44" i="3"/>
  <c r="M37" i="597"/>
  <c r="M36" i="597"/>
  <c r="N31" i="598"/>
  <c r="N43" i="598" s="1"/>
  <c r="N49" i="598" s="1"/>
  <c r="O32" i="598"/>
  <c r="L146" i="2"/>
  <c r="L53" i="598" l="1"/>
  <c r="L58" i="598" s="1"/>
  <c r="L59" i="598" s="1"/>
  <c r="O35" i="724"/>
  <c r="O43" i="724"/>
  <c r="O46" i="724" s="1"/>
  <c r="Q32" i="724"/>
  <c r="P31" i="724"/>
  <c r="N46" i="597"/>
  <c r="N47" i="597" s="1"/>
  <c r="N46" i="724"/>
  <c r="N47" i="724" s="1"/>
  <c r="N49" i="724"/>
  <c r="N50" i="724" s="1"/>
  <c r="N36" i="724"/>
  <c r="N37" i="724"/>
  <c r="N36" i="723"/>
  <c r="N37" i="723"/>
  <c r="L36" i="31"/>
  <c r="P31" i="723"/>
  <c r="Q32" i="723"/>
  <c r="N49" i="723"/>
  <c r="N50" i="723" s="1"/>
  <c r="N46" i="723"/>
  <c r="M49" i="598"/>
  <c r="M50" i="598" s="1"/>
  <c r="O35" i="723"/>
  <c r="O43" i="723"/>
  <c r="M47" i="723"/>
  <c r="L146" i="30"/>
  <c r="L147" i="2"/>
  <c r="W147" i="2" s="1"/>
  <c r="L93" i="598"/>
  <c r="M37" i="31"/>
  <c r="M36" i="31"/>
  <c r="N15" i="3"/>
  <c r="N24" i="3"/>
  <c r="N47" i="3"/>
  <c r="N17" i="3"/>
  <c r="Q17" i="597"/>
  <c r="P17" i="598"/>
  <c r="P15" i="598" s="1"/>
  <c r="P15" i="597"/>
  <c r="J55" i="31"/>
  <c r="K91" i="31"/>
  <c r="M43" i="31"/>
  <c r="M46" i="31" s="1"/>
  <c r="N26" i="597"/>
  <c r="N27" i="597"/>
  <c r="N28" i="597"/>
  <c r="N35" i="598"/>
  <c r="M47" i="597"/>
  <c r="P17" i="31"/>
  <c r="O16" i="3"/>
  <c r="O14" i="3" s="1"/>
  <c r="O15" i="31"/>
  <c r="M26" i="31"/>
  <c r="M28" i="31"/>
  <c r="M27" i="31"/>
  <c r="K81" i="598"/>
  <c r="K59" i="598"/>
  <c r="K61" i="598"/>
  <c r="N37" i="597"/>
  <c r="N36" i="597"/>
  <c r="M25" i="3"/>
  <c r="M27" i="3"/>
  <c r="M26" i="3"/>
  <c r="M47" i="598"/>
  <c r="M53" i="598"/>
  <c r="M58" i="598" s="1"/>
  <c r="L44" i="3"/>
  <c r="L49" i="3" s="1"/>
  <c r="L41" i="3"/>
  <c r="J46" i="3"/>
  <c r="J47" i="3" s="1"/>
  <c r="N31" i="31"/>
  <c r="N43" i="31" s="1"/>
  <c r="N31" i="3"/>
  <c r="N30" i="3" s="1"/>
  <c r="N37" i="3" s="1"/>
  <c r="O32" i="31"/>
  <c r="O31" i="598"/>
  <c r="O35" i="598" s="1"/>
  <c r="P32" i="598"/>
  <c r="N25" i="31"/>
  <c r="N18" i="31"/>
  <c r="N16" i="31"/>
  <c r="N28" i="598"/>
  <c r="N27" i="598"/>
  <c r="N26" i="598"/>
  <c r="N46" i="598"/>
  <c r="Q31" i="597"/>
  <c r="R32" i="597"/>
  <c r="L53" i="31"/>
  <c r="L47" i="31"/>
  <c r="J96" i="598"/>
  <c r="O25" i="598"/>
  <c r="O16" i="598"/>
  <c r="O18" i="598"/>
  <c r="O18" i="597"/>
  <c r="O25" i="597"/>
  <c r="O16" i="597"/>
  <c r="O43" i="597"/>
  <c r="O49" i="597" s="1"/>
  <c r="O35" i="597"/>
  <c r="M40" i="3"/>
  <c r="K93" i="598"/>
  <c r="K94" i="598" s="1"/>
  <c r="K96" i="598" s="1"/>
  <c r="N49" i="597"/>
  <c r="N50" i="597" s="1"/>
  <c r="L81" i="598" l="1"/>
  <c r="L61" i="598"/>
  <c r="L73" i="598" s="1"/>
  <c r="O49" i="724"/>
  <c r="O50" i="724" s="1"/>
  <c r="P43" i="724"/>
  <c r="P46" i="724" s="1"/>
  <c r="P47" i="724" s="1"/>
  <c r="P35" i="724"/>
  <c r="Q31" i="724"/>
  <c r="R32" i="724"/>
  <c r="O47" i="724"/>
  <c r="O36" i="724"/>
  <c r="O37" i="724"/>
  <c r="N46" i="31"/>
  <c r="N47" i="31" s="1"/>
  <c r="P43" i="723"/>
  <c r="P35" i="723"/>
  <c r="O49" i="723"/>
  <c r="O50" i="723" s="1"/>
  <c r="O46" i="723"/>
  <c r="N47" i="723"/>
  <c r="N50" i="598"/>
  <c r="O37" i="723"/>
  <c r="O36" i="723"/>
  <c r="Q31" i="723"/>
  <c r="R32" i="723"/>
  <c r="W146" i="30"/>
  <c r="L147" i="30"/>
  <c r="N40" i="3"/>
  <c r="N41" i="3" s="1"/>
  <c r="O43" i="598"/>
  <c r="O46" i="598" s="1"/>
  <c r="O47" i="598" s="1"/>
  <c r="M49" i="31"/>
  <c r="M50" i="31" s="1"/>
  <c r="O36" i="598"/>
  <c r="O37" i="598"/>
  <c r="O36" i="597"/>
  <c r="O37" i="597"/>
  <c r="N49" i="31"/>
  <c r="P31" i="598"/>
  <c r="P43" i="598" s="1"/>
  <c r="Q32" i="598"/>
  <c r="N25" i="3"/>
  <c r="N26" i="3"/>
  <c r="N27" i="3"/>
  <c r="O46" i="597"/>
  <c r="R31" i="597"/>
  <c r="S32" i="597"/>
  <c r="S31" i="597" s="1"/>
  <c r="N35" i="31"/>
  <c r="L50" i="3"/>
  <c r="L71" i="3"/>
  <c r="K69" i="598"/>
  <c r="K73" i="598"/>
  <c r="K62" i="598"/>
  <c r="K72" i="598"/>
  <c r="K74" i="598"/>
  <c r="K67" i="598"/>
  <c r="K70" i="598"/>
  <c r="O18" i="31"/>
  <c r="O25" i="31"/>
  <c r="O16" i="31"/>
  <c r="N37" i="598"/>
  <c r="N36" i="598"/>
  <c r="O27" i="598"/>
  <c r="O26" i="598"/>
  <c r="O28" i="598"/>
  <c r="O31" i="31"/>
  <c r="O43" i="31" s="1"/>
  <c r="O31" i="3"/>
  <c r="O30" i="3" s="1"/>
  <c r="O37" i="3" s="1"/>
  <c r="P32" i="31"/>
  <c r="M59" i="598"/>
  <c r="M81" i="598"/>
  <c r="O24" i="3"/>
  <c r="O17" i="3"/>
  <c r="O15" i="3"/>
  <c r="O47" i="3"/>
  <c r="J58" i="31"/>
  <c r="K55" i="31"/>
  <c r="J56" i="31"/>
  <c r="K56" i="31" s="1"/>
  <c r="L56" i="31" s="1"/>
  <c r="M56" i="31" s="1"/>
  <c r="N56" i="31" s="1"/>
  <c r="O56" i="31" s="1"/>
  <c r="P56" i="31" s="1"/>
  <c r="Q56" i="31" s="1"/>
  <c r="R56" i="31" s="1"/>
  <c r="S56" i="31" s="1"/>
  <c r="T56" i="31" s="1"/>
  <c r="U56" i="31" s="1"/>
  <c r="M41" i="3"/>
  <c r="M44" i="3"/>
  <c r="M49" i="3" s="1"/>
  <c r="N53" i="598"/>
  <c r="N58" i="598" s="1"/>
  <c r="N47" i="598"/>
  <c r="Q17" i="31"/>
  <c r="P16" i="3"/>
  <c r="P14" i="3" s="1"/>
  <c r="P15" i="31"/>
  <c r="P16" i="597"/>
  <c r="P18" i="597"/>
  <c r="P25" i="597"/>
  <c r="P35" i="597"/>
  <c r="P43" i="597"/>
  <c r="P49" i="597" s="1"/>
  <c r="P50" i="597" s="1"/>
  <c r="L94" i="598"/>
  <c r="L96" i="598" s="1"/>
  <c r="J49" i="3"/>
  <c r="P16" i="598"/>
  <c r="P18" i="598"/>
  <c r="P25" i="598"/>
  <c r="O50" i="597"/>
  <c r="O26" i="597"/>
  <c r="O28" i="597"/>
  <c r="O27" i="597"/>
  <c r="N27" i="31"/>
  <c r="N26" i="31"/>
  <c r="N28" i="31"/>
  <c r="K49" i="3"/>
  <c r="M47" i="31"/>
  <c r="M53" i="31"/>
  <c r="R17" i="597"/>
  <c r="Q17" i="598"/>
  <c r="Q15" i="598" s="1"/>
  <c r="Q15" i="597"/>
  <c r="P35" i="598" l="1"/>
  <c r="P49" i="724"/>
  <c r="P50" i="724" s="1"/>
  <c r="L67" i="598"/>
  <c r="L69" i="598"/>
  <c r="L72" i="598"/>
  <c r="M61" i="598"/>
  <c r="M67" i="598" s="1"/>
  <c r="L74" i="598"/>
  <c r="L70" i="598"/>
  <c r="L62" i="598"/>
  <c r="R31" i="724"/>
  <c r="S32" i="724"/>
  <c r="S31" i="724" s="1"/>
  <c r="Q35" i="724"/>
  <c r="Q43" i="724"/>
  <c r="Q46" i="724" s="1"/>
  <c r="Q47" i="724" s="1"/>
  <c r="P36" i="724"/>
  <c r="P37" i="724"/>
  <c r="N53" i="31"/>
  <c r="N50" i="31"/>
  <c r="O47" i="723"/>
  <c r="R31" i="723"/>
  <c r="S32" i="723"/>
  <c r="S31" i="723" s="1"/>
  <c r="Q35" i="723"/>
  <c r="Q43" i="723"/>
  <c r="P36" i="723"/>
  <c r="P37" i="723"/>
  <c r="O49" i="598"/>
  <c r="O50" i="598" s="1"/>
  <c r="P49" i="723"/>
  <c r="P50" i="723" s="1"/>
  <c r="P46" i="723"/>
  <c r="O53" i="598"/>
  <c r="O58" i="598" s="1"/>
  <c r="O81" i="598" s="1"/>
  <c r="W147" i="30"/>
  <c r="N147" i="30"/>
  <c r="N44" i="3"/>
  <c r="N49" i="3" s="1"/>
  <c r="N50" i="3" s="1"/>
  <c r="P46" i="597"/>
  <c r="P49" i="598"/>
  <c r="O46" i="31"/>
  <c r="O47" i="31" s="1"/>
  <c r="O35" i="31"/>
  <c r="O36" i="31" s="1"/>
  <c r="P17" i="3"/>
  <c r="P47" i="3"/>
  <c r="P24" i="3"/>
  <c r="P15" i="3"/>
  <c r="O26" i="31"/>
  <c r="O27" i="31"/>
  <c r="O28" i="31"/>
  <c r="O27" i="3"/>
  <c r="O25" i="3"/>
  <c r="O26" i="3"/>
  <c r="R17" i="31"/>
  <c r="Q16" i="3"/>
  <c r="Q14" i="3" s="1"/>
  <c r="Q15" i="31"/>
  <c r="Q31" i="598"/>
  <c r="Q35" i="598" s="1"/>
  <c r="R32" i="598"/>
  <c r="P16" i="31"/>
  <c r="P25" i="31"/>
  <c r="P18" i="31"/>
  <c r="N81" i="598"/>
  <c r="N59" i="598"/>
  <c r="P31" i="31"/>
  <c r="P35" i="31" s="1"/>
  <c r="P31" i="3"/>
  <c r="P30" i="3" s="1"/>
  <c r="P37" i="3" s="1"/>
  <c r="Q32" i="31"/>
  <c r="P27" i="598"/>
  <c r="P28" i="598"/>
  <c r="P26" i="598"/>
  <c r="O47" i="597"/>
  <c r="S17" i="597"/>
  <c r="R17" i="598"/>
  <c r="R15" i="598" s="1"/>
  <c r="R15" i="597"/>
  <c r="M71" i="3"/>
  <c r="M50" i="3"/>
  <c r="O40" i="3"/>
  <c r="L55" i="31"/>
  <c r="K58" i="31"/>
  <c r="Q16" i="597"/>
  <c r="Q18" i="597"/>
  <c r="Q25" i="597"/>
  <c r="Q35" i="597"/>
  <c r="Q43" i="597"/>
  <c r="Q49" i="597" s="1"/>
  <c r="Q50" i="597" s="1"/>
  <c r="K50" i="3"/>
  <c r="K71" i="3"/>
  <c r="P36" i="597"/>
  <c r="P37" i="597"/>
  <c r="O49" i="31"/>
  <c r="O50" i="31" s="1"/>
  <c r="N36" i="31"/>
  <c r="N37" i="31"/>
  <c r="P37" i="598"/>
  <c r="P36" i="598"/>
  <c r="J61" i="31"/>
  <c r="J59" i="31"/>
  <c r="J71" i="3"/>
  <c r="J50" i="3"/>
  <c r="J52" i="3"/>
  <c r="K52" i="3" s="1"/>
  <c r="Q16" i="598"/>
  <c r="Q18" i="598"/>
  <c r="Q25" i="598"/>
  <c r="P46" i="598"/>
  <c r="P28" i="597"/>
  <c r="P27" i="597"/>
  <c r="P26" i="597"/>
  <c r="N61" i="598" l="1"/>
  <c r="M72" i="598"/>
  <c r="M74" i="598"/>
  <c r="M73" i="598"/>
  <c r="M62" i="598"/>
  <c r="M69" i="598"/>
  <c r="P50" i="598"/>
  <c r="M70" i="598"/>
  <c r="Q49" i="724"/>
  <c r="Q50" i="724" s="1"/>
  <c r="O53" i="31"/>
  <c r="Q36" i="724"/>
  <c r="Q37" i="724"/>
  <c r="S43" i="724"/>
  <c r="S46" i="724" s="1"/>
  <c r="S35" i="724"/>
  <c r="R43" i="724"/>
  <c r="R35" i="724"/>
  <c r="P47" i="723"/>
  <c r="R43" i="723"/>
  <c r="R35" i="723"/>
  <c r="Q37" i="723"/>
  <c r="Q36" i="723"/>
  <c r="S35" i="723"/>
  <c r="S43" i="723"/>
  <c r="O59" i="598"/>
  <c r="P43" i="31"/>
  <c r="P49" i="31" s="1"/>
  <c r="P50" i="31" s="1"/>
  <c r="Q49" i="723"/>
  <c r="Q50" i="723" s="1"/>
  <c r="Q46" i="723"/>
  <c r="P47" i="597"/>
  <c r="N147" i="2"/>
  <c r="X147" i="2" s="1"/>
  <c r="X147" i="30"/>
  <c r="N148" i="30"/>
  <c r="N157" i="30" s="1"/>
  <c r="X157" i="30" s="1"/>
  <c r="N71" i="3"/>
  <c r="O37" i="31"/>
  <c r="Q43" i="598"/>
  <c r="Q46" i="598" s="1"/>
  <c r="Q53" i="598" s="1"/>
  <c r="Q58" i="598" s="1"/>
  <c r="P40" i="3"/>
  <c r="P44" i="3" s="1"/>
  <c r="P49" i="3" s="1"/>
  <c r="K64" i="3"/>
  <c r="K63" i="3"/>
  <c r="K62" i="3"/>
  <c r="K53" i="3"/>
  <c r="K57" i="3"/>
  <c r="L52" i="3"/>
  <c r="P36" i="31"/>
  <c r="P37" i="31"/>
  <c r="Q27" i="598"/>
  <c r="Q26" i="598"/>
  <c r="Q28" i="598"/>
  <c r="Q17" i="3"/>
  <c r="Q24" i="3"/>
  <c r="Q15" i="3"/>
  <c r="Q47" i="3"/>
  <c r="T17" i="597"/>
  <c r="S17" i="598"/>
  <c r="S15" i="598" s="1"/>
  <c r="S15" i="597"/>
  <c r="P53" i="598"/>
  <c r="P58" i="598" s="1"/>
  <c r="P47" i="598"/>
  <c r="S17" i="31"/>
  <c r="R16" i="3"/>
  <c r="R14" i="3" s="1"/>
  <c r="R15" i="31"/>
  <c r="Q27" i="597"/>
  <c r="Q28" i="597"/>
  <c r="Q26" i="597"/>
  <c r="N67" i="598"/>
  <c r="N62" i="598"/>
  <c r="N73" i="598"/>
  <c r="N69" i="598"/>
  <c r="N74" i="598"/>
  <c r="N70" i="598"/>
  <c r="N72" i="598"/>
  <c r="R31" i="598"/>
  <c r="R35" i="598" s="1"/>
  <c r="S32" i="598"/>
  <c r="S31" i="598" s="1"/>
  <c r="Q37" i="598"/>
  <c r="Q36" i="598"/>
  <c r="J57" i="3"/>
  <c r="J63" i="3"/>
  <c r="J64" i="3"/>
  <c r="J53" i="3"/>
  <c r="J62" i="3"/>
  <c r="Q37" i="597"/>
  <c r="Q36" i="597"/>
  <c r="R16" i="598"/>
  <c r="R25" i="598"/>
  <c r="R18" i="598"/>
  <c r="J69" i="31"/>
  <c r="J94" i="31" s="1"/>
  <c r="J81" i="31"/>
  <c r="J70" i="31"/>
  <c r="J62" i="31"/>
  <c r="J73" i="31"/>
  <c r="J67" i="31"/>
  <c r="J72" i="31"/>
  <c r="J74" i="31"/>
  <c r="J68" i="31"/>
  <c r="Q31" i="3"/>
  <c r="Q30" i="3" s="1"/>
  <c r="Q37" i="3" s="1"/>
  <c r="Q31" i="31"/>
  <c r="Q43" i="31" s="1"/>
  <c r="R32" i="31"/>
  <c r="Q16" i="31"/>
  <c r="Q25" i="31"/>
  <c r="Q18" i="31"/>
  <c r="K81" i="31"/>
  <c r="K61" i="31"/>
  <c r="K59" i="31"/>
  <c r="K93" i="31"/>
  <c r="O61" i="598"/>
  <c r="P27" i="3"/>
  <c r="P25" i="3"/>
  <c r="P26" i="3"/>
  <c r="O44" i="3"/>
  <c r="O49" i="3" s="1"/>
  <c r="O41" i="3"/>
  <c r="Q46" i="597"/>
  <c r="M55" i="31"/>
  <c r="L58" i="31"/>
  <c r="R18" i="597"/>
  <c r="R16" i="597"/>
  <c r="R25" i="597"/>
  <c r="R35" i="597"/>
  <c r="R43" i="597"/>
  <c r="P27" i="31"/>
  <c r="P28" i="31"/>
  <c r="P26" i="31"/>
  <c r="S49" i="724" l="1"/>
  <c r="T50" i="724" s="1"/>
  <c r="P46" i="31"/>
  <c r="P47" i="31" s="1"/>
  <c r="Q47" i="598"/>
  <c r="R46" i="724"/>
  <c r="R47" i="724" s="1"/>
  <c r="R49" i="724"/>
  <c r="R50" i="724" s="1"/>
  <c r="S37" i="724"/>
  <c r="S36" i="724"/>
  <c r="T36" i="724"/>
  <c r="T47" i="724"/>
  <c r="R37" i="724"/>
  <c r="R36" i="724"/>
  <c r="Q47" i="723"/>
  <c r="R36" i="723"/>
  <c r="R37" i="723"/>
  <c r="R49" i="723"/>
  <c r="R50" i="723" s="1"/>
  <c r="R46" i="723"/>
  <c r="S49" i="723"/>
  <c r="S46" i="723"/>
  <c r="S37" i="723"/>
  <c r="S36" i="723"/>
  <c r="T36" i="723"/>
  <c r="N148" i="2"/>
  <c r="X148" i="2" s="1"/>
  <c r="X167" i="2" s="1"/>
  <c r="X148" i="30"/>
  <c r="R46" i="597"/>
  <c r="R47" i="597" s="1"/>
  <c r="P41" i="3"/>
  <c r="R43" i="598"/>
  <c r="R46" i="598" s="1"/>
  <c r="R53" i="598" s="1"/>
  <c r="R58" i="598" s="1"/>
  <c r="Q49" i="598"/>
  <c r="Q50" i="598" s="1"/>
  <c r="K94" i="31"/>
  <c r="K96" i="31" s="1"/>
  <c r="Q46" i="31"/>
  <c r="Q49" i="31"/>
  <c r="Q50" i="31" s="1"/>
  <c r="Q25" i="3"/>
  <c r="Q26" i="3"/>
  <c r="Q27" i="3"/>
  <c r="S15" i="31"/>
  <c r="S16" i="3"/>
  <c r="S14" i="3" s="1"/>
  <c r="P50" i="3"/>
  <c r="P71" i="3"/>
  <c r="L57" i="3"/>
  <c r="L64" i="3"/>
  <c r="L53" i="3"/>
  <c r="L63" i="3"/>
  <c r="L62" i="3"/>
  <c r="M52" i="3"/>
  <c r="N55" i="31"/>
  <c r="M58" i="31"/>
  <c r="S16" i="598"/>
  <c r="S25" i="598"/>
  <c r="S18" i="598"/>
  <c r="S35" i="598"/>
  <c r="S43" i="598"/>
  <c r="R37" i="597"/>
  <c r="R36" i="597"/>
  <c r="R47" i="3"/>
  <c r="R17" i="3"/>
  <c r="R24" i="3"/>
  <c r="R15" i="3"/>
  <c r="R26" i="597"/>
  <c r="R28" i="597"/>
  <c r="R27" i="597"/>
  <c r="R31" i="3"/>
  <c r="R30" i="3" s="1"/>
  <c r="R37" i="3" s="1"/>
  <c r="R31" i="31"/>
  <c r="R35" i="31" s="1"/>
  <c r="S32" i="31"/>
  <c r="R26" i="598"/>
  <c r="R27" i="598"/>
  <c r="R28" i="598"/>
  <c r="R37" i="598"/>
  <c r="R36" i="598"/>
  <c r="T15" i="597"/>
  <c r="T17" i="598"/>
  <c r="T15" i="598" s="1"/>
  <c r="K69" i="31"/>
  <c r="K70" i="31"/>
  <c r="K73" i="31"/>
  <c r="K74" i="31"/>
  <c r="K62" i="31"/>
  <c r="K72" i="31"/>
  <c r="K67" i="31"/>
  <c r="Q47" i="597"/>
  <c r="Q27" i="31"/>
  <c r="Q28" i="31"/>
  <c r="Q26" i="31"/>
  <c r="Q40" i="3"/>
  <c r="O50" i="3"/>
  <c r="O71" i="3"/>
  <c r="Q35" i="31"/>
  <c r="J96" i="31"/>
  <c r="P81" i="598"/>
  <c r="P59" i="598"/>
  <c r="P61" i="598"/>
  <c r="Q81" i="598"/>
  <c r="Q59" i="598"/>
  <c r="R25" i="31"/>
  <c r="R16" i="31"/>
  <c r="R18" i="31"/>
  <c r="R49" i="597"/>
  <c r="R50" i="597" s="1"/>
  <c r="L59" i="31"/>
  <c r="L81" i="31"/>
  <c r="L61" i="31"/>
  <c r="L93" i="31"/>
  <c r="O67" i="598"/>
  <c r="O74" i="598"/>
  <c r="O62" i="598"/>
  <c r="O69" i="598"/>
  <c r="O73" i="598"/>
  <c r="O72" i="598"/>
  <c r="O70" i="598"/>
  <c r="S18" i="597"/>
  <c r="S16" i="597"/>
  <c r="S25" i="597"/>
  <c r="S43" i="597"/>
  <c r="S35" i="597"/>
  <c r="P53" i="31" l="1"/>
  <c r="R43" i="31"/>
  <c r="R49" i="31" s="1"/>
  <c r="S50" i="724"/>
  <c r="S47" i="724"/>
  <c r="R46" i="31"/>
  <c r="R47" i="31" s="1"/>
  <c r="S47" i="723"/>
  <c r="T47" i="723"/>
  <c r="R47" i="598"/>
  <c r="R49" i="598"/>
  <c r="R50" i="598" s="1"/>
  <c r="S50" i="723"/>
  <c r="T50" i="723"/>
  <c r="R47" i="723"/>
  <c r="X165" i="30"/>
  <c r="J53" i="724"/>
  <c r="J53" i="597"/>
  <c r="J53" i="723"/>
  <c r="S46" i="597"/>
  <c r="L94" i="31"/>
  <c r="L96" i="31" s="1"/>
  <c r="S49" i="597"/>
  <c r="S50" i="597" s="1"/>
  <c r="S46" i="598"/>
  <c r="S47" i="598" s="1"/>
  <c r="R50" i="31"/>
  <c r="R40" i="3"/>
  <c r="R44" i="3" s="1"/>
  <c r="R49" i="3" s="1"/>
  <c r="R36" i="31"/>
  <c r="R37" i="31"/>
  <c r="S28" i="597"/>
  <c r="S26" i="597"/>
  <c r="S27" i="597"/>
  <c r="Q41" i="3"/>
  <c r="Q44" i="3"/>
  <c r="Q49" i="3" s="1"/>
  <c r="S49" i="598"/>
  <c r="T18" i="31"/>
  <c r="S16" i="31"/>
  <c r="S18" i="31"/>
  <c r="S25" i="31"/>
  <c r="T16" i="31"/>
  <c r="S36" i="597"/>
  <c r="S37" i="597"/>
  <c r="S36" i="598"/>
  <c r="S37" i="598"/>
  <c r="U18" i="598"/>
  <c r="T16" i="598"/>
  <c r="T43" i="598"/>
  <c r="T49" i="598" s="1"/>
  <c r="T25" i="598"/>
  <c r="T35" i="598"/>
  <c r="T18" i="598"/>
  <c r="U16" i="598"/>
  <c r="O55" i="31"/>
  <c r="N58" i="31"/>
  <c r="M63" i="3"/>
  <c r="M62" i="3"/>
  <c r="M53" i="3"/>
  <c r="M64" i="3"/>
  <c r="M57" i="3"/>
  <c r="N52" i="3"/>
  <c r="S17" i="3"/>
  <c r="S15" i="3"/>
  <c r="S24" i="3"/>
  <c r="S47" i="3"/>
  <c r="R26" i="31"/>
  <c r="R27" i="31"/>
  <c r="R28" i="31"/>
  <c r="P67" i="598"/>
  <c r="P72" i="598"/>
  <c r="P73" i="598"/>
  <c r="P69" i="598"/>
  <c r="P70" i="598"/>
  <c r="P62" i="598"/>
  <c r="P74" i="598"/>
  <c r="U16" i="597"/>
  <c r="T35" i="597"/>
  <c r="T43" i="597"/>
  <c r="T49" i="597" s="1"/>
  <c r="T25" i="597"/>
  <c r="T16" i="597"/>
  <c r="T18" i="597"/>
  <c r="U18" i="597"/>
  <c r="R25" i="3"/>
  <c r="R27" i="3"/>
  <c r="R26" i="3"/>
  <c r="S28" i="598"/>
  <c r="S26" i="598"/>
  <c r="S27" i="598"/>
  <c r="L62" i="31"/>
  <c r="L69" i="31"/>
  <c r="L74" i="31"/>
  <c r="L67" i="31"/>
  <c r="L72" i="31"/>
  <c r="L70" i="31"/>
  <c r="L73" i="31"/>
  <c r="Q37" i="31"/>
  <c r="Q36" i="31"/>
  <c r="Q61" i="598"/>
  <c r="R61" i="598" s="1"/>
  <c r="S31" i="31"/>
  <c r="S35" i="31" s="1"/>
  <c r="S31" i="3"/>
  <c r="S30" i="3" s="1"/>
  <c r="S37" i="3" s="1"/>
  <c r="R81" i="598"/>
  <c r="R59" i="598"/>
  <c r="M61" i="31"/>
  <c r="M81" i="31"/>
  <c r="M59" i="31"/>
  <c r="Q53" i="31"/>
  <c r="Q47" i="31"/>
  <c r="R53" i="31" l="1"/>
  <c r="S53" i="598"/>
  <c r="S58" i="598" s="1"/>
  <c r="S50" i="598"/>
  <c r="J52" i="597"/>
  <c r="K52" i="597" s="1"/>
  <c r="J55" i="597"/>
  <c r="J56" i="597" s="1"/>
  <c r="L56" i="597" s="1"/>
  <c r="M56" i="597" s="1"/>
  <c r="N56" i="597" s="1"/>
  <c r="O56" i="597" s="1"/>
  <c r="P56" i="597" s="1"/>
  <c r="Q56" i="597" s="1"/>
  <c r="R56" i="597" s="1"/>
  <c r="S56" i="597" s="1"/>
  <c r="T56" i="597" s="1"/>
  <c r="U56" i="597" s="1"/>
  <c r="S47" i="597"/>
  <c r="J52" i="723"/>
  <c r="K52" i="723" s="1"/>
  <c r="J55" i="723"/>
  <c r="J56" i="723" s="1"/>
  <c r="J55" i="724"/>
  <c r="J56" i="724" s="1"/>
  <c r="J52" i="724"/>
  <c r="K52" i="724" s="1"/>
  <c r="R41" i="3"/>
  <c r="S40" i="3"/>
  <c r="S44" i="3" s="1"/>
  <c r="S49" i="3" s="1"/>
  <c r="S37" i="31"/>
  <c r="S36" i="31"/>
  <c r="T36" i="31"/>
  <c r="U50" i="597"/>
  <c r="T50" i="597"/>
  <c r="S27" i="3"/>
  <c r="S26" i="3"/>
  <c r="S25" i="3"/>
  <c r="T37" i="598"/>
  <c r="T36" i="598"/>
  <c r="U36" i="598"/>
  <c r="S43" i="31"/>
  <c r="S46" i="31" s="1"/>
  <c r="R50" i="3"/>
  <c r="U26" i="597"/>
  <c r="T28" i="597"/>
  <c r="T46" i="597"/>
  <c r="T26" i="597"/>
  <c r="T27" i="597"/>
  <c r="U28" i="597"/>
  <c r="T37" i="597"/>
  <c r="T36" i="597"/>
  <c r="U36" i="597"/>
  <c r="Q72" i="598"/>
  <c r="Q70" i="598"/>
  <c r="Q67" i="598"/>
  <c r="Q73" i="598"/>
  <c r="Q74" i="598"/>
  <c r="Q62" i="598"/>
  <c r="Q69" i="598"/>
  <c r="T27" i="598"/>
  <c r="T46" i="598"/>
  <c r="T28" i="598"/>
  <c r="T26" i="598"/>
  <c r="U28" i="598"/>
  <c r="U26" i="598"/>
  <c r="N63" i="3"/>
  <c r="N62" i="3"/>
  <c r="N53" i="3"/>
  <c r="N57" i="3"/>
  <c r="N64" i="3"/>
  <c r="O52" i="3"/>
  <c r="M69" i="31"/>
  <c r="M73" i="31"/>
  <c r="M70" i="31"/>
  <c r="M72" i="31"/>
  <c r="M62" i="31"/>
  <c r="M67" i="31"/>
  <c r="M74" i="31"/>
  <c r="N61" i="31"/>
  <c r="N59" i="31"/>
  <c r="N81" i="31"/>
  <c r="T50" i="598"/>
  <c r="U50" i="598"/>
  <c r="T26" i="31"/>
  <c r="S26" i="31"/>
  <c r="S28" i="31"/>
  <c r="S27" i="31"/>
  <c r="T28" i="31"/>
  <c r="Q71" i="3"/>
  <c r="Q50" i="3"/>
  <c r="R70" i="598"/>
  <c r="R73" i="598"/>
  <c r="R62" i="598"/>
  <c r="R67" i="598"/>
  <c r="R74" i="598"/>
  <c r="R72" i="598"/>
  <c r="R69" i="598"/>
  <c r="S59" i="598"/>
  <c r="S81" i="598"/>
  <c r="S61" i="598"/>
  <c r="P55" i="31"/>
  <c r="O58" i="31"/>
  <c r="J58" i="597" l="1"/>
  <c r="J58" i="723"/>
  <c r="J59" i="597"/>
  <c r="J61" i="597"/>
  <c r="J70" i="597" s="1"/>
  <c r="L52" i="723"/>
  <c r="K53" i="723"/>
  <c r="L52" i="724"/>
  <c r="K53" i="724"/>
  <c r="L52" i="597"/>
  <c r="K53" i="597"/>
  <c r="J58" i="724"/>
  <c r="R70" i="3"/>
  <c r="R71" i="3" s="1"/>
  <c r="H72" i="3" s="1"/>
  <c r="H81" i="3" s="1"/>
  <c r="S41" i="3"/>
  <c r="O64" i="3"/>
  <c r="O53" i="3"/>
  <c r="O57" i="3"/>
  <c r="O62" i="3"/>
  <c r="O63" i="3"/>
  <c r="P52" i="3"/>
  <c r="Q55" i="31"/>
  <c r="P58" i="31"/>
  <c r="S50" i="3"/>
  <c r="S49" i="31"/>
  <c r="S73" i="598"/>
  <c r="S74" i="598"/>
  <c r="S67" i="598"/>
  <c r="S69" i="598"/>
  <c r="S70" i="598"/>
  <c r="S62" i="598"/>
  <c r="S72" i="598"/>
  <c r="T53" i="598"/>
  <c r="T58" i="598" s="1"/>
  <c r="T47" i="598"/>
  <c r="U47" i="598"/>
  <c r="S47" i="31"/>
  <c r="S53" i="31"/>
  <c r="T47" i="31"/>
  <c r="O81" i="31"/>
  <c r="O61" i="31"/>
  <c r="O59" i="31"/>
  <c r="T47" i="597"/>
  <c r="U47" i="597"/>
  <c r="N67" i="31"/>
  <c r="N62" i="31"/>
  <c r="N73" i="31"/>
  <c r="N69" i="31"/>
  <c r="N74" i="31"/>
  <c r="N72" i="31"/>
  <c r="N70" i="31"/>
  <c r="K58" i="723" l="1"/>
  <c r="K91" i="723"/>
  <c r="K93" i="723" s="1"/>
  <c r="J67" i="597"/>
  <c r="J72" i="597"/>
  <c r="J74" i="597"/>
  <c r="J73" i="597"/>
  <c r="J62" i="597"/>
  <c r="J68" i="597"/>
  <c r="J81" i="597"/>
  <c r="J69" i="597"/>
  <c r="M52" i="597"/>
  <c r="L53" i="597"/>
  <c r="L58" i="597" s="1"/>
  <c r="K58" i="724"/>
  <c r="K91" i="724"/>
  <c r="M52" i="724"/>
  <c r="L53" i="724"/>
  <c r="L58" i="724" s="1"/>
  <c r="M52" i="723"/>
  <c r="L53" i="723"/>
  <c r="L58" i="723" s="1"/>
  <c r="J61" i="724"/>
  <c r="J59" i="724"/>
  <c r="K91" i="597"/>
  <c r="K58" i="597"/>
  <c r="J61" i="723"/>
  <c r="J59" i="723"/>
  <c r="R55" i="31"/>
  <c r="Q58" i="31"/>
  <c r="P59" i="31"/>
  <c r="P61" i="31"/>
  <c r="P81" i="31"/>
  <c r="P62" i="3"/>
  <c r="P63" i="3"/>
  <c r="P64" i="3"/>
  <c r="P53" i="3"/>
  <c r="P57" i="3"/>
  <c r="Q52" i="3"/>
  <c r="O69" i="31"/>
  <c r="O73" i="31"/>
  <c r="O70" i="31"/>
  <c r="O67" i="31"/>
  <c r="O74" i="31"/>
  <c r="O62" i="31"/>
  <c r="O72" i="31"/>
  <c r="T81" i="598"/>
  <c r="J82" i="598" s="1"/>
  <c r="T59" i="598"/>
  <c r="T61" i="598"/>
  <c r="S50" i="31"/>
  <c r="T50" i="31"/>
  <c r="K93" i="724" l="1"/>
  <c r="K81" i="724"/>
  <c r="K61" i="724"/>
  <c r="L61" i="724" s="1"/>
  <c r="K59" i="724"/>
  <c r="L81" i="723"/>
  <c r="L59" i="723"/>
  <c r="L93" i="723"/>
  <c r="J94" i="597"/>
  <c r="J97" i="597" s="1"/>
  <c r="J100" i="597"/>
  <c r="N52" i="724"/>
  <c r="M53" i="724"/>
  <c r="M58" i="724" s="1"/>
  <c r="L81" i="597"/>
  <c r="L59" i="597"/>
  <c r="J73" i="724"/>
  <c r="J74" i="724"/>
  <c r="J81" i="724"/>
  <c r="J72" i="724"/>
  <c r="J67" i="724"/>
  <c r="J68" i="724"/>
  <c r="J69" i="724"/>
  <c r="J94" i="724" s="1"/>
  <c r="J70" i="724"/>
  <c r="J62" i="724"/>
  <c r="N52" i="723"/>
  <c r="M53" i="723"/>
  <c r="M58" i="723" s="1"/>
  <c r="J101" i="597"/>
  <c r="J95" i="597"/>
  <c r="J67" i="723"/>
  <c r="J81" i="723"/>
  <c r="J73" i="723"/>
  <c r="J69" i="723"/>
  <c r="J94" i="723" s="1"/>
  <c r="J62" i="723"/>
  <c r="J68" i="723"/>
  <c r="J74" i="723"/>
  <c r="J70" i="723"/>
  <c r="J72" i="723"/>
  <c r="K61" i="597"/>
  <c r="L61" i="597" s="1"/>
  <c r="K81" i="597"/>
  <c r="K59" i="597"/>
  <c r="N52" i="597"/>
  <c r="M53" i="597"/>
  <c r="M58" i="597" s="1"/>
  <c r="L81" i="724"/>
  <c r="L59" i="724"/>
  <c r="L93" i="724"/>
  <c r="K61" i="723"/>
  <c r="K81" i="723"/>
  <c r="K59" i="723"/>
  <c r="T74" i="598"/>
  <c r="T73" i="598"/>
  <c r="T62" i="598"/>
  <c r="T72" i="598"/>
  <c r="T67" i="598"/>
  <c r="T70" i="598"/>
  <c r="T69" i="598"/>
  <c r="U61" i="598"/>
  <c r="P73" i="31"/>
  <c r="P70" i="31"/>
  <c r="P67" i="31"/>
  <c r="P62" i="31"/>
  <c r="P72" i="31"/>
  <c r="P74" i="31"/>
  <c r="P69" i="31"/>
  <c r="Q64" i="3"/>
  <c r="Q57" i="3"/>
  <c r="Q53" i="3"/>
  <c r="Q62" i="3"/>
  <c r="Q63" i="3"/>
  <c r="R52" i="3"/>
  <c r="Q59" i="31"/>
  <c r="Q61" i="31"/>
  <c r="Q81" i="31"/>
  <c r="S55" i="31"/>
  <c r="R58" i="31"/>
  <c r="M61" i="597" l="1"/>
  <c r="L74" i="597"/>
  <c r="L70" i="597"/>
  <c r="L95" i="597" s="1"/>
  <c r="L72" i="597"/>
  <c r="L67" i="597"/>
  <c r="L62" i="597"/>
  <c r="L69" i="597"/>
  <c r="L94" i="597" s="1"/>
  <c r="L73" i="597"/>
  <c r="L73" i="724"/>
  <c r="L69" i="724"/>
  <c r="L70" i="724"/>
  <c r="L62" i="724"/>
  <c r="L72" i="724"/>
  <c r="L67" i="724"/>
  <c r="L74" i="724"/>
  <c r="J98" i="597"/>
  <c r="M81" i="724"/>
  <c r="M61" i="724"/>
  <c r="M59" i="724"/>
  <c r="K73" i="723"/>
  <c r="K70" i="723"/>
  <c r="K67" i="723"/>
  <c r="K72" i="723"/>
  <c r="K69" i="723"/>
  <c r="K62" i="723"/>
  <c r="K74" i="723"/>
  <c r="L61" i="723"/>
  <c r="M81" i="597"/>
  <c r="M59" i="597"/>
  <c r="O52" i="724"/>
  <c r="N53" i="724"/>
  <c r="N58" i="724" s="1"/>
  <c r="K74" i="597"/>
  <c r="K69" i="597"/>
  <c r="K70" i="597"/>
  <c r="K72" i="597"/>
  <c r="K62" i="597"/>
  <c r="K73" i="597"/>
  <c r="K67" i="597"/>
  <c r="M81" i="723"/>
  <c r="M59" i="723"/>
  <c r="K62" i="724"/>
  <c r="K73" i="724"/>
  <c r="K72" i="724"/>
  <c r="K69" i="724"/>
  <c r="K74" i="724"/>
  <c r="K70" i="724"/>
  <c r="K67" i="724"/>
  <c r="K94" i="724"/>
  <c r="L94" i="724" s="1"/>
  <c r="L96" i="724" s="1"/>
  <c r="J96" i="724"/>
  <c r="O52" i="597"/>
  <c r="N53" i="597"/>
  <c r="N58" i="597" s="1"/>
  <c r="K94" i="723"/>
  <c r="L94" i="723" s="1"/>
  <c r="L96" i="723" s="1"/>
  <c r="J96" i="723"/>
  <c r="O52" i="723"/>
  <c r="N53" i="723"/>
  <c r="N58" i="723" s="1"/>
  <c r="U70" i="598"/>
  <c r="U67" i="598"/>
  <c r="U72" i="598"/>
  <c r="U69" i="598"/>
  <c r="U62" i="598"/>
  <c r="U73" i="598"/>
  <c r="Q73" i="31"/>
  <c r="Q69" i="31"/>
  <c r="Q67" i="31"/>
  <c r="Q70" i="31"/>
  <c r="Q74" i="31"/>
  <c r="Q62" i="31"/>
  <c r="Q72" i="31"/>
  <c r="R62" i="3"/>
  <c r="R63" i="3"/>
  <c r="R57" i="3"/>
  <c r="R64" i="3"/>
  <c r="R53" i="3"/>
  <c r="S52" i="3"/>
  <c r="T55" i="31"/>
  <c r="S58" i="31"/>
  <c r="R59" i="31"/>
  <c r="R81" i="31"/>
  <c r="R61" i="31"/>
  <c r="K96" i="724" l="1"/>
  <c r="N59" i="597"/>
  <c r="N81" i="597"/>
  <c r="N61" i="597"/>
  <c r="N81" i="723"/>
  <c r="N59" i="723"/>
  <c r="P52" i="723"/>
  <c r="O53" i="723"/>
  <c r="O58" i="723" s="1"/>
  <c r="L72" i="723"/>
  <c r="L73" i="723"/>
  <c r="L69" i="723"/>
  <c r="L70" i="723"/>
  <c r="L67" i="723"/>
  <c r="L62" i="723"/>
  <c r="L74" i="723"/>
  <c r="N81" i="724"/>
  <c r="N61" i="724"/>
  <c r="N59" i="724"/>
  <c r="K95" i="597"/>
  <c r="K101" i="597"/>
  <c r="M73" i="724"/>
  <c r="M69" i="724"/>
  <c r="M62" i="724"/>
  <c r="M67" i="724"/>
  <c r="M72" i="724"/>
  <c r="M70" i="724"/>
  <c r="M74" i="724"/>
  <c r="K96" i="723"/>
  <c r="K94" i="597"/>
  <c r="K100" i="597"/>
  <c r="P52" i="597"/>
  <c r="O53" i="597"/>
  <c r="O58" i="597" s="1"/>
  <c r="P52" i="724"/>
  <c r="O53" i="724"/>
  <c r="O58" i="724" s="1"/>
  <c r="M61" i="723"/>
  <c r="M72" i="597"/>
  <c r="M74" i="597"/>
  <c r="M62" i="597"/>
  <c r="M73" i="597"/>
  <c r="M70" i="597"/>
  <c r="M95" i="597" s="1"/>
  <c r="M98" i="597" s="1"/>
  <c r="M67" i="597"/>
  <c r="M69" i="597"/>
  <c r="M94" i="597" s="1"/>
  <c r="M97" i="597" s="1"/>
  <c r="S57" i="3"/>
  <c r="S62" i="3"/>
  <c r="S63" i="3"/>
  <c r="S53" i="3"/>
  <c r="R69" i="31"/>
  <c r="R73" i="31"/>
  <c r="R74" i="31"/>
  <c r="R67" i="31"/>
  <c r="R62" i="31"/>
  <c r="R70" i="31"/>
  <c r="R72" i="31"/>
  <c r="S81" i="31"/>
  <c r="S59" i="31"/>
  <c r="S61" i="31"/>
  <c r="U55" i="31"/>
  <c r="U58" i="31" s="1"/>
  <c r="T58" i="31"/>
  <c r="K97" i="597" l="1"/>
  <c r="L97" i="597"/>
  <c r="N67" i="597"/>
  <c r="N74" i="597"/>
  <c r="N72" i="597"/>
  <c r="N62" i="597"/>
  <c r="N70" i="597"/>
  <c r="N73" i="597"/>
  <c r="N69" i="597"/>
  <c r="Q52" i="723"/>
  <c r="P53" i="723"/>
  <c r="P58" i="723" s="1"/>
  <c r="O81" i="724"/>
  <c r="O61" i="724"/>
  <c r="O59" i="724"/>
  <c r="Q52" i="724"/>
  <c r="P53" i="724"/>
  <c r="P58" i="724" s="1"/>
  <c r="O59" i="597"/>
  <c r="O61" i="597"/>
  <c r="O81" i="597"/>
  <c r="M72" i="723"/>
  <c r="M69" i="723"/>
  <c r="M67" i="723"/>
  <c r="M73" i="723"/>
  <c r="M70" i="723"/>
  <c r="M62" i="723"/>
  <c r="M74" i="723"/>
  <c r="Q52" i="597"/>
  <c r="P53" i="597"/>
  <c r="P58" i="597" s="1"/>
  <c r="N69" i="724"/>
  <c r="N72" i="724"/>
  <c r="N74" i="724"/>
  <c r="N70" i="724"/>
  <c r="N73" i="724"/>
  <c r="N67" i="724"/>
  <c r="N62" i="724"/>
  <c r="N61" i="723"/>
  <c r="O61" i="723" s="1"/>
  <c r="L98" i="597"/>
  <c r="K98" i="597"/>
  <c r="O81" i="723"/>
  <c r="O59" i="723"/>
  <c r="S69" i="31"/>
  <c r="S62" i="31"/>
  <c r="S70" i="31"/>
  <c r="S67" i="31"/>
  <c r="S72" i="31"/>
  <c r="S73" i="31"/>
  <c r="S74" i="31"/>
  <c r="T81" i="31"/>
  <c r="J82" i="31" s="1"/>
  <c r="J91" i="31" s="1"/>
  <c r="T59" i="31"/>
  <c r="T61" i="31"/>
  <c r="U61" i="31" s="1"/>
  <c r="U59" i="31"/>
  <c r="R52" i="724" l="1"/>
  <c r="Q53" i="724"/>
  <c r="Q58" i="724" s="1"/>
  <c r="O69" i="724"/>
  <c r="O62" i="724"/>
  <c r="O72" i="724"/>
  <c r="O67" i="724"/>
  <c r="O73" i="724"/>
  <c r="O74" i="724"/>
  <c r="O70" i="724"/>
  <c r="P59" i="597"/>
  <c r="P81" i="597"/>
  <c r="P61" i="597"/>
  <c r="O69" i="597"/>
  <c r="O73" i="597"/>
  <c r="O72" i="597"/>
  <c r="O74" i="597"/>
  <c r="O70" i="597"/>
  <c r="O67" i="597"/>
  <c r="O62" i="597"/>
  <c r="R52" i="723"/>
  <c r="Q53" i="723"/>
  <c r="Q58" i="723" s="1"/>
  <c r="N62" i="723"/>
  <c r="N70" i="723"/>
  <c r="N67" i="723"/>
  <c r="N69" i="723"/>
  <c r="N72" i="723"/>
  <c r="N74" i="723"/>
  <c r="N73" i="723"/>
  <c r="R52" i="597"/>
  <c r="Q53" i="597"/>
  <c r="Q58" i="597" s="1"/>
  <c r="P61" i="723"/>
  <c r="P81" i="723"/>
  <c r="P59" i="723"/>
  <c r="O72" i="723"/>
  <c r="O67" i="723"/>
  <c r="O69" i="723"/>
  <c r="O74" i="723"/>
  <c r="O70" i="723"/>
  <c r="O73" i="723"/>
  <c r="O62" i="723"/>
  <c r="P81" i="724"/>
  <c r="P61" i="724"/>
  <c r="P59" i="724"/>
  <c r="U74" i="31"/>
  <c r="U67" i="31"/>
  <c r="U70" i="31"/>
  <c r="U62" i="31"/>
  <c r="U72" i="31"/>
  <c r="U69" i="31"/>
  <c r="U73" i="31"/>
  <c r="T72" i="31"/>
  <c r="T62" i="31"/>
  <c r="T74" i="31"/>
  <c r="T70" i="31"/>
  <c r="T69" i="31"/>
  <c r="T67" i="31"/>
  <c r="T73" i="31"/>
  <c r="S52" i="597" l="1"/>
  <c r="R53" i="597"/>
  <c r="R58" i="597" s="1"/>
  <c r="S52" i="723"/>
  <c r="R53" i="723"/>
  <c r="R58" i="723" s="1"/>
  <c r="P69" i="597"/>
  <c r="P72" i="597"/>
  <c r="P70" i="597"/>
  <c r="P74" i="597"/>
  <c r="P62" i="597"/>
  <c r="P67" i="597"/>
  <c r="P73" i="597"/>
  <c r="P70" i="724"/>
  <c r="P67" i="724"/>
  <c r="P74" i="724"/>
  <c r="P69" i="724"/>
  <c r="P62" i="724"/>
  <c r="P72" i="724"/>
  <c r="P73" i="724"/>
  <c r="Q81" i="724"/>
  <c r="Q61" i="724"/>
  <c r="Q59" i="724"/>
  <c r="P72" i="723"/>
  <c r="P62" i="723"/>
  <c r="P69" i="723"/>
  <c r="P73" i="723"/>
  <c r="P67" i="723"/>
  <c r="P74" i="723"/>
  <c r="P70" i="723"/>
  <c r="Q81" i="597"/>
  <c r="Q59" i="597"/>
  <c r="Q61" i="597"/>
  <c r="Q61" i="723"/>
  <c r="Q81" i="723"/>
  <c r="Q59" i="723"/>
  <c r="S52" i="724"/>
  <c r="R53" i="724"/>
  <c r="R58" i="724" s="1"/>
  <c r="Q74" i="597" l="1"/>
  <c r="Q73" i="597"/>
  <c r="Q62" i="597"/>
  <c r="Q70" i="597"/>
  <c r="Q72" i="597"/>
  <c r="Q69" i="597"/>
  <c r="Q67" i="597"/>
  <c r="R81" i="724"/>
  <c r="R61" i="724"/>
  <c r="R59" i="724"/>
  <c r="Q72" i="724"/>
  <c r="Q73" i="724"/>
  <c r="Q70" i="724"/>
  <c r="Q62" i="724"/>
  <c r="Q69" i="724"/>
  <c r="Q74" i="724"/>
  <c r="Q67" i="724"/>
  <c r="R61" i="723"/>
  <c r="R81" i="723"/>
  <c r="R59" i="723"/>
  <c r="T52" i="723"/>
  <c r="S53" i="723"/>
  <c r="S58" i="723" s="1"/>
  <c r="Q72" i="723"/>
  <c r="Q73" i="723"/>
  <c r="Q70" i="723"/>
  <c r="Q69" i="723"/>
  <c r="Q67" i="723"/>
  <c r="Q74" i="723"/>
  <c r="Q62" i="723"/>
  <c r="T52" i="724"/>
  <c r="S53" i="724"/>
  <c r="S58" i="724" s="1"/>
  <c r="R81" i="597"/>
  <c r="R59" i="597"/>
  <c r="R61" i="597"/>
  <c r="T52" i="597"/>
  <c r="S53" i="597"/>
  <c r="S58" i="597" s="1"/>
  <c r="U52" i="724" l="1"/>
  <c r="U53" i="724" s="1"/>
  <c r="U58" i="724" s="1"/>
  <c r="T53" i="724"/>
  <c r="T58" i="724" s="1"/>
  <c r="U52" i="723"/>
  <c r="U53" i="723" s="1"/>
  <c r="U58" i="723" s="1"/>
  <c r="T53" i="723"/>
  <c r="T58" i="723" s="1"/>
  <c r="S59" i="597"/>
  <c r="S81" i="597"/>
  <c r="S81" i="724"/>
  <c r="S61" i="724"/>
  <c r="S59" i="724"/>
  <c r="S81" i="723"/>
  <c r="S61" i="723"/>
  <c r="S59" i="723"/>
  <c r="U52" i="597"/>
  <c r="U53" i="597" s="1"/>
  <c r="U58" i="597" s="1"/>
  <c r="T53" i="597"/>
  <c r="T58" i="597" s="1"/>
  <c r="S61" i="597"/>
  <c r="R69" i="597"/>
  <c r="R74" i="597"/>
  <c r="R72" i="597"/>
  <c r="R70" i="597"/>
  <c r="R62" i="597"/>
  <c r="R67" i="597"/>
  <c r="R73" i="597"/>
  <c r="R73" i="723"/>
  <c r="R62" i="723"/>
  <c r="R74" i="723"/>
  <c r="R72" i="723"/>
  <c r="R69" i="723"/>
  <c r="R67" i="723"/>
  <c r="R70" i="723"/>
  <c r="R67" i="724"/>
  <c r="R69" i="724"/>
  <c r="R72" i="724"/>
  <c r="R62" i="724"/>
  <c r="R70" i="724"/>
  <c r="R73" i="724"/>
  <c r="R74" i="724"/>
  <c r="S73" i="597" l="1"/>
  <c r="S72" i="597"/>
  <c r="S69" i="597"/>
  <c r="S67" i="597"/>
  <c r="S62" i="597"/>
  <c r="S70" i="597"/>
  <c r="S74" i="597"/>
  <c r="T61" i="597"/>
  <c r="U61" i="597" s="1"/>
  <c r="T81" i="597"/>
  <c r="J82" i="597" s="1"/>
  <c r="J91" i="597" s="1"/>
  <c r="T59" i="597"/>
  <c r="T61" i="723"/>
  <c r="U61" i="723" s="1"/>
  <c r="T59" i="723"/>
  <c r="T81" i="723"/>
  <c r="J82" i="723" s="1"/>
  <c r="J91" i="723" s="1"/>
  <c r="S74" i="723"/>
  <c r="S72" i="723"/>
  <c r="S73" i="723"/>
  <c r="S70" i="723"/>
  <c r="S69" i="723"/>
  <c r="S67" i="723"/>
  <c r="S62" i="723"/>
  <c r="T81" i="724"/>
  <c r="J82" i="724" s="1"/>
  <c r="J91" i="724" s="1"/>
  <c r="T61" i="724"/>
  <c r="U61" i="724" s="1"/>
  <c r="T59" i="724"/>
  <c r="S73" i="724"/>
  <c r="S74" i="724"/>
  <c r="S67" i="724"/>
  <c r="S69" i="724"/>
  <c r="S70" i="724"/>
  <c r="S72" i="724"/>
  <c r="S62" i="724"/>
  <c r="U59" i="597"/>
  <c r="U59" i="723"/>
  <c r="U59" i="724"/>
  <c r="U62" i="724" l="1"/>
  <c r="U67" i="724"/>
  <c r="U72" i="724"/>
  <c r="U70" i="724"/>
  <c r="U73" i="724"/>
  <c r="U74" i="724"/>
  <c r="U69" i="724"/>
  <c r="T62" i="723"/>
  <c r="T69" i="723"/>
  <c r="T73" i="723"/>
  <c r="T74" i="723"/>
  <c r="T70" i="723"/>
  <c r="T72" i="723"/>
  <c r="T67" i="723"/>
  <c r="U69" i="597"/>
  <c r="U67" i="597"/>
  <c r="U73" i="597"/>
  <c r="U72" i="597"/>
  <c r="U70" i="597"/>
  <c r="U62" i="597"/>
  <c r="U74" i="597"/>
  <c r="T67" i="597"/>
  <c r="T74" i="597"/>
  <c r="T72" i="597"/>
  <c r="T70" i="597"/>
  <c r="T69" i="597"/>
  <c r="T73" i="597"/>
  <c r="T62" i="597"/>
  <c r="T73" i="724"/>
  <c r="T69" i="724"/>
  <c r="T74" i="724"/>
  <c r="T62" i="724"/>
  <c r="T67" i="724"/>
  <c r="T72" i="724"/>
  <c r="T70" i="724"/>
  <c r="U69" i="723"/>
  <c r="U70" i="723"/>
  <c r="U62" i="723"/>
  <c r="U67" i="723"/>
  <c r="U72" i="723"/>
  <c r="U74" i="723"/>
  <c r="U73" i="7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tc={4D7AC64F-7FEA-40D5-81B0-D32F0C0AA9ED}</author>
    <author>tc={ECC3B24A-0A8A-4A2C-8306-39419631CB6D}</author>
    <author>tc={20FE19FE-D11D-4C04-828D-5AF25AAB4AEC}</author>
  </authors>
  <commentList>
    <comment ref="G47" authorId="0" shapeId="0" xr:uid="{4D7AC64F-7FEA-40D5-81B0-D32F0C0AA9ED}">
      <text>
        <t>[Threaded comment]
Your version of Excel allows you to read this threaded comment; however, any edits to it will get removed if the file is opened in a newer version of Excel. Learn more: https://go.microsoft.com/fwlink/?linkid=870924
Comment:
    USD5.5M of brand investment</t>
      </text>
    </comment>
    <comment ref="G54" authorId="1" shapeId="0" xr:uid="{ECC3B24A-0A8A-4A2C-8306-39419631CB6D}">
      <text>
        <t>[Threaded comment]
Your version of Excel allows you to read this threaded comment; however, any edits to it will get removed if the file is opened in a newer version of Excel. Learn more: https://go.microsoft.com/fwlink/?linkid=870924
Comment:
    16.1% margin excl. brand investment</t>
      </text>
    </comment>
    <comment ref="L120" authorId="2" shapeId="0" xr:uid="{20FE19FE-D11D-4C04-828D-5AF25AAB4AEC}">
      <text>
        <t>[Threaded comment]
Your version of Excel allows you to read this threaded comment; however, any edits to it will get removed if the file is opened in a newer version of Excel. Learn more: https://go.microsoft.com/fwlink/?linkid=870924
Comment:
    Barrenjoey feedback of capex being &lt;A$4m in Q3 with lower expectations for Q4
Reply:
    CFO A$7-8M 27 June 2024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tc={794FDB4D-39EA-4CCA-AB02-EA9A50654308}</author>
    <author>tc={985BF077-658A-435E-ABFF-5FF9C8950DE4}</author>
    <author>tc={FE65CE34-C44A-4503-8CD2-A24C32B6F91F}</author>
    <author>tc={E838C4F6-D63B-480B-95F5-E60DA8E7DC33}</author>
    <author>tc={21ECD603-6925-433B-8360-AB5565295CB3}</author>
    <author>tc={E155BAD5-72D1-469C-A3C0-0EBB3F0743A4}</author>
    <author>tc={1336BB9C-F2F3-4691-8256-A7C72F15A04E}</author>
  </authors>
  <commentList>
    <comment ref="X78" authorId="0" shapeId="0" xr:uid="{794FDB4D-39EA-4CCA-AB02-EA9A50654308}">
      <text>
        <t>[Threaded comment]
Your version of Excel allows you to read this threaded comment; however, any edits to it will get removed if the file is opened in a newer version of Excel. Learn more: https://go.microsoft.com/fwlink/?linkid=870924
Comment:
    CFO: "The delivered margin was lower YoY – a couple of percentage points lower"</t>
      </text>
    </comment>
    <comment ref="Z78" authorId="1" shapeId="0" xr:uid="{985BF077-658A-435E-ABFF-5FF9C8950DE4}">
      <text>
        <t>[Threaded comment]
Your version of Excel allows you to read this threaded comment; however, any edits to it will get removed if the file is opened in a newer version of Excel. Learn more: https://go.microsoft.com/fwlink/?linkid=870924
Comment:
    "greater than 20%"
Reply:
    CFO: "Last year we were probably high teens in delivered margins and this
quarter was slightly above 20%"</t>
      </text>
    </comment>
    <comment ref="AA78" authorId="2" shapeId="0" xr:uid="{FE65CE34-C44A-4503-8CD2-A24C32B6F91F}">
      <text>
        <t>[Threaded comment]
Your version of Excel allows you to read this threaded comment; however, any edits to it will get removed if the file is opened in a newer version of Excel. Learn more: https://go.microsoft.com/fwlink/?linkid=870924
Comment:
    Barrenjoey call feedback; 11% marketing spend</t>
      </text>
    </comment>
    <comment ref="U86" authorId="3" shapeId="0" xr:uid="{E838C4F6-D63B-480B-95F5-E60DA8E7DC33}">
      <text>
        <t>[Threaded comment]
Your version of Excel allows you to read this threaded comment; however, any edits to it will get removed if the file is opened in a newer version of Excel. Learn more: https://go.microsoft.com/fwlink/?linkid=870924
Comment:
    CFO: I don’t know that margins will be higher this year vs. last year because
marketng last year (Q2 23) was ~8% and we probably underinvested
1Q24: "but we
were probably inves􀆟ng in the 7%s…so pre􀆩y skinny…so if we’re inves􀆟ng in the top of the
8-10% range than it’s reasonable we can invest at a higher rate"</t>
      </text>
    </comment>
    <comment ref="X86" authorId="4" shapeId="0" xr:uid="{21ECD603-6925-433B-8360-AB5565295CB3}">
      <text>
        <t>[Threaded comment]
Your version of Excel allows you to read this threaded comment; however, any edits to it will get removed if the file is opened in a newer version of Excel. Learn more: https://go.microsoft.com/fwlink/?linkid=870924
Comment:
1Q24: "but we
were probably inves􀆟ng in the 7%s…so pre􀆩y skinny…so if we’re inves􀆟ng in the top of the
8-10% range than it’s reasonable we can invest at a higher rate"</t>
      </text>
    </comment>
    <comment ref="Y86" authorId="5" shapeId="0" xr:uid="{E155BAD5-72D1-469C-A3C0-0EBB3F0743A4}">
      <text>
        <t>[Threaded comment]
Your version of Excel allows you to read this threaded comment; however, any edits to it will get removed if the file is opened in a newer version of Excel. Learn more: https://go.microsoft.com/fwlink/?linkid=870924
Comment:
    (Oct 20223): In 2Q last year, the business had to demonstrate to external stakeholders that they could generate profits, so there
was some optimization and they may have been too conservative on marketing optimization. In the period-to-date
this year, they’ve been investing high single digits in marketing, and probably trending towards the top end</t>
      </text>
    </comment>
    <comment ref="Z86" authorId="6" shapeId="0" xr:uid="{1336BB9C-F2F3-4691-8256-A7C72F15A04E}">
      <text>
        <t>[Threaded comment]
Your version of Excel allows you to read this threaded comment; however, any edits to it will get removed if the file is opened in a newer version of Excel. Learn more: https://go.microsoft.com/fwlink/?linkid=870924
Comment:
    CFO: But it’s lower marketing spend last year; In Q3 we nudged LDD but you could round it down to 10%..</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tc={25E1110D-7384-4D3F-B21B-D5B449777904}</author>
    <author>tc={3BEC0A79-E428-4025-A761-98EA78D48783}</author>
    <author>tc={4F4434B3-6228-4C59-904E-2DD0940A7A8A}</author>
    <author>tc={7796E023-1597-48CF-8D33-94B808115D78}</author>
    <author>tc={C1047E09-1E00-4EB6-8AC2-092816AC1363}</author>
    <author>tc={5C813560-F04E-44CC-9132-CB26290622DA}</author>
    <author>tc={28FC65CE-94C2-4AD9-85E3-766A7B42A105}</author>
    <author>tc={3C4767A2-F7A8-49AB-99FA-75CB7B12C831}</author>
    <author>tc={A0854156-CE1A-4BD0-B450-EC404A2282DF}</author>
    <author>tc={97AA680C-D1C3-4B09-B6A1-026CF302B73E}</author>
    <author>tc={14905FE1-C44F-405A-9C0A-D4A5085B34EC}</author>
    <author>tc={AEE8D4D8-7BBA-49AF-A7E2-D62D9ADD5BA6}</author>
    <author>tc={1F3B845C-49C1-45C9-A67C-6B6B3D7E1F41}</author>
    <author>tc={7C58C51C-F20C-4ED0-AAAA-C880C6545621}</author>
    <author>tc={04BF9E58-340D-430B-9ACE-ACD38B69CC9D}</author>
    <author>tc={3BDB9676-1D7C-4297-86C0-C1D51F255E79}</author>
    <author>tc={BB003559-961A-4E22-9685-AD481C0D2D51}</author>
    <author>tc={605089CF-ADE1-4529-9816-D108E8E1FB90}</author>
    <author>tc={65C9DD23-F02F-4B2C-AF85-5B86B76D434B}</author>
    <author>tc={D1938C11-95D9-4BD9-A9B0-650DF553F05F}</author>
    <author>tc={A0F2DFD3-D9C0-4E76-B9DB-5ECAE3BB13D8}</author>
    <author>tc={16139596-A823-4ACB-9E67-E6FD09E83508}</author>
    <author>tc={EF8ADE41-E5EC-42E5-9A2B-93B48CCB2AAE}</author>
    <author>tc={E10E3BCD-75BE-45E2-B7E8-C8836E1138AF}</author>
    <author>tc={12E0939E-BC0F-42B9-87D6-896DF581E2D9}</author>
    <author>tc={F8CDB34B-2D33-413A-BED7-A05DBAF36831}</author>
    <author>tc={6620D10C-A506-45CF-B592-3477E8599EC4}</author>
    <author>tc={0E351B15-C5E0-4D3D-9BF3-3387258F34EF}</author>
    <author>tc={F513DAB4-3A41-45E2-80AF-082D942A5AE6}</author>
    <author>tc={CA970B0A-45A9-4D07-8D56-9767D98ABD07}</author>
    <author>tc={4D28925A-41F4-4EB0-83B4-E0195EEA3BA0}</author>
    <author>tc={76999EEB-9B55-4FF2-9FA7-3C8096555B33}</author>
    <author>tc={649BEA1C-96E0-4D4B-BB0E-ECDFD469B622}</author>
    <author>tc={0111485D-957A-4F07-9506-4741CE1DCE4E}</author>
    <author>tc={CF03CF51-568A-4434-B8ED-73E52F687DA7}</author>
    <author>tc={43FB4081-06E4-4AFD-B6D8-67DAE03090F0}</author>
  </authors>
  <commentList>
    <comment ref="AJ5" authorId="0" shapeId="0" xr:uid="{25E1110D-7384-4D3F-B21B-D5B449777904}">
      <text>
        <t>[Threaded comment]
Your version of Excel allows you to read this threaded comment; however, any edits to it will get removed if the file is opened in a newer version of Excel. Learn more: https://go.microsoft.com/fwlink/?linkid=870924
Comment:
    PF from prospectus</t>
      </text>
    </comment>
    <comment ref="AK5" authorId="1" shapeId="0" xr:uid="{3BEC0A79-E428-4025-A761-98EA78D48783}">
      <text>
        <t>[Threaded comment]
Your version of Excel allows you to read this threaded comment; however, any edits to it will get removed if the file is opened in a newer version of Excel. Learn more: https://go.microsoft.com/fwlink/?linkid=870924
Comment:
    PF from prospectus</t>
      </text>
    </comment>
    <comment ref="AL5" authorId="2" shapeId="0" xr:uid="{4F4434B3-6228-4C59-904E-2DD0940A7A8A}">
      <text>
        <t>[Threaded comment]
Your version of Excel allows you to read this threaded comment; however, any edits to it will get removed if the file is opened in a newer version of Excel. Learn more: https://go.microsoft.com/fwlink/?linkid=870924
Comment:
    PF from prospectus</t>
      </text>
    </comment>
    <comment ref="AD14" authorId="3" shapeId="0" xr:uid="{7796E023-1597-48CF-8D33-94B808115D78}">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E14" authorId="4" shapeId="0" xr:uid="{C1047E09-1E00-4EB6-8AC2-092816AC1363}">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F14" authorId="5" shapeId="0" xr:uid="{5C813560-F04E-44CC-9132-CB26290622DA}">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G14" authorId="6" shapeId="0" xr:uid="{28FC65CE-94C2-4AD9-85E3-766A7B42A105}">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D16" authorId="7" shapeId="0" xr:uid="{3C4767A2-F7A8-49AB-99FA-75CB7B12C831}">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E16" authorId="8" shapeId="0" xr:uid="{A0854156-CE1A-4BD0-B450-EC404A2282DF}">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F16" authorId="9" shapeId="0" xr:uid="{97AA680C-D1C3-4B09-B6A1-026CF302B73E}">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G16" authorId="10" shapeId="0" xr:uid="{14905FE1-C44F-405A-9C0A-D4A5085B34EC}">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D17" authorId="11" shapeId="0" xr:uid="{AEE8D4D8-7BBA-49AF-A7E2-D62D9ADD5BA6}">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F17" authorId="12" shapeId="0" xr:uid="{1F3B845C-49C1-45C9-A67C-6B6B3D7E1F41}">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O37" authorId="13" shapeId="0" xr:uid="{7C58C51C-F20C-4ED0-AAAA-C880C6545621}">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N67" authorId="14" shapeId="0" xr:uid="{04BF9E58-340D-430B-9ACE-ACD38B69CC9D}">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O67" authorId="15" shapeId="0" xr:uid="{3BDB9676-1D7C-4297-86C0-C1D51F255E79}">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R67" authorId="16" shapeId="0" xr:uid="{BB003559-961A-4E22-9685-AD481C0D2D51}">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D67" authorId="17" shapeId="0" xr:uid="{605089CF-ADE1-4529-9816-D108E8E1FB90}">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F67" authorId="18" shapeId="0" xr:uid="{65C9DD23-F02F-4B2C-AF85-5B86B76D434B}">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G67" authorId="19" shapeId="0" xr:uid="{D1938C11-95D9-4BD9-A9B0-650DF553F05F}">
      <text>
        <t>[Threaded comment]
Your version of Excel allows you to read this threaded comment; however, any edits to it will get removed if the file is opened in a newer version of Excel. Learn more: https://go.microsoft.com/fwlink/?linkid=870924
Comment:
    Won't sum to 2H given different FX conversions</t>
      </text>
    </comment>
    <comment ref="P69" authorId="20" shapeId="0" xr:uid="{A0F2DFD3-D9C0-4E76-B9DB-5ECAE3BB13D8}">
      <text>
        <t xml:space="preserve">[Threaded comment]
Your version of Excel allows you to read this threaded comment; however, any edits to it will get removed if the file is opened in a newer version of Excel. Learn more: https://go.microsoft.com/fwlink/?linkid=870924
Comment:
    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
      </text>
    </comment>
    <comment ref="Q69" authorId="21" shapeId="0" xr:uid="{16139596-A823-4ACB-9E67-E6FD09E83508}">
      <text>
        <t xml:space="preserve">[Threaded comment]
Your version of Excel allows you to read this threaded comment; however, any edits to it will get removed if the file is opened in a newer version of Excel. Learn more: https://go.microsoft.com/fwlink/?linkid=870924
Comment:
    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
      </text>
    </comment>
    <comment ref="O116" authorId="22" shapeId="0" xr:uid="{EF8ADE41-E5EC-42E5-9A2B-93B48CCB2AAE}">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AD116" authorId="23" shapeId="0" xr:uid="{E10E3BCD-75BE-45E2-B7E8-C8836E1138AF}">
      <text>
        <t>[Threaded comment]
Your version of Excel allows you to read this threaded comment; however, any edits to it will get removed if the file is opened in a newer version of Excel. Learn more: https://go.microsoft.com/fwlink/?linkid=870924
Comment:
    Won't sum to 1H given different FX conversions</t>
      </text>
    </comment>
    <comment ref="O142" authorId="24" shapeId="0" xr:uid="{12E0939E-BC0F-42B9-87D6-896DF581E2D9}">
      <text>
        <t>[Threaded comment]
Your version of Excel allows you to read this threaded comment; however, any edits to it will get removed if the file is opened in a newer version of Excel. Learn more: https://go.microsoft.com/fwlink/?linkid=870924
Comment:
    Looks like a typo (too low) in the presentation as the bar goes up but value is the same</t>
      </text>
    </comment>
    <comment ref="AD142" authorId="25" shapeId="0" xr:uid="{F8CDB34B-2D33-413A-BED7-A05DBAF36831}">
      <text>
        <t>[Threaded comment]
Your version of Excel allows you to read this threaded comment; however, any edits to it will get removed if the file is opened in a newer version of Excel. Learn more: https://go.microsoft.com/fwlink/?linkid=870924
Comment:
    Looks like a typo (too low) in the presentation as the bar goes up but value is the same</t>
      </text>
    </comment>
    <comment ref="AJ228" authorId="26" shapeId="0" xr:uid="{6620D10C-A506-45CF-B592-3477E8599EC4}">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28" authorId="27" shapeId="0" xr:uid="{0E351B15-C5E0-4D3D-9BF3-3387258F34EF}">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J232" authorId="28" shapeId="0" xr:uid="{F513DAB4-3A41-45E2-80AF-082D942A5AE6}">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32" authorId="29" shapeId="0" xr:uid="{CA970B0A-45A9-4D07-8D56-9767D98ABD07}">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J240" authorId="30" shapeId="0" xr:uid="{4D28925A-41F4-4EB0-83B4-E0195EEA3BA0}">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40" authorId="31" shapeId="0" xr:uid="{76999EEB-9B55-4FF2-9FA7-3C8096555B33}">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L266" authorId="32" shapeId="0" xr:uid="{649BEA1C-96E0-4D4B-BB0E-ECDFD469B622}">
      <text>
        <t>[Threaded comment]
Your version of Excel allows you to read this threaded comment; however, any edits to it will get removed if the file is opened in a newer version of Excel. Learn more: https://go.microsoft.com/fwlink/?linkid=870924
Comment:
    FX conversion to tie with summing the half yearly converted values</t>
      </text>
    </comment>
    <comment ref="AM266" authorId="33" shapeId="0" xr:uid="{0111485D-957A-4F07-9506-4741CE1DCE4E}">
      <text>
        <t>[Threaded comment]
Your version of Excel allows you to read this threaded comment; however, any edits to it will get removed if the file is opened in a newer version of Excel. Learn more: https://go.microsoft.com/fwlink/?linkid=870924
Comment:
    FX conversion to tie with summing the half yearly converted values</t>
      </text>
    </comment>
    <comment ref="AN266" authorId="34" shapeId="0" xr:uid="{CF03CF51-568A-4434-B8ED-73E52F687DA7}">
      <text>
        <t>[Threaded comment]
Your version of Excel allows you to read this threaded comment; however, any edits to it will get removed if the file is opened in a newer version of Excel. Learn more: https://go.microsoft.com/fwlink/?linkid=870924
Comment:
    FX conversion to tie with summing the half yearly converted values</t>
      </text>
    </comment>
    <comment ref="AO266" authorId="35" shapeId="0" xr:uid="{43FB4081-06E4-4AFD-B6D8-67DAE03090F0}">
      <text>
        <t>[Threaded comment]
Your version of Excel allows you to read this threaded comment; however, any edits to it will get removed if the file is opened in a newer version of Excel. Learn more: https://go.microsoft.com/fwlink/?linkid=870924
Comment:
    FX conversion to tie with summing the half yearly converted values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tc={113A1009-DD06-406A-822C-ADB0C4E774D1}</author>
    <author>tc={8925B5B0-AC0F-43B0-9D2F-1C03159C73B3}</author>
    <author>tc={97279F00-BEDD-4EF9-9555-B223C10DD364}</author>
    <author>tc={7E5D5377-AF52-4127-914F-84475CDFCC84}</author>
  </authors>
  <commentList>
    <comment ref="G47" authorId="0" shapeId="0" xr:uid="{113A1009-DD06-406A-822C-ADB0C4E774D1}">
      <text>
        <t>[Threaded comment]
Your version of Excel allows you to read this threaded comment; however, any edits to it will get removed if the file is opened in a newer version of Excel. Learn more: https://go.microsoft.com/fwlink/?linkid=870924
Comment:
    7.5M of brand investment</t>
      </text>
    </comment>
    <comment ref="G54" authorId="1" shapeId="0" xr:uid="{8925B5B0-AC0F-43B0-9D2F-1C03159C73B3}">
      <text>
        <t>[Threaded comment]
Your version of Excel allows you to read this threaded comment; however, any edits to it will get removed if the file is opened in a newer version of Excel. Learn more: https://go.microsoft.com/fwlink/?linkid=870924
Comment:
    16.1% margin excl. brand investment</t>
      </text>
    </comment>
    <comment ref="A60" authorId="2" shapeId="0" xr:uid="{97279F00-BEDD-4EF9-9555-B223C10DD364}">
      <text>
        <t>[Threaded comment]
Your version of Excel allows you to read this threaded comment; however, any edits to it will get removed if the file is opened in a newer version of Excel. Learn more: https://go.microsoft.com/fwlink/?linkid=870924
Comment:
    Excludes FX gains / losses from G&amp;A</t>
      </text>
    </comment>
    <comment ref="L120" authorId="3" shapeId="0" xr:uid="{7E5D5377-AF52-4127-914F-84475CDFCC84}">
      <text>
        <t>[Threaded comment]
Your version of Excel allows you to read this threaded comment; however, any edits to it will get removed if the file is opened in a newer version of Excel. Learn more: https://go.microsoft.com/fwlink/?linkid=870924
Comment:
    Barrenjoey feedback of capex being &lt;A$4m in Q3 with lower expectations for Q4
Reply:
    June 27 Barrenjoey feeback of less than A$9m for 2H</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tc={0A26B707-3056-4E74-A59A-21610AAE8BCB}</author>
    <author>tc={0ECDD771-0C94-49E2-B912-71D70AC45764}</author>
    <author>tc={03276EB4-6EBC-4FBF-BA11-8C9E728CDFBA}</author>
    <author>tc={B582B6C9-66DD-4D63-A7EE-F3B8131415BD}</author>
    <author>tc={47F1D9A5-0427-4AED-9D5B-E16AEE994C90}</author>
    <author>tc={F37EFB92-2EA7-4D61-91B9-AFED966A4527}</author>
    <author>tc={993206F3-7DAD-44BD-8A9E-006D1F18F586}</author>
    <author>tc={B9F8947D-03E3-4DB5-9CB4-7004EB630BE1}</author>
    <author>tc={C1C03BB8-68D4-4248-AC4F-8BE7663A52DE}</author>
    <author>tc={6163AC40-7826-460E-958F-054DF624A378}</author>
  </authors>
  <commentList>
    <comment ref="P69" authorId="0" shapeId="0" xr:uid="{0A26B707-3056-4E74-A59A-21610AAE8BCB}">
      <text>
        <t xml:space="preserve">[Threaded comment]
Your version of Excel allows you to read this threaded comment; however, any edits to it will get removed if the file is opened in a newer version of Excel. Learn more: https://go.microsoft.com/fwlink/?linkid=870924
Comment:
    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
      </text>
    </comment>
    <comment ref="Q69" authorId="1" shapeId="0" xr:uid="{0ECDD771-0C94-49E2-B912-71D70AC45764}">
      <text>
        <t xml:space="preserve">[Threaded comment]
Your version of Excel allows you to read this threaded comment; however, any edits to it will get removed if the file is opened in a newer version of Excel. Learn more: https://go.microsoft.com/fwlink/?linkid=870924
Comment:
    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
      </text>
    </comment>
    <comment ref="O142" authorId="2" shapeId="0" xr:uid="{03276EB4-6EBC-4FBF-BA11-8C9E728CDFBA}">
      <text>
        <t>[Threaded comment]
Your version of Excel allows you to read this threaded comment; however, any edits to it will get removed if the file is opened in a newer version of Excel. Learn more: https://go.microsoft.com/fwlink/?linkid=870924
Comment:
    Looks like a typo (too low) in the presentation as the bar goes up but value is the same</t>
      </text>
    </comment>
    <comment ref="AD142" authorId="3" shapeId="0" xr:uid="{B582B6C9-66DD-4D63-A7EE-F3B8131415BD}">
      <text>
        <t>[Threaded comment]
Your version of Excel allows you to read this threaded comment; however, any edits to it will get removed if the file is opened in a newer version of Excel. Learn more: https://go.microsoft.com/fwlink/?linkid=870924
Comment:
    Looks like a typo (too low) in the presentation as the bar goes up but value is the same</t>
      </text>
    </comment>
    <comment ref="AJ228" authorId="4" shapeId="0" xr:uid="{47F1D9A5-0427-4AED-9D5B-E16AEE994C90}">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28" authorId="5" shapeId="0" xr:uid="{F37EFB92-2EA7-4D61-91B9-AFED966A4527}">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J232" authorId="6" shapeId="0" xr:uid="{993206F3-7DAD-44BD-8A9E-006D1F18F586}">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32" authorId="7" shapeId="0" xr:uid="{B9F8947D-03E3-4DB5-9CB4-7004EB630BE1}">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J240" authorId="8" shapeId="0" xr:uid="{C1C03BB8-68D4-4248-AC4F-8BE7663A52DE}">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 ref="AK240" authorId="9" shapeId="0" xr:uid="{6163AC40-7826-460E-958F-054DF624A378}">
      <text>
        <t>[Threaded comment]
Your version of Excel allows you to read this threaded comment; however, any edits to it will get removed if the file is opened in a newer version of Excel. Learn more: https://go.microsoft.com/fwlink/?linkid=870924
Comment:
    Pro Forma from prospectus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tc={ACD92859-F76F-4730-90F7-A06388E3AFA8}</author>
  </authors>
  <commentList>
    <comment ref="E21" authorId="0" shapeId="0" xr:uid="{ACD92859-F76F-4730-90F7-A06388E3AFA8}">
      <text>
        <t>[Threaded comment]
Your version of Excel allows you to read this threaded comment; however, any edits to it will get removed if the file is opened in a newer version of Excel. Learn more: https://go.microsoft.com/fwlink/?linkid=870924
Comment:
    "Similar zip code"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tc={BD87DBA6-B5A0-45EC-A535-A9441E384AEB}</author>
  </authors>
  <commentList>
    <comment ref="C14" authorId="0" shapeId="0" xr:uid="{BD87DBA6-B5A0-45EC-A535-A9441E384AEB}">
      <text>
        <t>[Threaded comment]
Your version of Excel allows you to read this threaded comment; however, any edits to it will get removed if the file is opened in a newer version of Excel. Learn more: https://go.microsoft.com/fwlink/?linkid=870924
Comment:
    Fees for payment services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tc={7EB5ECB1-00A3-4CBD-92DF-4F2F267617BB}</author>
    <author>tc={3C70DAE0-B077-4B7A-8AEA-6580AB057529}</author>
  </authors>
  <commentList>
    <comment ref="C20" authorId="0" shapeId="0" xr:uid="{7EB5ECB1-00A3-4CBD-92DF-4F2F267617BB}">
      <text>
        <t>[Threaded comment]
Your version of Excel allows you to read this threaded comment; however, any edits to it will get removed if the file is opened in a newer version of Excel. Learn more: https://go.microsoft.com/fwlink/?linkid=870924
Comment:
    Done to tie CFR FY22 disclosure to FTCH USD conversion</t>
      </text>
    </comment>
    <comment ref="E20" authorId="1" shapeId="0" xr:uid="{3C70DAE0-B077-4B7A-8AEA-6580AB057529}">
      <text>
        <t>[Threaded comment]
Your version of Excel allows you to read this threaded comment; however, any edits to it will get removed if the file is opened in a newer version of Excel. Learn more: https://go.microsoft.com/fwlink/?linkid=870924
Comment:
    As of 7 October 2024 MYTE deal date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tc={E00DBF61-B11A-4C4F-8686-64B1F4C972C6}</author>
    <author>tc={7EB7265F-2848-4171-A262-5B0FE453FAA8}</author>
    <author>tc={B8EA6133-8E50-415C-BC45-D78D4FEA71C4}</author>
    <author>tc={07556A2A-41D8-48EF-B08A-D83CB612C157}</author>
    <author>tc={3F84442E-833B-43C7-B47F-145AABD09890}</author>
    <author>tc={26E9C692-010D-4F81-8ACF-9834D6E3840F}</author>
    <author>tc={13F15FE2-C561-4C6C-8D1B-9CB1E0DC37BA}</author>
    <author>tc={95B2330A-EFBD-4438-B49D-E952F6BD2ECE}</author>
    <author>tc={79815362-197D-4F23-9597-9B253F05DB0C}</author>
    <author>tc={6CDF47B9-B196-4C63-B9C7-C4AFC5F4458A}</author>
    <author>tc={9CA8448B-E8DE-4C0C-A9BA-6788F82D3D5A}</author>
    <author>tc={9607157B-A58D-44EA-A79F-7EBFB16924B0}</author>
    <author>tc={75462F50-C01E-4862-B1A0-7A9CC9CC7BD1}</author>
    <author>tc={368D3679-6180-4E91-922B-82282F6BC7EA}</author>
    <author>tc={59E35930-4A98-460B-ACEC-1BB2D706292A}</author>
    <author>tc={2CAF6454-1651-4651-B7CC-F8AC0DD851FC}</author>
    <author>tc={79AF0F1F-54D6-4A74-AC15-F211D87D8193}</author>
    <author>tc={29384258-299C-4C50-A67B-8BF8A0173176}</author>
    <author>tc={A22A3302-194D-4263-8D47-210599C440C2}</author>
    <author>tc={6EB6A159-9C6A-4E58-9075-C5407B56F3B8}</author>
    <author>tc={C8EB5136-4A2D-4160-8599-914E7FAF0E01}</author>
    <author>tc={0FD4F14C-0EF9-45DE-B994-76C37C6CA166}</author>
    <author>tc={942368B5-B4C6-4B65-8CBF-97FCD0F2E33D}</author>
    <author>tc={41B491F3-E223-42D6-A387-C8A0EC3A84AE}</author>
    <author>tc={9BBF869A-80EA-4322-B460-C6E51B656FF0}</author>
    <author>tc={A5757D7D-0E9C-4621-8CB2-F0EBBAFBA5F9}</author>
  </authors>
  <commentList>
    <comment ref="A19" authorId="0" shapeId="0" xr:uid="{E00DBF61-B11A-4C4F-8686-64B1F4C972C6}">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27" authorId="1" shapeId="0" xr:uid="{7EB7265F-2848-4171-A262-5B0FE453FAA8}">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30" authorId="2" shapeId="0" xr:uid="{B8EA6133-8E50-415C-BC45-D78D4FEA71C4}">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33" authorId="3" shapeId="0" xr:uid="{07556A2A-41D8-48EF-B08A-D83CB612C157}">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36" authorId="4" shapeId="0" xr:uid="{3F84442E-833B-43C7-B47F-145AABD09890}">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39" authorId="5" shapeId="0" xr:uid="{26E9C692-010D-4F81-8ACF-9834D6E3840F}">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48" authorId="6" shapeId="0" xr:uid="{13F15FE2-C561-4C6C-8D1B-9CB1E0DC37BA}">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51" authorId="7" shapeId="0" xr:uid="{95B2330A-EFBD-4438-B49D-E952F6BD2ECE}">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54" authorId="8" shapeId="0" xr:uid="{79815362-197D-4F23-9597-9B253F05DB0C}">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57" authorId="9" shapeId="0" xr:uid="{6CDF47B9-B196-4C63-B9C7-C4AFC5F4458A}">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60" authorId="10" shapeId="0" xr:uid="{9CA8448B-E8DE-4C0C-A9BA-6788F82D3D5A}">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A91" authorId="11" shapeId="0" xr:uid="{9607157B-A58D-44EA-A79F-7EBFB16924B0}">
      <text>
        <t>[Threaded comment]
Your version of Excel allows you to read this threaded comment; however, any edits to it will get removed if the file is opened in a newer version of Excel. Learn more: https://go.microsoft.com/fwlink/?linkid=870924
Comment:
    "unique website visits"</t>
      </text>
    </comment>
    <comment ref="N136" authorId="12" shapeId="0" xr:uid="{75462F50-C01E-4862-B1A0-7A9CC9CC7BD1}">
      <text>
        <t>[Threaded comment]
Your version of Excel allows you to read this threaded comment; however, any edits to it will get removed if the file is opened in a newer version of Excel. Learn more: https://go.microsoft.com/fwlink/?linkid=870924
Comment:
    1 item</t>
      </text>
    </comment>
    <comment ref="L141" authorId="13" shapeId="0" xr:uid="{368D3679-6180-4E91-922B-82282F6BC7EA}">
      <text>
        <t>[Threaded comment]
Your version of Excel allows you to read this threaded comment; however, any edits to it will get removed if the file is opened in a newer version of Excel. Learn more: https://go.microsoft.com/fwlink/?linkid=870924
Comment:
    Add (41)</t>
      </text>
    </comment>
    <comment ref="L176" authorId="14" shapeId="0" xr:uid="{59E35930-4A98-460B-ACEC-1BB2D706292A}">
      <text>
        <t>[Threaded comment]
Your version of Excel allows you to read this threaded comment; however, any edits to it will get removed if the file is opened in a newer version of Excel. Learn more: https://go.microsoft.com/fwlink/?linkid=870924
Comment:
    Add (44)</t>
      </text>
    </comment>
    <comment ref="L193" authorId="15" shapeId="0" xr:uid="{2CAF6454-1651-4651-B7CC-F8AC0DD851FC}">
      <text>
        <t>[Threaded comment]
Your version of Excel allows you to read this threaded comment; however, any edits to it will get removed if the file is opened in a newer version of Excel. Learn more: https://go.microsoft.com/fwlink/?linkid=870924
Comment:
    Add (31)</t>
      </text>
    </comment>
    <comment ref="N309" authorId="16" shapeId="0" xr:uid="{79AF0F1F-54D6-4A74-AC15-F211D87D8193}">
      <text>
        <t>[Threaded comment]
Your version of Excel allows you to read this threaded comment; however, any edits to it will get removed if the file is opened in a newer version of Excel. Learn more: https://go.microsoft.com/fwlink/?linkid=870924
Comment:
    7 items</t>
      </text>
    </comment>
    <comment ref="L351" authorId="17" shapeId="0" xr:uid="{29384258-299C-4C50-A67B-8BF8A0173176}">
      <text>
        <t>[Threaded comment]
Your version of Excel allows you to read this threaded comment; however, any edits to it will get removed if the file is opened in a newer version of Excel. Learn more: https://go.microsoft.com/fwlink/?linkid=870924
Comment:
    Add (18)</t>
      </text>
    </comment>
    <comment ref="N452" authorId="18" shapeId="0" xr:uid="{A22A3302-194D-4263-8D47-210599C440C2}">
      <text>
        <t>[Threaded comment]
Your version of Excel allows you to read this threaded comment; however, any edits to it will get removed if the file is opened in a newer version of Excel. Learn more: https://go.microsoft.com/fwlink/?linkid=870924
Comment:
    1 item</t>
      </text>
    </comment>
    <comment ref="N467" authorId="19" shapeId="0" xr:uid="{6EB6A159-9C6A-4E58-9075-C5407B56F3B8}">
      <text>
        <t>[Threaded comment]
Your version of Excel allows you to read this threaded comment; however, any edits to it will get removed if the file is opened in a newer version of Excel. Learn more: https://go.microsoft.com/fwlink/?linkid=870924
Comment:
    3 pages of new items</t>
      </text>
    </comment>
    <comment ref="N470" authorId="20" shapeId="0" xr:uid="{C8EB5136-4A2D-4160-8599-914E7FAF0E01}">
      <text>
        <t>[Threaded comment]
Your version of Excel allows you to read this threaded comment; however, any edits to it will get removed if the file is opened in a newer version of Excel. Learn more: https://go.microsoft.com/fwlink/?linkid=870924
Comment:
    7 items</t>
      </text>
    </comment>
    <comment ref="L500" authorId="21" shapeId="0" xr:uid="{0FD4F14C-0EF9-45DE-B994-76C37C6CA166}">
      <text>
        <t>[Threaded comment]
Your version of Excel allows you to read this threaded comment; however, any edits to it will get removed if the file is opened in a newer version of Excel. Learn more: https://go.microsoft.com/fwlink/?linkid=870924
Comment:
    Add (93)</t>
      </text>
    </comment>
    <comment ref="N523" authorId="22" shapeId="0" xr:uid="{942368B5-B4C6-4B65-8CBF-97FCD0F2E33D}">
      <text>
        <t>[Threaded comment]
Your version of Excel allows you to read this threaded comment; however, any edits to it will get removed if the file is opened in a newer version of Excel. Learn more: https://go.microsoft.com/fwlink/?linkid=870924
Comment:
    1 new item</t>
      </text>
    </comment>
    <comment ref="N576" authorId="23" shapeId="0" xr:uid="{41B491F3-E223-42D6-A387-C8A0EC3A84AE}">
      <text>
        <t>[Threaded comment]
Your version of Excel allows you to read this threaded comment; however, any edits to it will get removed if the file is opened in a newer version of Excel. Learn more: https://go.microsoft.com/fwlink/?linkid=870924
Comment:
    1 new item</t>
      </text>
    </comment>
    <comment ref="N580" authorId="24" shapeId="0" xr:uid="{9BBF869A-80EA-4322-B460-C6E51B656FF0}">
      <text>
        <t>[Threaded comment]
Your version of Excel allows you to read this threaded comment; however, any edits to it will get removed if the file is opened in a newer version of Excel. Learn more: https://go.microsoft.com/fwlink/?linkid=870924
Comment:
    5 pages of new items</t>
      </text>
    </comment>
    <comment ref="L766" authorId="25" shapeId="0" xr:uid="{A5757D7D-0E9C-4621-8CB2-F0EBBAFBA5F9}">
      <text>
        <t>[Threaded comment]
Your version of Excel allows you to read this threaded comment; however, any edits to it will get removed if the file is opened in a newer version of Excel. Learn more: https://go.microsoft.com/fwlink/?linkid=870924
Comment:
    Add (10)</t>
      </text>
    </comment>
  </commentList>
</comments>
</file>

<file path=xl/sharedStrings.xml><?xml version="1.0" encoding="utf-8"?>
<sst xmlns="http://schemas.openxmlformats.org/spreadsheetml/2006/main" count="13632" uniqueCount="4254">
  <si>
    <t>ASX:CTT</t>
  </si>
  <si>
    <t>Base Case</t>
  </si>
  <si>
    <t>Simple Model</t>
  </si>
  <si>
    <t>(USD in mm)</t>
  </si>
  <si>
    <t>FY18a</t>
  </si>
  <si>
    <t>FY19a</t>
  </si>
  <si>
    <t>FY20a</t>
  </si>
  <si>
    <t>FY21a</t>
  </si>
  <si>
    <t>FY22a</t>
  </si>
  <si>
    <t>FY23a</t>
  </si>
  <si>
    <t>FY24e</t>
  </si>
  <si>
    <t>FY25e</t>
  </si>
  <si>
    <t>FY26e</t>
  </si>
  <si>
    <t>FY27e</t>
  </si>
  <si>
    <t>FY28e</t>
  </si>
  <si>
    <t>FY29e</t>
  </si>
  <si>
    <t>FY30e</t>
  </si>
  <si>
    <t>FY31e</t>
  </si>
  <si>
    <t>FY32e</t>
  </si>
  <si>
    <t>FY33e</t>
  </si>
  <si>
    <t>FY34e</t>
  </si>
  <si>
    <t>FY35e</t>
  </si>
  <si>
    <t>&lt;&lt; FTCH GMV $3.2B USD in 2020</t>
  </si>
  <si>
    <t>Net Revenue</t>
  </si>
  <si>
    <t>&lt;&lt; USD Gross Revenue @ 15% returns</t>
  </si>
  <si>
    <t>% Growth</t>
  </si>
  <si>
    <t>Gross Profit</t>
  </si>
  <si>
    <t>% Margin</t>
  </si>
  <si>
    <t>CRC EBITDA</t>
  </si>
  <si>
    <t>% Incremental</t>
  </si>
  <si>
    <t>% of GP</t>
  </si>
  <si>
    <t>Capex</t>
  </si>
  <si>
    <t>% of Sales</t>
  </si>
  <si>
    <t>CRC EBITDA-Capex</t>
  </si>
  <si>
    <t>D&amp;A</t>
  </si>
  <si>
    <t>CRC EBIT</t>
  </si>
  <si>
    <t>Interest and Other</t>
  </si>
  <si>
    <t>% Rate</t>
  </si>
  <si>
    <t>Tax</t>
  </si>
  <si>
    <t>Recurring FCF</t>
  </si>
  <si>
    <t>Net Income</t>
  </si>
  <si>
    <t>Other</t>
  </si>
  <si>
    <t>Realized FCF</t>
  </si>
  <si>
    <t>Net Debt</t>
  </si>
  <si>
    <t>x EBITDA</t>
  </si>
  <si>
    <t>FCF to Equity</t>
  </si>
  <si>
    <t>% of Mkt. Cap</t>
  </si>
  <si>
    <t>Cum. FCF to Equity</t>
  </si>
  <si>
    <t>Mkt Cap / LTM Realized FCF</t>
  </si>
  <si>
    <t>EV / Sales</t>
  </si>
  <si>
    <t>EV / GP</t>
  </si>
  <si>
    <t>P / Recurring FCF</t>
  </si>
  <si>
    <t>P/ E</t>
  </si>
  <si>
    <t>Basis multiple (3% margin @ 30% tax)</t>
  </si>
  <si>
    <t>Basis multiple (5% margin @ 30% tax)</t>
  </si>
  <si>
    <t>Basis multiple (15% margin @ 30% tax)</t>
  </si>
  <si>
    <t>Returns</t>
  </si>
  <si>
    <t>Ten-Year Exit</t>
  </si>
  <si>
    <t>Forward FCF Multiple</t>
  </si>
  <si>
    <t>Equity Value</t>
  </si>
  <si>
    <t>Cash Flows</t>
  </si>
  <si>
    <t>xIRR</t>
  </si>
  <si>
    <t>Capitalization</t>
  </si>
  <si>
    <t>AUD Denominated</t>
  </si>
  <si>
    <t>Amount</t>
  </si>
  <si>
    <t>USD / Share</t>
  </si>
  <si>
    <t>AUD / Share</t>
  </si>
  <si>
    <t>AUD</t>
  </si>
  <si>
    <t>USD</t>
  </si>
  <si>
    <t>Equity</t>
  </si>
  <si>
    <t xml:space="preserve">Equity </t>
  </si>
  <si>
    <t xml:space="preserve">Net Debt </t>
  </si>
  <si>
    <t>TEV</t>
  </si>
  <si>
    <t xml:space="preserve">TEV </t>
  </si>
  <si>
    <t>Shares (mm)</t>
  </si>
  <si>
    <t>CY2018</t>
  </si>
  <si>
    <t>CY2019</t>
  </si>
  <si>
    <t>CY2020</t>
  </si>
  <si>
    <t>CY2021</t>
  </si>
  <si>
    <t>CY2022</t>
  </si>
  <si>
    <t>CY2023</t>
  </si>
  <si>
    <t>CY2024</t>
  </si>
  <si>
    <t>CY2025</t>
  </si>
  <si>
    <t>CY2026</t>
  </si>
  <si>
    <t>CY2027</t>
  </si>
  <si>
    <t>Consensus (AUD)</t>
  </si>
  <si>
    <t>Rev</t>
  </si>
  <si>
    <t>BP</t>
  </si>
  <si>
    <t>Bjy</t>
  </si>
  <si>
    <t>RBC</t>
  </si>
  <si>
    <t>Petra</t>
  </si>
  <si>
    <t>Avg</t>
  </si>
  <si>
    <t>USD/AUD</t>
  </si>
  <si>
    <t>EBITDA</t>
  </si>
  <si>
    <t>UPSIDE CASE</t>
  </si>
  <si>
    <t xml:space="preserve">EV / GP </t>
  </si>
  <si>
    <t>BAABTAVMT0NBTAFI/////wFQMQAAADNDSVFBVkcuJEFVRFVTRC5JUV9MQVNUU0FMRVBSSUNFLjMvMjUvMjAyMy4zLzI2LzIwMjMBAAAAPetaAAIAAAAGMS41MDYxALSJinOrLtsIkrsJu6wu2wgzQ0lRQVZHLiRBVURVU0QuSVFfTEFTVFNBTEVQUklDRS43LzEvMjAxOS4xMi8zMS8yMDE5AQAAAD3rWgACAAAAEDEuNDYwNjgwNDM0NzgyNjEAtImKc6su2wip/8tzqy7bCDJDSVFBVkcuJEFVRFVTRC5JUV9MQVNUU0FMRVBSSUNFLjEvMS8yMDIwLjYvMzAvMjAyMAEAAAA961oAAgAAABAxLjUyMzkxODEzMTg2ODEzALSJinOrLtsIqf/Lc6su2wgzQ0lRQVZHLiRBVURVU0QuSVFfTEFTVFNBTEVQUklDRS43LzEvMjAyMC4xMi8zMS8yMDIwAQAAAD3rWgACAAAAEDEuMzgzNDk5MTg0NzgyNjEAtImKc6su2wip/8tzqy7bCDJDSVFBVkcuJEFVRFVTRC5JUV9MQVNUU0FMRVBSSUNFLjEvMS8yMDIxLjYvMzAvMjAyMQEAAAA961oAAgAAABAxLjI5Njk3MzQ4MDY2Mjk4ALSJinOrLtsIqf/Lc6su2wgzQ0lRQVZHLiRBVURVU0QuSVFfTEFTVFNBTEVQUklDRS43LzEvMjAyMS4xMi8zMS8yMDIxAQAAAD3rWgACAAAAEDEuMzY3MDU5MjM5MTMwNDMAtImKc6su2wip/8tzqy7bCDJDSVFBVkcuJEFVRFVTRC5JUV9MQVNUU0FMRVBSSUNFLjEvMS8yMDIyLjYvMzAvMjAyMgEAAAA961oAAgAAABAxLjM5MDY1NTgwMTEwNDk3ALSJ</t>
  </si>
  <si>
    <t>inOrLtsIqf/Lc6su2wgzQ0lRQVZHLiRBVURVU0QuSVFfTEFTVFNBTEVQUklDRS43LzEvMjAyMi4xMi8zMS8yMDIyAQAAAD3rWgACAAAACjEuNDkyNTkzNzUAtImKc6su2wip/8tzqy7bCDJDSVFBVkcuJEFVRFVTRC5JUV9MQVNUU0FMRVBSSUNFLjcvMS8yMDE3LjYvMzAvMjAxOAEAAAA961oAAgAAABAxLjI5MDU5MjYwMjczOTczALSJinOrLtsIqf/Lc6su2wgyQ0lRQVZHLiRBVURVU0QuSVFfTEFTVFNBTEVQUklDRS43LzEvMjAxOC42LzMwLzIwMTkBAAAAPetaAAIAAAAQMS4zOTg1MDY5ODYzMDEzNwC0iYpzqy7bCFFRk3OrLtsIMkNJUUFWRy4kQVVEVVNELklRX0xBU1RTQUxFUFJJQ0UuNy8xLzIwMTkuNi8zMC8yMDIwAQAAAD3rWgACAAAAEDEuNDkyMTI2NTAyNzMyMjQAtImKc6su2whRUZNzqy7bCDJDSVFBVkcuJEFVRFVTRC5JUV9MQVNUU0FMRVBSSUNFLjcvMS8yMDIwLjYvMzAvMjAyMQEAAAA961oAAgAAABAxLjM0MDU5MTkxNzgwODIyALSJinOrLtsIqf/Lc6su2wgyQ0lRQVZHLiRBVURVU0QuSVFfTEFTVFNBTEVQUklDRS43LzEvMjAyMS42LzMwLzIwMjIBAAAAPetaAAIAAAAQMS4zNzg3NjA1NDc5NDUyMQC0iYpzqy7bCKn/y3OrLtsIMkNJUUFWRy4kQVVEVVNELklRX0xBU1RTQUxFUFJJQ0UuMS8xLzIwMjAuMy8zMS8yMDIwAQAAAD3rWgACAAAAEDEuNTIzMTUxNjQ4MzUxNjUAtImKc6su2wip</t>
  </si>
  <si>
    <t>/8tzqy7bCDJDSVFBVkcuJEFVRFVTRC5JUV9MQVNUU0FMRVBSSUNFLjQvMS8yMDIwLjYvMzAvMjAyMAEAAAA961oAAgAAABAxLjUyNDY4NDYxNTM4NDYyALSJinOrLtsIqf/Lc6su2wgyQ0lRQVZHLiRBVURVU0QuSVFfTEFTVFNBTEVQUklDRS43LzEvMjAyMC45LzMwLzIwMjABAAAAPetaAAIAAAAQMS4zOTkyODM2OTU2NTIxNwC0iYpzqy7bCKn/y3OrLtsINENJUUFWRy4kQVVEVVNELklRX0xBU1RTQUxFUFJJQ0UuMTAvMS8yMDIwLjEyLzMxLzIwMjABAAAAPetaAAIAAAAQMS4zNjc3MTQ2NzM5MTMwNAC0iYpzqy7bCKn/y3OrLtsIMkNJUUFWRy4kQVVEVVNELklRX0xBU1RTQUxFUFJJQ0UuMS8xLzIwMjEuMy8zMS8yMDIxAQAAAD3rWgACAAAAEDEuMjk0NjcyMjIyMjIyMjIAtImKc6su2wip/8tzqy7bCDJDSVFBVkcuJEFVRFVTRC5JUV9MQVNUU0FMRVBSSUNFLjQvMS8yMDIxLjYvMzAvMjAyMQEAAAA961oAAgAAABAxLjI5OTI0OTQ1MDU0OTQ1ALSJinOrLtsIqf/Lc6su2wgyQ0lRQVZHLiRBVURVU0QuSVFfTEFTVFNBTEVQUklDRS43LzEvMjAyMS45LzMwLzIwMjEBAAAAPetaAAIAAAAQMS4zNjEwMzA0MzQ3ODI2MQC0iYpzqy7bCKn/y3OrLtsINENJUUFWRy4kQVVEVVNELklRX0xBU1RTQUxFUFJJQ0UuMTAvMS8yMDIxLjEyLzMxLzIwMjEBAAAAPetaAAIAAAAQMS4zNzMwODgwNDM0NzgyNgC0iYpzqy7b</t>
  </si>
  <si>
    <t>CKn/y3OrLtsIMkNJUUFWRy4kQVVEVVNELklRX0xBU1RTQUxFUFJJQ0UuMS8xLzIwMjIuMy8zMS8yMDIyAQAAAD3rWgACAAAAEDEuMzgwOTUyMjIyMjIyMjIAtImKc6su2wip/8tzqy7bCDJDSVFBVkcuJEFVRFVTRC5JUV9MQVNUU0FMRVBSSUNFLjQvMS8yMDIyLjYvMzAvMjAyMgEAAAA961oAAgAAABAxLjQwMDI1Mjc0NzI1Mjc1ALSJinOrLtsIqf/Lc6su2wgyQ0lRQVZHLiRBVURVU0QuSVFfTEFTVFNBTEVQUklDRS43LzEvMjAyMi45LzMwLzIwMjIBAAAAPetaAAIAAAAQMS40NjMwOTE4NDc4MjYwOQC0iYpzqy7bCKn/y3OrLtsINENJUUFWRy4kQVVEVVNELklRX0xBU1RTQUxFUFJJQ0UuMTAvMS8yMDIyLjEyLzMxLzIwMjIBAAAAPetaAAIAAAAQMS41MjIwOTU2NTIxNzM5MQC0iYpzqy7bCKn/y3OrLtsIMUNJUUFWRy4kQVVEVVNELklRX0xBU1RTQUxFUFJJQ0UuNy8xLzIwMTguNy8xLzIwMTkBAAAAPetaAAIAAAAQMS4zOTg2MDg2MDY1NTczOAC0iYpzqy7bCKn/y3OrLtsIMkNJUUFWRy4kQVVEVVNELklRX0xBU1RTQUxFUFJJQ0UuNy8yLzIwMTkuNi8zMC8yMDIwAQAAAD3rWgACAAAAEDEuNDkyMjgxMDk1ODkwNDEAtImKc6su2wip/8tzqy7bCDVDSVFBVkcuJEFVRFVTRC5JUV9MQVNUU0FMRVBSSUNFLjEyLzI5LzIwMTkuMTIvMzEvMjAxOQEAAAA961oAAgAAABAxLjQyODAzMzMzMzMzMzMzALSJinOr</t>
  </si>
  <si>
    <t>LtsIqf/Lc6su2wgzQ0lRQVZHLiRBVURVU0QuSVFfTEFTVFNBTEVQUklDRS42LzI4LzIwMjAuNi8zMC8yMDIwAQAAAD3rWgACAAAAEDEuNDU1NzY2NjY2NjY2NjcAtImKc6su2wip/8tzqy7bCDVDSVFBVkcuJEFVRFVTRC5JUV9MQVNUU0FMRVBSSUNFLjEyLzI5LzIwMjAuMTIvMzEvMjAyMAEAAAA961oAAgAAAAYxLjMwMzQAtImKc6su2wip/8tzqy7bCDNDSVFBVkcuJEFVRFVTRC5JUV9MQVNUU0FMRVBSSUNFLjYvMjgvMjAyMS42LzMwLzIwMjEBAAAAPetaAAIAAAAQMS4zMjgzNjY2NjY2NjY2NwC0iYpzqy7bCKn/y3OrLtsINUNJUUFWRy4kQVVEVVNELklRX0xBU1RTQUxFUFJJQ0UuMTIvMjkvMjAyMS4xMi8zMS8yMDIxAQAAAD3rWgACAAAAEDEuMzc3NDMzMzMzMzMzMzMAtImKc6su2wip/8tzqy7bCDNDSVFBVkcuJEFVRFVTRC5JUV9MQVNUU0FMRVBSSUNFLjYvMjkvMjAyMi42LzMwLzIwMjIBAAAAPetaAAIAAAAFMS40NTMAtImKc6su2wip/8tzqy7bCDVDSVFBVkcuJEFVRFVTRC5JUV9MQVNUU0FMRVBSSUNFLjEyLzMwLzIwMjIuMTIvMzEvMjAyMgEAAAA961oAAgAAAAYxLjQ3MTMAtImKc6su2wip/8tzqy7bCDNDSVFBVkcuJEFVRFVTRC5JUV9MQVNUU0FMRVBSSUNFLjYvMjkvMjAxOC42LzMwLzIwMTgBAAAAPetaAAIAAAAFMS4zNTIAtImKc6su2wip/8tzqy7bCDNDSVFBVkcuJEFVRFVTRC5JUV9M</t>
  </si>
  <si>
    <t>QVNUU0FMRVBSSUNFLjYvMjkvMjAxOS42LzMwLzIwMTkBAAAAPetaAAIAAAAGMS40MjYyALSJinOrLtsIqf/Lc6su2wgzQ0lRQVZHLiRBVURVU0QuSVFfTEFTVFNBTEVQUklDRS42LzI4LzIwMjAuNi8yOS8yMDIwAQAAAD3rWgACAAAABzEuNDU5NDUAtImKc6su2wip/8tzqy7bCDNDSVFBVkcuJEFVRFVTRC5JUV9MQVNUU0FMRVBSSUNFLjYvMjkvMjAyMS42LzMwLzIwMjEBAAAAPetaAAIAAAAFMS4zMzIAtImKc6su2wip/8tzqy7bCCpDSVFBVkcuJEFVRFVTRC5JUV9MQVNUU0FMRVBSSUNFLi42LzMwLzIwMTgFAAAAAQAAAAgAAAASKEludmFsaWQgRW5kIERhdGUpbn3Fc6su2whufcVzqy7bCCpDSVFBVkcuJEFVRFVTRC5JUV9MQVNUU0FMRVBSSUNFLi4zLzI2LzIwMjMFAAAAAAAAAAgAAAASKEludmFsaWQgRW5kIERhdGUpbn3Fc6su2wip/8tzqy7bCCtDSVFBVkcuJEFVRFVTRC5JUV9MQVNUU0FMRVBSSUNFLi4xMi8zMS8yMDE5BQAAAAEAAAAIAAAAEihJbnZhbGlkIEVuZCBEYXRlKW59xXOrLtsIbn3Fc6su2wgqQ0lRQVZHLiRBVURVU0QuSVFfTEFTVFNBTEVQUklDRS4uNi8zMC8yMDIxBQAAAAEAAAAIAAAAEihJbnZhbGlkIEVuZCBEYXRlKW59xXOrLtsIbn3Fc6su2wgqQ0lRQVZHLiRBVURVU0QuSVFfTEFTVFNBTEVQUklDRS4uNi8zMC8yMDIwBQAAAAEAAAAIAAAAEihJbnZhbGlkIEVuZCBEYXRlKW59</t>
  </si>
  <si>
    <t>xXOrLtsIbn3Fc6su2wgrQ0lRQVZHLiRBVURVU0QuSVFfTEFTVFNBTEVQUklDRS4uMTIvMzEvMjAyMAUAAAABAAAACAAAABIoSW52YWxpZCBFbmQgRGF0ZSlufcVzqy7bCG59xXOrLtsIK0NJUUFWRy4kQVVEVVNELklRX0xBU1RTQUxFUFJJQ0UuLjEyLzMxLzIwMjEFAAAAAQAAAAgAAAASKEludmFsaWQgRW5kIERhdGUpbn3Fc6su2whufcVzqy7bCCFDSVFBVkcuJEFVRFVTRC5JUV9MQVNUU0FMRVBSSUNFLi4BAAAAPetaAAIAAAAGMS41MDYxAEzOxXOrLtsIqf/Lc6su2wgpQ0lRQVZHLiRBVURVU0QuSVFfTEFTVFNBTEVQUklDRS43LzEvMjAxOS4BAAAAPetaAAIAAAAQMS40MTk1Mjk1MDIxOTYxOQBMzsVzqy7bCEzOxXOrLtsIKUNJUUFWRy4kQVVEVVNELklRX0xBU1RTQUxFUFJJQ0UuNy8xLzIwMTcuAQAAAD3rWgACAAAAEDEuMzkzNDE1Mzg2NDUwMzgATM7Fc6su2whMzsVzqy7bCClDSVFBVkcuJEFVRFVTRC5JUV9MQVNUU0FMRVBSSUNFLjEvMS8yMDIwLgEAAAA961oAAgAAABAxLjQxMzEyMzYwNDA2MDkxAEzOxXOrLtsITM7Fc6su2wg=</t>
  </si>
  <si>
    <t>Downside</t>
  </si>
  <si>
    <t>Historicals and Forecast</t>
  </si>
  <si>
    <t>FYE June 30th</t>
  </si>
  <si>
    <t>1H FY20</t>
  </si>
  <si>
    <t>2H FY20</t>
  </si>
  <si>
    <t>1H FY21</t>
  </si>
  <si>
    <t>2H FY21</t>
  </si>
  <si>
    <t>1H FY22</t>
  </si>
  <si>
    <t>2H FY22</t>
  </si>
  <si>
    <t>1H FY23</t>
  </si>
  <si>
    <t>2H FY23</t>
  </si>
  <si>
    <t>1H FY24</t>
  </si>
  <si>
    <t>2H FY24E</t>
  </si>
  <si>
    <t>1H FY25E</t>
  </si>
  <si>
    <t>2H FY25E</t>
  </si>
  <si>
    <t xml:space="preserve">2018A </t>
  </si>
  <si>
    <t xml:space="preserve">2019A </t>
  </si>
  <si>
    <t>2020A</t>
  </si>
  <si>
    <t>2021A</t>
  </si>
  <si>
    <t>2022A</t>
  </si>
  <si>
    <t>2023A</t>
  </si>
  <si>
    <t>KPIs</t>
  </si>
  <si>
    <t xml:space="preserve">Gross Revenue </t>
  </si>
  <si>
    <t>AOV</t>
  </si>
  <si>
    <t>Share price (AUD)</t>
  </si>
  <si>
    <t>Share price (USD)</t>
  </si>
  <si>
    <t>Sequential</t>
  </si>
  <si>
    <t>Financial Summary</t>
  </si>
  <si>
    <t>Gross Revenue</t>
  </si>
  <si>
    <t>Broker NTM</t>
  </si>
  <si>
    <t>% 2yr Stack Growth</t>
  </si>
  <si>
    <t>% Sequential</t>
  </si>
  <si>
    <t>% Growth (CC)</t>
  </si>
  <si>
    <t>LTM</t>
  </si>
  <si>
    <t>% of Gross Revenue</t>
  </si>
  <si>
    <t>Cash Operating Expenses</t>
  </si>
  <si>
    <t>Total Cash Operating Expenses</t>
  </si>
  <si>
    <t>TEV / LTM</t>
  </si>
  <si>
    <t>TEV / NTM</t>
  </si>
  <si>
    <t>Adj. Opex</t>
  </si>
  <si>
    <t>G&amp;A excl. adjustments</t>
  </si>
  <si>
    <t>Total Adj. Opex</t>
  </si>
  <si>
    <t>Other Income offset</t>
  </si>
  <si>
    <t>Total Adj. Opex less Other Income</t>
  </si>
  <si>
    <t>% Margin of GP</t>
  </si>
  <si>
    <t>Note:</t>
  </si>
  <si>
    <t xml:space="preserve">% Incremental </t>
  </si>
  <si>
    <t xml:space="preserve">Capex </t>
  </si>
  <si>
    <t>EBIT</t>
  </si>
  <si>
    <t>Interest, net</t>
  </si>
  <si>
    <t>PBT</t>
  </si>
  <si>
    <t>Taxes at 30%</t>
  </si>
  <si>
    <t>FCF Items</t>
  </si>
  <si>
    <t>less: Capex</t>
  </si>
  <si>
    <t>less: Interest and Other Income, net</t>
  </si>
  <si>
    <t xml:space="preserve">less: Taxes </t>
  </si>
  <si>
    <t>WC / Other</t>
  </si>
  <si>
    <t>Cash Flow Items</t>
  </si>
  <si>
    <t>CFO</t>
  </si>
  <si>
    <t>Cash Acquisitions, net of cash (outflow)</t>
  </si>
  <si>
    <t>Cash Divestitures</t>
  </si>
  <si>
    <t xml:space="preserve">Dividends </t>
  </si>
  <si>
    <t>Net (Buybacks/Use) vs. Issue/Source of Cash</t>
  </si>
  <si>
    <t xml:space="preserve">x LTM EBITDA </t>
  </si>
  <si>
    <t>Capitalization - USD</t>
  </si>
  <si>
    <t>Valuation (no capital return)</t>
  </si>
  <si>
    <t>TEV / Sales &gt;&gt;</t>
  </si>
  <si>
    <t>TEV / GP &gt;&gt;</t>
  </si>
  <si>
    <t>P / E &gt;&gt;</t>
  </si>
  <si>
    <t>Normalized @ 5% margin; 30% tax &gt;&gt;</t>
  </si>
  <si>
    <t>Normalized @ 3% margin; 30% tax &gt;&gt;</t>
  </si>
  <si>
    <t>Mkt Cap / Realzed FCF &gt;&gt;</t>
  </si>
  <si>
    <t>Capitalization - AUD</t>
  </si>
  <si>
    <t>FX</t>
  </si>
  <si>
    <t>HTD</t>
  </si>
  <si>
    <t>Spot</t>
  </si>
  <si>
    <t>Date - begin</t>
  </si>
  <si>
    <t>Date - end</t>
  </si>
  <si>
    <t>AUD / USD</t>
  </si>
  <si>
    <t>CY19</t>
  </si>
  <si>
    <t>CY20</t>
  </si>
  <si>
    <t>CY21</t>
  </si>
  <si>
    <t>CY22</t>
  </si>
  <si>
    <t>CY23e</t>
  </si>
  <si>
    <t>CY24e</t>
  </si>
  <si>
    <t>ntm</t>
  </si>
  <si>
    <t>Net Sales</t>
  </si>
  <si>
    <t>E-C</t>
  </si>
  <si>
    <t>Detaiiled Quarterly Forcast (USD)</t>
  </si>
  <si>
    <t>(USD in '000s)</t>
  </si>
  <si>
    <t>Q1 FY19</t>
  </si>
  <si>
    <t>Q2 FY19</t>
  </si>
  <si>
    <t>Q3 FY19</t>
  </si>
  <si>
    <t>Q4 FY19</t>
  </si>
  <si>
    <t>Q1 FY20</t>
  </si>
  <si>
    <t>Q2 FY20</t>
  </si>
  <si>
    <t>Q3 FY20</t>
  </si>
  <si>
    <t>Q4 FY20</t>
  </si>
  <si>
    <t>Q1 FY21</t>
  </si>
  <si>
    <t>Q2 FY21</t>
  </si>
  <si>
    <t>Q3 FY21</t>
  </si>
  <si>
    <t>Q4 FY21</t>
  </si>
  <si>
    <t>Q1 FY22</t>
  </si>
  <si>
    <t>Q2 FY22</t>
  </si>
  <si>
    <t>Q3 FY22</t>
  </si>
  <si>
    <t>Q4 FY22</t>
  </si>
  <si>
    <t>Q1 FY23</t>
  </si>
  <si>
    <t>Q2 FY23</t>
  </si>
  <si>
    <t>Q3FY23</t>
  </si>
  <si>
    <t>Q4FY23</t>
  </si>
  <si>
    <t>Q1 FY24</t>
  </si>
  <si>
    <t>Q2 FY24</t>
  </si>
  <si>
    <t>Q4FY24e</t>
  </si>
  <si>
    <t xml:space="preserve">FY18 </t>
  </si>
  <si>
    <t xml:space="preserve">FY19 </t>
  </si>
  <si>
    <t xml:space="preserve">FY20 </t>
  </si>
  <si>
    <t>FY21</t>
  </si>
  <si>
    <t>FY22</t>
  </si>
  <si>
    <t>FY23</t>
  </si>
  <si>
    <t>Gross Revenue Build</t>
  </si>
  <si>
    <t>AOV ($)</t>
  </si>
  <si>
    <t>Sequential Growth %</t>
  </si>
  <si>
    <t>YoY Growth %</t>
  </si>
  <si>
    <t>2yr Stack Growth %</t>
  </si>
  <si>
    <t>Note: July - October 2021 Disclosure</t>
  </si>
  <si>
    <t>July - Oct.</t>
  </si>
  <si>
    <t>Unique Website Visits (mm)</t>
  </si>
  <si>
    <t>Conversion Rate %</t>
  </si>
  <si>
    <t>Orders  (#)</t>
  </si>
  <si>
    <t>AOV (USD converted)</t>
  </si>
  <si>
    <t>Gross Revenue (USD mm, converted)</t>
  </si>
  <si>
    <t>Sales Revenue (USD mm, converted)</t>
  </si>
  <si>
    <t>Quarterly Income Statement</t>
  </si>
  <si>
    <t>Total Net Revenue</t>
  </si>
  <si>
    <t>Growth %</t>
  </si>
  <si>
    <t>United States</t>
  </si>
  <si>
    <t>Margin %</t>
  </si>
  <si>
    <t>Q3 Revenue % of 1H Revenue</t>
  </si>
  <si>
    <t>Q3 Revenue % of T9M Revenue</t>
  </si>
  <si>
    <t>Q4 Revenue / Q3 Revenue</t>
  </si>
  <si>
    <t>Q4 Revenue % of 1H Revenue</t>
  </si>
  <si>
    <t>Q4 Revenue % of 2H Revenue</t>
  </si>
  <si>
    <t>Adj. EBITDA</t>
  </si>
  <si>
    <t>Margin of GP %</t>
  </si>
  <si>
    <t>SBC</t>
  </si>
  <si>
    <t>FTCH GMV</t>
  </si>
  <si>
    <t>Total GMV</t>
  </si>
  <si>
    <t>Growth % ex-FX</t>
  </si>
  <si>
    <t>NA</t>
  </si>
  <si>
    <t>Q3 GMV % of 1H GMV</t>
  </si>
  <si>
    <t>Q3 GMV % of T9M GMV</t>
  </si>
  <si>
    <t>Q4 GMV / Q3 GMV</t>
  </si>
  <si>
    <t>Q4 GMV % of 1H GMV</t>
  </si>
  <si>
    <t>Q4 GMV % of 2H GMV</t>
  </si>
  <si>
    <t xml:space="preserve">Digital Platform GMV Growth % ex-FX </t>
  </si>
  <si>
    <t xml:space="preserve">Disclosed Historicals </t>
  </si>
  <si>
    <t>Q3 FY23</t>
  </si>
  <si>
    <t>Q4 FY23</t>
  </si>
  <si>
    <t>FY18</t>
  </si>
  <si>
    <t>Income Statement</t>
  </si>
  <si>
    <t>x FTCH gmv size</t>
  </si>
  <si>
    <t>Growth % (CC)</t>
  </si>
  <si>
    <t>x FTCH mkt cap</t>
  </si>
  <si>
    <t>Australia</t>
  </si>
  <si>
    <t>Note: UK Net Revenue (est)</t>
  </si>
  <si>
    <t>Emerging markets % of Gross Revenue</t>
  </si>
  <si>
    <t>Established markets % of Gross Revenue</t>
  </si>
  <si>
    <t>UK % of Net Revenue (assumption)</t>
  </si>
  <si>
    <t>UK Net Revenue (assumption)</t>
  </si>
  <si>
    <t>Sales Revenue</t>
  </si>
  <si>
    <t>Cost of Sales</t>
  </si>
  <si>
    <t>Other Income</t>
  </si>
  <si>
    <t>Interest Revenue, calculated using effective interest method</t>
  </si>
  <si>
    <t>Advertising and Marketing Expense</t>
  </si>
  <si>
    <t>Merchant Fees</t>
  </si>
  <si>
    <t>Employee Benefits Expense</t>
  </si>
  <si>
    <t>General and Administrative Expense</t>
  </si>
  <si>
    <t>Intial Public Offering Costs</t>
  </si>
  <si>
    <t>Bad Debt Expense</t>
  </si>
  <si>
    <t>Depreciation and Amortization Expense</t>
  </si>
  <si>
    <t>Profit Before Income Tax Expense</t>
  </si>
  <si>
    <t>Income Tax Expense</t>
  </si>
  <si>
    <t>Profit After Income Tax Expense</t>
  </si>
  <si>
    <t>Reported EBITDA</t>
  </si>
  <si>
    <t>IPO Costs</t>
  </si>
  <si>
    <t>Unrealized FX loss / (gain)</t>
  </si>
  <si>
    <t>Other / Reconciliation</t>
  </si>
  <si>
    <t>Product Margin %</t>
  </si>
  <si>
    <t>Delivered Margin %</t>
  </si>
  <si>
    <t>G&amp;A Detail</t>
  </si>
  <si>
    <t>Promotion and Packaging</t>
  </si>
  <si>
    <t>IT Costs</t>
  </si>
  <si>
    <t>Professional Fees</t>
  </si>
  <si>
    <t>Public Company Costs and Insurance</t>
  </si>
  <si>
    <t>Active Customers</t>
  </si>
  <si>
    <t>Sequential Net Adds</t>
  </si>
  <si>
    <t>Unique Website Visits ('000s)</t>
  </si>
  <si>
    <t>Number of Orders (#)</t>
  </si>
  <si>
    <t>Gross Revenue from Repeat Customers</t>
  </si>
  <si>
    <t>Gross Revenue per Customer ($)</t>
  </si>
  <si>
    <t>AOV New Customer</t>
  </si>
  <si>
    <t>AOV Returning Customer</t>
  </si>
  <si>
    <t>Brand Database</t>
  </si>
  <si>
    <t>Dec 20</t>
  </si>
  <si>
    <t>Aug 21</t>
  </si>
  <si>
    <t>Jan 22</t>
  </si>
  <si>
    <t>Aug 22</t>
  </si>
  <si>
    <t>Jan 23</t>
  </si>
  <si>
    <t>Aug 23</t>
  </si>
  <si>
    <t>Jan 24</t>
  </si>
  <si>
    <t>Non-Published Brands</t>
  </si>
  <si>
    <t>&gt;1,859</t>
  </si>
  <si>
    <t>&gt;1,841</t>
  </si>
  <si>
    <t>Published Brands</t>
  </si>
  <si>
    <t>Total Brands</t>
  </si>
  <si>
    <t>&gt;2,500</t>
  </si>
  <si>
    <t>Product Database</t>
  </si>
  <si>
    <t>Non-Published Products</t>
  </si>
  <si>
    <t>&gt;287,000</t>
  </si>
  <si>
    <t>&gt;260,000</t>
  </si>
  <si>
    <t>&gt;316,000</t>
  </si>
  <si>
    <t>Published Products</t>
  </si>
  <si>
    <t>Total Products</t>
  </si>
  <si>
    <t>&gt;400,000</t>
  </si>
  <si>
    <t>&gt;500,000</t>
  </si>
  <si>
    <t>Seller Stock Value</t>
  </si>
  <si>
    <t>Non-Published Stock Value</t>
  </si>
  <si>
    <t>&lt;667,000</t>
  </si>
  <si>
    <t>Published Stock Value</t>
  </si>
  <si>
    <t>&gt;410,000</t>
  </si>
  <si>
    <t>&gt;440,000</t>
  </si>
  <si>
    <t>&gt;667,000</t>
  </si>
  <si>
    <t>Total Seller Stock Value</t>
  </si>
  <si>
    <t>&gt;680,000</t>
  </si>
  <si>
    <t>&gt;780,000</t>
  </si>
  <si>
    <t>&gt;1,334,000</t>
  </si>
  <si>
    <t xml:space="preserve">Repeat Customers </t>
  </si>
  <si>
    <t>New Customers</t>
  </si>
  <si>
    <t>Total Gross Revenue</t>
  </si>
  <si>
    <t>Sequential %</t>
  </si>
  <si>
    <t>Gross Revenue from Repeat Customers %</t>
  </si>
  <si>
    <t>Gross Revenue from New Customers %</t>
  </si>
  <si>
    <t>Balance Sheet</t>
  </si>
  <si>
    <t>Assets</t>
  </si>
  <si>
    <t>Current Assets</t>
  </si>
  <si>
    <t>Cash and Cash Equivalents</t>
  </si>
  <si>
    <t>Trade and Other Receivables</t>
  </si>
  <si>
    <t>Inventories</t>
  </si>
  <si>
    <t>Derivative Financial Instruments</t>
  </si>
  <si>
    <t>Research and Development Incentive Receivable</t>
  </si>
  <si>
    <t>Other Assets</t>
  </si>
  <si>
    <t>Total Current Assets</t>
  </si>
  <si>
    <t>Non Current Assets</t>
  </si>
  <si>
    <t>Intangibles</t>
  </si>
  <si>
    <t>Deferred Tax Assets</t>
  </si>
  <si>
    <t>Total Non Current Assets</t>
  </si>
  <si>
    <t>Total Assets</t>
  </si>
  <si>
    <t>Liabilities</t>
  </si>
  <si>
    <t>Current Liabilities</t>
  </si>
  <si>
    <t>Trade and Other Payables</t>
  </si>
  <si>
    <t>Related Party Payables</t>
  </si>
  <si>
    <t>Contract Liabilities</t>
  </si>
  <si>
    <t>Income Tax</t>
  </si>
  <si>
    <t>Employee Benefits</t>
  </si>
  <si>
    <t>Deferred Income</t>
  </si>
  <si>
    <t>Total Current Liabilities</t>
  </si>
  <si>
    <t>Non Current Liabilities</t>
  </si>
  <si>
    <t>Deferred Tax Liabilities</t>
  </si>
  <si>
    <t>Total Non-Current Liabilities</t>
  </si>
  <si>
    <t>Total Liabilities</t>
  </si>
  <si>
    <t>Net Assets</t>
  </si>
  <si>
    <t>Issued Capital</t>
  </si>
  <si>
    <t>Re-organization Reserve</t>
  </si>
  <si>
    <t>SBC Reserve</t>
  </si>
  <si>
    <t>Retained Profits</t>
  </si>
  <si>
    <t>Total Equity</t>
  </si>
  <si>
    <t>(25,922) a.o. 4/30</t>
  </si>
  <si>
    <t>Cash Flow Statement</t>
  </si>
  <si>
    <t>Cash Flows from Operating Activities</t>
  </si>
  <si>
    <t>Receipts from Customers (inclusive of GST)</t>
  </si>
  <si>
    <t>Payments to Suppliers and Employees (inclusive of GST)</t>
  </si>
  <si>
    <t>Government Grants Received</t>
  </si>
  <si>
    <t>Interest Received</t>
  </si>
  <si>
    <t>Research and Development Incentive Received</t>
  </si>
  <si>
    <t>Net Cash from Operating Activities</t>
  </si>
  <si>
    <t>Cash Flows from Investing Activities</t>
  </si>
  <si>
    <t>Payments for Intangibles</t>
  </si>
  <si>
    <t>Net Cash used in Investing Activities</t>
  </si>
  <si>
    <t>Cash Flows from Financing Activities</t>
  </si>
  <si>
    <t>Payments to Related Parties</t>
  </si>
  <si>
    <t>Proceeds from Issue of Shares</t>
  </si>
  <si>
    <t>Dividend Paid</t>
  </si>
  <si>
    <t>Net Cash Used in Financing Activities</t>
  </si>
  <si>
    <t>Net Increase in Cash and Cash Equivalents</t>
  </si>
  <si>
    <t>Cash and Cash Equivalents at the Beginning of the Period</t>
  </si>
  <si>
    <t>Cash and Cash Equivalents at the End of the Period</t>
  </si>
  <si>
    <t>Australian Dollar Denominated</t>
  </si>
  <si>
    <t>(AUD in mm)</t>
  </si>
  <si>
    <t>1H24e</t>
  </si>
  <si>
    <t>1Q24e</t>
  </si>
  <si>
    <t>BJ</t>
  </si>
  <si>
    <t>avg</t>
  </si>
  <si>
    <t>CRC</t>
  </si>
  <si>
    <t>S&amp;M ex-brand spend per Order</t>
  </si>
  <si>
    <t>CY23</t>
  </si>
  <si>
    <t>CY24</t>
  </si>
  <si>
    <t>(AUD in '000s)</t>
  </si>
  <si>
    <t>1H23</t>
  </si>
  <si>
    <t>2H23</t>
  </si>
  <si>
    <t>1H24</t>
  </si>
  <si>
    <t>Revenue</t>
  </si>
  <si>
    <t>Total Revenue</t>
  </si>
  <si>
    <t>Gross Revenue %</t>
  </si>
  <si>
    <t>&gt;20%</t>
  </si>
  <si>
    <t>&gt;45,000</t>
  </si>
  <si>
    <t>&lt;1,600</t>
  </si>
  <si>
    <t>&gt;1,000</t>
  </si>
  <si>
    <t>&lt;301,000</t>
  </si>
  <si>
    <t>&lt;1,000,000</t>
  </si>
  <si>
    <t>&gt;600,000</t>
  </si>
  <si>
    <t>&gt;1,000,000</t>
  </si>
  <si>
    <t>&gt;1,200,000</t>
  </si>
  <si>
    <t>&gt;2,000,000</t>
  </si>
  <si>
    <t>(39,000) a.o. 4/30</t>
  </si>
  <si>
    <t>Income Tax Refunded (Paid)</t>
  </si>
  <si>
    <t>Purchase of Shares on Market</t>
  </si>
  <si>
    <t>Effect of FX Changes on Cash and Cash Equivalents</t>
  </si>
  <si>
    <t>CTT AU</t>
  </si>
  <si>
    <t>Management Credibility</t>
  </si>
  <si>
    <t>Date</t>
  </si>
  <si>
    <t>Event</t>
  </si>
  <si>
    <t>Metric</t>
  </si>
  <si>
    <t>Period</t>
  </si>
  <si>
    <t>Guide (AUD)</t>
  </si>
  <si>
    <t>Source</t>
  </si>
  <si>
    <t>Result</t>
  </si>
  <si>
    <t>Variance</t>
  </si>
  <si>
    <t>1H24 Results</t>
  </si>
  <si>
    <t>Growth</t>
  </si>
  <si>
    <t xml:space="preserve">January </t>
  </si>
  <si>
    <t>Approximately +80% YoY (Gross Revenue)</t>
  </si>
  <si>
    <t>Release</t>
  </si>
  <si>
    <t>AEBITDA profitability maintained</t>
  </si>
  <si>
    <t>1Q24 Results</t>
  </si>
  <si>
    <t>October TD</t>
  </si>
  <si>
    <t>+80% YoY</t>
  </si>
  <si>
    <t>1Q24</t>
  </si>
  <si>
    <t>"observed an improvement in profit trends during September which provides confidence in the Q2
outlook"</t>
  </si>
  <si>
    <t>FY23 Results</t>
  </si>
  <si>
    <t>+120% YoY</t>
  </si>
  <si>
    <t>AEBITDA % maintained</t>
  </si>
  <si>
    <t>Performance</t>
  </si>
  <si>
    <t>FY24</t>
  </si>
  <si>
    <t>"Cettire is well positioned for another strong year of growth and profitability"</t>
  </si>
  <si>
    <t>3Q23 Results</t>
  </si>
  <si>
    <t>4Q23</t>
  </si>
  <si>
    <t xml:space="preserve">&gt;160% </t>
  </si>
  <si>
    <t>2% beat</t>
  </si>
  <si>
    <t xml:space="preserve">EBITDA </t>
  </si>
  <si>
    <t>&gt;=5%</t>
  </si>
  <si>
    <t>Call</t>
  </si>
  <si>
    <t>5.5% Adj. EBITDA Margin</t>
  </si>
  <si>
    <t>0.5% beat</t>
  </si>
  <si>
    <t>160% YoY</t>
  </si>
  <si>
    <t>1H23 Results</t>
  </si>
  <si>
    <t xml:space="preserve">Growth </t>
  </si>
  <si>
    <t>GM%</t>
  </si>
  <si>
    <t>22-25%</t>
  </si>
  <si>
    <t>Miss</t>
  </si>
  <si>
    <t>S&amp;M%</t>
  </si>
  <si>
    <t>~8.7%</t>
  </si>
  <si>
    <t>In-line</t>
  </si>
  <si>
    <t>"Positive"</t>
  </si>
  <si>
    <t>Beat</t>
  </si>
  <si>
    <t>&gt;+80% YoY</t>
  </si>
  <si>
    <t>Founder sale</t>
  </si>
  <si>
    <t>5-6%</t>
  </si>
  <si>
    <t>1Q23 Results</t>
  </si>
  <si>
    <t>2Q23</t>
  </si>
  <si>
    <t>"Confident"</t>
  </si>
  <si>
    <t>2Q23 USD Net Sales +45% YoY</t>
  </si>
  <si>
    <t>FY22 Results</t>
  </si>
  <si>
    <t>7.0% Adj. EBITDA Margin</t>
  </si>
  <si>
    <t>QTD</t>
  </si>
  <si>
    <t>+67%</t>
  </si>
  <si>
    <t>&gt;AUD$2.0M</t>
  </si>
  <si>
    <t>3Q22 Results</t>
  </si>
  <si>
    <t>1H22 Results</t>
  </si>
  <si>
    <t>+242% YoY</t>
  </si>
  <si>
    <t>1Q22 (first 4mo.) Results</t>
  </si>
  <si>
    <t>FY21 Results</t>
  </si>
  <si>
    <t>+181% YoY</t>
  </si>
  <si>
    <t>3Q21 Results</t>
  </si>
  <si>
    <t>15% beat on sales A$ (54%pts of growth)</t>
  </si>
  <si>
    <t>In-line with positive commentary</t>
  </si>
  <si>
    <t>1H21 Results</t>
  </si>
  <si>
    <t>Sales</t>
  </si>
  <si>
    <t>70 - re-affirm</t>
  </si>
  <si>
    <t>GM</t>
  </si>
  <si>
    <t>17.1 - re-affirm</t>
  </si>
  <si>
    <t>(2) - re-affirm</t>
  </si>
  <si>
    <t>+478% YoY</t>
  </si>
  <si>
    <t>1Q21 Results</t>
  </si>
  <si>
    <t>+471% YoY</t>
  </si>
  <si>
    <t>+432% YoY</t>
  </si>
  <si>
    <t>IPO</t>
  </si>
  <si>
    <t>Prospectus</t>
  </si>
  <si>
    <t>40% beat on sales A$ (98% pts of growth)</t>
  </si>
  <si>
    <t>29% beat on GP A$ (76% pts of growth)</t>
  </si>
  <si>
    <t>A$4M beat on base of $92M Sales</t>
  </si>
  <si>
    <t>2/7/2023 1H23 Results Outlook</t>
  </si>
  <si>
    <t>The Company continues to experience a healthy demand environment across its geographic footprint. In light of the above, Cettire’s positive trading momentum has continued into H2-FY23:
• January 2023 sales revenue increased by greater than +80% versus pcp; and
• EBITDA positive during January 2023.
The Company continues to operate the business to maximise profitable revenue growth while also self-funding. Near term investment priorities are customer acquisition, technology investment, building organisational capability.
Cettire will be operated to be EBITDA positive in H2-FY23.</t>
  </si>
  <si>
    <t>11/17/2022 AGM Update</t>
  </si>
  <si>
    <t>As announced in October 2022, the business experienced strong profitability trends in Q1 FY23, highlighting the benefit of the business’ flexible cost base, low overhead and no inventory model. In line with our longerterm strategy, Management remains committed to delivering sustainable growth and shareholder value during FY23 with an increased focus on profitability. Today’s trading statement demonstrates further significant progress on this front
...
Cettire experienced a continuation of the strong profitability trends described at the FY22 results and Q1 FY23 update. Adjusted EBITDA (unaudited) for the month of October was at least $3.0 million, resulting in YTD FY23 Adjusted EBITDA (unaudited) for the first 4 months of at least $8.5 million. At its FY22 results, the Company confirmed that Cettire would be operated to maximise profitable revenue growth, whilst also self funding. Cettire’s financial strategy remains unchanged.</t>
  </si>
  <si>
    <t>New Disclosure (Y/N)</t>
  </si>
  <si>
    <t>Metrics Disclosed</t>
  </si>
  <si>
    <t>2023 AGM</t>
  </si>
  <si>
    <t>No</t>
  </si>
  <si>
    <t>Yes</t>
  </si>
  <si>
    <t>1Q24; October To-Date</t>
  </si>
  <si>
    <t>2022 AGM</t>
  </si>
  <si>
    <t>October 2022 Sales and Customer Metrics</t>
  </si>
  <si>
    <t>1Q23</t>
  </si>
  <si>
    <t>2021 AGM</t>
  </si>
  <si>
    <t xml:space="preserve">First four months (July - Oct 2021) Sales and Customer Metrics </t>
  </si>
  <si>
    <t>Note: No 1Q22 Results release</t>
  </si>
  <si>
    <t>CTT</t>
  </si>
  <si>
    <t>Guidance Commentary</t>
  </si>
  <si>
    <t>Outlook Commentary</t>
  </si>
  <si>
    <t>"In the coming year, Cettire will continue to focus on maximising profitable revenue growth, whilst also selffunding. Cettire has continued to experience a healthy demand environment across its geographic footprint, illustrating the resilience of global luxury spend. The Company remains excited about the structural shift of luxury spend online, providing ongoing potential to expand its addressable market. The Company is pleased to announce that  ositive trading momentum has continued into FY24, evidenced by the following observations through July 2023:
• Further acceleration in active customers growth rate to 67% versus the pcp;
• Sales revenue increased approximately 120% 6 versus the pcp; and
• Adjusted EBITDA profitability has been maintained. "</t>
  </si>
  <si>
    <t>FY23e</t>
  </si>
  <si>
    <t>"April monthly sales revenue increased by approximately 160% year-on-year, representing an acceleration on
the growth achieved in Q3 FY23. The Company expects to maintain monthly growth rates at least at this level
through the balance of FY23"</t>
  </si>
  <si>
    <t>2H23e</t>
  </si>
  <si>
    <t>"Speaking of our outlook, we continue to experience a healthy demand environment across our geographic footprint. Our positive trading momentum has continued into H2. Sales revenue increased by more than 80% in January. We've also maintained positive adjusted EBITDA during the month. We continue to operate the business to maximize profitable revenue growth, whilst also self-funding. Cettire will be operated to be EBITDA positive in H2 FY 23."
"We stepped back in Nov and December, but in Jan all the competition falls away – so it’s cheaper to acquire in Jan So to experiment we spent a bit more in Jan – nudging DD% as percent of sales So some of that increased marketing investment drove top line, but over the half we'll probably end up as % of sales similar to the first half"</t>
  </si>
  <si>
    <t>&lt;&lt; AUD Gross Revenue @ 15% returns</t>
  </si>
  <si>
    <t>&lt;&lt; USD</t>
  </si>
  <si>
    <t>EBITDA-Capex</t>
  </si>
  <si>
    <t>EV / GP @ 20% margin</t>
  </si>
  <si>
    <t>AUD / USD &gt;&gt;</t>
  </si>
  <si>
    <t>USD Denominated</t>
  </si>
  <si>
    <t>USD/Share</t>
  </si>
  <si>
    <t>screenshot August 4, 2021</t>
  </si>
  <si>
    <t>Statutory</t>
  </si>
  <si>
    <t>Pro Forma (used in model)</t>
  </si>
  <si>
    <t>Delta</t>
  </si>
  <si>
    <t>FY19</t>
  </si>
  <si>
    <t>FY20</t>
  </si>
  <si>
    <t>Sales revenue</t>
  </si>
  <si>
    <t>Cost of sales</t>
  </si>
  <si>
    <t>Gross profit</t>
  </si>
  <si>
    <t>Other income</t>
  </si>
  <si>
    <t>Advertising and marketing</t>
  </si>
  <si>
    <t>General and administrative</t>
  </si>
  <si>
    <t>Merchant fees</t>
  </si>
  <si>
    <t>Exmployee costs</t>
  </si>
  <si>
    <t>Bad debt expense</t>
  </si>
  <si>
    <t>Note: IR Presentation Adj. EBITDA %</t>
  </si>
  <si>
    <t>Pro Forma Detailed Adjustement (disclosed)</t>
  </si>
  <si>
    <t>CEO salary</t>
  </si>
  <si>
    <t>CFO salary</t>
  </si>
  <si>
    <t>Audit fees</t>
  </si>
  <si>
    <t>Director fees</t>
  </si>
  <si>
    <t>Chairman</t>
  </si>
  <si>
    <t>ASX, share registry, company secretary fees</t>
  </si>
  <si>
    <t>D&amp;O insurance</t>
  </si>
  <si>
    <t xml:space="preserve">Total Pro Forma Adjustments </t>
  </si>
  <si>
    <t>Quarterly Tracking</t>
  </si>
  <si>
    <t>Calendary Year Ending December 31st</t>
  </si>
  <si>
    <t>Method for 4Q23E</t>
  </si>
  <si>
    <t>Raw</t>
  </si>
  <si>
    <t>CTT - Gross Revenue (USD, M)</t>
  </si>
  <si>
    <t>CTT - Net Revenue (USD, M)</t>
  </si>
  <si>
    <t>Google Trends - WW - Cettire</t>
  </si>
  <si>
    <t>Google Trends - US - Cettire</t>
  </si>
  <si>
    <t>SEM Rush - WW Visits - Cettire</t>
  </si>
  <si>
    <t>SEM Rush - WW UVs - Cettire</t>
  </si>
  <si>
    <t>CE - Cettire US Spend</t>
  </si>
  <si>
    <t>FTCH - Digital Platform GMV (USD M)</t>
  </si>
  <si>
    <t>FTCH - Digital Platform 3P GMV (USD M)</t>
  </si>
  <si>
    <t>FTCH - Digital Platform GMV YoY % (cc)</t>
  </si>
  <si>
    <t>CE - FTCH US Spend</t>
  </si>
  <si>
    <t>MYTE - Revenue (EUR M)</t>
  </si>
  <si>
    <t>CE - MYTE US Spend</t>
  </si>
  <si>
    <t>YoY %</t>
  </si>
  <si>
    <t xml:space="preserve">SEM Rush - WW Visits - Cettire </t>
  </si>
  <si>
    <t xml:space="preserve">SEM Rush - WW UVs - Cettire </t>
  </si>
  <si>
    <t>CE - US Spend</t>
  </si>
  <si>
    <t>QoQ %</t>
  </si>
  <si>
    <t>H1 FY18</t>
  </si>
  <si>
    <t>H2 FY18</t>
  </si>
  <si>
    <t>H1 FY19</t>
  </si>
  <si>
    <t>H2 FY19</t>
  </si>
  <si>
    <t>H1 FY20</t>
  </si>
  <si>
    <t>H2 FY20</t>
  </si>
  <si>
    <t>H1 FY21</t>
  </si>
  <si>
    <t>H2 FY21</t>
  </si>
  <si>
    <t>H1 FY22</t>
  </si>
  <si>
    <t>H2 FY22</t>
  </si>
  <si>
    <t>H1 FY23</t>
  </si>
  <si>
    <t>H2 FY23</t>
  </si>
  <si>
    <t>CTT - US Net Revenue (USD, M)</t>
  </si>
  <si>
    <t>HoH %</t>
  </si>
  <si>
    <t>Tracking Pack - Monthly</t>
  </si>
  <si>
    <t>CE - Farfetch US Spend</t>
  </si>
  <si>
    <t>CE - MyTheresa US Spend</t>
  </si>
  <si>
    <t>MoM %</t>
  </si>
  <si>
    <t>Google Trends</t>
  </si>
  <si>
    <t>Week</t>
  </si>
  <si>
    <t>cettire: (Worldwide)</t>
  </si>
  <si>
    <t>cettire: (United States)</t>
  </si>
  <si>
    <t>WW</t>
  </si>
  <si>
    <t>US</t>
  </si>
  <si>
    <t>SEM Rush</t>
  </si>
  <si>
    <t>Visits</t>
  </si>
  <si>
    <t>UVs</t>
  </si>
  <si>
    <t>All Devices</t>
  </si>
  <si>
    <t>Desktop</t>
  </si>
  <si>
    <t>Mobile</t>
  </si>
  <si>
    <t>Webinar Charts</t>
  </si>
  <si>
    <t>1CQ20</t>
  </si>
  <si>
    <t>2CQ20</t>
  </si>
  <si>
    <t>3CQ20</t>
  </si>
  <si>
    <t>4CQ20</t>
  </si>
  <si>
    <t>1CQ21</t>
  </si>
  <si>
    <t>2CQ21</t>
  </si>
  <si>
    <t>3CQ21</t>
  </si>
  <si>
    <t>4CQ21</t>
  </si>
  <si>
    <t>1CQ22</t>
  </si>
  <si>
    <t>2CQ22</t>
  </si>
  <si>
    <t>3CQ22</t>
  </si>
  <si>
    <t>4CQ22</t>
  </si>
  <si>
    <t>1CQ23</t>
  </si>
  <si>
    <t>Cettire</t>
  </si>
  <si>
    <t>Farfetch</t>
  </si>
  <si>
    <t>MyTheresa</t>
  </si>
  <si>
    <t>Revolve</t>
  </si>
  <si>
    <t>YoY GMV Added</t>
  </si>
  <si>
    <t>Source: Company Filings</t>
  </si>
  <si>
    <t>Cettire GMV</t>
  </si>
  <si>
    <t>Online Luxury Goods Market</t>
  </si>
  <si>
    <t>Global Luxury Goods Market</t>
  </si>
  <si>
    <t>Source: Company Filings,  Bain &amp; Company and Altagamma: Renaissance in Uncertainty: Luxury Builds on Its Rebound, 20 January 2023. Data 
converted from Euro to USD at an exchange rate of 1.10 as at 28 April 2023</t>
  </si>
  <si>
    <t>FTCH Margin Analysis</t>
  </si>
  <si>
    <t>Annual LFL - CTT FY23a; FTCH FY22a</t>
  </si>
  <si>
    <t>FTCH</t>
  </si>
  <si>
    <t>Notes and definitions</t>
  </si>
  <si>
    <t>Digital Platform - 3P Marketplace</t>
  </si>
  <si>
    <t>FTCH Fulfilment GMV included in full</t>
  </si>
  <si>
    <t>Digital Platform - 1P Marketplace</t>
  </si>
  <si>
    <t>All Other</t>
  </si>
  <si>
    <t>GMV</t>
  </si>
  <si>
    <t>returns at 25usd</t>
  </si>
  <si>
    <t>5% of order value</t>
  </si>
  <si>
    <t>and China - contribution and take rate</t>
  </si>
  <si>
    <t>Merchant Fees in Opex</t>
  </si>
  <si>
    <t>Merchant fees – relates to fees charged when customers make a credit or debit payment using a credit card, including chargebacks</t>
  </si>
  <si>
    <t>Promotion and Packaging in Opex</t>
  </si>
  <si>
    <t>$25 Per Item Return Fee</t>
  </si>
  <si>
    <t xml:space="preserve">(1-Net Revenue % of Gross Revenue) x FY23 orders x $25 </t>
  </si>
  <si>
    <t>Adj. Gross Profit</t>
  </si>
  <si>
    <t>so ex-China</t>
  </si>
  <si>
    <t>% of GMV</t>
  </si>
  <si>
    <t>Adjusted Opex</t>
  </si>
  <si>
    <t>Adjusted EBITDA</t>
  </si>
  <si>
    <t>Adjusted Opex + SBC % of GMV</t>
  </si>
  <si>
    <t>CRC EBITDA - Capex</t>
  </si>
  <si>
    <t>CTT - as disclosed</t>
  </si>
  <si>
    <t>2021a</t>
  </si>
  <si>
    <t>2022a</t>
  </si>
  <si>
    <t>2023a</t>
  </si>
  <si>
    <t>Sales Revenues</t>
  </si>
  <si>
    <t>Gross Profit / Delivered Margin</t>
  </si>
  <si>
    <t>FTCH - as disclosed</t>
  </si>
  <si>
    <t>FYE December 31st</t>
  </si>
  <si>
    <t>2020a</t>
  </si>
  <si>
    <t xml:space="preserve">Digital Platform </t>
  </si>
  <si>
    <t xml:space="preserve">Brand Platform </t>
  </si>
  <si>
    <t xml:space="preserve">In-Store </t>
  </si>
  <si>
    <t xml:space="preserve">Digital Platform Services Third-Party </t>
  </si>
  <si>
    <t xml:space="preserve">Digital Platform Services First-Party </t>
  </si>
  <si>
    <t xml:space="preserve">Digital Platform Services </t>
  </si>
  <si>
    <t xml:space="preserve">Digital Platform Fulfillment </t>
  </si>
  <si>
    <t>Total Gross Profit</t>
  </si>
  <si>
    <t>Definitions</t>
  </si>
  <si>
    <t>Cettire Definitions</t>
  </si>
  <si>
    <t>Gross revenue</t>
  </si>
  <si>
    <t>"is net of GST/VAT and includes product sales and service fees received from suppliers but is exclusive of returns from customers"</t>
  </si>
  <si>
    <t>Allowances and returns</t>
  </si>
  <si>
    <t>"is the products and goods returned from customers in accordance with Cettire’s returns policy"</t>
  </si>
  <si>
    <t>"represents gross revenue net of allowances and returns from customers"</t>
  </si>
  <si>
    <t>"represents the costs of products from suppliers"</t>
  </si>
  <si>
    <t>Product margin</t>
  </si>
  <si>
    <t>"represents sales revenue less cost of sales"</t>
  </si>
  <si>
    <t>Fulfilment</t>
  </si>
  <si>
    <t>"relates to costs associated with receiving, processing and delivering orders to customers"</t>
  </si>
  <si>
    <t>Delivered margins</t>
  </si>
  <si>
    <t>"represents product margin net of fulfillment costs"</t>
  </si>
  <si>
    <t>"includes other fees that Cettire receives from insurance claims for stock related matters and R&amp;D incentive"</t>
  </si>
  <si>
    <t>Advertising &amp; marketing</t>
  </si>
  <si>
    <t>"relates to digital marketing which includes Google AdWords and affiliates"</t>
  </si>
  <si>
    <t>General &amp; administrative</t>
  </si>
  <si>
    <t>"include packaging, promotional fees, fraud protection, professional fees, rent, insurance, IT, forex and other general expenditures such as travel, recruitment and office costs"</t>
  </si>
  <si>
    <t>"relates to fees charged when customers make a credit or debit payment using a credit card, including chargebacks"</t>
  </si>
  <si>
    <t>"is presented as net profit/(loss) before net interest income, income tax benefit/(expense), depreciation and amortisation"</t>
  </si>
  <si>
    <t>Depreciation and amortisation</t>
  </si>
  <si>
    <t>"represents the amortisation of capitalised website and software development costs on a straight‐line basis over the period of their expected benefit"</t>
  </si>
  <si>
    <t>Capex (CRC)</t>
  </si>
  <si>
    <t>Payments for intangibles (no other capex flowing through CFS - presumably expensed)</t>
  </si>
  <si>
    <t>Farfetch Definitions</t>
  </si>
  <si>
    <t>"means the total dollar value of orders processed. GMV is inclusive of product value, shipping and duty. It is net of returns, value added taxes and cancellations. First-party GMV is also net of promotions. GMV does not represent revenue earned by us, although GMV and revenue are correlated"</t>
  </si>
  <si>
    <t>Revenue (general)</t>
  </si>
  <si>
    <t>"Revenue, where the Group acts as a principal, is recognized when the performance obligation is satisfied which is when the goods are received by the consumer. Included within sales of goods is a provision for expected returns, discounts and rebates. Where these are not known, the Group uses historical data and patterns to calculate an estimate"</t>
  </si>
  <si>
    <t>Digital Platform Services Revenue</t>
  </si>
  <si>
    <t>"Digital Platform Services Revenue includes commissions on third-party sales and revenue from first-party sales….Commission revenue is recognized on a net basis in the Consolidated statement of operations because the Group acts as an agent in these arrangements.....In first-party sales arrangements, the Group sells inventory directly purchased or created by the Group on the Digital Platform where the Group is the principal, and therefore related revenues are recognized on a gross basis....Digital Platform Service Revenue also includes fees charged to sellers for other activities, such as packaging, credit card processing and other transaction processing activities"</t>
  </si>
  <si>
    <t>Digital Platform Services third-party revenues</t>
  </si>
  <si>
    <t>”represents commissions and other income generated from the provision of services to sellers in their transactions with consumers conducted on our technology platforms, as well as fees for services provided to brands and retailers"</t>
  </si>
  <si>
    <t>Digital Platform Services first-party revenues</t>
  </si>
  <si>
    <t>"represents sales of owned-product, including first-party original through our digital platform. The revenue realized from first-party sales is equal to the GMV of such sales because we act as principal in these transactions and, therefore, related sales are not commission based. Digital Platform Services first-party revenues represent sales net of promotional incentives, such as free shipping and promotional codes, where these incentives are not designated as Farfetch-funded"</t>
  </si>
  <si>
    <t>Digital Platform Fulfilment Revenue</t>
  </si>
  <si>
    <t>"Revenues for delivery services are stated net of promotional incentives and discounts. Digital Platform Fulfilment Revenue also includes fees charged to sellers for the settlement of duties which are recognized concurrently with commissions"</t>
  </si>
  <si>
    <t>Brand Platform Revenue</t>
  </si>
  <si>
    <t>"revenue generated by New Guards operations less revenue from New Guards’: (i) owned e-commerce websites, (ii) direct-to-consumer channel via our Marketplaces and (iii) directly operated stores. Sales are made in the form of first-party sales arrangements to retailers, and therefore related revenues are recognized on a gross basis"</t>
  </si>
  <si>
    <t>In-Store GMV and In-Store Revenue</t>
  </si>
  <si>
    <t>"mean revenue generated in our retail stores which include Browns, Stadium Goods and New Guards’ directly operated stores. Revenue realized from In-Store sales for Browns and New Guards’ directly operated stores is equal to GMV of such sales because such sales are not commission based. Revenue realized from In-store sales for Stadium Goods does not equal GMV of such sales as a certain portion of those sales are third-party and are commission based"</t>
  </si>
  <si>
    <t xml:space="preserve">“Digital Platform Services third-party cost of revenues” and “Digital Platform Services first-party cost of revenues" </t>
  </si>
  <si>
    <t>"include packaging costs, credit card fees, and incremental shipping costs provided in relation to the provision of these services. Digital Platform Services first-party cost of revenues also includes the cost of goods sold of the owned products"</t>
  </si>
  <si>
    <t xml:space="preserve">“Brand Platform Gross Profit” </t>
  </si>
  <si>
    <t>"means Brand Platform Revenue less the direct cost of goods sold relating to Brand Platform Revenue"</t>
  </si>
  <si>
    <t xml:space="preserve">“In-Store Gross Profit” </t>
  </si>
  <si>
    <t>"means In-Store Revenue less the direct cost of goods sold relating to In-Store Revenue"</t>
  </si>
  <si>
    <t>Payments for property, plant and equipment + Payment for intangible assets + Principal elements of lease payments</t>
  </si>
  <si>
    <t>Including FPS Estimates</t>
  </si>
  <si>
    <t>Digital Platform - FPS</t>
  </si>
  <si>
    <t>BoA estimate; Note  Harrod's 2022 GMV of ~$2.3B; Nordstrom has 38% of sales from digital in 2022</t>
  </si>
  <si>
    <t xml:space="preserve">Note: </t>
  </si>
  <si>
    <t>CTT Target Product Margin %</t>
  </si>
  <si>
    <t>payments</t>
  </si>
  <si>
    <t>FTCH Third-Party Take Rate % ex-FPS</t>
  </si>
  <si>
    <t>Using BoA FPS estimate</t>
  </si>
  <si>
    <t>fps harrods contribution and only one</t>
  </si>
  <si>
    <t>BoA estimate</t>
  </si>
  <si>
    <t xml:space="preserve">revenue less fulfilment 3p revenue conversion to cettire GP </t>
  </si>
  <si>
    <t>Merchant fees – relates to fees charged when customers make a credit or debit payment using a credit card, including chargebacks;</t>
  </si>
  <si>
    <t>notes</t>
  </si>
  <si>
    <t>Excluding FPS</t>
  </si>
  <si>
    <t>Digital Platform GMV - 3P Marketplace excl. FPS</t>
  </si>
  <si>
    <t>Digital Platform Revenue - 3P Marketplace (excl. Fulfilment)</t>
  </si>
  <si>
    <t>Disclosed</t>
  </si>
  <si>
    <t>less: FPS Contribution</t>
  </si>
  <si>
    <t>BoA GMV estimates with 12.5% BoA assumed take rate %</t>
  </si>
  <si>
    <t>Adj. Digital Platform Revenue - 3P Marketplace</t>
  </si>
  <si>
    <t>Represents Digital Platform Revenue net of FPS and Fulfilment Revenues</t>
  </si>
  <si>
    <t>Including FPS</t>
  </si>
  <si>
    <t xml:space="preserve">Digital Platform GMV - 3P Marketplace </t>
  </si>
  <si>
    <t>Disclosed; Represents Digital Platform Revenue net of Fulfilment Revenues</t>
  </si>
  <si>
    <t>Traffic Analysis</t>
  </si>
  <si>
    <t>First Two Months</t>
  </si>
  <si>
    <t>Jan_18</t>
  </si>
  <si>
    <t>Feb_18</t>
  </si>
  <si>
    <t>Mar_18</t>
  </si>
  <si>
    <t>Apr_18</t>
  </si>
  <si>
    <t>May_18</t>
  </si>
  <si>
    <t>Jun_18</t>
  </si>
  <si>
    <t>Jul_18</t>
  </si>
  <si>
    <t>Aug_18</t>
  </si>
  <si>
    <t>Sep_18</t>
  </si>
  <si>
    <t>Oct_18</t>
  </si>
  <si>
    <t>Nov_18</t>
  </si>
  <si>
    <t>Dec_18</t>
  </si>
  <si>
    <t>Jan_19</t>
  </si>
  <si>
    <t>Feb_19</t>
  </si>
  <si>
    <t>Mar_19</t>
  </si>
  <si>
    <t>Apr_19</t>
  </si>
  <si>
    <t>May_19</t>
  </si>
  <si>
    <t>Jun_19</t>
  </si>
  <si>
    <t>Jul_19</t>
  </si>
  <si>
    <t>Aug_19</t>
  </si>
  <si>
    <t>Sep_19</t>
  </si>
  <si>
    <t>Oct_19</t>
  </si>
  <si>
    <t>Nov_19</t>
  </si>
  <si>
    <t>Dec_19</t>
  </si>
  <si>
    <t>Jan_20</t>
  </si>
  <si>
    <t>Feb_20</t>
  </si>
  <si>
    <t>Mar_20</t>
  </si>
  <si>
    <t>Apr_20</t>
  </si>
  <si>
    <t>May_20</t>
  </si>
  <si>
    <t>Jun_20</t>
  </si>
  <si>
    <t>1CQ18</t>
  </si>
  <si>
    <t>2CQ18</t>
  </si>
  <si>
    <t>3CQ18</t>
  </si>
  <si>
    <t>4CQ18</t>
  </si>
  <si>
    <t>1CQ19</t>
  </si>
  <si>
    <t>2CQ19</t>
  </si>
  <si>
    <t>3CQ19</t>
  </si>
  <si>
    <t>4CQ19</t>
  </si>
  <si>
    <t>1H18</t>
  </si>
  <si>
    <t>2H18</t>
  </si>
  <si>
    <t>1H19</t>
  </si>
  <si>
    <t>2H19</t>
  </si>
  <si>
    <t>1H20</t>
  </si>
  <si>
    <t>2H20</t>
  </si>
  <si>
    <t>WW - All Devices</t>
  </si>
  <si>
    <t>Sequential Growth % (reported)</t>
  </si>
  <si>
    <t>YoY Growth % (reported)</t>
  </si>
  <si>
    <t>SimilarWeb - WW desktop + mobile visits</t>
  </si>
  <si>
    <t>MoM Growth %</t>
  </si>
  <si>
    <t>Cettire FQ4 Traffic QoQ Growth %</t>
  </si>
  <si>
    <t>vs. SimilarWeb</t>
  </si>
  <si>
    <t>SEM Rush - WW all devices - unique visitors</t>
  </si>
  <si>
    <t>Note: Backtest of SEM Rush history</t>
  </si>
  <si>
    <t>Cettire FQ3 Traffic YoY Growth %</t>
  </si>
  <si>
    <t>vs. SEM Rush</t>
  </si>
  <si>
    <t>Cettire FQ4 Traffic YoY Growth %</t>
  </si>
  <si>
    <t>Cettire July-October 2021 Traffic YoY Growth %</t>
  </si>
  <si>
    <t>Cettire October 2021 Traffic YoY Growth %</t>
  </si>
  <si>
    <t>SEM Rush - WW all devices - total visits</t>
  </si>
  <si>
    <t xml:space="preserve">Source: </t>
  </si>
  <si>
    <r>
      <rPr>
        <sz val="11"/>
        <rFont val="Calibri"/>
        <family val="2"/>
        <scheme val="minor"/>
      </rPr>
      <t xml:space="preserve">SimilarWeb: </t>
    </r>
    <r>
      <rPr>
        <u/>
        <sz val="11"/>
        <color theme="10"/>
        <rFont val="Calibri"/>
        <family val="2"/>
        <scheme val="minor"/>
      </rPr>
      <t>https://www.similarweb.com/website/cettire.com/#overview</t>
    </r>
  </si>
  <si>
    <t>TrustPilot Reviews</t>
  </si>
  <si>
    <t>Organic Reviews</t>
  </si>
  <si>
    <t>Automated  Invitations</t>
  </si>
  <si>
    <t>Manual Invitations</t>
  </si>
  <si>
    <t>Redirected</t>
  </si>
  <si>
    <t>iw</t>
  </si>
  <si>
    <t>Total TrustPilot Reviews</t>
  </si>
  <si>
    <t>Note: Backtest of TrustPilot Reviews</t>
  </si>
  <si>
    <t>Cettire FQ4 QoQ Traffic Growth %</t>
  </si>
  <si>
    <t>vs. TrustPilot</t>
  </si>
  <si>
    <t>Cettire FQ4 QoQ Orders Growth %</t>
  </si>
  <si>
    <t>BEST</t>
  </si>
  <si>
    <t>Cettire FQ4 QoQ Gross Revenue Growth %</t>
  </si>
  <si>
    <t>Cettire FQ4 QoQ Net Revenue Growth %</t>
  </si>
  <si>
    <t>Cettire July - October 2021 Traffic vs. FQ4 Growth %</t>
  </si>
  <si>
    <t>Cettire July - October 2021 Orders vs. FQ4 Growth %</t>
  </si>
  <si>
    <t>Cettire July - October 2021 Gross Revenue vs. FQ4 Growth %</t>
  </si>
  <si>
    <t>Cettire July - October 2021 Net Revenue vs. FQ4 Growth %</t>
  </si>
  <si>
    <t xml:space="preserve">https://www.trustpilot.com/review/www.cettire.com/transparency  </t>
  </si>
  <si>
    <t>Inventory Tracking</t>
  </si>
  <si>
    <t>Inventory Pieces</t>
  </si>
  <si>
    <t>Women's Pages</t>
  </si>
  <si>
    <t>Men's Pages</t>
  </si>
  <si>
    <t>Kids' Pages</t>
  </si>
  <si>
    <t>Total Pages</t>
  </si>
  <si>
    <t>x 48 Pieces per Page</t>
  </si>
  <si>
    <t>Total Inventory Pieces</t>
  </si>
  <si>
    <t xml:space="preserve">% WoW Growth </t>
  </si>
  <si>
    <t xml:space="preserve">% MoM Growth </t>
  </si>
  <si>
    <t>Designers Listed</t>
  </si>
  <si>
    <t>Count</t>
  </si>
  <si>
    <t>'S Max Mara</t>
  </si>
  <si>
    <t>#09 Profumi</t>
  </si>
  <si>
    <t>1017 ALYX 9SM</t>
  </si>
  <si>
    <t>3.1 Phillip Lim</t>
  </si>
  <si>
    <t>7 For All Mankind</t>
  </si>
  <si>
    <t>Нugо Воss Kids</t>
  </si>
  <si>
    <t>Саlvin Кlеin Kids</t>
  </si>
  <si>
    <t>Тоmmу Нilfigеr Kids</t>
  </si>
  <si>
    <t>A</t>
  </si>
  <si>
    <t>A-COLD-WALL*</t>
  </si>
  <si>
    <t>A.P.C.</t>
  </si>
  <si>
    <t>A.W.A.K.E. Mode</t>
  </si>
  <si>
    <t>ABRA</t>
  </si>
  <si>
    <t>Ader Error</t>
  </si>
  <si>
    <t>adidas</t>
  </si>
  <si>
    <t>adidas By Danielle Cathari</t>
  </si>
  <si>
    <t>adidas By Human Made</t>
  </si>
  <si>
    <t>adidas By Pharrell Williams</t>
  </si>
  <si>
    <t>adidas By Raf Simons</t>
  </si>
  <si>
    <t>adidas by Raf Simons</t>
  </si>
  <si>
    <t>adidas By Stella McCartney</t>
  </si>
  <si>
    <t>adidas By Wales Bonner</t>
  </si>
  <si>
    <t>adidas Kids</t>
  </si>
  <si>
    <t>adidas Originals</t>
  </si>
  <si>
    <t>adidas Originals By Alexander Wang</t>
  </si>
  <si>
    <t>Adriana Degreas</t>
  </si>
  <si>
    <t>Aeydē</t>
  </si>
  <si>
    <t>Agnona</t>
  </si>
  <si>
    <t>AGOLDE</t>
  </si>
  <si>
    <t>Alaïa</t>
  </si>
  <si>
    <t>Alanui</t>
  </si>
  <si>
    <t>Alberta Ferretti</t>
  </si>
  <si>
    <t>Alberta Ferretti Kids</t>
  </si>
  <si>
    <t>Alberto Biani</t>
  </si>
  <si>
    <t>Alessandra Rich</t>
  </si>
  <si>
    <t>Alessia Xoccato</t>
  </si>
  <si>
    <t>Alexander McQueen</t>
  </si>
  <si>
    <t>Alexander McQueen Eyewear</t>
  </si>
  <si>
    <t>Alexander McQueen Kids</t>
  </si>
  <si>
    <t>Alexander Wang</t>
  </si>
  <si>
    <t>Alexandre Vauthier</t>
  </si>
  <si>
    <t>Allude</t>
  </si>
  <si>
    <t>Alpha Industries</t>
  </si>
  <si>
    <t>Ambush</t>
  </si>
  <si>
    <t>Amen</t>
  </si>
  <si>
    <t>AMI</t>
  </si>
  <si>
    <t>Amina Muaddi</t>
  </si>
  <si>
    <t>Amiri</t>
  </si>
  <si>
    <t>Ancient Greek Sandals</t>
  </si>
  <si>
    <t>Andersson Bell</t>
  </si>
  <si>
    <t>Anita Bilardi</t>
  </si>
  <si>
    <t>Aniye By</t>
  </si>
  <si>
    <t>Ann Demeulemeester</t>
  </si>
  <si>
    <t>Antonino Valenti</t>
  </si>
  <si>
    <t>Anya Hindmarch</t>
  </si>
  <si>
    <t>Apesi</t>
  </si>
  <si>
    <t>Aquazzura</t>
  </si>
  <si>
    <t>Arc'teryx</t>
  </si>
  <si>
    <t>Aragona</t>
  </si>
  <si>
    <t>Area</t>
  </si>
  <si>
    <t>Aries</t>
  </si>
  <si>
    <t>Arizona Love</t>
  </si>
  <si>
    <t>Arma</t>
  </si>
  <si>
    <t>Art Dealer</t>
  </si>
  <si>
    <t>Ash</t>
  </si>
  <si>
    <t>ASICS</t>
  </si>
  <si>
    <t>Aspesi</t>
  </si>
  <si>
    <t>Attico</t>
  </si>
  <si>
    <t>Au Départ</t>
  </si>
  <si>
    <t>Autry</t>
  </si>
  <si>
    <t>Axel Arigato</t>
  </si>
  <si>
    <t>B</t>
  </si>
  <si>
    <t>Balenciaga</t>
  </si>
  <si>
    <t>B-Low the Belt</t>
  </si>
  <si>
    <t>Balenciaga Eyewear</t>
  </si>
  <si>
    <t>Balenciaga Kids</t>
  </si>
  <si>
    <t>Ballantyne</t>
  </si>
  <si>
    <t>Bally</t>
  </si>
  <si>
    <t>Balmain</t>
  </si>
  <si>
    <t>Balmain Kids</t>
  </si>
  <si>
    <t>Bao Bao Issey Miyake</t>
  </si>
  <si>
    <t>Barba</t>
  </si>
  <si>
    <t>Barbour</t>
  </si>
  <si>
    <t>Barena</t>
  </si>
  <si>
    <t>Bark B Rules</t>
  </si>
  <si>
    <t>Barrow</t>
  </si>
  <si>
    <t>Baum Und Pferdgarten</t>
  </si>
  <si>
    <t>Belstaff</t>
  </si>
  <si>
    <t>Berluti</t>
  </si>
  <si>
    <t>Billieblush</t>
  </si>
  <si>
    <t>Billionaire</t>
  </si>
  <si>
    <t>Billionaire Boys Club</t>
  </si>
  <si>
    <t>Birkenstock</t>
  </si>
  <si>
    <t>Bobo Choses</t>
  </si>
  <si>
    <t>Boboutic</t>
  </si>
  <si>
    <t>Bode</t>
  </si>
  <si>
    <t>Boglioli</t>
  </si>
  <si>
    <t>Bonpoint</t>
  </si>
  <si>
    <t>Bottega Veneta</t>
  </si>
  <si>
    <t>Bottega Veneta Eyewear</t>
  </si>
  <si>
    <t>Botter</t>
  </si>
  <si>
    <t>Boutique Moschino</t>
  </si>
  <si>
    <t>Boyy</t>
  </si>
  <si>
    <t>Brian Dales</t>
  </si>
  <si>
    <t>Brunello Cucinelli</t>
  </si>
  <si>
    <t>Brunello Cucinelli Kids</t>
  </si>
  <si>
    <t>Building Block</t>
  </si>
  <si>
    <t>Bulgari</t>
  </si>
  <si>
    <t>Burberry</t>
  </si>
  <si>
    <t>Burberry Eyewear</t>
  </si>
  <si>
    <t>Burberry Kids</t>
  </si>
  <si>
    <t>Buscemi</t>
  </si>
  <si>
    <t>Buttero</t>
  </si>
  <si>
    <t>BY FAR</t>
  </si>
  <si>
    <t>C</t>
  </si>
  <si>
    <t>C.P. Company</t>
  </si>
  <si>
    <t>C.P. Company Kids</t>
  </si>
  <si>
    <t>C2H4</t>
  </si>
  <si>
    <t>Calvin Klein</t>
  </si>
  <si>
    <t>Calvin Klein Jeans Est. 1978</t>
  </si>
  <si>
    <t>Canada Goose</t>
  </si>
  <si>
    <t>Canada Goose Kids</t>
  </si>
  <si>
    <t>Canali</t>
  </si>
  <si>
    <t>Car Shoe</t>
  </si>
  <si>
    <t>Carhartt</t>
  </si>
  <si>
    <t>Carhartt WIP</t>
  </si>
  <si>
    <t>Carrera</t>
  </si>
  <si>
    <t>Cartier</t>
  </si>
  <si>
    <t>Carven</t>
  </si>
  <si>
    <t>Casablanca</t>
  </si>
  <si>
    <t>Castañer</t>
  </si>
  <si>
    <t>Cc Collection Corneliani</t>
  </si>
  <si>
    <t>Cecilie Bahnsen</t>
  </si>
  <si>
    <t>Champion</t>
  </si>
  <si>
    <t>Chanel</t>
  </si>
  <si>
    <t>Chiara Ferragni</t>
  </si>
  <si>
    <t>Chiara Ferragni Kids</t>
  </si>
  <si>
    <t>Chie Mihara</t>
  </si>
  <si>
    <t>Chinatown Market</t>
  </si>
  <si>
    <t>Chloé</t>
  </si>
  <si>
    <t>Chloé Eyewear</t>
  </si>
  <si>
    <t>Chloé Kids</t>
  </si>
  <si>
    <t>Chopard Eyewear</t>
  </si>
  <si>
    <t>Chopova Lowena</t>
  </si>
  <si>
    <t>Christian Louboutin</t>
  </si>
  <si>
    <t>Church's</t>
  </si>
  <si>
    <t>Circus Hotel</t>
  </si>
  <si>
    <t>Citizens of Humanity</t>
  </si>
  <si>
    <t>Co</t>
  </si>
  <si>
    <t>Coach</t>
  </si>
  <si>
    <t>Coliac</t>
  </si>
  <si>
    <t>Collina Strada</t>
  </si>
  <si>
    <t>Comme des Garçons</t>
  </si>
  <si>
    <t>Comme des Garçons Comme des Garçons</t>
  </si>
  <si>
    <t>Comme des Garçons Girl</t>
  </si>
  <si>
    <t>Comme des Garçons Homme Plus</t>
  </si>
  <si>
    <t>Comme Des Garçons Homme Plus</t>
  </si>
  <si>
    <t>Comme Des Garçons Noir Kei Ninomiya</t>
  </si>
  <si>
    <t>Comme des Garçons Play</t>
  </si>
  <si>
    <t>Comme des Garçons Play Kids</t>
  </si>
  <si>
    <t>Comme Des Garcons Play Kids</t>
  </si>
  <si>
    <t>Comme des Garçons Shirt</t>
  </si>
  <si>
    <t>Comme des Garçons Shirt Boys</t>
  </si>
  <si>
    <t>Comme des Garçons Wallet</t>
  </si>
  <si>
    <t>Common Projects</t>
  </si>
  <si>
    <t>Converse</t>
  </si>
  <si>
    <t>Coperni</t>
  </si>
  <si>
    <t>Corneliani</t>
  </si>
  <si>
    <t>Courrèges Eyewear</t>
  </si>
  <si>
    <t>Craig Green</t>
  </si>
  <si>
    <t>Cult Gaia</t>
  </si>
  <si>
    <t>Current/Elliott</t>
  </si>
  <si>
    <t>Cutler &amp; Gross</t>
  </si>
  <si>
    <t>D</t>
  </si>
  <si>
    <t>Daily Paper</t>
  </si>
  <si>
    <t>Danse Lente</t>
  </si>
  <si>
    <t>Delvaux</t>
  </si>
  <si>
    <t>Department 5</t>
  </si>
  <si>
    <t>Desa 1972</t>
  </si>
  <si>
    <t>Diadora</t>
  </si>
  <si>
    <t>Diane von Furstenberg</t>
  </si>
  <si>
    <t>Diemme</t>
  </si>
  <si>
    <t>Diesel</t>
  </si>
  <si>
    <t>Diesel Black Gold</t>
  </si>
  <si>
    <t>Diesel Kids</t>
  </si>
  <si>
    <t>Diesel Red Tag</t>
  </si>
  <si>
    <t>Dior</t>
  </si>
  <si>
    <t>Dior Eyewear</t>
  </si>
  <si>
    <t>Dior Homme</t>
  </si>
  <si>
    <t>Dita Eyewear</t>
  </si>
  <si>
    <t>DKNY Kids</t>
  </si>
  <si>
    <t>Dodo Bar Or</t>
  </si>
  <si>
    <t>Dolce &amp; Gabbana</t>
  </si>
  <si>
    <t>Dolce &amp; Gabbana Eyewear</t>
  </si>
  <si>
    <t>Dolce &amp; Gabbana Kids</t>
  </si>
  <si>
    <t>Dr. Martens</t>
  </si>
  <si>
    <t>Drôle de Monsieur</t>
  </si>
  <si>
    <t>Dsquared2</t>
  </si>
  <si>
    <t>Dsquared2 Eyewear</t>
  </si>
  <si>
    <t>Dsquared2 Kids</t>
  </si>
  <si>
    <t>Duvetica</t>
  </si>
  <si>
    <t>E</t>
  </si>
  <si>
    <t>Ea7 Emporio Armani</t>
  </si>
  <si>
    <t>Eastpak</t>
  </si>
  <si>
    <t>Eckhaus Latta</t>
  </si>
  <si>
    <t>EDEN Power Corp</t>
  </si>
  <si>
    <t>Edward Green</t>
  </si>
  <si>
    <t>Elie Saab Junior</t>
  </si>
  <si>
    <t>Elisabetta Franchi</t>
  </si>
  <si>
    <t>Emile Et Ida</t>
  </si>
  <si>
    <t>Emilio Pucci Junior</t>
  </si>
  <si>
    <t>Emilio Pucci</t>
  </si>
  <si>
    <t>Emporio Armani</t>
  </si>
  <si>
    <t>Emporio Armani Kids</t>
  </si>
  <si>
    <t>Enfants Riches Déprimés</t>
  </si>
  <si>
    <t>Engineered Garments</t>
  </si>
  <si>
    <t>Enterprise Japan</t>
  </si>
  <si>
    <t>Equipment</t>
  </si>
  <si>
    <t>Ermanno Scervino</t>
  </si>
  <si>
    <t>Ermenegildo Zegna</t>
  </si>
  <si>
    <t>Etre Cecile</t>
  </si>
  <si>
    <t>Etro</t>
  </si>
  <si>
    <t>Eudon Choi</t>
  </si>
  <si>
    <t>Extreme Cashmere</t>
  </si>
  <si>
    <t>Eyevan 7285</t>
  </si>
  <si>
    <t>Eytys</t>
  </si>
  <si>
    <t>F</t>
  </si>
  <si>
    <t>Fabiana Filippi</t>
  </si>
  <si>
    <t>Facetasm</t>
  </si>
  <si>
    <t>Faith Connexion</t>
  </si>
  <si>
    <t>Fay</t>
  </si>
  <si>
    <t>Fay Kids</t>
  </si>
  <si>
    <t>Fear of God</t>
  </si>
  <si>
    <t>Fendi</t>
  </si>
  <si>
    <t>Fendi Eyewear</t>
  </si>
  <si>
    <t>Fendi Kids</t>
  </si>
  <si>
    <t>Feng Chen Wang</t>
  </si>
  <si>
    <t>Fenty X Puma</t>
  </si>
  <si>
    <t>Fila</t>
  </si>
  <si>
    <t>Finamore 1925 Napoli</t>
  </si>
  <si>
    <t>Flat Apartment</t>
  </si>
  <si>
    <t>Forte Dei Marmi Couture</t>
  </si>
  <si>
    <t>Forte Forte</t>
  </si>
  <si>
    <t>Frame</t>
  </si>
  <si>
    <t>Francesco Russo</t>
  </si>
  <si>
    <t>Freedomday</t>
  </si>
  <si>
    <t>Fucking Awesome</t>
  </si>
  <si>
    <t>Furla</t>
  </si>
  <si>
    <t>G</t>
  </si>
  <si>
    <t>Gabriela Hearst</t>
  </si>
  <si>
    <t>Gallery Dept.</t>
  </si>
  <si>
    <t>Ganni</t>
  </si>
  <si>
    <t>Garrett Leight</t>
  </si>
  <si>
    <t>GAUGE81</t>
  </si>
  <si>
    <t>GCDS</t>
  </si>
  <si>
    <t>GCDS Kids</t>
  </si>
  <si>
    <t>GIA BORGHINI</t>
  </si>
  <si>
    <t>Gedebe</t>
  </si>
  <si>
    <t>Gia Couture</t>
  </si>
  <si>
    <t>Giambattista Valli</t>
  </si>
  <si>
    <t>Giorgio Armani</t>
  </si>
  <si>
    <t>Givenchy</t>
  </si>
  <si>
    <t>Givenchy Eyewear</t>
  </si>
  <si>
    <t>Givenchy Kids</t>
  </si>
  <si>
    <t>Golden Goose Deluxe Brand</t>
  </si>
  <si>
    <t>Golden Goose Kids</t>
  </si>
  <si>
    <t>Greg Lauren</t>
  </si>
  <si>
    <t>Grevi</t>
  </si>
  <si>
    <t>Gucci</t>
  </si>
  <si>
    <t>Gucci Eyewear</t>
  </si>
  <si>
    <t>Gucci Kids</t>
  </si>
  <si>
    <t>Guidi</t>
  </si>
  <si>
    <t>H</t>
  </si>
  <si>
    <t>Haider Ackermann</t>
  </si>
  <si>
    <t>Harris Wharf London</t>
  </si>
  <si>
    <t>Helmut Lang</t>
  </si>
  <si>
    <t>Hereu</t>
  </si>
  <si>
    <t>Herno</t>
  </si>
  <si>
    <t>Herno Kids</t>
  </si>
  <si>
    <t>Heron Preston</t>
  </si>
  <si>
    <t>Herschel Supply Co.</t>
  </si>
  <si>
    <t>Hogan</t>
  </si>
  <si>
    <t>Hogan Kids</t>
  </si>
  <si>
    <t>Hogan Rebel</t>
  </si>
  <si>
    <t>Hoka One One</t>
  </si>
  <si>
    <t>Homme Plissé Issey Miyake</t>
  </si>
  <si>
    <t>Honey Fucking Dijon</t>
  </si>
  <si>
    <t>Howlin'</t>
  </si>
  <si>
    <t>Hugo Boss Kids</t>
  </si>
  <si>
    <t>I</t>
  </si>
  <si>
    <t>Ienki Ienki</t>
  </si>
  <si>
    <t>Ih Nom Uh Nit</t>
  </si>
  <si>
    <t>Il Bisonte</t>
  </si>
  <si>
    <t>Il Gufo</t>
  </si>
  <si>
    <t>In The Mood For Love</t>
  </si>
  <si>
    <t>Incotex</t>
  </si>
  <si>
    <t>Isabel Marant</t>
  </si>
  <si>
    <t>Isabel Marant Étoile</t>
  </si>
  <si>
    <t>Isaia</t>
  </si>
  <si>
    <t>Issey Miyake</t>
  </si>
  <si>
    <t>Issey Miyake Men</t>
  </si>
  <si>
    <t>J</t>
  </si>
  <si>
    <t>J Brand</t>
  </si>
  <si>
    <t>Jacquemus</t>
  </si>
  <si>
    <t>Jacques Marie Mage</t>
  </si>
  <si>
    <t>Jejia</t>
  </si>
  <si>
    <t>Jessie Western</t>
  </si>
  <si>
    <t>Jil Sander</t>
  </si>
  <si>
    <t>Jimmy Choo</t>
  </si>
  <si>
    <t>Jimmy Choo Eyewear</t>
  </si>
  <si>
    <t>John Elliott</t>
  </si>
  <si>
    <t>John Lobb</t>
  </si>
  <si>
    <t>John Smedley</t>
  </si>
  <si>
    <t>Junya Watanabe</t>
  </si>
  <si>
    <t>Junya Watanabe Comme des Garçons</t>
  </si>
  <si>
    <t>Junya Watanabe MAN</t>
  </si>
  <si>
    <t>Just Don</t>
  </si>
  <si>
    <t>Juun J</t>
  </si>
  <si>
    <t>JW Anderson</t>
  </si>
  <si>
    <t>K</t>
  </si>
  <si>
    <t>K-Way</t>
  </si>
  <si>
    <t>KAPPA</t>
  </si>
  <si>
    <t>Kappa Kontroll</t>
  </si>
  <si>
    <t>Kara</t>
  </si>
  <si>
    <t>Karl Lagerfeld</t>
  </si>
  <si>
    <t>Karl Lagerfeld Kids</t>
  </si>
  <si>
    <t>Kenzo</t>
  </si>
  <si>
    <t>Kenzo Kids</t>
  </si>
  <si>
    <t>Khaite</t>
  </si>
  <si>
    <t>Khrisjoy</t>
  </si>
  <si>
    <t>Khrisjoy Kids</t>
  </si>
  <si>
    <t>Kuboraum</t>
  </si>
  <si>
    <t>Kwaidan Editions</t>
  </si>
  <si>
    <t>L</t>
  </si>
  <si>
    <t>L.B.M. 1911</t>
  </si>
  <si>
    <t>L'Autre Chose</t>
  </si>
  <si>
    <t>La Doublej</t>
  </si>
  <si>
    <t>La Stupenderia</t>
  </si>
  <si>
    <t>La Milanesa</t>
  </si>
  <si>
    <t>Laneus</t>
  </si>
  <si>
    <t>Lanvin</t>
  </si>
  <si>
    <t>Lanvin Enfant</t>
  </si>
  <si>
    <t>Lauren Ralph Lauren</t>
  </si>
  <si>
    <t>Le Bebé Enfant</t>
  </si>
  <si>
    <t>Le Bebe Enfant</t>
  </si>
  <si>
    <t>Le Kasha</t>
  </si>
  <si>
    <t>Lemaire</t>
  </si>
  <si>
    <t>Lesca</t>
  </si>
  <si>
    <t>Levi's</t>
  </si>
  <si>
    <t>Li-Ning</t>
  </si>
  <si>
    <t>Linda Farrow</t>
  </si>
  <si>
    <t>Lisa Marie Fernandez</t>
  </si>
  <si>
    <t>Liu Jo</t>
  </si>
  <si>
    <t>Loewe</t>
  </si>
  <si>
    <t>Longchamp</t>
  </si>
  <si>
    <t>Loro Piana</t>
  </si>
  <si>
    <t>Loulou Studio</t>
  </si>
  <si>
    <t>Love Moschino</t>
  </si>
  <si>
    <t>Low Classic</t>
  </si>
  <si>
    <t>M</t>
  </si>
  <si>
    <t>M Missoni</t>
  </si>
  <si>
    <t>Mackintosh</t>
  </si>
  <si>
    <t>Magda Butrym</t>
  </si>
  <si>
    <t>Maisie Wilen</t>
  </si>
  <si>
    <t>Maison Kitsuné</t>
  </si>
  <si>
    <t>Maison Margiela</t>
  </si>
  <si>
    <t>Maison Michel</t>
  </si>
  <si>
    <t>Majestic Filatures</t>
  </si>
  <si>
    <t>Malone Souliers</t>
  </si>
  <si>
    <t>Mammut Delta X</t>
  </si>
  <si>
    <t>Manebí</t>
  </si>
  <si>
    <t>Manokhi</t>
  </si>
  <si>
    <t>Manolo Blahnik</t>
  </si>
  <si>
    <t>Mansur Gavriel</t>
  </si>
  <si>
    <t>Manu Atelier</t>
  </si>
  <si>
    <t>Marc Jacobs</t>
  </si>
  <si>
    <t>Marc Jacobs Eyewear</t>
  </si>
  <si>
    <t>Marcelo Burlon County Of Milan</t>
  </si>
  <si>
    <t>Marcelo Burlon County Of Milan Kids</t>
  </si>
  <si>
    <t>Marine Serre</t>
  </si>
  <si>
    <t>Marni</t>
  </si>
  <si>
    <t>Marni Eyewear</t>
  </si>
  <si>
    <t>Marni Kids</t>
  </si>
  <si>
    <t>Marques'Almeida</t>
  </si>
  <si>
    <t>Marsèll</t>
  </si>
  <si>
    <t>Martine Rose</t>
  </si>
  <si>
    <t>Mastermind World</t>
  </si>
  <si>
    <t>MATÉRIEL</t>
  </si>
  <si>
    <t>Matériel</t>
  </si>
  <si>
    <t>Mauna Kea</t>
  </si>
  <si>
    <t>Maurizio Miri</t>
  </si>
  <si>
    <t>Max Mara</t>
  </si>
  <si>
    <t>Max Mara Atelier</t>
  </si>
  <si>
    <t>Max Mara Pianoforte</t>
  </si>
  <si>
    <t>Max Mara Studio</t>
  </si>
  <si>
    <t>Max Mara The Cube</t>
  </si>
  <si>
    <t>Mc2 Saint Barth</t>
  </si>
  <si>
    <t>Mc2 Saint Barth Kids</t>
  </si>
  <si>
    <t>MCM</t>
  </si>
  <si>
    <t>McQ Alexander McQueen</t>
  </si>
  <si>
    <t>Michael Kors</t>
  </si>
  <si>
    <t>Michael Kors Collection</t>
  </si>
  <si>
    <t>Michael Michael Kors</t>
  </si>
  <si>
    <t>Midnight 00</t>
  </si>
  <si>
    <t>Mini Rodini</t>
  </si>
  <si>
    <t>Misbhv</t>
  </si>
  <si>
    <t>Missoni</t>
  </si>
  <si>
    <t>Missoni Home</t>
  </si>
  <si>
    <t>Missoni Mare</t>
  </si>
  <si>
    <t>Miu Miu</t>
  </si>
  <si>
    <t>Miu Miu Eyewear</t>
  </si>
  <si>
    <t>MJB Marc Jacques Burton</t>
  </si>
  <si>
    <t>MM6 Maison Margiela</t>
  </si>
  <si>
    <t>MM6 Maison Margiela Kids</t>
  </si>
  <si>
    <t>Molo</t>
  </si>
  <si>
    <t>Moncler</t>
  </si>
  <si>
    <t>Moncler + Rick Owens</t>
  </si>
  <si>
    <t>Moncler Enfant</t>
  </si>
  <si>
    <t>Moncler Eyewear</t>
  </si>
  <si>
    <t>Moncler Gamme Rouge</t>
  </si>
  <si>
    <t>Moncler Genius</t>
  </si>
  <si>
    <t>Moncler Grenoble</t>
  </si>
  <si>
    <t>Monnalisa</t>
  </si>
  <si>
    <t>Montblanc</t>
  </si>
  <si>
    <t>Moose Knuckles</t>
  </si>
  <si>
    <t>Moschino</t>
  </si>
  <si>
    <t>Moschino Eyewear</t>
  </si>
  <si>
    <t>Moschino Kids</t>
  </si>
  <si>
    <t>Moscot</t>
  </si>
  <si>
    <t>Mother</t>
  </si>
  <si>
    <t>Mou Kids</t>
  </si>
  <si>
    <t>MSGM</t>
  </si>
  <si>
    <t>MSGM Kids</t>
  </si>
  <si>
    <t>Mulberry</t>
  </si>
  <si>
    <t>Mykita</t>
  </si>
  <si>
    <t>N</t>
  </si>
  <si>
    <t>N°21</t>
  </si>
  <si>
    <t>N°21 Kids</t>
  </si>
  <si>
    <t>Nana-nana</t>
  </si>
  <si>
    <t>Nanushka</t>
  </si>
  <si>
    <t>Napa By Martine Rose</t>
  </si>
  <si>
    <t>Natasha Zinko</t>
  </si>
  <si>
    <t>Needles</t>
  </si>
  <si>
    <t>Neil Barrett</t>
  </si>
  <si>
    <t>Neil Barrett Kids</t>
  </si>
  <si>
    <t>Neous</t>
  </si>
  <si>
    <t>New Balance</t>
  </si>
  <si>
    <t>New York Industrie</t>
  </si>
  <si>
    <t>Nicholas Kirkwood</t>
  </si>
  <si>
    <t>NICOMEDE</t>
  </si>
  <si>
    <t>Nicomede</t>
  </si>
  <si>
    <t>Nike</t>
  </si>
  <si>
    <t>Nodaleto</t>
  </si>
  <si>
    <t>Noir Kei Ninomiya</t>
  </si>
  <si>
    <t>Noon Goons</t>
  </si>
  <si>
    <t>Norse Projects</t>
  </si>
  <si>
    <t>North Sails X Prada Cup</t>
  </si>
  <si>
    <t>Nudie Jeans</t>
  </si>
  <si>
    <t>O</t>
  </si>
  <si>
    <t>Oakley</t>
  </si>
  <si>
    <t>OAMC</t>
  </si>
  <si>
    <t>Off-White</t>
  </si>
  <si>
    <t>Off-White Kids</t>
  </si>
  <si>
    <t>Officine Creative</t>
  </si>
  <si>
    <t>Oliver Peoples</t>
  </si>
  <si>
    <t>Opening Ceremony</t>
  </si>
  <si>
    <t>Oséree</t>
  </si>
  <si>
    <t>Osoi</t>
  </si>
  <si>
    <t>Our Legacy</t>
  </si>
  <si>
    <t>P</t>
  </si>
  <si>
    <t>P.A.R.O.S.H.</t>
  </si>
  <si>
    <t>PACCBET</t>
  </si>
  <si>
    <t>Paco Rabanne</t>
  </si>
  <si>
    <t>Palm Angels</t>
  </si>
  <si>
    <t>Palm Angels Kids</t>
  </si>
  <si>
    <t>Paraboot</t>
  </si>
  <si>
    <t>Parajumpers</t>
  </si>
  <si>
    <t>Paris Texas</t>
  </si>
  <si>
    <t>Paul Smith</t>
  </si>
  <si>
    <t>Paura X Kappa</t>
  </si>
  <si>
    <t>Persol</t>
  </si>
  <si>
    <t>Philipp Plein</t>
  </si>
  <si>
    <t>Philipp Plein Junior</t>
  </si>
  <si>
    <t>Philippe Model</t>
  </si>
  <si>
    <t>Philippe Model Paris</t>
  </si>
  <si>
    <t>Philosophy Di Lorenzo Serafini</t>
  </si>
  <si>
    <t>Philosophy Di Lorenzo Serafini Kids</t>
  </si>
  <si>
    <t>Pierre Hardy</t>
  </si>
  <si>
    <t>Pierre-Louis Mascia</t>
  </si>
  <si>
    <t>Pinko</t>
  </si>
  <si>
    <t>Plan C</t>
  </si>
  <si>
    <t>Pleats Please By Issey Miyake</t>
  </si>
  <si>
    <t>Polo Ralph Lauren</t>
  </si>
  <si>
    <t>Polo Ralph Lauren Kids</t>
  </si>
  <si>
    <t>Porter-Yoshida &amp; Co</t>
  </si>
  <si>
    <t>Ports 1961</t>
  </si>
  <si>
    <t>Prada</t>
  </si>
  <si>
    <t>Prada Eyewear</t>
  </si>
  <si>
    <t>Premiata</t>
  </si>
  <si>
    <t>Pressure</t>
  </si>
  <si>
    <t>Proenza Schouler</t>
  </si>
  <si>
    <t>Proenza Schouler White Label</t>
  </si>
  <si>
    <t>PT Torino</t>
  </si>
  <si>
    <t>Pt01</t>
  </si>
  <si>
    <t>Pt05</t>
  </si>
  <si>
    <t>Puma</t>
  </si>
  <si>
    <t>R</t>
  </si>
  <si>
    <t>R.M.Williams</t>
  </si>
  <si>
    <t>R13</t>
  </si>
  <si>
    <t>Raf Simons</t>
  </si>
  <si>
    <t>Rag &amp; Bone</t>
  </si>
  <si>
    <t>Ralph Lauren</t>
  </si>
  <si>
    <t>Ralph Lauren Kids</t>
  </si>
  <si>
    <t>Rave Review</t>
  </si>
  <si>
    <t>Ray-Ban</t>
  </si>
  <si>
    <t>RE/DONE</t>
  </si>
  <si>
    <t>Readymade</t>
  </si>
  <si>
    <t>Rebecca Minkoff</t>
  </si>
  <si>
    <t>RED Valentino</t>
  </si>
  <si>
    <t>Red Wing Shoes</t>
  </si>
  <si>
    <t>Reebok</t>
  </si>
  <si>
    <t>Reebok X Victoria Beckham</t>
  </si>
  <si>
    <t>Reike Nen</t>
  </si>
  <si>
    <t>Rejina Pyo</t>
  </si>
  <si>
    <t>Rene Caovilla</t>
  </si>
  <si>
    <t>Represent</t>
  </si>
  <si>
    <t>Retrosuperfuture</t>
  </si>
  <si>
    <t>Rhude</t>
  </si>
  <si>
    <t>Rick Owens</t>
  </si>
  <si>
    <t>Rick Owens DRKSHDW</t>
  </si>
  <si>
    <t>Rick Owens Lilies</t>
  </si>
  <si>
    <t>Rick Owens X Birkenstock</t>
  </si>
  <si>
    <t>Rick Owens X Veja</t>
  </si>
  <si>
    <t>Rixo</t>
  </si>
  <si>
    <t>Robert Clergerie</t>
  </si>
  <si>
    <t>Roberto Collina</t>
  </si>
  <si>
    <t>Rochas</t>
  </si>
  <si>
    <t>Rodebjer</t>
  </si>
  <si>
    <t>Roger Vivier</t>
  </si>
  <si>
    <t>Rombaut</t>
  </si>
  <si>
    <t>Rosantica</t>
  </si>
  <si>
    <t>ROTATE</t>
  </si>
  <si>
    <t>Ruslan Baginskiy</t>
  </si>
  <si>
    <t>S</t>
  </si>
  <si>
    <t>Sacai</t>
  </si>
  <si>
    <t>Saint Laurent</t>
  </si>
  <si>
    <t>Saint Laurent Eyewear</t>
  </si>
  <si>
    <t>Saks Potts</t>
  </si>
  <si>
    <t>Salomon S/Lab</t>
  </si>
  <si>
    <t>Saloni</t>
  </si>
  <si>
    <t>Salvatore Ferragamo</t>
  </si>
  <si>
    <t>Salvatore Ferragamo Eyewear</t>
  </si>
  <si>
    <t>Salvatore Santoro</t>
  </si>
  <si>
    <t>Santoni</t>
  </si>
  <si>
    <t>Sara Battaglia</t>
  </si>
  <si>
    <t>Save The Duck</t>
  </si>
  <si>
    <t>Save The Duck Kids</t>
  </si>
  <si>
    <t>See By Chloé</t>
  </si>
  <si>
    <t>Self-Portrait</t>
  </si>
  <si>
    <t>Sergio Rossi</t>
  </si>
  <si>
    <t>Si Rossi</t>
  </si>
  <si>
    <t>Sies Marjan</t>
  </si>
  <si>
    <t>Simon Miller</t>
  </si>
  <si>
    <t>Simone Rocha</t>
  </si>
  <si>
    <t>Simonetta</t>
  </si>
  <si>
    <t>Sofie D'hoore</t>
  </si>
  <si>
    <t>Sonia Rykiel</t>
  </si>
  <si>
    <t>Spalwart</t>
  </si>
  <si>
    <t>Sportmax</t>
  </si>
  <si>
    <t>Sporty &amp; Rich</t>
  </si>
  <si>
    <t>Stand Studio</t>
  </si>
  <si>
    <t>Staud</t>
  </si>
  <si>
    <t>Stella McCartney</t>
  </si>
  <si>
    <t>Stella McCartney Eyewear</t>
  </si>
  <si>
    <t>Stella McCartney Kids</t>
  </si>
  <si>
    <t>Stone Island</t>
  </si>
  <si>
    <t>Stone Island Junior</t>
  </si>
  <si>
    <t>Stone Island Shadow Project</t>
  </si>
  <si>
    <t>Stuart Weitzman</t>
  </si>
  <si>
    <t>Studio Amelia</t>
  </si>
  <si>
    <t>Stüssy</t>
  </si>
  <si>
    <t>Suicoke</t>
  </si>
  <si>
    <t>Sunflower</t>
  </si>
  <si>
    <t>Sunnei</t>
  </si>
  <si>
    <t>Swarovski</t>
  </si>
  <si>
    <t>T</t>
  </si>
  <si>
    <t>T By Alexander Wang</t>
  </si>
  <si>
    <t>Tagliatore</t>
  </si>
  <si>
    <t>Tartine et Chocolat</t>
  </si>
  <si>
    <t>Telfar</t>
  </si>
  <si>
    <t>Ten C</t>
  </si>
  <si>
    <t>The Attico</t>
  </si>
  <si>
    <t>The Gigi</t>
  </si>
  <si>
    <t>The Marc Jacobs Kids</t>
  </si>
  <si>
    <t>The North Face</t>
  </si>
  <si>
    <t>The North Face Black Series</t>
  </si>
  <si>
    <t>The North Face Kids</t>
  </si>
  <si>
    <t>The Row</t>
  </si>
  <si>
    <t>Themoirè</t>
  </si>
  <si>
    <t>Theory</t>
  </si>
  <si>
    <t>Thom Browne</t>
  </si>
  <si>
    <t>Thom Browne Eyewear</t>
  </si>
  <si>
    <t>Timberland</t>
  </si>
  <si>
    <t>Tod's</t>
  </si>
  <si>
    <t>Tom Ford</t>
  </si>
  <si>
    <t>Tom Ford Eyewear</t>
  </si>
  <si>
    <t>Tommy Hilfiger</t>
  </si>
  <si>
    <t>Tory Burch</t>
  </si>
  <si>
    <t>Totême</t>
  </si>
  <si>
    <t>Tricker's</t>
  </si>
  <si>
    <t>Trippen</t>
  </si>
  <si>
    <t>TWINSET</t>
  </si>
  <si>
    <t>TWINSET Kids</t>
  </si>
  <si>
    <t>U</t>
  </si>
  <si>
    <t>UGG</t>
  </si>
  <si>
    <t>UGG Kids</t>
  </si>
  <si>
    <t>Uh Nom Uh Nit</t>
  </si>
  <si>
    <t>Ulla Johnson</t>
  </si>
  <si>
    <t>Ultràchic</t>
  </si>
  <si>
    <t>Uma Wang</t>
  </si>
  <si>
    <t>Undercover</t>
  </si>
  <si>
    <t>Unravel Project</t>
  </si>
  <si>
    <t>V</t>
  </si>
  <si>
    <t>Valentino</t>
  </si>
  <si>
    <t>Valentino Eyewear</t>
  </si>
  <si>
    <t>Valextra</t>
  </si>
  <si>
    <t>Vans</t>
  </si>
  <si>
    <t>Vans Vault</t>
  </si>
  <si>
    <t>Veja</t>
  </si>
  <si>
    <t>Veja Kids</t>
  </si>
  <si>
    <t>Versace</t>
  </si>
  <si>
    <t>Versace Collection</t>
  </si>
  <si>
    <t>Versace Eyewear</t>
  </si>
  <si>
    <t>Versace Jeans Couture</t>
  </si>
  <si>
    <t>Versace Kids</t>
  </si>
  <si>
    <t>Vince</t>
  </si>
  <si>
    <t>Vision Of Super</t>
  </si>
  <si>
    <t>Vision Of Super Kids</t>
  </si>
  <si>
    <t>Visvim</t>
  </si>
  <si>
    <t>Vivienne Westwood</t>
  </si>
  <si>
    <t>W</t>
  </si>
  <si>
    <t>Wales Bonner</t>
  </si>
  <si>
    <t>Wandler</t>
  </si>
  <si>
    <t>We11done</t>
  </si>
  <si>
    <t>Weekend Max Mara</t>
  </si>
  <si>
    <t>White Mountaineering</t>
  </si>
  <si>
    <t>Woolrich</t>
  </si>
  <si>
    <t>Woolrich Kids</t>
  </si>
  <si>
    <t>Woolrich X Griffin</t>
  </si>
  <si>
    <t>Y</t>
  </si>
  <si>
    <t>Y-3</t>
  </si>
  <si>
    <t>Y's</t>
  </si>
  <si>
    <t>Y/Project</t>
  </si>
  <si>
    <t>YMC</t>
  </si>
  <si>
    <t>Yohji Yamamoto</t>
  </si>
  <si>
    <t>Yuzefi</t>
  </si>
  <si>
    <t>Yves Salomon</t>
  </si>
  <si>
    <t>Z</t>
  </si>
  <si>
    <t>Z Zegna</t>
  </si>
  <si>
    <t>Zadig &amp; Voltaire</t>
  </si>
  <si>
    <t>Zadig &amp; Voltaire Kids</t>
  </si>
  <si>
    <t>Zimmermann</t>
  </si>
  <si>
    <t>Cohort Analysis</t>
  </si>
  <si>
    <t>First time order</t>
  </si>
  <si>
    <t>Repeat orders</t>
  </si>
  <si>
    <t>Orders</t>
  </si>
  <si>
    <t>Total Orders</t>
  </si>
  <si>
    <t>Order Frequency in Period</t>
  </si>
  <si>
    <t>All Customers</t>
  </si>
  <si>
    <t>Active Customes</t>
  </si>
  <si>
    <t>One-time customers</t>
  </si>
  <si>
    <t>Repeat customers</t>
  </si>
  <si>
    <t>Total Active Customers</t>
  </si>
  <si>
    <t>Sales and Marketing ex-Brand</t>
  </si>
  <si>
    <t>CAC</t>
  </si>
  <si>
    <t>CAC + Merchant Fees</t>
  </si>
  <si>
    <t>Gross to Net %</t>
  </si>
  <si>
    <t>Net AOV</t>
  </si>
  <si>
    <t>GP %</t>
  </si>
  <si>
    <t xml:space="preserve">GP </t>
  </si>
  <si>
    <t>GP less CAC</t>
  </si>
  <si>
    <t>% of Net AOV</t>
  </si>
  <si>
    <t>GP less CAC + Merchant Fees</t>
  </si>
  <si>
    <t xml:space="preserve">Normalized </t>
  </si>
  <si>
    <t>Normalized Gross to Net %</t>
  </si>
  <si>
    <t>Normalized Net AOV</t>
  </si>
  <si>
    <t>Normalized GP %</t>
  </si>
  <si>
    <t xml:space="preserve">Normalized GP </t>
  </si>
  <si>
    <t>Normalized GP less CAC</t>
  </si>
  <si>
    <t>Normalized GP less CAC + Merchant Fees</t>
  </si>
  <si>
    <t>GP</t>
  </si>
  <si>
    <t xml:space="preserve">Opex </t>
  </si>
  <si>
    <t>x CAC (incl. Merchant Fees)</t>
  </si>
  <si>
    <t>Opex (excl. IPO costs)</t>
  </si>
  <si>
    <t>Goods and Services Tax (‘GST’) and other similar taxes</t>
  </si>
  <si>
    <t>Revenues, expenses and assets are recognised net of
the amount of associated GST, unless the GST incurred
is not recoverable from the tax authority. In this case it is
recognised as part of the cost of the acquisition of the
asset or as part of the expense.</t>
  </si>
  <si>
    <t>Receivables and payables are stated inclusive of the
amount of GST receivable or payable. The net amount
of GST recoverable from, or payable to, the tax authority
is included in other receivables or other payables in the
statement of financial position.</t>
  </si>
  <si>
    <t>Cash flows are presented on a gross basis. The GST
components of cash flows arising from investing or
financing activities which are recoverable from, or payable
to the tax authority, are presented as operating cash flows.</t>
  </si>
  <si>
    <t>Commitments and contingencies are disclosed net
of the amount of GST recoverable from, or payable to,
the tax authority.</t>
  </si>
  <si>
    <t>Gross Receipts Analysis</t>
  </si>
  <si>
    <t xml:space="preserve">% delta </t>
  </si>
  <si>
    <t>The Group is the principal in
these transactions and revenue is recognised as the gross
selling price net of rebates, discounts and refunds</t>
  </si>
  <si>
    <t>% Sales Revenue from Australia</t>
  </si>
  <si>
    <t>Receipts from customers (inclusive of GST)</t>
  </si>
  <si>
    <t>TPW</t>
  </si>
  <si>
    <t>Revenues, expenses and assets are recognised net of the amount of associated GST, unless the GST incurred is not
recoverable from the tax authority. In this case it is recognised as part of the cost of the acquisition of the asset or as part
of the expense</t>
  </si>
  <si>
    <t>Receivables and payables are stated inclusive of the amount of GST receivable or payable. The net amount of GST
recoverable from, or payable to, the tax authority is included in other receivables or other payables in the consolidated
statement of financial position</t>
  </si>
  <si>
    <t>Cash flows are presented on a gross basis. The GST components of cash flows arising from investing or financing activities
which are recoverable from, or payable to, the tax authority, are presented as operating cash flows.</t>
  </si>
  <si>
    <t>Commitments and contingencies are disclosed net of the amount of GST recoverable from, or payable to, the tax authority.</t>
  </si>
  <si>
    <t>The Group is
the principal in these transactions; therefore,
revenue is recognised as the gross selling price
net of rebates and discounts.</t>
  </si>
  <si>
    <t>Note 28 - CFO Reconciliation</t>
  </si>
  <si>
    <t>Profit / (Loss) after income tax expenses for the year</t>
  </si>
  <si>
    <t>Adjustments for:</t>
  </si>
  <si>
    <t>Net fair value loss of forward exchange contracts</t>
  </si>
  <si>
    <t>Unrealized exchange loss</t>
  </si>
  <si>
    <t>Share-based payment expense</t>
  </si>
  <si>
    <t>Changes in operating assets and liabilities:</t>
  </si>
  <si>
    <t>(Increase) in trade and other receivables</t>
  </si>
  <si>
    <t>(Increase) in inventories</t>
  </si>
  <si>
    <t>Decrease / (Increase) in deferred tax assets</t>
  </si>
  <si>
    <t>Decrease / (Increase) in other assets</t>
  </si>
  <si>
    <t>Increase in trade and other payables</t>
  </si>
  <si>
    <t>Increase in contract liabilities</t>
  </si>
  <si>
    <t>Increase in employee benefits</t>
  </si>
  <si>
    <t>Increase in other operating liabilities</t>
  </si>
  <si>
    <t>Net cash flow / (used in) operating activities</t>
  </si>
  <si>
    <t>Amortisation</t>
  </si>
  <si>
    <t>Decrease in research and development incentive receivable</t>
  </si>
  <si>
    <t>Decrease in provision for income tax</t>
  </si>
  <si>
    <t>Increase in deferred tax liabilities</t>
  </si>
  <si>
    <t>Cash Revenue</t>
  </si>
  <si>
    <t>% delta to receipts incl. GST</t>
  </si>
  <si>
    <t>% Sales Revenue from new markets (non-US-AUS-UK)</t>
  </si>
  <si>
    <t>% Sales Revenue from US</t>
  </si>
  <si>
    <t>% Sales Revenue from UK</t>
  </si>
  <si>
    <t>FYE refunds payable</t>
  </si>
  <si>
    <t>Returns (Gross-Net)</t>
  </si>
  <si>
    <t>Turnover</t>
  </si>
  <si>
    <t>Net Sales % of Gross</t>
  </si>
  <si>
    <t>Refunds Turnover Analysis</t>
  </si>
  <si>
    <t>GST Turnover Analysis</t>
  </si>
  <si>
    <t>FYE statute payable</t>
  </si>
  <si>
    <t>less: Employee Benefits Expense</t>
  </si>
  <si>
    <t>est. GST (Receipts - Cash Revenue)</t>
  </si>
  <si>
    <t>less:  est. GST (Receipts - Cash Revenue)</t>
  </si>
  <si>
    <t>Payments to Suppliers (net of GST)</t>
  </si>
  <si>
    <t>FYE trade payable</t>
  </si>
  <si>
    <t>Payables Turnover Analysis</t>
  </si>
  <si>
    <t>FQ4 Sales /3</t>
  </si>
  <si>
    <t>Implied Rate %</t>
  </si>
  <si>
    <t>est. Receipts (inclusive of GST)</t>
  </si>
  <si>
    <t>% delta to est. Receipts (inclusive of GST)</t>
  </si>
  <si>
    <t>Q3 FY24</t>
  </si>
  <si>
    <t>Q3FY24</t>
  </si>
  <si>
    <t>Jan-April</t>
  </si>
  <si>
    <t>&gt;7,000</t>
  </si>
  <si>
    <t>&gt;5.0%</t>
  </si>
  <si>
    <t>May June</t>
  </si>
  <si>
    <t>&lt;5,600</t>
  </si>
  <si>
    <t>&lt;6.4%</t>
  </si>
  <si>
    <t>Note: 4 monthly disclosure</t>
  </si>
  <si>
    <t>&gt;4,783</t>
  </si>
  <si>
    <t>&lt;3,740</t>
  </si>
  <si>
    <t>rFCF</t>
  </si>
  <si>
    <t>EPS</t>
  </si>
  <si>
    <t>P/rFCF</t>
  </si>
  <si>
    <t>P/E</t>
  </si>
  <si>
    <t>aov</t>
  </si>
  <si>
    <t>delta</t>
  </si>
  <si>
    <t>orders</t>
  </si>
  <si>
    <t>25USD</t>
  </si>
  <si>
    <t>return fee</t>
  </si>
  <si>
    <t>NI</t>
  </si>
  <si>
    <t>SiteMinder</t>
  </si>
  <si>
    <t>1CH23</t>
  </si>
  <si>
    <t>2CH23</t>
  </si>
  <si>
    <t>ASX:SDR</t>
  </si>
  <si>
    <t>2CH22</t>
  </si>
  <si>
    <t>Temple and Webster</t>
  </si>
  <si>
    <t>ASX:TPW</t>
  </si>
  <si>
    <t>Adairs</t>
  </si>
  <si>
    <t>ASX: ADH</t>
  </si>
  <si>
    <t>FY21 Afterpay Revenue % of UMS</t>
  </si>
  <si>
    <t>ANZ</t>
  </si>
  <si>
    <t>UK</t>
  </si>
  <si>
    <t>Total</t>
  </si>
  <si>
    <t>CY23 Afterpay Revenue % of UMS</t>
  </si>
  <si>
    <t xml:space="preserve">Merchant Fee Benchmarking </t>
  </si>
  <si>
    <t>JustEatTakeaway.com</t>
  </si>
  <si>
    <t>ENXTAM:JET</t>
  </si>
  <si>
    <t>Delivery Hero</t>
  </si>
  <si>
    <t>XTRA:DHER</t>
  </si>
  <si>
    <t>Fees for payment services</t>
  </si>
  <si>
    <t>Order Processing Costs</t>
  </si>
  <si>
    <t>Allegro</t>
  </si>
  <si>
    <t>WSE:ALE</t>
  </si>
  <si>
    <t>Payment Charge</t>
  </si>
  <si>
    <t>CY23 Shopify Merchant Solutions Rev % of GMV</t>
  </si>
  <si>
    <t>CY23 Shopify Merchant Solutions GP % of GMV</t>
  </si>
  <si>
    <t>CY23 Paypal Transaction Revenue % of TPV</t>
  </si>
  <si>
    <t>CY23 Paypal Transaction GP % of TPV</t>
  </si>
  <si>
    <t>Stripe payment gateway fees</t>
  </si>
  <si>
    <t>+ $0.30</t>
  </si>
  <si>
    <t>+ 0.5% manually entered cards</t>
  </si>
  <si>
    <t>+ 1.5% international cards</t>
  </si>
  <si>
    <t>+ 1.0% for FX conversion</t>
  </si>
  <si>
    <t>FY24E</t>
  </si>
  <si>
    <t>Monthly Q4 analysis</t>
  </si>
  <si>
    <t>4QFY23</t>
  </si>
  <si>
    <t>April</t>
  </si>
  <si>
    <t>4QFY24</t>
  </si>
  <si>
    <t>4Q24</t>
  </si>
  <si>
    <t>4Q22</t>
  </si>
  <si>
    <t>3Q22</t>
  </si>
  <si>
    <t>Jan-Apr 2023</t>
  </si>
  <si>
    <t>3Q23</t>
  </si>
  <si>
    <t>Jan-Apr 2022</t>
  </si>
  <si>
    <t>May + June</t>
  </si>
  <si>
    <t>Apr 2022</t>
  </si>
  <si>
    <t>May+June 2022</t>
  </si>
  <si>
    <t>Assumption</t>
  </si>
  <si>
    <t>Quarterly Mix %</t>
  </si>
  <si>
    <t>Other Opex</t>
  </si>
  <si>
    <t>Luxury eCom Comp Table</t>
  </si>
  <si>
    <t>Calendar Year</t>
  </si>
  <si>
    <t>MYTE</t>
  </si>
  <si>
    <t>YNAP</t>
  </si>
  <si>
    <t xml:space="preserve">Total </t>
  </si>
  <si>
    <t xml:space="preserve">MYTE </t>
  </si>
  <si>
    <t>1H FY19</t>
  </si>
  <si>
    <t>2H FY19</t>
  </si>
  <si>
    <t>FTCH (Digital Platform)</t>
  </si>
  <si>
    <t>Q2 FY24E</t>
  </si>
  <si>
    <t>1H FY24E</t>
  </si>
  <si>
    <t>MYTE (incl. shipping+pmt)</t>
  </si>
  <si>
    <t>MYTE shipping+pmt</t>
  </si>
  <si>
    <t>MYTE (excl. shipping+pmt)</t>
  </si>
  <si>
    <t>Margin % of GMV</t>
  </si>
  <si>
    <t>Dates</t>
  </si>
  <si>
    <r>
      <rPr>
        <sz val="11"/>
        <color theme="1"/>
        <rFont val="Calibri"/>
        <family val="2"/>
        <scheme val="minor"/>
      </rPr>
      <t>LVMH Moët Hennessy - Louis Vuitton, Société Européenne (ENXTPA:MC) - Dividend Adjusted Share Pricing</t>
    </r>
  </si>
  <si>
    <r>
      <rPr>
        <sz val="11"/>
        <color theme="1"/>
        <rFont val="Calibri"/>
        <family val="2"/>
        <scheme val="minor"/>
      </rPr>
      <t>Kering SA (ENXTPA:KER) - Dividend Adjusted Share Pricing</t>
    </r>
  </si>
  <si>
    <r>
      <rPr>
        <sz val="11"/>
        <color theme="1"/>
        <rFont val="Calibri"/>
        <family val="2"/>
        <scheme val="minor"/>
      </rPr>
      <t>Burberry Group plc (LSE:BRBY) - Dividend Adjusted Share Pricing</t>
    </r>
  </si>
  <si>
    <r>
      <rPr>
        <sz val="11"/>
        <color theme="1"/>
        <rFont val="Calibri"/>
        <family val="2"/>
        <scheme val="minor"/>
      </rPr>
      <t>Compagnie Financière Richemont SA (SWX:CFR) - Dividend Adjusted Share Pricing</t>
    </r>
  </si>
  <si>
    <r>
      <rPr>
        <sz val="11"/>
        <color theme="1"/>
        <rFont val="Calibri"/>
        <family val="2"/>
        <scheme val="minor"/>
      </rPr>
      <t>Moncler S.p.A. (BIT:MONC) - Dividend Adjusted Share Pricing</t>
    </r>
  </si>
  <si>
    <r>
      <rPr>
        <sz val="11"/>
        <color theme="1"/>
        <rFont val="Calibri"/>
        <family val="2"/>
        <scheme val="minor"/>
      </rPr>
      <t>Hugo Boss AG (XTRA:BOSS) - Dividend Adjusted Share Pricing</t>
    </r>
  </si>
  <si>
    <r>
      <rPr>
        <sz val="11"/>
        <color theme="1"/>
        <rFont val="Calibri"/>
        <family val="2"/>
        <scheme val="minor"/>
      </rPr>
      <t>The Swatch Group AG (SWX:UHR) - Dividend Adjusted Share Pricing</t>
    </r>
  </si>
  <si>
    <r>
      <rPr>
        <sz val="11"/>
        <color theme="1"/>
        <rFont val="Calibri"/>
        <family val="2"/>
        <scheme val="minor"/>
      </rPr>
      <t>Tapestry, Inc. (NYSE:TPR) - Dividend Adjusted Share Pricing</t>
    </r>
  </si>
  <si>
    <r>
      <rPr>
        <sz val="11"/>
        <color theme="1"/>
        <rFont val="Calibri"/>
        <family val="2"/>
        <scheme val="minor"/>
      </rPr>
      <t>Capri Holdings Limited (NYSE:CPRI) - Dividend Adjusted Share Pricing</t>
    </r>
  </si>
  <si>
    <r>
      <rPr>
        <sz val="11"/>
        <color theme="1"/>
        <rFont val="Calibri"/>
        <family val="2"/>
        <scheme val="minor"/>
      </rPr>
      <t>Ermenegildo Zegna N.V. (NYSE:ZGN) - Dividend Adjusted Share Pricing</t>
    </r>
  </si>
  <si>
    <t>Share Price</t>
  </si>
  <si>
    <t>x</t>
  </si>
  <si>
    <t>LVMH</t>
  </si>
  <si>
    <t>Kering</t>
  </si>
  <si>
    <t>Richemont</t>
  </si>
  <si>
    <t>Hugo Boss</t>
  </si>
  <si>
    <t>Swatch</t>
  </si>
  <si>
    <t>Tapestry</t>
  </si>
  <si>
    <t>Capri</t>
  </si>
  <si>
    <t>Zegna</t>
  </si>
  <si>
    <r>
      <rPr>
        <sz val="11"/>
        <color theme="1"/>
        <rFont val="Calibri"/>
        <family val="2"/>
        <scheme val="minor"/>
      </rPr>
      <t>Hermès International Société en commandite par actions (ENXTPA:RMS) - Dividend Adjusted Share Pricing</t>
    </r>
  </si>
  <si>
    <t>Hermes</t>
  </si>
  <si>
    <r>
      <rPr>
        <sz val="11"/>
        <color theme="1"/>
        <rFont val="Calibri"/>
        <family val="2"/>
        <scheme val="minor"/>
      </rPr>
      <t>MYT Netherlands Parent B.V. (NYSE:MYTE) - Dividend Adjusted Share Pricing</t>
    </r>
  </si>
  <si>
    <t>Revenue Growth</t>
  </si>
  <si>
    <t>Q1 19</t>
  </si>
  <si>
    <t>Q2 19</t>
  </si>
  <si>
    <t>Q3 19</t>
  </si>
  <si>
    <t>Q4 19</t>
  </si>
  <si>
    <t>Q1 20</t>
  </si>
  <si>
    <t>Q2 20</t>
  </si>
  <si>
    <t>Q3 20</t>
  </si>
  <si>
    <t>Q4 20</t>
  </si>
  <si>
    <t>Q1 21</t>
  </si>
  <si>
    <t>Q2 21</t>
  </si>
  <si>
    <t>Q3 21</t>
  </si>
  <si>
    <t>Q4 21</t>
  </si>
  <si>
    <t>Q1 22</t>
  </si>
  <si>
    <t>Q2 22</t>
  </si>
  <si>
    <t>Q3 22</t>
  </si>
  <si>
    <t>Q4 22</t>
  </si>
  <si>
    <t>Q1 23</t>
  </si>
  <si>
    <t>Q2 23</t>
  </si>
  <si>
    <t>Q3 23</t>
  </si>
  <si>
    <t>Q4 23</t>
  </si>
  <si>
    <t>Q1 24</t>
  </si>
  <si>
    <t>LVMH - F&amp;LG</t>
  </si>
  <si>
    <t>Kering - excl. eyewear</t>
  </si>
  <si>
    <t>Ferragamo</t>
  </si>
  <si>
    <t>Cettire Margin and Growth</t>
  </si>
  <si>
    <t>Revenue Growth % (USD)</t>
  </si>
  <si>
    <r>
      <rPr>
        <sz val="11"/>
        <color theme="1"/>
        <rFont val="Calibri"/>
        <family val="2"/>
        <scheme val="minor"/>
      </rPr>
      <t>Cettire Limited (ASX:CTT) - Dividend Adjusted Share Pricing</t>
    </r>
  </si>
  <si>
    <t>Cettire Share Price</t>
  </si>
  <si>
    <t>EBITDA Margin %</t>
  </si>
  <si>
    <t>Q2 24E</t>
  </si>
  <si>
    <t>1H24E</t>
  </si>
  <si>
    <t>1H21</t>
  </si>
  <si>
    <t>2H21</t>
  </si>
  <si>
    <t>1H22</t>
  </si>
  <si>
    <t>2H22</t>
  </si>
  <si>
    <t>AOV Comparison</t>
  </si>
  <si>
    <t>(USD in $)</t>
  </si>
  <si>
    <t>&lt;&lt; LTM June 30, 2023</t>
  </si>
  <si>
    <t>NAP</t>
  </si>
  <si>
    <t>Symbol/Segment</t>
  </si>
  <si>
    <t>CTT-AX (US)</t>
  </si>
  <si>
    <t>FTCH-ACQ (US)</t>
  </si>
  <si>
    <t>CFR-SW: ONLINE DISTRIBUTORS (US)</t>
  </si>
  <si>
    <t>MYTE (US)</t>
  </si>
  <si>
    <t>Ssense: TOTAL</t>
  </si>
  <si>
    <t>FTCH-ACQ: TOTAL</t>
  </si>
  <si>
    <t>Brand Name</t>
  </si>
  <si>
    <t>CETTIRE</t>
  </si>
  <si>
    <t>FARFETCH</t>
  </si>
  <si>
    <t>NET-A-PORTER</t>
  </si>
  <si>
    <t>MYTHERESA.COM</t>
  </si>
  <si>
    <t>SSENSE</t>
  </si>
  <si>
    <t>Trans Count</t>
  </si>
  <si>
    <t>Spend Amount</t>
  </si>
  <si>
    <t>2018-01-01</t>
  </si>
  <si>
    <t>2018-01-02</t>
  </si>
  <si>
    <t>2018-01-03</t>
  </si>
  <si>
    <t>2018-01-04</t>
  </si>
  <si>
    <t>2018-01-05</t>
  </si>
  <si>
    <t>2018-01-06</t>
  </si>
  <si>
    <t>2018-01-07</t>
  </si>
  <si>
    <t>2018-01-08</t>
  </si>
  <si>
    <t>2018-01-09</t>
  </si>
  <si>
    <t>2018-01-10</t>
  </si>
  <si>
    <t>2018-01-11</t>
  </si>
  <si>
    <t>2018-01-12</t>
  </si>
  <si>
    <t>2018-01-13</t>
  </si>
  <si>
    <t>2018-01-14</t>
  </si>
  <si>
    <t>2018-01-15</t>
  </si>
  <si>
    <t>2018-01-16</t>
  </si>
  <si>
    <t>2018-01-17</t>
  </si>
  <si>
    <t>2018-01-18</t>
  </si>
  <si>
    <t>2018-01-19</t>
  </si>
  <si>
    <t>2018-01-20</t>
  </si>
  <si>
    <t>2018-01-21</t>
  </si>
  <si>
    <t>2018-01-22</t>
  </si>
  <si>
    <t>2018-01-23</t>
  </si>
  <si>
    <t>2018-01-24</t>
  </si>
  <si>
    <t>2018-01-25</t>
  </si>
  <si>
    <t>2018-01-26</t>
  </si>
  <si>
    <t>2018-01-27</t>
  </si>
  <si>
    <t>2018-01-28</t>
  </si>
  <si>
    <t>2018-01-29</t>
  </si>
  <si>
    <t>2018-01-30</t>
  </si>
  <si>
    <t>2018-01-31</t>
  </si>
  <si>
    <t>2018-02-01</t>
  </si>
  <si>
    <t>2018-02-02</t>
  </si>
  <si>
    <t>2018-02-03</t>
  </si>
  <si>
    <t>2018-02-04</t>
  </si>
  <si>
    <t>2018-02-05</t>
  </si>
  <si>
    <t>2018-02-06</t>
  </si>
  <si>
    <t>2018-02-07</t>
  </si>
  <si>
    <t>2018-02-08</t>
  </si>
  <si>
    <t>2018-02-09</t>
  </si>
  <si>
    <t>2018-02-10</t>
  </si>
  <si>
    <t>2018-02-11</t>
  </si>
  <si>
    <t>2018-02-12</t>
  </si>
  <si>
    <t>2018-02-13</t>
  </si>
  <si>
    <t>2018-02-14</t>
  </si>
  <si>
    <t>2018-02-15</t>
  </si>
  <si>
    <t>2018-02-16</t>
  </si>
  <si>
    <t>2018-02-17</t>
  </si>
  <si>
    <t>2018-02-18</t>
  </si>
  <si>
    <t>2018-02-19</t>
  </si>
  <si>
    <t>2018-02-20</t>
  </si>
  <si>
    <t>2018-02-21</t>
  </si>
  <si>
    <t>2018-02-22</t>
  </si>
  <si>
    <t>2018-02-23</t>
  </si>
  <si>
    <t>2018-02-24</t>
  </si>
  <si>
    <t>2018-02-25</t>
  </si>
  <si>
    <t>2018-02-26</t>
  </si>
  <si>
    <t>2018-02-27</t>
  </si>
  <si>
    <t>2018-02-28</t>
  </si>
  <si>
    <t>2018-03-01</t>
  </si>
  <si>
    <t>2018-03-02</t>
  </si>
  <si>
    <t>2018-03-03</t>
  </si>
  <si>
    <t>2018-03-04</t>
  </si>
  <si>
    <t>2018-03-05</t>
  </si>
  <si>
    <t>2018-03-06</t>
  </si>
  <si>
    <t>2018-03-07</t>
  </si>
  <si>
    <t>2018-03-08</t>
  </si>
  <si>
    <t>2018-03-09</t>
  </si>
  <si>
    <t>2018-03-10</t>
  </si>
  <si>
    <t>2018-03-11</t>
  </si>
  <si>
    <t>2018-03-12</t>
  </si>
  <si>
    <t>2018-03-13</t>
  </si>
  <si>
    <t>2018-03-14</t>
  </si>
  <si>
    <t>2018-03-15</t>
  </si>
  <si>
    <t>2018-03-16</t>
  </si>
  <si>
    <t>2018-03-17</t>
  </si>
  <si>
    <t>2018-03-18</t>
  </si>
  <si>
    <t>2018-03-19</t>
  </si>
  <si>
    <t>2018-03-20</t>
  </si>
  <si>
    <t>2018-03-21</t>
  </si>
  <si>
    <t>2018-03-22</t>
  </si>
  <si>
    <t>2018-03-23</t>
  </si>
  <si>
    <t>2018-03-24</t>
  </si>
  <si>
    <t>2018-03-25</t>
  </si>
  <si>
    <t>2018-03-26</t>
  </si>
  <si>
    <t>2018-03-27</t>
  </si>
  <si>
    <t>2018-03-28</t>
  </si>
  <si>
    <t>2018-03-29</t>
  </si>
  <si>
    <t>2018-03-30</t>
  </si>
  <si>
    <t>2018-03-31</t>
  </si>
  <si>
    <t>2018-04-01</t>
  </si>
  <si>
    <t>2018-04-02</t>
  </si>
  <si>
    <t>2018-04-03</t>
  </si>
  <si>
    <t>2018-04-04</t>
  </si>
  <si>
    <t>2018-04-05</t>
  </si>
  <si>
    <t>2018-04-06</t>
  </si>
  <si>
    <t>2018-04-07</t>
  </si>
  <si>
    <t>2018-04-08</t>
  </si>
  <si>
    <t>2018-04-09</t>
  </si>
  <si>
    <t>2018-04-10</t>
  </si>
  <si>
    <t>2018-04-11</t>
  </si>
  <si>
    <t>2018-04-12</t>
  </si>
  <si>
    <t>2018-04-13</t>
  </si>
  <si>
    <t>2018-04-14</t>
  </si>
  <si>
    <t>2018-04-15</t>
  </si>
  <si>
    <t>2018-04-16</t>
  </si>
  <si>
    <t>2018-04-17</t>
  </si>
  <si>
    <t>2018-04-18</t>
  </si>
  <si>
    <t>2018-04-19</t>
  </si>
  <si>
    <t>2018-04-20</t>
  </si>
  <si>
    <t>2018-04-21</t>
  </si>
  <si>
    <t>2018-04-22</t>
  </si>
  <si>
    <t>2018-04-23</t>
  </si>
  <si>
    <t>2018-04-24</t>
  </si>
  <si>
    <t>2018-04-25</t>
  </si>
  <si>
    <t>2018-04-26</t>
  </si>
  <si>
    <t>2018-04-27</t>
  </si>
  <si>
    <t>2018-04-28</t>
  </si>
  <si>
    <t>2018-04-29</t>
  </si>
  <si>
    <t>2018-04-30</t>
  </si>
  <si>
    <t>2018-05-01</t>
  </si>
  <si>
    <t>2018-05-02</t>
  </si>
  <si>
    <t>2018-05-03</t>
  </si>
  <si>
    <t>2018-05-04</t>
  </si>
  <si>
    <t>2018-05-05</t>
  </si>
  <si>
    <t>2018-05-06</t>
  </si>
  <si>
    <t>2018-05-07</t>
  </si>
  <si>
    <t>2018-05-08</t>
  </si>
  <si>
    <t>2018-05-09</t>
  </si>
  <si>
    <t>2018-05-10</t>
  </si>
  <si>
    <t>2018-05-11</t>
  </si>
  <si>
    <t>2018-05-12</t>
  </si>
  <si>
    <t>2018-05-13</t>
  </si>
  <si>
    <t>2018-05-14</t>
  </si>
  <si>
    <t>2018-05-15</t>
  </si>
  <si>
    <t>2018-05-16</t>
  </si>
  <si>
    <t>2018-05-17</t>
  </si>
  <si>
    <t>2018-05-18</t>
  </si>
  <si>
    <t>2018-05-19</t>
  </si>
  <si>
    <t>2018-05-20</t>
  </si>
  <si>
    <t>2018-05-21</t>
  </si>
  <si>
    <t>2018-05-22</t>
  </si>
  <si>
    <t>2018-05-23</t>
  </si>
  <si>
    <t>2018-05-24</t>
  </si>
  <si>
    <t>2018-05-25</t>
  </si>
  <si>
    <t>2018-05-26</t>
  </si>
  <si>
    <t>2018-05-27</t>
  </si>
  <si>
    <t>2018-05-28</t>
  </si>
  <si>
    <t>2018-05-29</t>
  </si>
  <si>
    <t>2018-05-30</t>
  </si>
  <si>
    <t>2018-05-31</t>
  </si>
  <si>
    <t>2018-06-01</t>
  </si>
  <si>
    <t>2018-06-02</t>
  </si>
  <si>
    <t>2018-06-03</t>
  </si>
  <si>
    <t>2018-06-04</t>
  </si>
  <si>
    <t>2018-06-05</t>
  </si>
  <si>
    <t>2018-06-06</t>
  </si>
  <si>
    <t>2018-06-07</t>
  </si>
  <si>
    <t>2018-06-08</t>
  </si>
  <si>
    <t>2018-06-09</t>
  </si>
  <si>
    <t>2018-06-10</t>
  </si>
  <si>
    <t>2018-06-11</t>
  </si>
  <si>
    <t>2018-06-12</t>
  </si>
  <si>
    <t>2018-06-13</t>
  </si>
  <si>
    <t>2018-06-14</t>
  </si>
  <si>
    <t>2018-06-15</t>
  </si>
  <si>
    <t>2018-06-16</t>
  </si>
  <si>
    <t>2018-06-17</t>
  </si>
  <si>
    <t>2018-06-18</t>
  </si>
  <si>
    <t>2018-06-19</t>
  </si>
  <si>
    <t>2018-06-20</t>
  </si>
  <si>
    <t>2018-06-21</t>
  </si>
  <si>
    <t>2018-06-22</t>
  </si>
  <si>
    <t>2018-06-23</t>
  </si>
  <si>
    <t>2018-06-24</t>
  </si>
  <si>
    <t>2018-06-25</t>
  </si>
  <si>
    <t>2018-06-26</t>
  </si>
  <si>
    <t>2018-06-27</t>
  </si>
  <si>
    <t>2018-06-28</t>
  </si>
  <si>
    <t>2018-06-29</t>
  </si>
  <si>
    <t>2018-06-30</t>
  </si>
  <si>
    <t>2018-07-01</t>
  </si>
  <si>
    <t>2018-07-02</t>
  </si>
  <si>
    <t>2018-07-03</t>
  </si>
  <si>
    <t>2018-07-04</t>
  </si>
  <si>
    <t>2018-07-05</t>
  </si>
  <si>
    <t>2018-07-06</t>
  </si>
  <si>
    <t>2018-07-07</t>
  </si>
  <si>
    <t>2018-07-08</t>
  </si>
  <si>
    <t>2018-07-09</t>
  </si>
  <si>
    <t>2018-07-10</t>
  </si>
  <si>
    <t>2018-07-11</t>
  </si>
  <si>
    <t>2018-07-12</t>
  </si>
  <si>
    <t>2018-07-13</t>
  </si>
  <si>
    <t>2018-07-14</t>
  </si>
  <si>
    <t>2018-07-15</t>
  </si>
  <si>
    <t>2018-07-16</t>
  </si>
  <si>
    <t>2018-07-17</t>
  </si>
  <si>
    <t>2018-07-18</t>
  </si>
  <si>
    <t>2018-07-19</t>
  </si>
  <si>
    <t>2018-07-20</t>
  </si>
  <si>
    <t>2018-07-21</t>
  </si>
  <si>
    <t>2018-07-22</t>
  </si>
  <si>
    <t>2018-07-23</t>
  </si>
  <si>
    <t>2018-07-24</t>
  </si>
  <si>
    <t>2018-07-25</t>
  </si>
  <si>
    <t>2018-07-26</t>
  </si>
  <si>
    <t>2018-07-27</t>
  </si>
  <si>
    <t>2018-07-28</t>
  </si>
  <si>
    <t>2018-07-29</t>
  </si>
  <si>
    <t>2018-07-30</t>
  </si>
  <si>
    <t>2018-07-31</t>
  </si>
  <si>
    <t>2018-08-01</t>
  </si>
  <si>
    <t>2018-08-02</t>
  </si>
  <si>
    <t>2018-08-03</t>
  </si>
  <si>
    <t>2018-08-04</t>
  </si>
  <si>
    <t>2018-08-05</t>
  </si>
  <si>
    <t>2018-08-06</t>
  </si>
  <si>
    <t>2018-08-07</t>
  </si>
  <si>
    <t>2018-08-08</t>
  </si>
  <si>
    <t>2018-08-09</t>
  </si>
  <si>
    <t>2018-08-10</t>
  </si>
  <si>
    <t>2018-08-11</t>
  </si>
  <si>
    <t>2018-08-12</t>
  </si>
  <si>
    <t>2018-08-13</t>
  </si>
  <si>
    <t>2018-08-14</t>
  </si>
  <si>
    <t>2018-08-15</t>
  </si>
  <si>
    <t>2018-08-16</t>
  </si>
  <si>
    <t>2018-08-17</t>
  </si>
  <si>
    <t>2018-08-18</t>
  </si>
  <si>
    <t>2018-08-19</t>
  </si>
  <si>
    <t>2018-08-20</t>
  </si>
  <si>
    <t>2018-08-21</t>
  </si>
  <si>
    <t>2018-08-22</t>
  </si>
  <si>
    <t>2018-08-23</t>
  </si>
  <si>
    <t>2018-08-24</t>
  </si>
  <si>
    <t>2018-08-25</t>
  </si>
  <si>
    <t>2018-08-26</t>
  </si>
  <si>
    <t>2018-08-27</t>
  </si>
  <si>
    <t>2018-08-28</t>
  </si>
  <si>
    <t>2018-08-29</t>
  </si>
  <si>
    <t>2018-08-30</t>
  </si>
  <si>
    <t>2018-08-31</t>
  </si>
  <si>
    <t>2018-09-01</t>
  </si>
  <si>
    <t>2018-09-02</t>
  </si>
  <si>
    <t>2018-09-03</t>
  </si>
  <si>
    <t>2018-09-04</t>
  </si>
  <si>
    <t>2018-09-05</t>
  </si>
  <si>
    <t>2018-09-06</t>
  </si>
  <si>
    <t>2018-09-07</t>
  </si>
  <si>
    <t>2018-09-08</t>
  </si>
  <si>
    <t>2018-09-09</t>
  </si>
  <si>
    <t>2018-09-10</t>
  </si>
  <si>
    <t>2018-09-11</t>
  </si>
  <si>
    <t>2018-09-12</t>
  </si>
  <si>
    <t>2018-09-13</t>
  </si>
  <si>
    <t>2018-09-14</t>
  </si>
  <si>
    <t>2018-09-15</t>
  </si>
  <si>
    <t>2018-09-16</t>
  </si>
  <si>
    <t>2018-09-17</t>
  </si>
  <si>
    <t>2018-09-18</t>
  </si>
  <si>
    <t>2018-09-19</t>
  </si>
  <si>
    <t>2018-09-20</t>
  </si>
  <si>
    <t>2018-09-21</t>
  </si>
  <si>
    <t>2018-09-22</t>
  </si>
  <si>
    <t>2018-09-23</t>
  </si>
  <si>
    <t>2018-09-24</t>
  </si>
  <si>
    <t>2018-09-25</t>
  </si>
  <si>
    <t>2018-09-26</t>
  </si>
  <si>
    <t>2018-09-27</t>
  </si>
  <si>
    <t>2018-09-28</t>
  </si>
  <si>
    <t>2018-09-29</t>
  </si>
  <si>
    <t>2018-09-30</t>
  </si>
  <si>
    <t>2018-10-01</t>
  </si>
  <si>
    <t>2018-10-02</t>
  </si>
  <si>
    <t>2018-10-03</t>
  </si>
  <si>
    <t>2018-10-04</t>
  </si>
  <si>
    <t>2018-10-05</t>
  </si>
  <si>
    <t>2018-10-06</t>
  </si>
  <si>
    <t>2018-10-07</t>
  </si>
  <si>
    <t>2018-10-08</t>
  </si>
  <si>
    <t>2018-10-09</t>
  </si>
  <si>
    <t>2018-10-10</t>
  </si>
  <si>
    <t>2018-10-11</t>
  </si>
  <si>
    <t>2018-10-12</t>
  </si>
  <si>
    <t>2018-10-13</t>
  </si>
  <si>
    <t>2018-10-14</t>
  </si>
  <si>
    <t>2018-10-15</t>
  </si>
  <si>
    <t>2018-10-16</t>
  </si>
  <si>
    <t>2018-10-17</t>
  </si>
  <si>
    <t>2018-10-18</t>
  </si>
  <si>
    <t>2018-10-19</t>
  </si>
  <si>
    <t>2018-10-20</t>
  </si>
  <si>
    <t>2018-10-21</t>
  </si>
  <si>
    <t>2018-10-22</t>
  </si>
  <si>
    <t>2018-10-23</t>
  </si>
  <si>
    <t>2018-10-24</t>
  </si>
  <si>
    <t>2018-10-25</t>
  </si>
  <si>
    <t>2018-10-26</t>
  </si>
  <si>
    <t>2018-10-27</t>
  </si>
  <si>
    <t>2018-10-28</t>
  </si>
  <si>
    <t>2018-10-29</t>
  </si>
  <si>
    <t>2018-10-30</t>
  </si>
  <si>
    <t>2018-10-31</t>
  </si>
  <si>
    <t>2018-11-01</t>
  </si>
  <si>
    <t>2018-11-02</t>
  </si>
  <si>
    <t>2018-11-03</t>
  </si>
  <si>
    <t>2018-11-04</t>
  </si>
  <si>
    <t>2018-11-05</t>
  </si>
  <si>
    <t>2018-11-06</t>
  </si>
  <si>
    <t>2018-11-07</t>
  </si>
  <si>
    <t>2018-11-08</t>
  </si>
  <si>
    <t>2018-11-09</t>
  </si>
  <si>
    <t>2018-11-10</t>
  </si>
  <si>
    <t>2018-11-11</t>
  </si>
  <si>
    <t>2018-11-12</t>
  </si>
  <si>
    <t>2018-11-13</t>
  </si>
  <si>
    <t>2018-11-14</t>
  </si>
  <si>
    <t>2018-11-15</t>
  </si>
  <si>
    <t>2018-11-16</t>
  </si>
  <si>
    <t>2018-11-17</t>
  </si>
  <si>
    <t>2018-11-18</t>
  </si>
  <si>
    <t>2018-11-19</t>
  </si>
  <si>
    <t>2018-11-20</t>
  </si>
  <si>
    <t>2018-11-21</t>
  </si>
  <si>
    <t>2018-11-22</t>
  </si>
  <si>
    <t>2018-11-23</t>
  </si>
  <si>
    <t>2018-11-24</t>
  </si>
  <si>
    <t>2018-11-25</t>
  </si>
  <si>
    <t>2018-11-26</t>
  </si>
  <si>
    <t>2018-11-27</t>
  </si>
  <si>
    <t>2018-11-28</t>
  </si>
  <si>
    <t>2018-11-29</t>
  </si>
  <si>
    <t>2018-11-30</t>
  </si>
  <si>
    <t>2018-12-01</t>
  </si>
  <si>
    <t>2018-12-02</t>
  </si>
  <si>
    <t>2018-12-03</t>
  </si>
  <si>
    <t>2018-12-04</t>
  </si>
  <si>
    <t>2018-12-05</t>
  </si>
  <si>
    <t>2018-12-06</t>
  </si>
  <si>
    <t>2018-12-07</t>
  </si>
  <si>
    <t>2018-12-08</t>
  </si>
  <si>
    <t>2018-12-09</t>
  </si>
  <si>
    <t>2018-12-10</t>
  </si>
  <si>
    <t>2018-12-11</t>
  </si>
  <si>
    <t>2018-12-12</t>
  </si>
  <si>
    <t>2018-12-13</t>
  </si>
  <si>
    <t>2018-12-14</t>
  </si>
  <si>
    <t>2018-12-15</t>
  </si>
  <si>
    <t>2018-12-16</t>
  </si>
  <si>
    <t>2018-12-17</t>
  </si>
  <si>
    <t>2018-12-18</t>
  </si>
  <si>
    <t>2018-12-19</t>
  </si>
  <si>
    <t>2018-12-20</t>
  </si>
  <si>
    <t>2018-12-21</t>
  </si>
  <si>
    <t>2018-12-22</t>
  </si>
  <si>
    <t>2018-12-23</t>
  </si>
  <si>
    <t>2018-12-24</t>
  </si>
  <si>
    <t>2018-12-25</t>
  </si>
  <si>
    <t>2018-12-26</t>
  </si>
  <si>
    <t>2018-12-27</t>
  </si>
  <si>
    <t>2018-12-28</t>
  </si>
  <si>
    <t>2018-12-29</t>
  </si>
  <si>
    <t>2018-12-30</t>
  </si>
  <si>
    <t>2018-12-31</t>
  </si>
  <si>
    <t>2019-01-01</t>
  </si>
  <si>
    <t>2019-01-02</t>
  </si>
  <si>
    <t>2019-01-03</t>
  </si>
  <si>
    <t>2019-01-04</t>
  </si>
  <si>
    <t>2019-01-05</t>
  </si>
  <si>
    <t>2019-01-06</t>
  </si>
  <si>
    <t>2019-01-07</t>
  </si>
  <si>
    <t>2019-01-08</t>
  </si>
  <si>
    <t>2019-01-09</t>
  </si>
  <si>
    <t>2019-01-10</t>
  </si>
  <si>
    <t>2019-01-11</t>
  </si>
  <si>
    <t>2019-01-12</t>
  </si>
  <si>
    <t>2019-01-13</t>
  </si>
  <si>
    <t>2019-01-14</t>
  </si>
  <si>
    <t>2019-01-15</t>
  </si>
  <si>
    <t>2019-01-16</t>
  </si>
  <si>
    <t>2019-01-17</t>
  </si>
  <si>
    <t>2019-01-18</t>
  </si>
  <si>
    <t>2019-01-19</t>
  </si>
  <si>
    <t>2019-01-20</t>
  </si>
  <si>
    <t>2019-01-21</t>
  </si>
  <si>
    <t>2019-01-22</t>
  </si>
  <si>
    <t>2019-01-23</t>
  </si>
  <si>
    <t>2019-01-24</t>
  </si>
  <si>
    <t>2019-01-25</t>
  </si>
  <si>
    <t>2019-01-26</t>
  </si>
  <si>
    <t>2019-01-27</t>
  </si>
  <si>
    <t>2019-01-28</t>
  </si>
  <si>
    <t>2019-01-29</t>
  </si>
  <si>
    <t>2019-01-30</t>
  </si>
  <si>
    <t>2019-01-31</t>
  </si>
  <si>
    <t>2019-02-01</t>
  </si>
  <si>
    <t>2019-02-02</t>
  </si>
  <si>
    <t>2019-02-03</t>
  </si>
  <si>
    <t>2019-02-04</t>
  </si>
  <si>
    <t>2019-02-05</t>
  </si>
  <si>
    <t>2019-02-06</t>
  </si>
  <si>
    <t>2019-02-07</t>
  </si>
  <si>
    <t>2019-02-08</t>
  </si>
  <si>
    <t>2019-02-09</t>
  </si>
  <si>
    <t>2019-02-10</t>
  </si>
  <si>
    <t>2019-02-11</t>
  </si>
  <si>
    <t>2019-02-12</t>
  </si>
  <si>
    <t>2019-02-13</t>
  </si>
  <si>
    <t>2019-02-14</t>
  </si>
  <si>
    <t>2019-02-15</t>
  </si>
  <si>
    <t>2019-02-16</t>
  </si>
  <si>
    <t>2019-02-17</t>
  </si>
  <si>
    <t>2019-02-18</t>
  </si>
  <si>
    <t>2019-02-19</t>
  </si>
  <si>
    <t>2019-02-20</t>
  </si>
  <si>
    <t>2019-02-21</t>
  </si>
  <si>
    <t>2019-02-22</t>
  </si>
  <si>
    <t>2019-02-23</t>
  </si>
  <si>
    <t>2019-02-24</t>
  </si>
  <si>
    <t>2019-02-25</t>
  </si>
  <si>
    <t>2019-02-26</t>
  </si>
  <si>
    <t>2019-02-27</t>
  </si>
  <si>
    <t>2019-02-28</t>
  </si>
  <si>
    <t>2019-03-01</t>
  </si>
  <si>
    <t>2019-03-02</t>
  </si>
  <si>
    <t>2019-03-03</t>
  </si>
  <si>
    <t>2019-03-04</t>
  </si>
  <si>
    <t>2019-03-05</t>
  </si>
  <si>
    <t>2019-03-06</t>
  </si>
  <si>
    <t>2019-03-07</t>
  </si>
  <si>
    <t>2019-03-08</t>
  </si>
  <si>
    <t>2019-03-09</t>
  </si>
  <si>
    <t>2019-03-10</t>
  </si>
  <si>
    <t>2019-03-11</t>
  </si>
  <si>
    <t>2019-03-12</t>
  </si>
  <si>
    <t>2019-03-13</t>
  </si>
  <si>
    <t>2019-03-14</t>
  </si>
  <si>
    <t>2019-03-15</t>
  </si>
  <si>
    <t>2019-03-16</t>
  </si>
  <si>
    <t>2019-03-17</t>
  </si>
  <si>
    <t>2019-03-18</t>
  </si>
  <si>
    <t>2019-03-19</t>
  </si>
  <si>
    <t>2019-03-20</t>
  </si>
  <si>
    <t>2019-03-21</t>
  </si>
  <si>
    <t>2019-03-22</t>
  </si>
  <si>
    <t>2019-03-23</t>
  </si>
  <si>
    <t>2019-03-24</t>
  </si>
  <si>
    <t>2019-03-25</t>
  </si>
  <si>
    <t>2019-03-26</t>
  </si>
  <si>
    <t>2019-03-27</t>
  </si>
  <si>
    <t>2019-03-28</t>
  </si>
  <si>
    <t>2019-03-29</t>
  </si>
  <si>
    <t>2019-03-30</t>
  </si>
  <si>
    <t>2019-03-31</t>
  </si>
  <si>
    <t>2019-04-01</t>
  </si>
  <si>
    <t>2019-04-02</t>
  </si>
  <si>
    <t>2019-04-03</t>
  </si>
  <si>
    <t>2019-04-04</t>
  </si>
  <si>
    <t>2019-04-05</t>
  </si>
  <si>
    <t>2019-04-06</t>
  </si>
  <si>
    <t>2019-04-07</t>
  </si>
  <si>
    <t>2019-04-08</t>
  </si>
  <si>
    <t>2019-04-09</t>
  </si>
  <si>
    <t>2019-04-10</t>
  </si>
  <si>
    <t>2019-04-11</t>
  </si>
  <si>
    <t>2019-04-12</t>
  </si>
  <si>
    <t>2019-04-13</t>
  </si>
  <si>
    <t>2019-04-14</t>
  </si>
  <si>
    <t>2019-04-15</t>
  </si>
  <si>
    <t>2019-04-16</t>
  </si>
  <si>
    <t>2019-04-17</t>
  </si>
  <si>
    <t>2019-04-18</t>
  </si>
  <si>
    <t>2019-04-19</t>
  </si>
  <si>
    <t>2019-04-20</t>
  </si>
  <si>
    <t>2019-04-21</t>
  </si>
  <si>
    <t>2019-04-22</t>
  </si>
  <si>
    <t>2019-04-23</t>
  </si>
  <si>
    <t>2019-04-24</t>
  </si>
  <si>
    <t>2019-04-25</t>
  </si>
  <si>
    <t>2019-04-26</t>
  </si>
  <si>
    <t>2019-04-27</t>
  </si>
  <si>
    <t>2019-04-28</t>
  </si>
  <si>
    <t>2019-04-29</t>
  </si>
  <si>
    <t>2019-04-30</t>
  </si>
  <si>
    <t>2019-05-01</t>
  </si>
  <si>
    <t>2019-05-02</t>
  </si>
  <si>
    <t>2019-05-03</t>
  </si>
  <si>
    <t>2019-05-04</t>
  </si>
  <si>
    <t>2019-05-05</t>
  </si>
  <si>
    <t>2019-05-06</t>
  </si>
  <si>
    <t>2019-05-07</t>
  </si>
  <si>
    <t>2019-05-08</t>
  </si>
  <si>
    <t>2019-05-09</t>
  </si>
  <si>
    <t>2019-05-10</t>
  </si>
  <si>
    <t>2019-05-11</t>
  </si>
  <si>
    <t>2019-05-12</t>
  </si>
  <si>
    <t>2019-05-13</t>
  </si>
  <si>
    <t>2019-05-14</t>
  </si>
  <si>
    <t>2019-05-15</t>
  </si>
  <si>
    <t>2019-05-16</t>
  </si>
  <si>
    <t>2019-05-17</t>
  </si>
  <si>
    <t>2019-05-18</t>
  </si>
  <si>
    <t>2019-05-19</t>
  </si>
  <si>
    <t>2019-05-20</t>
  </si>
  <si>
    <t>2019-05-21</t>
  </si>
  <si>
    <t>2019-05-22</t>
  </si>
  <si>
    <t>2019-05-23</t>
  </si>
  <si>
    <t>2019-05-24</t>
  </si>
  <si>
    <t>2019-05-25</t>
  </si>
  <si>
    <t>2019-05-26</t>
  </si>
  <si>
    <t>2019-05-27</t>
  </si>
  <si>
    <t>2019-05-28</t>
  </si>
  <si>
    <t>2019-05-29</t>
  </si>
  <si>
    <t>2019-05-30</t>
  </si>
  <si>
    <t>2019-05-31</t>
  </si>
  <si>
    <t>2019-06-01</t>
  </si>
  <si>
    <t>2019-06-02</t>
  </si>
  <si>
    <t>2019-06-03</t>
  </si>
  <si>
    <t>2019-06-04</t>
  </si>
  <si>
    <t>2019-06-05</t>
  </si>
  <si>
    <t>2019-06-06</t>
  </si>
  <si>
    <t>2019-06-07</t>
  </si>
  <si>
    <t>2019-06-08</t>
  </si>
  <si>
    <t>2019-06-09</t>
  </si>
  <si>
    <t>2019-06-10</t>
  </si>
  <si>
    <t>2019-06-11</t>
  </si>
  <si>
    <t>2019-06-12</t>
  </si>
  <si>
    <t>2019-06-13</t>
  </si>
  <si>
    <t>2019-06-14</t>
  </si>
  <si>
    <t>2019-06-15</t>
  </si>
  <si>
    <t>2019-06-16</t>
  </si>
  <si>
    <t>2019-06-17</t>
  </si>
  <si>
    <t>2019-06-18</t>
  </si>
  <si>
    <t>2019-06-19</t>
  </si>
  <si>
    <t>2019-06-20</t>
  </si>
  <si>
    <t>2019-06-21</t>
  </si>
  <si>
    <t>2019-06-22</t>
  </si>
  <si>
    <t>2019-06-23</t>
  </si>
  <si>
    <t>2019-06-24</t>
  </si>
  <si>
    <t>2019-06-25</t>
  </si>
  <si>
    <t>2019-06-26</t>
  </si>
  <si>
    <t>2019-06-27</t>
  </si>
  <si>
    <t>2019-06-28</t>
  </si>
  <si>
    <t>2019-06-29</t>
  </si>
  <si>
    <t>2019-06-30</t>
  </si>
  <si>
    <t>2019-07-01</t>
  </si>
  <si>
    <t>2019-07-02</t>
  </si>
  <si>
    <t>2019-07-03</t>
  </si>
  <si>
    <t>2019-07-04</t>
  </si>
  <si>
    <t>2019-07-05</t>
  </si>
  <si>
    <t>2019-07-06</t>
  </si>
  <si>
    <t>2019-07-07</t>
  </si>
  <si>
    <t>2019-07-08</t>
  </si>
  <si>
    <t>2019-07-09</t>
  </si>
  <si>
    <t>2019-07-10</t>
  </si>
  <si>
    <t>2019-07-11</t>
  </si>
  <si>
    <t>2019-07-12</t>
  </si>
  <si>
    <t>2019-07-13</t>
  </si>
  <si>
    <t>2019-07-14</t>
  </si>
  <si>
    <t>2019-07-15</t>
  </si>
  <si>
    <t>2019-07-16</t>
  </si>
  <si>
    <t>2019-07-17</t>
  </si>
  <si>
    <t>2019-07-18</t>
  </si>
  <si>
    <t>2019-07-19</t>
  </si>
  <si>
    <t>2019-07-20</t>
  </si>
  <si>
    <t>2019-07-21</t>
  </si>
  <si>
    <t>2019-07-22</t>
  </si>
  <si>
    <t>2019-07-23</t>
  </si>
  <si>
    <t>2019-07-24</t>
  </si>
  <si>
    <t>2019-07-25</t>
  </si>
  <si>
    <t>2019-07-26</t>
  </si>
  <si>
    <t>2019-07-27</t>
  </si>
  <si>
    <t>2019-07-28</t>
  </si>
  <si>
    <t>2019-07-29</t>
  </si>
  <si>
    <t>2019-07-30</t>
  </si>
  <si>
    <t>2019-07-31</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</si>
  <si>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</si>
  <si>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</si>
  <si>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</si>
  <si>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</si>
  <si>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</si>
  <si>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</si>
  <si>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</si>
  <si>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</si>
  <si>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</si>
  <si>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</si>
  <si>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</si>
  <si>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</si>
  <si>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</si>
  <si>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</si>
  <si>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</si>
  <si>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</si>
  <si>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</si>
  <si>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</si>
  <si>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</si>
  <si>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</si>
  <si>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</si>
  <si>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</si>
  <si>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</si>
  <si>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</si>
  <si>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</si>
  <si>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</si>
  <si>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</si>
  <si>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</si>
  <si>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</si>
  <si>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</si>
  <si>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</si>
  <si>
    <t>2019-09-01</t>
  </si>
  <si>
    <t>2019-09-02</t>
  </si>
  <si>
    <t>2019-09-03</t>
  </si>
  <si>
    <t>2019-09-04</t>
  </si>
  <si>
    <t>2019-09-05</t>
  </si>
  <si>
    <t>2019-09-06</t>
  </si>
  <si>
    <t>2019-09-07</t>
  </si>
  <si>
    <t>2019-09-08</t>
  </si>
  <si>
    <t>2019-09-09</t>
  </si>
  <si>
    <t>2019-09-10</t>
  </si>
  <si>
    <t>2019-09-11</t>
  </si>
  <si>
    <t>2019-09-12</t>
  </si>
  <si>
    <t>2019-09-13</t>
  </si>
  <si>
    <t>2019-09-14</t>
  </si>
  <si>
    <t>2019-09-15</t>
  </si>
  <si>
    <t>2019-09-16</t>
  </si>
  <si>
    <t>2019-09-17</t>
  </si>
  <si>
    <t>2019-09-18</t>
  </si>
  <si>
    <t>2019-09-19</t>
  </si>
  <si>
    <t>2019-09-20</t>
  </si>
  <si>
    <t>2019-09-21</t>
  </si>
  <si>
    <t>2019-09-22</t>
  </si>
  <si>
    <t>2019-09-23</t>
  </si>
  <si>
    <t>2019-09-24</t>
  </si>
  <si>
    <t>2019-09-25</t>
  </si>
  <si>
    <t>2019-09-26</t>
  </si>
  <si>
    <t>2019-09-27</t>
  </si>
  <si>
    <t>2019-09-28</t>
  </si>
  <si>
    <t>2019-09-29</t>
  </si>
  <si>
    <t>2019-09-30</t>
  </si>
  <si>
    <t>2019-10-01</t>
  </si>
  <si>
    <t>2019-10-02</t>
  </si>
  <si>
    <t>2019-10-03</t>
  </si>
  <si>
    <t>2019-10-04</t>
  </si>
  <si>
    <t>2019-10-05</t>
  </si>
  <si>
    <t>2019-10-06</t>
  </si>
  <si>
    <t>2019-10-07</t>
  </si>
  <si>
    <t>2019-10-08</t>
  </si>
  <si>
    <t>2019-10-09</t>
  </si>
  <si>
    <t>2019-10-10</t>
  </si>
  <si>
    <t>2019-10-11</t>
  </si>
  <si>
    <t>2019-10-12</t>
  </si>
  <si>
    <t>2019-10-13</t>
  </si>
  <si>
    <t>2019-10-14</t>
  </si>
  <si>
    <t>2019-10-15</t>
  </si>
  <si>
    <t>2019-10-16</t>
  </si>
  <si>
    <t>2019-10-17</t>
  </si>
  <si>
    <t>2019-10-18</t>
  </si>
  <si>
    <t>2019-10-19</t>
  </si>
  <si>
    <t>2019-10-20</t>
  </si>
  <si>
    <t>2019-10-21</t>
  </si>
  <si>
    <t>2019-10-22</t>
  </si>
  <si>
    <t>2019-10-23</t>
  </si>
  <si>
    <t>2019-10-24</t>
  </si>
  <si>
    <t>2019-10-25</t>
  </si>
  <si>
    <t>2019-10-26</t>
  </si>
  <si>
    <t>2019-10-27</t>
  </si>
  <si>
    <t>2019-10-28</t>
  </si>
  <si>
    <t>2019-10-29</t>
  </si>
  <si>
    <t>2019-10-30</t>
  </si>
  <si>
    <t>2019-10-31</t>
  </si>
  <si>
    <t>2019-11-01</t>
  </si>
  <si>
    <t>2019-11-02</t>
  </si>
  <si>
    <t>2019-11-03</t>
  </si>
  <si>
    <t>2019-11-04</t>
  </si>
  <si>
    <t>2019-11-05</t>
  </si>
  <si>
    <t>2019-11-06</t>
  </si>
  <si>
    <t>2019-11-07</t>
  </si>
  <si>
    <t>2019-11-08</t>
  </si>
  <si>
    <t>2019-11-09</t>
  </si>
  <si>
    <t>2019-11-10</t>
  </si>
  <si>
    <t>2019-11-11</t>
  </si>
  <si>
    <t>2019-11-12</t>
  </si>
  <si>
    <t>2019-11-13</t>
  </si>
  <si>
    <t>2019-11-14</t>
  </si>
  <si>
    <t>2019-11-15</t>
  </si>
  <si>
    <t>2019-11-16</t>
  </si>
  <si>
    <t>2019-11-17</t>
  </si>
  <si>
    <t>2019-11-18</t>
  </si>
  <si>
    <t>2019-11-19</t>
  </si>
  <si>
    <t>2019-11-20</t>
  </si>
  <si>
    <t>2019-11-21</t>
  </si>
  <si>
    <t>2019-11-22</t>
  </si>
  <si>
    <t>2019-11-23</t>
  </si>
  <si>
    <t>2019-11-24</t>
  </si>
  <si>
    <t>2019-11-25</t>
  </si>
  <si>
    <t>2019-11-26</t>
  </si>
  <si>
    <t>2019-11-27</t>
  </si>
  <si>
    <t>2019-11-28</t>
  </si>
  <si>
    <t>2019-11-29</t>
  </si>
  <si>
    <t>2019-11-30</t>
  </si>
  <si>
    <t>2019-12-01</t>
  </si>
  <si>
    <t>2019-12-02</t>
  </si>
  <si>
    <t>2019-12-03</t>
  </si>
  <si>
    <t>2019-12-04</t>
  </si>
  <si>
    <t>2019-12-05</t>
  </si>
  <si>
    <t>2019-12-06</t>
  </si>
  <si>
    <t>2019-12-07</t>
  </si>
  <si>
    <t>2019-12-08</t>
  </si>
  <si>
    <t>2019-12-09</t>
  </si>
  <si>
    <t>2019-12-10</t>
  </si>
  <si>
    <t>2019-12-11</t>
  </si>
  <si>
    <t>2019-12-12</t>
  </si>
  <si>
    <t>2019-12-13</t>
  </si>
  <si>
    <t>2019-12-14</t>
  </si>
  <si>
    <t>2019-12-15</t>
  </si>
  <si>
    <t>2019-12-16</t>
  </si>
  <si>
    <t>2019-12-17</t>
  </si>
  <si>
    <t>2019-12-18</t>
  </si>
  <si>
    <t>2019-12-19</t>
  </si>
  <si>
    <t>2019-12-20</t>
  </si>
  <si>
    <t>2019-12-21</t>
  </si>
  <si>
    <t>2019-12-22</t>
  </si>
  <si>
    <t>2019-12-23</t>
  </si>
  <si>
    <t>2019-12-24</t>
  </si>
  <si>
    <t>2019-12-25</t>
  </si>
  <si>
    <t>2019-12-26</t>
  </si>
  <si>
    <t>2019-12-27</t>
  </si>
  <si>
    <t>2019-12-28</t>
  </si>
  <si>
    <t>2019-12-29</t>
  </si>
  <si>
    <t>2019-12-30</t>
  </si>
  <si>
    <t>2019-12-31</t>
  </si>
  <si>
    <t>2020-01-01</t>
  </si>
  <si>
    <t>2020-01-02</t>
  </si>
  <si>
    <t>2020-01-03</t>
  </si>
  <si>
    <t>2020-01-04</t>
  </si>
  <si>
    <t>2020-01-05</t>
  </si>
  <si>
    <t>2020-01-06</t>
  </si>
  <si>
    <t>2020-01-07</t>
  </si>
  <si>
    <t>2020-01-08</t>
  </si>
  <si>
    <t>2020-01-09</t>
  </si>
  <si>
    <t>2020-01-10</t>
  </si>
  <si>
    <t>2020-01-11</t>
  </si>
  <si>
    <t>2020-01-12</t>
  </si>
  <si>
    <t>2020-01-13</t>
  </si>
  <si>
    <t>2020-01-14</t>
  </si>
  <si>
    <t>2020-01-15</t>
  </si>
  <si>
    <t>2020-01-16</t>
  </si>
  <si>
    <t>2020-01-17</t>
  </si>
  <si>
    <t>2020-01-18</t>
  </si>
  <si>
    <t>2020-01-19</t>
  </si>
  <si>
    <t>2020-01-20</t>
  </si>
  <si>
    <t>2020-01-21</t>
  </si>
  <si>
    <t>2020-01-22</t>
  </si>
  <si>
    <t>2020-01-23</t>
  </si>
  <si>
    <t>2020-01-24</t>
  </si>
  <si>
    <t>2020-01-25</t>
  </si>
  <si>
    <t>2020-01-26</t>
  </si>
  <si>
    <t>2020-01-27</t>
  </si>
  <si>
    <t>2020-01-28</t>
  </si>
  <si>
    <t>2020-01-29</t>
  </si>
  <si>
    <t>2020-01-30</t>
  </si>
  <si>
    <t>2020-01-31</t>
  </si>
  <si>
    <t>2020-02-01</t>
  </si>
  <si>
    <t>2020-02-02</t>
  </si>
  <si>
    <t>2020-02-03</t>
  </si>
  <si>
    <t>2020-02-04</t>
  </si>
  <si>
    <t>2020-02-05</t>
  </si>
  <si>
    <t>2020-02-06</t>
  </si>
  <si>
    <t>2020-02-07</t>
  </si>
  <si>
    <t>2020-02-08</t>
  </si>
  <si>
    <t>2020-02-09</t>
  </si>
  <si>
    <t>2020-02-10</t>
  </si>
  <si>
    <t>2020-02-11</t>
  </si>
  <si>
    <t>2020-02-12</t>
  </si>
  <si>
    <t>2020-02-13</t>
  </si>
  <si>
    <t>2020-02-14</t>
  </si>
  <si>
    <t>2020-02-15</t>
  </si>
  <si>
    <t>2020-02-16</t>
  </si>
  <si>
    <t>2020-02-17</t>
  </si>
  <si>
    <t>2020-02-18</t>
  </si>
  <si>
    <t>2020-02-19</t>
  </si>
  <si>
    <t>2020-02-20</t>
  </si>
  <si>
    <t>2020-02-21</t>
  </si>
  <si>
    <t>2020-02-22</t>
  </si>
  <si>
    <t>2020-02-23</t>
  </si>
  <si>
    <t>2020-02-24</t>
  </si>
  <si>
    <t>2020-02-25</t>
  </si>
  <si>
    <t>2020-02-26</t>
  </si>
  <si>
    <t>2020-02-27</t>
  </si>
  <si>
    <t>2020-02-28</t>
  </si>
  <si>
    <t>2020-02-29</t>
  </si>
  <si>
    <t>2020-03-01</t>
  </si>
  <si>
    <t>2020-03-02</t>
  </si>
  <si>
    <t>2020-03-03</t>
  </si>
  <si>
    <t>2020-03-04</t>
  </si>
  <si>
    <t>2020-03-05</t>
  </si>
  <si>
    <t>2020-03-06</t>
  </si>
  <si>
    <t>2020-03-07</t>
  </si>
  <si>
    <t>2020-03-08</t>
  </si>
  <si>
    <t>2020-03-09</t>
  </si>
  <si>
    <t>2020-03-10</t>
  </si>
  <si>
    <t>2020-03-11</t>
  </si>
  <si>
    <t>2020-03-12</t>
  </si>
  <si>
    <t>2020-03-13</t>
  </si>
  <si>
    <t>2020-03-14</t>
  </si>
  <si>
    <t>2020-03-15</t>
  </si>
  <si>
    <t>2020-03-16</t>
  </si>
  <si>
    <t>2020-03-17</t>
  </si>
  <si>
    <t>2020-03-18</t>
  </si>
  <si>
    <t>2020-03-19</t>
  </si>
  <si>
    <t>2020-03-20</t>
  </si>
  <si>
    <t>2020-03-21</t>
  </si>
  <si>
    <t>2020-03-22</t>
  </si>
  <si>
    <t>2020-03-23</t>
  </si>
  <si>
    <t>2020-03-24</t>
  </si>
  <si>
    <t>2020-03-25</t>
  </si>
  <si>
    <t>2020-03-26</t>
  </si>
  <si>
    <t>2020-03-27</t>
  </si>
  <si>
    <t>2020-03-28</t>
  </si>
  <si>
    <t>2020-03-29</t>
  </si>
  <si>
    <t>2020-03-30</t>
  </si>
  <si>
    <t>2020-03-31</t>
  </si>
  <si>
    <t>2020-04-01</t>
  </si>
  <si>
    <t>2020-04-02</t>
  </si>
  <si>
    <t>2020-04-03</t>
  </si>
  <si>
    <t>2020-04-04</t>
  </si>
  <si>
    <t>2020-04-05</t>
  </si>
  <si>
    <t>2020-04-06</t>
  </si>
  <si>
    <t>2020-04-07</t>
  </si>
  <si>
    <t>2020-04-08</t>
  </si>
  <si>
    <t>2020-04-09</t>
  </si>
  <si>
    <t>2020-04-10</t>
  </si>
  <si>
    <t>2020-04-11</t>
  </si>
  <si>
    <t>2020-04-12</t>
  </si>
  <si>
    <t>2020-04-13</t>
  </si>
  <si>
    <t>2020-04-14</t>
  </si>
  <si>
    <t>2020-04-15</t>
  </si>
  <si>
    <t>2020-04-16</t>
  </si>
  <si>
    <t>2020-04-17</t>
  </si>
  <si>
    <t>2020-04-18</t>
  </si>
  <si>
    <t>2020-04-19</t>
  </si>
  <si>
    <t>2020-04-20</t>
  </si>
  <si>
    <t>2020-04-21</t>
  </si>
  <si>
    <t>2020-04-22</t>
  </si>
  <si>
    <t>2020-04-23</t>
  </si>
  <si>
    <t>2020-04-24</t>
  </si>
  <si>
    <t>2020-04-25</t>
  </si>
  <si>
    <t>2020-04-26</t>
  </si>
  <si>
    <t>2020-04-27</t>
  </si>
  <si>
    <t>2020-04-28</t>
  </si>
  <si>
    <t>2020-04-29</t>
  </si>
  <si>
    <t>2020-04-30</t>
  </si>
  <si>
    <t>2020-05-01</t>
  </si>
  <si>
    <t>2020-05-02</t>
  </si>
  <si>
    <t>2020-05-03</t>
  </si>
  <si>
    <t>2020-05-04</t>
  </si>
  <si>
    <t>2020-05-05</t>
  </si>
  <si>
    <t>2020-05-06</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</si>
  <si>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</si>
  <si>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</si>
  <si>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</si>
  <si>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</si>
  <si>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</si>
  <si>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</si>
  <si>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</si>
  <si>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</si>
  <si>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</si>
  <si>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</si>
  <si>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</si>
  <si>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</si>
  <si>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</si>
  <si>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</si>
  <si>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</si>
  <si>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</si>
  <si>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</si>
  <si>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</si>
  <si>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</si>
  <si>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</si>
  <si>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</si>
  <si>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</si>
  <si>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</si>
  <si>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</si>
  <si>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</si>
  <si>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</si>
  <si>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</si>
  <si>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</si>
  <si>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</si>
  <si>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</si>
  <si>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</si>
  <si>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</si>
  <si>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</si>
  <si>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</si>
  <si>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</si>
  <si>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</si>
  <si>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</si>
  <si>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</si>
  <si>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</si>
  <si>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</si>
  <si>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</si>
  <si>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</si>
  <si>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</si>
  <si>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</si>
  <si>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</si>
  <si>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</si>
  <si>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</si>
  <si>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</si>
  <si>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</si>
  <si>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</si>
  <si>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</si>
  <si>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</si>
  <si>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</si>
  <si>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</si>
  <si>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</si>
  <si>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</si>
  <si>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</si>
  <si>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</si>
  <si>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</si>
  <si>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</si>
  <si>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</si>
  <si>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</si>
  <si>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</si>
  <si>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</si>
  <si>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</si>
  <si>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</si>
  <si>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</si>
  <si>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</si>
  <si>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</si>
  <si>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</si>
  <si>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</si>
  <si>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</si>
  <si>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</si>
  <si>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</si>
  <si>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</si>
  <si>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</si>
  <si>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</si>
  <si>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</si>
  <si>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</si>
  <si>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</si>
  <si>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</si>
  <si>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</si>
  <si>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2020-07-28</t>
  </si>
  <si>
    <t>2020-07-29</t>
  </si>
  <si>
    <t>2020-07-30</t>
  </si>
  <si>
    <t>2020-07-31</t>
  </si>
  <si>
    <t>2020-08-01</t>
  </si>
  <si>
    <t>2020-08-02</t>
  </si>
  <si>
    <t>2020-08-03</t>
  </si>
  <si>
    <t>2020-08-04</t>
  </si>
  <si>
    <t>2020-08-05</t>
  </si>
  <si>
    <t>2020-08-06</t>
  </si>
  <si>
    <t>2020-08-07</t>
  </si>
  <si>
    <t>2020-08-08</t>
  </si>
  <si>
    <t>2020-08-09</t>
  </si>
  <si>
    <t>2020-08-10</t>
  </si>
  <si>
    <t>2020-08-11</t>
  </si>
  <si>
    <t>2020-08-12</t>
  </si>
  <si>
    <t>2020-08-13</t>
  </si>
  <si>
    <t>2020-08-14</t>
  </si>
  <si>
    <t>2020-08-15</t>
  </si>
  <si>
    <t>2020-08-16</t>
  </si>
  <si>
    <t>2020-08-17</t>
  </si>
  <si>
    <t>2020-08-18</t>
  </si>
  <si>
    <t>2020-08-19</t>
  </si>
  <si>
    <t>2020-08-20</t>
  </si>
  <si>
    <t>2020-08-21</t>
  </si>
  <si>
    <t>2020-08-22</t>
  </si>
  <si>
    <t>2020-08-23</t>
  </si>
  <si>
    <t>2020-08-24</t>
  </si>
  <si>
    <t>2020-08-25</t>
  </si>
  <si>
    <t>2020-08-26</t>
  </si>
  <si>
    <t>2020-08-27</t>
  </si>
  <si>
    <t>2020-08-28</t>
  </si>
  <si>
    <t>2020-08-29</t>
  </si>
  <si>
    <t>2020-08-30</t>
  </si>
  <si>
    <t>2020-08-31</t>
  </si>
  <si>
    <t>2020-09-01</t>
  </si>
  <si>
    <t>2020-09-02</t>
  </si>
  <si>
    <t>2020-09-03</t>
  </si>
  <si>
    <t>2020-09-04</t>
  </si>
  <si>
    <t>2020-09-05</t>
  </si>
  <si>
    <t>2020-09-06</t>
  </si>
  <si>
    <t>2020-09-07</t>
  </si>
  <si>
    <t>2020-09-08</t>
  </si>
  <si>
    <t>2020-09-09</t>
  </si>
  <si>
    <t>2020-09-10</t>
  </si>
  <si>
    <t>2020-09-11</t>
  </si>
  <si>
    <t>2020-09-12</t>
  </si>
  <si>
    <t>2020-09-13</t>
  </si>
  <si>
    <t>2020-09-14</t>
  </si>
  <si>
    <t>2020-09-15</t>
  </si>
  <si>
    <t>2020-09-16</t>
  </si>
  <si>
    <t>2020-09-17</t>
  </si>
  <si>
    <t>2020-09-18</t>
  </si>
  <si>
    <t>2020-09-19</t>
  </si>
  <si>
    <t>2020-09-20</t>
  </si>
  <si>
    <t>2020-09-21</t>
  </si>
  <si>
    <t>2020-09-22</t>
  </si>
  <si>
    <t>2020-09-23</t>
  </si>
  <si>
    <t>2020-09-24</t>
  </si>
  <si>
    <t>2020-09-25</t>
  </si>
  <si>
    <t>2020-09-26</t>
  </si>
  <si>
    <t>2020-09-27</t>
  </si>
  <si>
    <t>2020-09-28</t>
  </si>
  <si>
    <t>2020-09-29</t>
  </si>
  <si>
    <t>2020-09-30</t>
  </si>
  <si>
    <t>2020-10-01</t>
  </si>
  <si>
    <t>2020-10-02</t>
  </si>
  <si>
    <t>2020-10-03</t>
  </si>
  <si>
    <t>2020-10-04</t>
  </si>
  <si>
    <t>2020-10-05</t>
  </si>
  <si>
    <t>2020-10-06</t>
  </si>
  <si>
    <t>2020-10-07</t>
  </si>
  <si>
    <t>2020-10-08</t>
  </si>
  <si>
    <t>2020-10-09</t>
  </si>
  <si>
    <t>2020-10-10</t>
  </si>
  <si>
    <t>2020-10-11</t>
  </si>
  <si>
    <t>2020-10-12</t>
  </si>
  <si>
    <t>2020-10-13</t>
  </si>
  <si>
    <t>2020-10-14</t>
  </si>
  <si>
    <t>2020-10-15</t>
  </si>
  <si>
    <t>2020-10-16</t>
  </si>
  <si>
    <t>2020-10-17</t>
  </si>
  <si>
    <t>2020-10-18</t>
  </si>
  <si>
    <t>2020-10-19</t>
  </si>
  <si>
    <t>2020-10-20</t>
  </si>
  <si>
    <t>2020-10-21</t>
  </si>
  <si>
    <t>2020-10-22</t>
  </si>
  <si>
    <t>2020-10-23</t>
  </si>
  <si>
    <t>2020-10-24</t>
  </si>
  <si>
    <t>2020-10-25</t>
  </si>
  <si>
    <t>2020-10-26</t>
  </si>
  <si>
    <t>2020-10-27</t>
  </si>
  <si>
    <t>2020-10-28</t>
  </si>
  <si>
    <t>2020-10-29</t>
  </si>
  <si>
    <t>2020-10-30</t>
  </si>
  <si>
    <t>2020-10-31</t>
  </si>
  <si>
    <t>2020-11-01</t>
  </si>
  <si>
    <t>2020-11-02</t>
  </si>
  <si>
    <t>2020-11-03</t>
  </si>
  <si>
    <t>2020-11-04</t>
  </si>
  <si>
    <t>2020-11-05</t>
  </si>
  <si>
    <t>2020-11-06</t>
  </si>
  <si>
    <t>2020-11-07</t>
  </si>
  <si>
    <t>2020-11-08</t>
  </si>
  <si>
    <t>2020-11-09</t>
  </si>
  <si>
    <t>2020-11-10</t>
  </si>
  <si>
    <t>2020-11-11</t>
  </si>
  <si>
    <t>2020-11-12</t>
  </si>
  <si>
    <t>2020-11-13</t>
  </si>
  <si>
    <t>2020-11-14</t>
  </si>
  <si>
    <t>2020-11-15</t>
  </si>
  <si>
    <t>2020-11-16</t>
  </si>
  <si>
    <t>2020-11-17</t>
  </si>
  <si>
    <t>2020-11-18</t>
  </si>
  <si>
    <t>2020-11-19</t>
  </si>
  <si>
    <t>2020-11-20</t>
  </si>
  <si>
    <t>2020-11-21</t>
  </si>
  <si>
    <t>2020-11-22</t>
  </si>
  <si>
    <t>2020-11-23</t>
  </si>
  <si>
    <t>2020-11-24</t>
  </si>
  <si>
    <t>2020-11-25</t>
  </si>
  <si>
    <t>2020-11-26</t>
  </si>
  <si>
    <t>2020-11-27</t>
  </si>
  <si>
    <t>2020-11-28</t>
  </si>
  <si>
    <t>2020-11-29</t>
  </si>
  <si>
    <t>2020-11-30</t>
  </si>
  <si>
    <t>2020-12-01</t>
  </si>
  <si>
    <t>2020-12-02</t>
  </si>
  <si>
    <t>2020-12-03</t>
  </si>
  <si>
    <t>2020-12-04</t>
  </si>
  <si>
    <t>2020-12-05</t>
  </si>
  <si>
    <t>2020-12-06</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</si>
  <si>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</si>
  <si>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</si>
  <si>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</si>
  <si>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</si>
  <si>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</si>
  <si>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</si>
  <si>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</si>
  <si>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</si>
  <si>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</si>
  <si>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</si>
  <si>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</si>
  <si>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</si>
  <si>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</si>
  <si>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</si>
  <si>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</si>
  <si>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</si>
  <si>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</si>
  <si>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</si>
  <si>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</si>
  <si>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</si>
  <si>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</si>
  <si>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</si>
  <si>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</si>
  <si>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</si>
  <si>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2020-12-31</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</si>
  <si>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</si>
  <si>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</si>
  <si>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</si>
  <si>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</si>
  <si>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</si>
  <si>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</si>
  <si>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</si>
  <si>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</si>
  <si>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</si>
  <si>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</si>
  <si>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</si>
  <si>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</si>
  <si>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</si>
  <si>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</si>
  <si>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</si>
  <si>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</si>
  <si>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</si>
  <si>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</si>
  <si>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</si>
  <si>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</si>
  <si>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</si>
  <si>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</si>
  <si>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</si>
  <si>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</si>
  <si>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</si>
  <si>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</si>
  <si>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</si>
  <si>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</si>
  <si>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</si>
  <si>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</si>
  <si>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</si>
  <si>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</si>
  <si>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</si>
  <si>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</si>
  <si>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</si>
  <si>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</si>
  <si>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</si>
  <si>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</si>
  <si>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</si>
  <si>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</si>
  <si>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</si>
  <si>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</si>
  <si>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</si>
  <si>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</si>
  <si>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</si>
  <si>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</si>
  <si>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</si>
  <si>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</si>
  <si>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</si>
  <si>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</si>
  <si>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</si>
  <si>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</si>
  <si>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</si>
  <si>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</si>
  <si>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</si>
  <si>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</si>
  <si>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</si>
  <si>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</si>
  <si>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</si>
  <si>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</si>
  <si>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</si>
  <si>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</si>
  <si>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</si>
  <si>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</si>
  <si>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</si>
  <si>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</si>
  <si>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</si>
  <si>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</si>
  <si>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</si>
  <si>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</si>
  <si>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</si>
  <si>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</si>
  <si>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</si>
  <si>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</si>
  <si>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</si>
  <si>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</si>
  <si>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</si>
  <si>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</si>
  <si>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</si>
  <si>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</si>
  <si>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</si>
  <si>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</si>
  <si>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</si>
  <si>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</si>
  <si>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</si>
  <si>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</si>
  <si>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</si>
  <si>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</si>
  <si>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</si>
  <si>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</si>
  <si>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</si>
  <si>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</si>
  <si>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</si>
  <si>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</si>
  <si>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</si>
  <si>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</si>
  <si>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</si>
  <si>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</si>
  <si>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</si>
  <si>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</si>
  <si>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</si>
  <si>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</si>
  <si>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</si>
  <si>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</si>
  <si>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</si>
  <si>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</si>
  <si>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</si>
  <si>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</si>
  <si>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</si>
  <si>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</si>
  <si>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</si>
  <si>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</si>
  <si>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</si>
  <si>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</si>
  <si>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</si>
  <si>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</si>
  <si>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</si>
  <si>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</si>
  <si>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</si>
  <si>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</si>
  <si>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</si>
  <si>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</si>
  <si>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</si>
  <si>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</si>
  <si>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</si>
  <si>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</si>
  <si>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</si>
  <si>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</si>
  <si>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</si>
  <si>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</si>
  <si>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</si>
  <si>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2021-05-12</t>
  </si>
  <si>
    <t>2021-05-13</t>
  </si>
  <si>
    <t>2021-05-14</t>
  </si>
  <si>
    <t>2021-05-15</t>
  </si>
  <si>
    <t>2021-05-16</t>
  </si>
  <si>
    <t>2021-05-17</t>
  </si>
  <si>
    <t>2021-05-18</t>
  </si>
  <si>
    <t>2021-05-19</t>
  </si>
  <si>
    <t>2021-05-20</t>
  </si>
  <si>
    <t>2021-05-21</t>
  </si>
  <si>
    <t>2021-05-22</t>
  </si>
  <si>
    <t>2021-05-23</t>
  </si>
  <si>
    <t>2021-05-24</t>
  </si>
  <si>
    <t>2021-05-25</t>
  </si>
  <si>
    <t>2021-05-26</t>
  </si>
  <si>
    <t>2021-05-27</t>
  </si>
  <si>
    <t>2021-05-28</t>
  </si>
  <si>
    <t>2021-05-29</t>
  </si>
  <si>
    <t>2021-05-30</t>
  </si>
  <si>
    <t>2021-05-31</t>
  </si>
  <si>
    <t>2021-06-01</t>
  </si>
  <si>
    <t>2021-06-02</t>
  </si>
  <si>
    <t>2021-06-03</t>
  </si>
  <si>
    <t>2021-06-04</t>
  </si>
  <si>
    <t>2021-06-05</t>
  </si>
  <si>
    <t>2021-06-06</t>
  </si>
  <si>
    <t>2021-06-07</t>
  </si>
  <si>
    <t>2021-06-08</t>
  </si>
  <si>
    <t>2021-06-09</t>
  </si>
  <si>
    <t>2021-06-10</t>
  </si>
  <si>
    <t>2021-06-11</t>
  </si>
  <si>
    <t>2021-06-12</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</si>
  <si>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</si>
  <si>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</si>
  <si>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</si>
  <si>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</si>
  <si>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</si>
  <si>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</si>
  <si>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</si>
  <si>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</si>
  <si>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</si>
  <si>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</si>
  <si>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</si>
  <si>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</si>
  <si>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</si>
  <si>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</si>
  <si>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</si>
  <si>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</si>
  <si>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</si>
  <si>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</si>
  <si>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</si>
  <si>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</si>
  <si>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</si>
  <si>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</si>
  <si>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</si>
  <si>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</si>
  <si>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</si>
  <si>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</si>
  <si>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</si>
  <si>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</si>
  <si>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</si>
  <si>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</si>
  <si>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</si>
  <si>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2021-07-14</t>
  </si>
  <si>
    <t>2021-07-15</t>
  </si>
  <si>
    <t>2021-07-16</t>
  </si>
  <si>
    <t>2021-07-17</t>
  </si>
  <si>
    <t>2021-07-18</t>
  </si>
  <si>
    <t>2021-07-19</t>
  </si>
  <si>
    <t>2021-07-20</t>
  </si>
  <si>
    <t>2021-07-21</t>
  </si>
  <si>
    <t>2021-07-22</t>
  </si>
  <si>
    <t>2021-07-23</t>
  </si>
  <si>
    <t>2021-07-24</t>
  </si>
  <si>
    <t>2021-07-25</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</si>
  <si>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</si>
  <si>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</si>
  <si>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</si>
  <si>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</si>
  <si>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</si>
  <si>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</si>
  <si>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</si>
  <si>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</si>
  <si>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</si>
  <si>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</si>
  <si>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</si>
  <si>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</si>
  <si>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</si>
  <si>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</si>
  <si>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</si>
  <si>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</si>
  <si>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</si>
  <si>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</si>
  <si>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</si>
  <si>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</si>
  <si>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2021-08-15</t>
  </si>
  <si>
    <t>2021-08-16</t>
  </si>
  <si>
    <t>2021-08-17</t>
  </si>
  <si>
    <t>2021-08-18</t>
  </si>
  <si>
    <t>2021-08-19</t>
  </si>
  <si>
    <t>2021-08-20</t>
  </si>
  <si>
    <t>2021-08-21</t>
  </si>
  <si>
    <t>2021-08-22</t>
  </si>
  <si>
    <t>2021-08-23</t>
  </si>
  <si>
    <t>2021-08-24</t>
  </si>
  <si>
    <t>2021-08-25</t>
  </si>
  <si>
    <t>2021-08-26</t>
  </si>
  <si>
    <t>2021-08-27</t>
  </si>
  <si>
    <t>2021-08-28</t>
  </si>
  <si>
    <t>2021-08-29</t>
  </si>
  <si>
    <t>2021-08-30</t>
  </si>
  <si>
    <t>2021-08-31</t>
  </si>
  <si>
    <t>2021-09-01</t>
  </si>
  <si>
    <t>2021-09-02</t>
  </si>
  <si>
    <t>2021-09-03</t>
  </si>
  <si>
    <t>2021-09-04</t>
  </si>
  <si>
    <t>2021-09-05</t>
  </si>
  <si>
    <t>2021-09-06</t>
  </si>
  <si>
    <t>2021-09-07</t>
  </si>
  <si>
    <t>2021-09-08</t>
  </si>
  <si>
    <t>2021-09-09</t>
  </si>
  <si>
    <t>2021-09-10</t>
  </si>
  <si>
    <t>2021-09-11</t>
  </si>
  <si>
    <t>2021-09-12</t>
  </si>
  <si>
    <t>2021-09-13</t>
  </si>
  <si>
    <t>2021-09-14</t>
  </si>
  <si>
    <t>2021-09-15</t>
  </si>
  <si>
    <t>2021-09-16</t>
  </si>
  <si>
    <t>2021-09-17</t>
  </si>
  <si>
    <t>2021-09-18</t>
  </si>
  <si>
    <t>2021-09-19</t>
  </si>
  <si>
    <t>2021-09-20</t>
  </si>
  <si>
    <t>2021-09-21</t>
  </si>
  <si>
    <t>2021-09-22</t>
  </si>
  <si>
    <t>2021-09-23</t>
  </si>
  <si>
    <t>2021-09-24</t>
  </si>
  <si>
    <t>2021-09-25</t>
  </si>
  <si>
    <t>2021-09-26</t>
  </si>
  <si>
    <t>2021-09-27</t>
  </si>
  <si>
    <t>2021-09-28</t>
  </si>
  <si>
    <t>2021-09-29</t>
  </si>
  <si>
    <t>2021-09-30</t>
  </si>
  <si>
    <t>2021-10-01</t>
  </si>
  <si>
    <t>2021-10-02</t>
  </si>
  <si>
    <t>2021-10-03</t>
  </si>
  <si>
    <t>2021-10-04</t>
  </si>
  <si>
    <t>2021-10-05</t>
  </si>
  <si>
    <t>2021-10-06</t>
  </si>
  <si>
    <t>2021-10-07</t>
  </si>
  <si>
    <t>2021-10-08</t>
  </si>
  <si>
    <t>2021-10-09</t>
  </si>
  <si>
    <t>2021-10-10</t>
  </si>
  <si>
    <t>2021-10-11</t>
  </si>
  <si>
    <t>2021-10-12</t>
  </si>
  <si>
    <t>2021-10-13</t>
  </si>
  <si>
    <t>2021-10-14</t>
  </si>
  <si>
    <t>2021-10-15</t>
  </si>
  <si>
    <t>2021-10-16</t>
  </si>
  <si>
    <t>2021-10-17</t>
  </si>
  <si>
    <t>2021-10-18</t>
  </si>
  <si>
    <t>2021-10-19</t>
  </si>
  <si>
    <t>2021-10-20</t>
  </si>
  <si>
    <t>2021-10-21</t>
  </si>
  <si>
    <t>2021-10-22</t>
  </si>
  <si>
    <t>2021-10-23</t>
  </si>
  <si>
    <t>2021-10-24</t>
  </si>
  <si>
    <t>2021-10-25</t>
  </si>
  <si>
    <t>2021-10-26</t>
  </si>
  <si>
    <t>2021-10-27</t>
  </si>
  <si>
    <t>2021-10-28</t>
  </si>
  <si>
    <t>2021-10-29</t>
  </si>
  <si>
    <t>2021-10-30</t>
  </si>
  <si>
    <t>2021-10-31</t>
  </si>
  <si>
    <t>2021-11-01</t>
  </si>
  <si>
    <t>2021-11-02</t>
  </si>
  <si>
    <t>2021-11-03</t>
  </si>
  <si>
    <t>2021-11-04</t>
  </si>
  <si>
    <t>2021-11-05</t>
  </si>
  <si>
    <t>2021-11-06</t>
  </si>
  <si>
    <t>2021-11-07</t>
  </si>
  <si>
    <t>2021-11-08</t>
  </si>
  <si>
    <t>2021-11-09</t>
  </si>
  <si>
    <t>2021-11-10</t>
  </si>
  <si>
    <t>2021-11-11</t>
  </si>
  <si>
    <t>2021-11-12</t>
  </si>
  <si>
    <t>2021-11-13</t>
  </si>
  <si>
    <t>2021-11-14</t>
  </si>
  <si>
    <t>2021-11-15</t>
  </si>
  <si>
    <t>2021-11-16</t>
  </si>
  <si>
    <t>2021-11-17</t>
  </si>
  <si>
    <t>2021-11-18</t>
  </si>
  <si>
    <t>2021-11-19</t>
  </si>
  <si>
    <t>2021-11-20</t>
  </si>
  <si>
    <t>2021-11-21</t>
  </si>
  <si>
    <t>2021-11-22</t>
  </si>
  <si>
    <t>2021-11-23</t>
  </si>
  <si>
    <t>2021-11-24</t>
  </si>
  <si>
    <t>2021-11-25</t>
  </si>
  <si>
    <t>2021-11-26</t>
  </si>
  <si>
    <t>2021-11-27</t>
  </si>
  <si>
    <t>2021-11-28</t>
  </si>
  <si>
    <t>2021-11-29</t>
  </si>
  <si>
    <t>2021-11-30</t>
  </si>
  <si>
    <t>2021-12-01</t>
  </si>
  <si>
    <t>2021-12-02</t>
  </si>
  <si>
    <t>2021-12-03</t>
  </si>
  <si>
    <t>2021-12-04</t>
  </si>
  <si>
    <t>2021-12-05</t>
  </si>
  <si>
    <t>2021-12-06</t>
  </si>
  <si>
    <t>2021-12-07</t>
  </si>
  <si>
    <t>2021-12-08</t>
  </si>
  <si>
    <t>2021-12-09</t>
  </si>
  <si>
    <t>2021-12-10</t>
  </si>
  <si>
    <t>2021-12-11</t>
  </si>
  <si>
    <t>2021-12-12</t>
  </si>
  <si>
    <t>2021-12-13</t>
  </si>
  <si>
    <t>2021-12-14</t>
  </si>
  <si>
    <t>2021-12-15</t>
  </si>
  <si>
    <t>2021-12-16</t>
  </si>
  <si>
    <t>2021-12-17</t>
  </si>
  <si>
    <t>2021-12-18</t>
  </si>
  <si>
    <t>2021-12-19</t>
  </si>
  <si>
    <t>2021-12-20</t>
  </si>
  <si>
    <t>2021-12-21</t>
  </si>
  <si>
    <t>2021-12-22</t>
  </si>
  <si>
    <t>2021-12-23</t>
  </si>
  <si>
    <t>2021-12-24</t>
  </si>
  <si>
    <t>2021-12-25</t>
  </si>
  <si>
    <t>2021-12-26</t>
  </si>
  <si>
    <t>2021-12-27</t>
  </si>
  <si>
    <t>2021-12-28</t>
  </si>
  <si>
    <t>2021-12-29</t>
  </si>
  <si>
    <t>2021-12-30</t>
  </si>
  <si>
    <t>2021-12-31</t>
  </si>
  <si>
    <t>2022-01-01</t>
  </si>
  <si>
    <t>2022-01-02</t>
  </si>
  <si>
    <t>2022-01-03</t>
  </si>
  <si>
    <t>2022-01-04</t>
  </si>
  <si>
    <t>2022-01-05</t>
  </si>
  <si>
    <t>2022-01-06</t>
  </si>
  <si>
    <t>2022-01-07</t>
  </si>
  <si>
    <t>2022-01-08</t>
  </si>
  <si>
    <t>2022-01-09</t>
  </si>
  <si>
    <t>2022-01-10</t>
  </si>
  <si>
    <t>2022-01-11</t>
  </si>
  <si>
    <t>2022-01-12</t>
  </si>
  <si>
    <t>2022-01-13</t>
  </si>
  <si>
    <t>2022-01-14</t>
  </si>
  <si>
    <t>2022-01-15</t>
  </si>
  <si>
    <t>2022-01-16</t>
  </si>
  <si>
    <t>2022-01-17</t>
  </si>
  <si>
    <t>2022-01-18</t>
  </si>
  <si>
    <t>2022-01-19</t>
  </si>
  <si>
    <t>2022-01-20</t>
  </si>
  <si>
    <t>2022-01-21</t>
  </si>
  <si>
    <t>2022-01-22</t>
  </si>
  <si>
    <t>2022-01-23</t>
  </si>
  <si>
    <t>2022-01-24</t>
  </si>
  <si>
    <t>2022-01-25</t>
  </si>
  <si>
    <t>2022-01-26</t>
  </si>
  <si>
    <t>2022-01-27</t>
  </si>
  <si>
    <t>2022-01-28</t>
  </si>
  <si>
    <t>2022-01-29</t>
  </si>
  <si>
    <t>2022-01-30</t>
  </si>
  <si>
    <t>2022-01-31</t>
  </si>
  <si>
    <t>2022-02-01</t>
  </si>
  <si>
    <t>2022-02-02</t>
  </si>
  <si>
    <t>2022-02-03</t>
  </si>
  <si>
    <t>2022-02-04</t>
  </si>
  <si>
    <t>2022-02-05</t>
  </si>
  <si>
    <t>2022-02-06</t>
  </si>
  <si>
    <t>2022-02-07</t>
  </si>
  <si>
    <t>2022-02-08</t>
  </si>
  <si>
    <t>2022-02-09</t>
  </si>
  <si>
    <t>2022-02-10</t>
  </si>
  <si>
    <t>2022-02-11</t>
  </si>
  <si>
    <t>2022-02-12</t>
  </si>
  <si>
    <t>2022-02-13</t>
  </si>
  <si>
    <t>2022-02-14</t>
  </si>
  <si>
    <t>2022-02-15</t>
  </si>
  <si>
    <t>2022-02-16</t>
  </si>
  <si>
    <t>2022-02-17</t>
  </si>
  <si>
    <t>2022-02-18</t>
  </si>
  <si>
    <t>2022-02-19</t>
  </si>
  <si>
    <t>2022-02-20</t>
  </si>
  <si>
    <t>2022-02-21</t>
  </si>
  <si>
    <t>2022-02-22</t>
  </si>
  <si>
    <t>2022-02-23</t>
  </si>
  <si>
    <t>2022-02-24</t>
  </si>
  <si>
    <t>2022-02-25</t>
  </si>
  <si>
    <t>2022-02-26</t>
  </si>
  <si>
    <t>2022-02-27</t>
  </si>
  <si>
    <t>2022-02-28</t>
  </si>
  <si>
    <t>2022-03-01</t>
  </si>
  <si>
    <t>2022-03-02</t>
  </si>
  <si>
    <t>2022-03-03</t>
  </si>
  <si>
    <t>2022-03-04</t>
  </si>
  <si>
    <t>2022-03-05</t>
  </si>
  <si>
    <t>2022-03-06</t>
  </si>
  <si>
    <t>2022-03-07</t>
  </si>
  <si>
    <t>2022-03-08</t>
  </si>
  <si>
    <t>2022-03-09</t>
  </si>
  <si>
    <t>2022-03-10</t>
  </si>
  <si>
    <t>2022-03-11</t>
  </si>
  <si>
    <t>2022-03-12</t>
  </si>
  <si>
    <t>2022-03-13</t>
  </si>
  <si>
    <t>2022-03-14</t>
  </si>
  <si>
    <t>2022-03-15</t>
  </si>
  <si>
    <t>2022-03-16</t>
  </si>
  <si>
    <t>2022-03-17</t>
  </si>
  <si>
    <t>2022-03-18</t>
  </si>
  <si>
    <t>2022-03-19</t>
  </si>
  <si>
    <t>2022-03-20</t>
  </si>
  <si>
    <t>2022-03-21</t>
  </si>
  <si>
    <t>2022-03-22</t>
  </si>
  <si>
    <t>2022-03-23</t>
  </si>
  <si>
    <t>2022-03-24</t>
  </si>
  <si>
    <t>2022-03-25</t>
  </si>
  <si>
    <t>2022-03-26</t>
  </si>
  <si>
    <t>2022-03-27</t>
  </si>
  <si>
    <t>2022-03-28</t>
  </si>
  <si>
    <t>2022-03-29</t>
  </si>
  <si>
    <t>2022-03-30</t>
  </si>
  <si>
    <t>2022-03-31</t>
  </si>
  <si>
    <t>2022-04-01</t>
  </si>
  <si>
    <t>2022-04-02</t>
  </si>
  <si>
    <t>2022-04-03</t>
  </si>
  <si>
    <t>2022-04-04</t>
  </si>
  <si>
    <t>2022-04-05</t>
  </si>
  <si>
    <t>2022-04-06</t>
  </si>
  <si>
    <t>2022-04-07</t>
  </si>
  <si>
    <t>2022-04-08</t>
  </si>
  <si>
    <t>2022-04-09</t>
  </si>
  <si>
    <t>2022-04-10</t>
  </si>
  <si>
    <t>2022-04-11</t>
  </si>
  <si>
    <t>2022-04-12</t>
  </si>
  <si>
    <t>2022-04-13</t>
  </si>
  <si>
    <t>2022-04-14</t>
  </si>
  <si>
    <t>2022-04-15</t>
  </si>
  <si>
    <t>2022-04-16</t>
  </si>
  <si>
    <t>2022-04-17</t>
  </si>
  <si>
    <t>2022-04-18</t>
  </si>
  <si>
    <t>2022-04-19</t>
  </si>
  <si>
    <t>2022-04-20</t>
  </si>
  <si>
    <t>2022-04-21</t>
  </si>
  <si>
    <t>2022-04-22</t>
  </si>
  <si>
    <t>2022-04-23</t>
  </si>
  <si>
    <t>2022-04-24</t>
  </si>
  <si>
    <t>2022-04-25</t>
  </si>
  <si>
    <t>2022-04-26</t>
  </si>
  <si>
    <t>2022-04-27</t>
  </si>
  <si>
    <t>2022-04-28</t>
  </si>
  <si>
    <t>2022-04-29</t>
  </si>
  <si>
    <t>2022-04-30</t>
  </si>
  <si>
    <t>2022-05-01</t>
  </si>
  <si>
    <t>2022-05-02</t>
  </si>
  <si>
    <t>2022-05-03</t>
  </si>
  <si>
    <t>2022-05-04</t>
  </si>
  <si>
    <t>2022-05-05</t>
  </si>
  <si>
    <t>2022-05-06</t>
  </si>
  <si>
    <t>2022-05-07</t>
  </si>
  <si>
    <t>2022-05-08</t>
  </si>
  <si>
    <t>2022-05-09</t>
  </si>
  <si>
    <t>2022-05-10</t>
  </si>
  <si>
    <t>2022-05-11</t>
  </si>
  <si>
    <t>2022-05-12</t>
  </si>
  <si>
    <t>2022-05-13</t>
  </si>
  <si>
    <t>2022-05-14</t>
  </si>
  <si>
    <t>2022-05-15</t>
  </si>
  <si>
    <t>2022-05-16</t>
  </si>
  <si>
    <t>2022-05-17</t>
  </si>
  <si>
    <t>2022-05-18</t>
  </si>
  <si>
    <t>2022-05-19</t>
  </si>
  <si>
    <t>2022-05-20</t>
  </si>
  <si>
    <t>2022-05-21</t>
  </si>
  <si>
    <t>2022-05-22</t>
  </si>
  <si>
    <t>2022-05-23</t>
  </si>
  <si>
    <t>2022-05-24</t>
  </si>
  <si>
    <t>2022-05-25</t>
  </si>
  <si>
    <t>2022-05-26</t>
  </si>
  <si>
    <t>2022-05-27</t>
  </si>
  <si>
    <t>2022-05-28</t>
  </si>
  <si>
    <t>2022-05-29</t>
  </si>
  <si>
    <t>2022-05-30</t>
  </si>
  <si>
    <t>2022-05-31</t>
  </si>
  <si>
    <t>2022-06-01</t>
  </si>
  <si>
    <t>2022-06-02</t>
  </si>
  <si>
    <t>2022-06-03</t>
  </si>
  <si>
    <t>2022-06-04</t>
  </si>
  <si>
    <t>2022-06-05</t>
  </si>
  <si>
    <t>2022-06-06</t>
  </si>
  <si>
    <t>2022-06-07</t>
  </si>
  <si>
    <t>2022-06-08</t>
  </si>
  <si>
    <t>2022-06-09</t>
  </si>
  <si>
    <t>2022-06-10</t>
  </si>
  <si>
    <t>2022-06-11</t>
  </si>
  <si>
    <t>2022-06-12</t>
  </si>
  <si>
    <t>2022-06-13</t>
  </si>
  <si>
    <t>2022-06-14</t>
  </si>
  <si>
    <t>2022-06-15</t>
  </si>
  <si>
    <t>2022-06-16</t>
  </si>
  <si>
    <t>2022-06-17</t>
  </si>
  <si>
    <t>2022-06-18</t>
  </si>
  <si>
    <t>2022-06-19</t>
  </si>
  <si>
    <t>2022-06-20</t>
  </si>
  <si>
    <t>2022-06-21</t>
  </si>
  <si>
    <t>2022-06-22</t>
  </si>
  <si>
    <t>2022-06-23</t>
  </si>
  <si>
    <t>2022-06-24</t>
  </si>
  <si>
    <t>2022-06-25</t>
  </si>
  <si>
    <t>2022-06-26</t>
  </si>
  <si>
    <t>2022-06-27</t>
  </si>
  <si>
    <t>2022-06-28</t>
  </si>
  <si>
    <t>2022-06-29</t>
  </si>
  <si>
    <t>2022-06-30</t>
  </si>
  <si>
    <t>2022-07-01</t>
  </si>
  <si>
    <t>2022-07-02</t>
  </si>
  <si>
    <t>2022-07-03</t>
  </si>
  <si>
    <t>2022-07-04</t>
  </si>
  <si>
    <t>2022-07-05</t>
  </si>
  <si>
    <t>2022-07-06</t>
  </si>
  <si>
    <t>2022-07-07</t>
  </si>
  <si>
    <t>2022-07-08</t>
  </si>
  <si>
    <t>2022-07-09</t>
  </si>
  <si>
    <t>2022-07-10</t>
  </si>
  <si>
    <t>2022-07-11</t>
  </si>
  <si>
    <t>2022-07-12</t>
  </si>
  <si>
    <t>2022-07-13</t>
  </si>
  <si>
    <t>2022-07-14</t>
  </si>
  <si>
    <t>2022-07-15</t>
  </si>
  <si>
    <t>2022-07-16</t>
  </si>
  <si>
    <t>2022-07-17</t>
  </si>
  <si>
    <t>2022-07-18</t>
  </si>
  <si>
    <t>2022-07-19</t>
  </si>
  <si>
    <t>2022-07-20</t>
  </si>
  <si>
    <t>2022-07-21</t>
  </si>
  <si>
    <t>2022-07-22</t>
  </si>
  <si>
    <t>2022-07-23</t>
  </si>
  <si>
    <t>2022-07-24</t>
  </si>
  <si>
    <t>2022-07-25</t>
  </si>
  <si>
    <t>2022-07-26</t>
  </si>
  <si>
    <t>2022-07-27</t>
  </si>
  <si>
    <t>2022-07-28</t>
  </si>
  <si>
    <t>2022-07-29</t>
  </si>
  <si>
    <t>2022-07-30</t>
  </si>
  <si>
    <t>2022-07-31</t>
  </si>
  <si>
    <t>2022-08-01</t>
  </si>
  <si>
    <t>2022-08-02</t>
  </si>
  <si>
    <t>2022-08-03</t>
  </si>
  <si>
    <t>2022-08-04</t>
  </si>
  <si>
    <t>2022-08-05</t>
  </si>
  <si>
    <t>2022-08-06</t>
  </si>
  <si>
    <t>2022-08-07</t>
  </si>
  <si>
    <t>2022-08-08</t>
  </si>
  <si>
    <t>2022-08-09</t>
  </si>
  <si>
    <t>2022-08-10</t>
  </si>
  <si>
    <t>2022-08-11</t>
  </si>
  <si>
    <t>2022-08-12</t>
  </si>
  <si>
    <t>2022-08-13</t>
  </si>
  <si>
    <t>2022-08-14</t>
  </si>
  <si>
    <t>2022-08-15</t>
  </si>
  <si>
    <t>2022-08-16</t>
  </si>
  <si>
    <t>2022-08-17</t>
  </si>
  <si>
    <t>2022-08-18</t>
  </si>
  <si>
    <t>2022-08-19</t>
  </si>
  <si>
    <t>2022-08-20</t>
  </si>
  <si>
    <t>2022-08-21</t>
  </si>
  <si>
    <t>2022-08-22</t>
  </si>
  <si>
    <t>2022-08-23</t>
  </si>
  <si>
    <t>2022-08-24</t>
  </si>
  <si>
    <t>2022-08-25</t>
  </si>
  <si>
    <t>2022-08-26</t>
  </si>
  <si>
    <t>2022-08-27</t>
  </si>
  <si>
    <t>2022-08-28</t>
  </si>
  <si>
    <t>2022-08-29</t>
  </si>
  <si>
    <t>2022-08-30</t>
  </si>
  <si>
    <t>2022-08-31</t>
  </si>
  <si>
    <t>2022-09-01</t>
  </si>
  <si>
    <t>2022-09-02</t>
  </si>
  <si>
    <t>2022-09-03</t>
  </si>
  <si>
    <t>2022-09-04</t>
  </si>
  <si>
    <t>2022-09-05</t>
  </si>
  <si>
    <t>2022-09-06</t>
  </si>
  <si>
    <t>2022-09-07</t>
  </si>
  <si>
    <t>2022-09-08</t>
  </si>
  <si>
    <t>2022-09-09</t>
  </si>
  <si>
    <t>2022-09-10</t>
  </si>
  <si>
    <t>2022-09-11</t>
  </si>
  <si>
    <t>2022-09-12</t>
  </si>
  <si>
    <t>2022-09-13</t>
  </si>
  <si>
    <t>2022-09-14</t>
  </si>
  <si>
    <t>2022-09-15</t>
  </si>
  <si>
    <t>2022-09-16</t>
  </si>
  <si>
    <t>2022-09-17</t>
  </si>
  <si>
    <t>2022-09-18</t>
  </si>
  <si>
    <t>2022-09-19</t>
  </si>
  <si>
    <t>2022-09-20</t>
  </si>
  <si>
    <t>2022-09-21</t>
  </si>
  <si>
    <t>2022-09-22</t>
  </si>
  <si>
    <t>2022-09-23</t>
  </si>
  <si>
    <t>2022-09-24</t>
  </si>
  <si>
    <t>2022-09-25</t>
  </si>
  <si>
    <t>2022-09-26</t>
  </si>
  <si>
    <t>2022-09-27</t>
  </si>
  <si>
    <t>2022-09-28</t>
  </si>
  <si>
    <t>2022-09-29</t>
  </si>
  <si>
    <t>2022-09-30</t>
  </si>
  <si>
    <t>2022-10-01</t>
  </si>
  <si>
    <t>2022-10-02</t>
  </si>
  <si>
    <t>2022-10-03</t>
  </si>
  <si>
    <t>2022-10-04</t>
  </si>
  <si>
    <t>2022-10-05</t>
  </si>
  <si>
    <t>2022-10-06</t>
  </si>
  <si>
    <t>2022-10-07</t>
  </si>
  <si>
    <t>2022-10-08</t>
  </si>
  <si>
    <t>2022-10-09</t>
  </si>
  <si>
    <t>2022-10-10</t>
  </si>
  <si>
    <t>2022-10-11</t>
  </si>
  <si>
    <t>2022-10-12</t>
  </si>
  <si>
    <t>2022-10-13</t>
  </si>
  <si>
    <t>2022-10-14</t>
  </si>
  <si>
    <t>2022-10-15</t>
  </si>
  <si>
    <t>2022-10-16</t>
  </si>
  <si>
    <t>2022-10-17</t>
  </si>
  <si>
    <t>2022-10-18</t>
  </si>
  <si>
    <t>2022-10-19</t>
  </si>
  <si>
    <t>2022-10-20</t>
  </si>
  <si>
    <t>2022-10-21</t>
  </si>
  <si>
    <t>2022-10-22</t>
  </si>
  <si>
    <t>2022-10-23</t>
  </si>
  <si>
    <t>2022-10-24</t>
  </si>
  <si>
    <t>2022-10-25</t>
  </si>
  <si>
    <t>2022-10-26</t>
  </si>
  <si>
    <t>2022-10-27</t>
  </si>
  <si>
    <t>2022-10-28</t>
  </si>
  <si>
    <t>2022-10-29</t>
  </si>
  <si>
    <t>2022-10-30</t>
  </si>
  <si>
    <t>2022-10-31</t>
  </si>
  <si>
    <t>2022-11-01</t>
  </si>
  <si>
    <t>2022-11-02</t>
  </si>
  <si>
    <t>2022-11-03</t>
  </si>
  <si>
    <t>2022-11-04</t>
  </si>
  <si>
    <t>2022-11-05</t>
  </si>
  <si>
    <t>2022-11-06</t>
  </si>
  <si>
    <t>2022-11-07</t>
  </si>
  <si>
    <t>2022-11-08</t>
  </si>
  <si>
    <t>2022-11-09</t>
  </si>
  <si>
    <t>2022-11-10</t>
  </si>
  <si>
    <t>2022-11-11</t>
  </si>
  <si>
    <t>2022-11-12</t>
  </si>
  <si>
    <t>2022-11-13</t>
  </si>
  <si>
    <t>2022-11-14</t>
  </si>
  <si>
    <t>2022-11-15</t>
  </si>
  <si>
    <t>2022-11-16</t>
  </si>
  <si>
    <t>2022-11-17</t>
  </si>
  <si>
    <t>2022-11-18</t>
  </si>
  <si>
    <t>2022-11-19</t>
  </si>
  <si>
    <t>2022-11-20</t>
  </si>
  <si>
    <t>2022-11-21</t>
  </si>
  <si>
    <t>2022-11-22</t>
  </si>
  <si>
    <t>2022-11-23</t>
  </si>
  <si>
    <t>2022-11-24</t>
  </si>
  <si>
    <t>2022-11-25</t>
  </si>
  <si>
    <t>2022-11-26</t>
  </si>
  <si>
    <t>2022-11-27</t>
  </si>
  <si>
    <t>2022-11-28</t>
  </si>
  <si>
    <t>2022-11-29</t>
  </si>
  <si>
    <t>2022-11-30</t>
  </si>
  <si>
    <t>2022-12-01</t>
  </si>
  <si>
    <t>2022-12-02</t>
  </si>
  <si>
    <t>2022-12-03</t>
  </si>
  <si>
    <t>2022-12-04</t>
  </si>
  <si>
    <t>2022-12-05</t>
  </si>
  <si>
    <t>2022-12-06</t>
  </si>
  <si>
    <t>2022-12-07</t>
  </si>
  <si>
    <t>2022-12-08</t>
  </si>
  <si>
    <t>2022-12-09</t>
  </si>
  <si>
    <t>2022-12-10</t>
  </si>
  <si>
    <t>2022-12-11</t>
  </si>
  <si>
    <t>2022-12-12</t>
  </si>
  <si>
    <t>2022-12-13</t>
  </si>
  <si>
    <t>2022-12-14</t>
  </si>
  <si>
    <t>2022-12-15</t>
  </si>
  <si>
    <t>2022-12-16</t>
  </si>
  <si>
    <t>2022-12-17</t>
  </si>
  <si>
    <t>2022-12-18</t>
  </si>
  <si>
    <t>2022-12-19</t>
  </si>
  <si>
    <t>2022-12-20</t>
  </si>
  <si>
    <t>2022-12-21</t>
  </si>
  <si>
    <t>2022-12-22</t>
  </si>
  <si>
    <t>2022-12-23</t>
  </si>
  <si>
    <t>2022-12-24</t>
  </si>
  <si>
    <t>2022-12-25</t>
  </si>
  <si>
    <t>2022-12-26</t>
  </si>
  <si>
    <t>2022-12-27</t>
  </si>
  <si>
    <t>2022-12-28</t>
  </si>
  <si>
    <t>2022-12-29</t>
  </si>
  <si>
    <t>2022-12-30</t>
  </si>
  <si>
    <t>2022-12-31</t>
  </si>
  <si>
    <t>2023-01-01</t>
  </si>
  <si>
    <t>2023-01-02</t>
  </si>
  <si>
    <t>2023-01-03</t>
  </si>
  <si>
    <t>2023-01-04</t>
  </si>
  <si>
    <t>2023-01-05</t>
  </si>
  <si>
    <t>2023-01-06</t>
  </si>
  <si>
    <t>2023-01-07</t>
  </si>
  <si>
    <t>2023-01-08</t>
  </si>
  <si>
    <t>2023-01-09</t>
  </si>
  <si>
    <t>2023-01-10</t>
  </si>
  <si>
    <t>2023-01-11</t>
  </si>
  <si>
    <t>2023-01-12</t>
  </si>
  <si>
    <t>2023-01-13</t>
  </si>
  <si>
    <t>2023-01-14</t>
  </si>
  <si>
    <t>2023-01-15</t>
  </si>
  <si>
    <t>2023-01-16</t>
  </si>
  <si>
    <t>2023-01-17</t>
  </si>
  <si>
    <t>2023-01-18</t>
  </si>
  <si>
    <t>2023-01-19</t>
  </si>
  <si>
    <t>2023-01-20</t>
  </si>
  <si>
    <t>2023-01-21</t>
  </si>
  <si>
    <t>2023-01-22</t>
  </si>
  <si>
    <t>2023-01-23</t>
  </si>
  <si>
    <t>2023-01-24</t>
  </si>
  <si>
    <t>2023-01-25</t>
  </si>
  <si>
    <t>2023-01-26</t>
  </si>
  <si>
    <t>2023-01-27</t>
  </si>
  <si>
    <t>2023-01-28</t>
  </si>
  <si>
    <t>2023-01-29</t>
  </si>
  <si>
    <t>2023-01-30</t>
  </si>
  <si>
    <t>2023-01-31</t>
  </si>
  <si>
    <t>2023-02-01</t>
  </si>
  <si>
    <t>2023-02-02</t>
  </si>
  <si>
    <t>2023-02-03</t>
  </si>
  <si>
    <t>2023-02-04</t>
  </si>
  <si>
    <t>2023-02-05</t>
  </si>
  <si>
    <t>2023-02-06</t>
  </si>
  <si>
    <t>2023-02-07</t>
  </si>
  <si>
    <t>2023-02-08</t>
  </si>
  <si>
    <t>2023-02-09</t>
  </si>
  <si>
    <t>2023-02-10</t>
  </si>
  <si>
    <t>2023-02-11</t>
  </si>
  <si>
    <t>2023-02-12</t>
  </si>
  <si>
    <t>2023-02-13</t>
  </si>
  <si>
    <t>2023-02-14</t>
  </si>
  <si>
    <t>2023-02-15</t>
  </si>
  <si>
    <t>2023-02-16</t>
  </si>
  <si>
    <t>2023-02-17</t>
  </si>
  <si>
    <t>2023-02-18</t>
  </si>
  <si>
    <t>2023-02-19</t>
  </si>
  <si>
    <t>2023-02-20</t>
  </si>
  <si>
    <t>2023-02-21</t>
  </si>
  <si>
    <t>2023-02-22</t>
  </si>
  <si>
    <t>2023-02-23</t>
  </si>
  <si>
    <t>2023-02-24</t>
  </si>
  <si>
    <t>2023-02-25</t>
  </si>
  <si>
    <t>2023-02-26</t>
  </si>
  <si>
    <t>2023-02-27</t>
  </si>
  <si>
    <t>2023-02-28</t>
  </si>
  <si>
    <t>2023-03-01</t>
  </si>
  <si>
    <t>2023-03-02</t>
  </si>
  <si>
    <t>2023-03-03</t>
  </si>
  <si>
    <t>2023-03-04</t>
  </si>
  <si>
    <t>2023-03-05</t>
  </si>
  <si>
    <t>2023-03-06</t>
  </si>
  <si>
    <t>2023-03-07</t>
  </si>
  <si>
    <t>2023-03-08</t>
  </si>
  <si>
    <t>2023-03-09</t>
  </si>
  <si>
    <t>2023-03-10</t>
  </si>
  <si>
    <t>2023-03-11</t>
  </si>
  <si>
    <t>2023-03-12</t>
  </si>
  <si>
    <t>2023-03-13</t>
  </si>
  <si>
    <t>2023-03-14</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</si>
  <si>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</si>
  <si>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</si>
  <si>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</si>
  <si>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</si>
  <si>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</si>
  <si>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</si>
  <si>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</si>
  <si>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</si>
  <si>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</si>
  <si>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</si>
  <si>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</si>
  <si>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</si>
  <si>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</si>
  <si>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</si>
  <si>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</si>
  <si>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</si>
  <si>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</si>
  <si>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2023-04-01</t>
  </si>
  <si>
    <t>2023-04-02</t>
  </si>
  <si>
    <t>2023-04-03</t>
  </si>
  <si>
    <t>2023-04-04</t>
  </si>
  <si>
    <t>2023-04-05</t>
  </si>
  <si>
    <t>2023-04-06</t>
  </si>
  <si>
    <t>2023-04-07</t>
  </si>
  <si>
    <t>2023-04-08</t>
  </si>
  <si>
    <t>2023-04-09</t>
  </si>
  <si>
    <t>2023-04-10</t>
  </si>
  <si>
    <t>2023-04-11</t>
  </si>
  <si>
    <t>2023-04-12</t>
  </si>
  <si>
    <t>2023-04-13</t>
  </si>
  <si>
    <t>2023-04-14</t>
  </si>
  <si>
    <t>2023-04-15</t>
  </si>
  <si>
    <t>2023-04-16</t>
  </si>
  <si>
    <t>2023-04-17</t>
  </si>
  <si>
    <t>2023-04-18</t>
  </si>
  <si>
    <t>2023-04-19</t>
  </si>
  <si>
    <t>2023-04-20</t>
  </si>
  <si>
    <t>2023-04-21</t>
  </si>
  <si>
    <t>2023-04-22</t>
  </si>
  <si>
    <t>2023-04-23</t>
  </si>
  <si>
    <t>2023-04-24</t>
  </si>
  <si>
    <t>2023-04-25</t>
  </si>
  <si>
    <t>2023-04-26</t>
  </si>
  <si>
    <t>2023-04-27</t>
  </si>
  <si>
    <t>2023-04-28</t>
  </si>
  <si>
    <t>2023-04-29</t>
  </si>
  <si>
    <t>2023-04-30</t>
  </si>
  <si>
    <t>2023-05-01</t>
  </si>
  <si>
    <t>2023-05-02</t>
  </si>
  <si>
    <t>2023-05-03</t>
  </si>
  <si>
    <t>2023-05-04</t>
  </si>
  <si>
    <t>2023-05-05</t>
  </si>
  <si>
    <t>2023-05-06</t>
  </si>
  <si>
    <t>2023-05-07</t>
  </si>
  <si>
    <t>2023-05-08</t>
  </si>
  <si>
    <t>2023-05-09</t>
  </si>
  <si>
    <t>2023-05-10</t>
  </si>
  <si>
    <t>2023-05-11</t>
  </si>
  <si>
    <t>2023-05-12</t>
  </si>
  <si>
    <t>2023-05-13</t>
  </si>
  <si>
    <t>2023-05-14</t>
  </si>
  <si>
    <t>2023-05-15</t>
  </si>
  <si>
    <t>2023-05-16</t>
  </si>
  <si>
    <t>2023-05-17</t>
  </si>
  <si>
    <t>2023-05-18</t>
  </si>
  <si>
    <t>2023-05-19</t>
  </si>
  <si>
    <t>2023-05-20</t>
  </si>
  <si>
    <t>2023-05-21</t>
  </si>
  <si>
    <t>2023-05-22</t>
  </si>
  <si>
    <t>2023-05-23</t>
  </si>
  <si>
    <t>2023-05-24</t>
  </si>
  <si>
    <t>2023-05-25</t>
  </si>
  <si>
    <t>2023-05-26</t>
  </si>
  <si>
    <t>2023-05-27</t>
  </si>
  <si>
    <t>2023-05-28</t>
  </si>
  <si>
    <t>2023-05-29</t>
  </si>
  <si>
    <t>2023-05-30</t>
  </si>
  <si>
    <t>2023-05-31</t>
  </si>
  <si>
    <t>2023-06-01</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</si>
  <si>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</si>
  <si>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</si>
  <si>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</si>
  <si>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</si>
  <si>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</si>
  <si>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</si>
  <si>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</si>
  <si>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</si>
  <si>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</si>
  <si>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</si>
  <si>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</si>
  <si>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</si>
  <si>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</si>
  <si>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</si>
  <si>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</si>
  <si>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</si>
  <si>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</si>
  <si>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</si>
  <si>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</si>
  <si>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</si>
  <si>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</si>
  <si>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</si>
  <si>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</si>
  <si>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</si>
  <si>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</si>
  <si>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</si>
  <si>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</si>
  <si>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</si>
  <si>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</si>
  <si>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2023-07-01</t>
  </si>
  <si>
    <t>2023-07-02</t>
  </si>
  <si>
    <t>2023-07-03</t>
  </si>
  <si>
    <t>2023-07-04</t>
  </si>
  <si>
    <t>2023-07-05</t>
  </si>
  <si>
    <t>2023-07-06</t>
  </si>
  <si>
    <t>2023-07-07</t>
  </si>
  <si>
    <t>2023-07-08</t>
  </si>
  <si>
    <t>2023-07-09</t>
  </si>
  <si>
    <t>2023-07-10</t>
  </si>
  <si>
    <t>2023-07-11</t>
  </si>
  <si>
    <t>2023-07-12</t>
  </si>
  <si>
    <t>2023-07-13</t>
  </si>
  <si>
    <t>2023-07-14</t>
  </si>
  <si>
    <t>2023-07-15</t>
  </si>
  <si>
    <t>2023-07-16</t>
  </si>
  <si>
    <t>2023-07-17</t>
  </si>
  <si>
    <t>2023-07-18</t>
  </si>
  <si>
    <t>2023-07-19</t>
  </si>
  <si>
    <t>2023-07-20</t>
  </si>
  <si>
    <t>2023-07-21</t>
  </si>
  <si>
    <t>2023-07-22</t>
  </si>
  <si>
    <t>2023-07-23</t>
  </si>
  <si>
    <t>2023-07-24</t>
  </si>
  <si>
    <t>2023-07-25</t>
  </si>
  <si>
    <t>2023-07-26</t>
  </si>
  <si>
    <t>2023-07-27</t>
  </si>
  <si>
    <t>2023-07-28</t>
  </si>
  <si>
    <t>2023-07-29</t>
  </si>
  <si>
    <t>2023-07-30</t>
  </si>
  <si>
    <t>2023-07-31</t>
  </si>
  <si>
    <t>2023-08-01</t>
  </si>
  <si>
    <t>2023-08-02</t>
  </si>
  <si>
    <t>2023-08-03</t>
  </si>
  <si>
    <t>2023-08-04</t>
  </si>
  <si>
    <t>2023-08-05</t>
  </si>
  <si>
    <t>2023-08-06</t>
  </si>
  <si>
    <t>2023-08-07</t>
  </si>
  <si>
    <t>2023-08-08</t>
  </si>
  <si>
    <t>2023-08-09</t>
  </si>
  <si>
    <t>2023-08-10</t>
  </si>
  <si>
    <t>2023-08-11</t>
  </si>
  <si>
    <t>2023-08-12</t>
  </si>
  <si>
    <t>2023-08-13</t>
  </si>
  <si>
    <t>2023-08-14</t>
  </si>
  <si>
    <t>2023-08-15</t>
  </si>
  <si>
    <t>2023-08-16</t>
  </si>
  <si>
    <t>2023-08-17</t>
  </si>
  <si>
    <t>2023-08-18</t>
  </si>
  <si>
    <t>2023-08-19</t>
  </si>
  <si>
    <t>2023-08-20</t>
  </si>
  <si>
    <t>2023-08-21</t>
  </si>
  <si>
    <t>2023-08-22</t>
  </si>
  <si>
    <t>2023-08-23</t>
  </si>
  <si>
    <t>2023-08-24</t>
  </si>
  <si>
    <t>2023-08-25</t>
  </si>
  <si>
    <t>2023-08-26</t>
  </si>
  <si>
    <t>2023-08-27</t>
  </si>
  <si>
    <t>2023-08-28</t>
  </si>
  <si>
    <t>2023-08-29</t>
  </si>
  <si>
    <t>2023-08-30</t>
  </si>
  <si>
    <t>2023-08-31</t>
  </si>
  <si>
    <t>2023-09-01</t>
  </si>
  <si>
    <t>2023-09-02</t>
  </si>
  <si>
    <t>2023-09-03</t>
  </si>
  <si>
    <t>2023-09-04</t>
  </si>
  <si>
    <t>2023-09-05</t>
  </si>
  <si>
    <t>2023-09-06</t>
  </si>
  <si>
    <t>2023-09-07</t>
  </si>
  <si>
    <t>2023-09-08</t>
  </si>
  <si>
    <t>2023-09-09</t>
  </si>
  <si>
    <t>2023-09-10</t>
  </si>
  <si>
    <t>2023-09-11</t>
  </si>
  <si>
    <t>2023-09-12</t>
  </si>
  <si>
    <t>2023-09-13</t>
  </si>
  <si>
    <t>2023-09-14</t>
  </si>
  <si>
    <t>2023-09-15</t>
  </si>
  <si>
    <t>2023-09-16</t>
  </si>
  <si>
    <t>2023-09-17</t>
  </si>
  <si>
    <t>2023-09-18</t>
  </si>
  <si>
    <t>2023-09-19</t>
  </si>
  <si>
    <t>2023-09-20</t>
  </si>
  <si>
    <t>2023-09-21</t>
  </si>
  <si>
    <t>2023-09-22</t>
  </si>
  <si>
    <t>2023-09-23</t>
  </si>
  <si>
    <t>2023-09-24</t>
  </si>
  <si>
    <t>2023-09-25</t>
  </si>
  <si>
    <t>2023-09-26</t>
  </si>
  <si>
    <t>2023-09-27</t>
  </si>
  <si>
    <t>2023-09-28</t>
  </si>
  <si>
    <t>2023-09-29</t>
  </si>
  <si>
    <t>2023-09-30</t>
  </si>
  <si>
    <t>2023-10-01</t>
  </si>
  <si>
    <t>2023-10-02</t>
  </si>
  <si>
    <t>2023-10-03</t>
  </si>
  <si>
    <t>2023-10-04</t>
  </si>
  <si>
    <t>2023-10-05</t>
  </si>
  <si>
    <t>2023-10-06</t>
  </si>
  <si>
    <t>2023-10-07</t>
  </si>
  <si>
    <t>2023-10-08</t>
  </si>
  <si>
    <t>2023-10-09</t>
  </si>
  <si>
    <t>2023-10-10</t>
  </si>
  <si>
    <t>2023-10-11</t>
  </si>
  <si>
    <t>2023-10-12</t>
  </si>
  <si>
    <t>2023-10-13</t>
  </si>
  <si>
    <t>2023-10-14</t>
  </si>
  <si>
    <t>2023-10-15</t>
  </si>
  <si>
    <t>2023-10-16</t>
  </si>
  <si>
    <t>2023-10-17</t>
  </si>
  <si>
    <t>2023-10-18</t>
  </si>
  <si>
    <t>2023-10-19</t>
  </si>
  <si>
    <t>2023-10-20</t>
  </si>
  <si>
    <t>2023-10-21</t>
  </si>
  <si>
    <t>2023-10-22</t>
  </si>
  <si>
    <t>2023-10-23</t>
  </si>
  <si>
    <t>2023-10-24</t>
  </si>
  <si>
    <t>2023-10-25</t>
  </si>
  <si>
    <t>2023-10-26</t>
  </si>
  <si>
    <t>2023-10-27</t>
  </si>
  <si>
    <t>2023-10-28</t>
  </si>
  <si>
    <t>2023-10-29</t>
  </si>
  <si>
    <t>2023-10-30</t>
  </si>
  <si>
    <t>2023-10-31</t>
  </si>
  <si>
    <t>2023-11-01</t>
  </si>
  <si>
    <t>2023-11-02</t>
  </si>
  <si>
    <t>2023-11-03</t>
  </si>
  <si>
    <t>2023-11-04</t>
  </si>
  <si>
    <t>2023-11-05</t>
  </si>
  <si>
    <t>2023-11-06</t>
  </si>
  <si>
    <t>2023-11-07</t>
  </si>
  <si>
    <t>2023-11-08</t>
  </si>
  <si>
    <t>2023-11-09</t>
  </si>
  <si>
    <t>2023-11-10</t>
  </si>
  <si>
    <t>2023-11-11</t>
  </si>
  <si>
    <t>2023-11-12</t>
  </si>
  <si>
    <t>2023-11-13</t>
  </si>
  <si>
    <t>2023-11-14</t>
  </si>
  <si>
    <t>2023-11-15</t>
  </si>
  <si>
    <t>2023-11-16</t>
  </si>
  <si>
    <t>2023-11-17</t>
  </si>
  <si>
    <t>2023-11-18</t>
  </si>
  <si>
    <t>2023-11-19</t>
  </si>
  <si>
    <t>2023-11-20</t>
  </si>
  <si>
    <t>2023-11-21</t>
  </si>
  <si>
    <t>2023-11-22</t>
  </si>
  <si>
    <t>2023-11-23</t>
  </si>
  <si>
    <t>2023-11-24</t>
  </si>
  <si>
    <t>2023-11-25</t>
  </si>
  <si>
    <t>2023-11-26</t>
  </si>
  <si>
    <t>2023-11-27</t>
  </si>
  <si>
    <t>2023-11-28</t>
  </si>
  <si>
    <t>2023-11-29</t>
  </si>
  <si>
    <t>2023-11-30</t>
  </si>
  <si>
    <t>2023-12-01</t>
  </si>
  <si>
    <t>2023-12-02</t>
  </si>
  <si>
    <t>2023-12-03</t>
  </si>
  <si>
    <t>2023-12-04</t>
  </si>
  <si>
    <t>2023-12-05</t>
  </si>
  <si>
    <t>2023-12-06</t>
  </si>
  <si>
    <t>2023-12-07</t>
  </si>
  <si>
    <t>2023-12-08</t>
  </si>
  <si>
    <t>2023-12-09</t>
  </si>
  <si>
    <t>2023-12-10</t>
  </si>
  <si>
    <t>2023-12-11</t>
  </si>
  <si>
    <t>2023-12-12</t>
  </si>
  <si>
    <t>2023-12-13</t>
  </si>
  <si>
    <t>2023-12-14</t>
  </si>
  <si>
    <t>2023-12-15</t>
  </si>
  <si>
    <t>2023-12-16</t>
  </si>
  <si>
    <t>2023-12-17</t>
  </si>
  <si>
    <t>2023-12-18</t>
  </si>
  <si>
    <t>2023-12-19</t>
  </si>
  <si>
    <t>2023-12-20</t>
  </si>
  <si>
    <t>2023-12-21</t>
  </si>
  <si>
    <t>2023-12-22</t>
  </si>
  <si>
    <t>2023-12-23</t>
  </si>
  <si>
    <t>2023-12-24</t>
  </si>
  <si>
    <t>2023-12-25</t>
  </si>
  <si>
    <t>2023-12-26</t>
  </si>
  <si>
    <t>2023-12-27</t>
  </si>
  <si>
    <t>2023-12-28</t>
  </si>
  <si>
    <t>2023-12-29</t>
  </si>
  <si>
    <t>2023-12-30</t>
  </si>
  <si>
    <t>2023-12-31</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</si>
  <si>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</si>
  <si>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</si>
  <si>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</si>
  <si>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</si>
  <si>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</si>
  <si>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</si>
  <si>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</si>
  <si>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</si>
  <si>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</si>
  <si>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</si>
  <si>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</si>
  <si>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</si>
  <si>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</si>
  <si>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</si>
  <si>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</si>
  <si>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</si>
  <si>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</si>
  <si>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</si>
  <si>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</si>
  <si>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</si>
  <si>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</si>
  <si>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</si>
  <si>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</si>
  <si>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</si>
  <si>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</si>
  <si>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</si>
  <si>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</si>
  <si>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</si>
  <si>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</si>
  <si>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</si>
  <si>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</si>
  <si>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2024-02-01</t>
  </si>
  <si>
    <t>2024-02-02</t>
  </si>
  <si>
    <t>2024-02-03</t>
  </si>
  <si>
    <t>2024-02-04</t>
  </si>
  <si>
    <t>2024-02-05</t>
  </si>
  <si>
    <t>2024-02-06</t>
  </si>
  <si>
    <t>2024-02-07</t>
  </si>
  <si>
    <t>2024-02-08</t>
  </si>
  <si>
    <t>2024-02-09</t>
  </si>
  <si>
    <t>2024-02-10</t>
  </si>
  <si>
    <t>2024-02-11</t>
  </si>
  <si>
    <t>2024-02-12</t>
  </si>
  <si>
    <t>2024-02-13</t>
  </si>
  <si>
    <t>2024-02-14</t>
  </si>
  <si>
    <t>2024-02-15</t>
  </si>
  <si>
    <t>2024-02-16</t>
  </si>
  <si>
    <t>2024-02-17</t>
  </si>
  <si>
    <t>2024-02-18</t>
  </si>
  <si>
    <t>2024-02-19</t>
  </si>
  <si>
    <t>2024-02-20</t>
  </si>
  <si>
    <t>2024-02-21</t>
  </si>
  <si>
    <t>2024-02-22</t>
  </si>
  <si>
    <t>2024-02-23</t>
  </si>
  <si>
    <t>2024-02-24</t>
  </si>
  <si>
    <t>2024-02-25</t>
  </si>
  <si>
    <t>2024-02-26</t>
  </si>
  <si>
    <t>2024-02-27</t>
  </si>
  <si>
    <t>2024-02-28</t>
  </si>
  <si>
    <t>2024-02-29</t>
  </si>
  <si>
    <t>2024-03-01</t>
  </si>
  <si>
    <t>2024-03-02</t>
  </si>
  <si>
    <t>2024-03-03</t>
  </si>
  <si>
    <t>2024-03-04</t>
  </si>
  <si>
    <t>2024-03-05</t>
  </si>
  <si>
    <t>2024-03-06</t>
  </si>
  <si>
    <t>2024-03-07</t>
  </si>
  <si>
    <t>2024-03-08</t>
  </si>
  <si>
    <t>2024-03-09</t>
  </si>
  <si>
    <t>2024-03-10</t>
  </si>
  <si>
    <t>2024-03-11</t>
  </si>
  <si>
    <t>2024-03-12</t>
  </si>
  <si>
    <t>2024-03-13</t>
  </si>
  <si>
    <t>2024-03-14</t>
  </si>
  <si>
    <t>2024-03-15</t>
  </si>
  <si>
    <t>2024-03-16</t>
  </si>
  <si>
    <t>2024-03-17</t>
  </si>
  <si>
    <t>2024-03-18</t>
  </si>
  <si>
    <t>2024-03-19</t>
  </si>
  <si>
    <t>2024-03-20</t>
  </si>
  <si>
    <t>2024-03-21</t>
  </si>
  <si>
    <t>2024-03-22</t>
  </si>
  <si>
    <t>2024-03-23</t>
  </si>
  <si>
    <t>2024-03-24</t>
  </si>
  <si>
    <t>2024-03-25</t>
  </si>
  <si>
    <t>2024-03-26</t>
  </si>
  <si>
    <t>2024-03-27</t>
  </si>
  <si>
    <t>2024-03-28</t>
  </si>
  <si>
    <t>2024-03-29</t>
  </si>
  <si>
    <t>2024-03-30</t>
  </si>
  <si>
    <t>2024-03-31</t>
  </si>
  <si>
    <t>2024-04-01</t>
  </si>
  <si>
    <t>2024-04-02</t>
  </si>
  <si>
    <t>2024-04-03</t>
  </si>
  <si>
    <t>2024-04-04</t>
  </si>
  <si>
    <t>2024-04-05</t>
  </si>
  <si>
    <t>2024-04-06</t>
  </si>
  <si>
    <t>2024-04-07</t>
  </si>
  <si>
    <t>2024-04-08</t>
  </si>
  <si>
    <t>2024-04-09</t>
  </si>
  <si>
    <t>2024-04-10</t>
  </si>
  <si>
    <t>2024-04-11</t>
  </si>
  <si>
    <t>2024-04-12</t>
  </si>
  <si>
    <t>2024-04-13</t>
  </si>
  <si>
    <t>2024-04-14</t>
  </si>
  <si>
    <t>2024-04-15</t>
  </si>
  <si>
    <t>2024-04-16</t>
  </si>
  <si>
    <t>2024-04-17</t>
  </si>
  <si>
    <t>2024-04-18</t>
  </si>
  <si>
    <t>2024-04-19</t>
  </si>
  <si>
    <t>2024-04-20</t>
  </si>
  <si>
    <t>2024-04-21</t>
  </si>
  <si>
    <t>2024-04-22</t>
  </si>
  <si>
    <t>2024-04-23</t>
  </si>
  <si>
    <t>2024-04-24</t>
  </si>
  <si>
    <t>2024-04-25</t>
  </si>
  <si>
    <t>2024-04-26</t>
  </si>
  <si>
    <t>2024-04-27</t>
  </si>
  <si>
    <t>2024-04-28</t>
  </si>
  <si>
    <t>2024-04-29</t>
  </si>
  <si>
    <t>2024-04-30</t>
  </si>
  <si>
    <t>2024-05-01</t>
  </si>
  <si>
    <t>2024-05-02</t>
  </si>
  <si>
    <t>2024-05-03</t>
  </si>
  <si>
    <t>2024-05-04</t>
  </si>
  <si>
    <t>2024-05-05</t>
  </si>
  <si>
    <t>2024-05-06</t>
  </si>
  <si>
    <t>2024-05-07</t>
  </si>
  <si>
    <t>2024-05-08</t>
  </si>
  <si>
    <t>2024-05-09</t>
  </si>
  <si>
    <t>2024-05-10</t>
  </si>
  <si>
    <t>2024-05-11</t>
  </si>
  <si>
    <t>2024-05-12</t>
  </si>
  <si>
    <t>2024-05-13</t>
  </si>
  <si>
    <t>2024-05-14</t>
  </si>
  <si>
    <t>2024-05-15</t>
  </si>
  <si>
    <t>2024-05-16</t>
  </si>
  <si>
    <t>2024-05-17</t>
  </si>
  <si>
    <t>2024-05-18</t>
  </si>
  <si>
    <t>2024-05-19</t>
  </si>
  <si>
    <t>2024-05-20</t>
  </si>
  <si>
    <t>2024-05-21</t>
  </si>
  <si>
    <t>2024-05-22</t>
  </si>
  <si>
    <t>2024-05-23</t>
  </si>
  <si>
    <t>2024-05-24</t>
  </si>
  <si>
    <t>2024-05-25</t>
  </si>
  <si>
    <t>2024-05-26</t>
  </si>
  <si>
    <t>2024-05-27</t>
  </si>
  <si>
    <t>2024-05-28</t>
  </si>
  <si>
    <t>2024-05-29</t>
  </si>
  <si>
    <t>2024-05-30</t>
  </si>
  <si>
    <t>2024-05-31</t>
  </si>
  <si>
    <t>2024-06-01</t>
  </si>
  <si>
    <t>2024-06-02</t>
  </si>
  <si>
    <t>2024-06-03</t>
  </si>
  <si>
    <t>2024-06-04</t>
  </si>
  <si>
    <t>2024-06-05</t>
  </si>
  <si>
    <t>2024-06-06</t>
  </si>
  <si>
    <t>2024-06-07</t>
  </si>
  <si>
    <t>2024-06-08</t>
  </si>
  <si>
    <t>2024-06-09</t>
  </si>
  <si>
    <t>2024-06-10</t>
  </si>
  <si>
    <t>2024-06-11</t>
  </si>
  <si>
    <t>2024-06-12</t>
  </si>
  <si>
    <t>2024-06-13</t>
  </si>
  <si>
    <t>2024-06-14</t>
  </si>
  <si>
    <t>2024-06-15</t>
  </si>
  <si>
    <t>2024-06-16</t>
  </si>
  <si>
    <t>2024-06-17</t>
  </si>
  <si>
    <t>2024-06-18</t>
  </si>
  <si>
    <t>2024-06-19</t>
  </si>
  <si>
    <t>2024-06-20</t>
  </si>
  <si>
    <t>2024-06-21</t>
  </si>
  <si>
    <t>2024-06-22</t>
  </si>
  <si>
    <t>2024-06-23</t>
  </si>
  <si>
    <t>2024-06-24</t>
  </si>
  <si>
    <t>2024-06-25</t>
  </si>
  <si>
    <t>2024-06-26</t>
  </si>
  <si>
    <t>2024-06-27</t>
  </si>
  <si>
    <t>2024-06-28</t>
  </si>
  <si>
    <t>2024-06-29</t>
  </si>
  <si>
    <t>2024-06-30</t>
  </si>
  <si>
    <t>2024-07-01</t>
  </si>
  <si>
    <t>2024-07-02</t>
  </si>
  <si>
    <t>2024-07-03</t>
  </si>
  <si>
    <t>2024-07-04</t>
  </si>
  <si>
    <t>2024-07-05</t>
  </si>
  <si>
    <t>2024-07-06</t>
  </si>
  <si>
    <t>2024-07-07</t>
  </si>
  <si>
    <t>2024-07-08</t>
  </si>
  <si>
    <t>2024-07-09</t>
  </si>
  <si>
    <t>2024-07-10</t>
  </si>
  <si>
    <t>2024-07-11</t>
  </si>
  <si>
    <t>2024-07-12</t>
  </si>
  <si>
    <t>2024-07-13</t>
  </si>
  <si>
    <t>2024-07-14</t>
  </si>
  <si>
    <t>2024-07-15</t>
  </si>
  <si>
    <t>2024-07-16</t>
  </si>
  <si>
    <t>2024-07-17</t>
  </si>
  <si>
    <t>2024-07-18</t>
  </si>
  <si>
    <t>2024-07-19</t>
  </si>
  <si>
    <t>2024-07-20</t>
  </si>
  <si>
    <t>2024-07-21</t>
  </si>
  <si>
    <t>2024-07-22</t>
  </si>
  <si>
    <t>2024-07-23</t>
  </si>
  <si>
    <t>2024-07-24</t>
  </si>
  <si>
    <t>2024-07-25</t>
  </si>
  <si>
    <t>2024-07-26</t>
  </si>
  <si>
    <t>2024-07-27</t>
  </si>
  <si>
    <t>2024-07-28</t>
  </si>
  <si>
    <t>2024-07-29</t>
  </si>
  <si>
    <t>2024-07-30</t>
  </si>
  <si>
    <t>2024-07-31</t>
  </si>
  <si>
    <t>2024-08-01</t>
  </si>
  <si>
    <t>2024-08-02</t>
  </si>
  <si>
    <t>2024-08-03</t>
  </si>
  <si>
    <t>2024-08-04</t>
  </si>
  <si>
    <t>AOV 2023</t>
  </si>
  <si>
    <t>CONSUMER EDGE DATA</t>
  </si>
  <si>
    <t>&lt;&lt; EUR/USD</t>
  </si>
  <si>
    <t>&lt;&lt; CY2021, excl. Yoox</t>
  </si>
  <si>
    <t>Filings (WW)</t>
  </si>
  <si>
    <t>Consumer Edge (US only)</t>
  </si>
  <si>
    <t>Q1 FY25e</t>
  </si>
  <si>
    <t>Q2 FY25e</t>
  </si>
  <si>
    <t>Q3FY25e</t>
  </si>
  <si>
    <t>Q4FY25e</t>
  </si>
  <si>
    <t>1H FY25e</t>
  </si>
  <si>
    <t>2H FY25e</t>
  </si>
  <si>
    <t>2025E</t>
  </si>
  <si>
    <t>2024A</t>
  </si>
  <si>
    <t>2H FY24</t>
  </si>
  <si>
    <t>Q4FY24</t>
  </si>
  <si>
    <t>Q4 FY24</t>
  </si>
  <si>
    <t>Aug 24</t>
  </si>
  <si>
    <t>FY36e</t>
  </si>
  <si>
    <t>FY24a</t>
  </si>
  <si>
    <t>2H24</t>
  </si>
  <si>
    <t>Short Campaign</t>
  </si>
  <si>
    <t>&gt;300,000</t>
  </si>
  <si>
    <t>~2,000,000</t>
  </si>
  <si>
    <t>Base Case with 3% margin</t>
  </si>
  <si>
    <t>Base Case with 1% margin</t>
  </si>
  <si>
    <t>Approximate number of employees</t>
  </si>
  <si>
    <t>Short Campaign Costs</t>
  </si>
  <si>
    <t>Shares purchased on market for EIB</t>
  </si>
  <si>
    <t>Shares purchased on market for EIB (#, mm)</t>
  </si>
  <si>
    <t>Spend on shares purchased for EIB</t>
  </si>
  <si>
    <t>Options</t>
  </si>
  <si>
    <t>4/22/21 Grant Date @ 1.21</t>
  </si>
  <si>
    <t>Service Rights #</t>
  </si>
  <si>
    <t>6/1/21 Grant Date @ 2.45</t>
  </si>
  <si>
    <t>6/3/21 Grant Date @ 2.35</t>
  </si>
  <si>
    <t>8/2/21 Grant Date @ 2.00</t>
  </si>
  <si>
    <t>7/25/22 Grant Date @ 0.46</t>
  </si>
  <si>
    <t>3/21/23 Grant Date @ 1.30</t>
  </si>
  <si>
    <t>12/12/23 Grant Date @ 2.74</t>
  </si>
  <si>
    <t>Service Rights $</t>
  </si>
  <si>
    <t>AOV and Orders Analysis</t>
  </si>
  <si>
    <t>Orders (#)</t>
  </si>
  <si>
    <t>Return Rate (% Revenue)</t>
  </si>
  <si>
    <t>x AOV ($)</t>
  </si>
  <si>
    <t>Gross Revenue (calc)</t>
  </si>
  <si>
    <t>less: Gross Revenue (reported)</t>
  </si>
  <si>
    <t xml:space="preserve">Extra Revenue </t>
  </si>
  <si>
    <t>Data Bank</t>
  </si>
  <si>
    <t>x Return Rate (% Revenue)</t>
  </si>
  <si>
    <t># of Returned Orders</t>
  </si>
  <si>
    <t>/ Extra Revenue</t>
  </si>
  <si>
    <t>$ Extra Revenue per Returned Order</t>
  </si>
  <si>
    <t>Extra Revenue per Returned Order</t>
  </si>
  <si>
    <t>% of AOV</t>
  </si>
  <si>
    <t>Luxury</t>
  </si>
  <si>
    <t>Off-Price</t>
  </si>
  <si>
    <t>EUR</t>
  </si>
  <si>
    <t>FTCH Deal</t>
  </si>
  <si>
    <t>MYTE Deal</t>
  </si>
  <si>
    <t>EUR/USD</t>
  </si>
  <si>
    <t>LTM 6/30/24</t>
  </si>
  <si>
    <t>LTM 3/31/22</t>
  </si>
  <si>
    <t>APAC</t>
  </si>
  <si>
    <t xml:space="preserve">Luxury </t>
  </si>
  <si>
    <t>Americas*</t>
  </si>
  <si>
    <t>EMEA*</t>
  </si>
  <si>
    <t>CAGR</t>
  </si>
  <si>
    <t>Notes:</t>
  </si>
  <si>
    <t>* Americas FY22 = US FY24</t>
  </si>
  <si>
    <t>YNAP Historicals</t>
  </si>
  <si>
    <t>YNAP Segments</t>
  </si>
  <si>
    <t>(EUR in mm)</t>
  </si>
  <si>
    <t>Expenses</t>
  </si>
  <si>
    <t>FYE March 31st</t>
  </si>
  <si>
    <t>% Growth - Organic CC</t>
  </si>
  <si>
    <t>允䅁䉁䅯䅁佁䅁䅁睉䙂䙁䅉杕偂䙁䅉䅁䥁䅁䅁䅅䅁䍁䅑兑噂䕁䅑兖呂䕁䅑䅁䅁䅁䅁䅅䅁䍁䅑兒噂䙁䅉村卂䕁䅷䅁呁䅁䅁䅅䅁䍁䅑兒噂䙁䅉睑䉂䕁䅑䅁䵁䅁䅁䅅䅁䍁䅑兒噂䙁䅉睑佂䙁䅫䅁剁䅁䅁䅅䅁䍁䅑兒噂䙁䅉兒噂䙁䅉䅁噁䅁䅁䅅䅁䍁䅑兒噂䙁䅉睒䍂䙁䅁䅁佁䅁䅁䅅䅁䍁䅑兒噂䙁䅉兓佂䙁䅉䅁䩁䅁䅁䅅䅁䍁䅑兒噂䙁䅉杓兂䙁䅫䅁乁䅁䅁䅅䅁䍁䅑兒噂䙁䅉睓卂䙁䅣䅁允䅁䅁䅅䅁䍁䅑兒噂䙁䅉睕䙂䕁䅳䅁坁䅁䅁䅅䅁䍁䅑兒噂䙁䅉䅖卂䙁䅫䅁塁䅁䅁䅅䅁䍁䅑兒噂䙁䅉兖呂䕁䅑䅁十䅁䅁䅅䅁䍁䅑兒噂䙁䅉杗䉂䙁䅉䅁啁䅁䅁䅅䅁䍁䅑兖呂䕁䅑兖呂䕁䅑䅁䭁䅁䅁杅䅁䑁䅅睌硁䍁䄸杍睁䑁䅉䅍䅁䅁䅕䅁坁䅁䅁免祁䍁䄸睍硁䍁䄸杍睁䑁䅁兏䅁䅁䄸䅁啁䅁䅁李癁䑁䅍䅍癁䑁䅉䅍硁䑁䅧䅁䝁䅁䅁杅䅁䑁䅣睌硁䍁䄸杍睁䑁䅅睎䅁䅁䅑䅁十䅁䅁睎癁䑁䅅睌祁䑁䅁免㑁䅁䅁睁䅁䉁䅉䅁㍁䍁䄸免癁䑁䅉䅍硁䑁䅫䅁䍁䅁䅁䅅䅁䕁䅅睕奂䑁䅯睑啂䙁䅑䅁奁䅁䅁杉䅁䕁䅫兕時䕁䅷兑呂䙁䅑睕䉂䕁䅷兒兂䙁䅉兓䑂䕁䅕䅁䱁䅁䅁杂䅁䕁䄴兑䅁䅁䅣䅁敁䅁䅁睕兂䙁䄸䅕卂䕁䅫睑䙂䙁䄸睑䵂䕁䄸睕䙂䅁䅁兇䅁䍁䅉䅁灂䡁䅅睘獂䝁䅅督あ䡁䅍兙獂䝁䅕䅣祂䝁䅫睙求䅁䅁允䅁䅁䅁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</si>
</sst>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0.0%"/>
    <numFmt numFmtId="165" formatCode="_(* #,##0.0_);_(* \(#,##0.0\);_(* &quot;-&quot;??_);_(@_)"/>
    <numFmt numFmtId="166" formatCode="_(* #,##0_);_(* \(#,##0\);_(* &quot;-&quot;??_);_(@_)"/>
    <numFmt numFmtId="167" formatCode="_(* #,##0.0%_);_(* \(#,##0.0%\);_(* &quot;-&quot;?_);_(* @_)"/>
    <numFmt numFmtId="168" formatCode="_(* #,##0.0\x_);_(* \(#,##0.0\x\);_(* &quot;-&quot;?_);_(* @_)"/>
    <numFmt numFmtId="169" formatCode="m/d/yy;@"/>
    <numFmt numFmtId="170" formatCode="_(* #,##0.00%_);_(* \(#,##0.00%\);_(* &quot;-&quot;?_);_(* @_)"/>
    <numFmt numFmtId="171" formatCode="_(* #,##0%_);_(* \(#,##0%\);_(* &quot;-&quot;?_);_(* @_)"/>
    <numFmt numFmtId="172" formatCode="0.0\x"/>
    <numFmt numFmtId="173" formatCode="[$-409]mmm\-yy;@"/>
    <numFmt numFmtId="174" formatCode="_(* #,##0.000_);_(* \(#,##0.000\);_(* &quot;-&quot;??_);_(@_)"/>
    <numFmt numFmtId="175" formatCode="[$-409]mmm\-dd\-yyyy;@"/>
    <numFmt numFmtId="176" formatCode="0.00\%"/>
  </numFmts>
  <fonts count="143">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u/>
      <sz val="11"/>
      <color theme="1"/>
      <name val="Calibri"/>
      <family val="2"/>
      <scheme val="minor"/>
    </font>
    <font>
      <i/>
      <sz val="11"/>
      <color theme="1"/>
      <name val="Calibri"/>
      <family val="2"/>
      <scheme val="minor"/>
    </font>
    <font>
      <u val="singleAccounting"/>
      <sz val="11"/>
      <color theme="1"/>
      <name val="Calibri"/>
      <family val="2"/>
      <scheme val="minor"/>
    </font>
    <font>
      <b/>
      <u val="singleAccounting"/>
      <sz val="11"/>
      <color theme="1"/>
      <name val="Calibri"/>
      <family val="2"/>
      <scheme val="minor"/>
    </font>
    <font>
      <sz val="11"/>
      <name val="Calibri"/>
      <family val="2"/>
      <scheme val="minor"/>
    </font>
    <font>
      <i/>
      <sz val="11"/>
      <name val="Calibri"/>
      <family val="2"/>
      <scheme val="minor"/>
    </font>
    <font>
      <b/>
      <sz val="11"/>
      <name val="Calibri"/>
      <family val="2"/>
      <scheme val="minor"/>
    </font>
    <font>
      <b/>
      <u val="singleAccounting"/>
      <sz val="11"/>
      <name val="Calibri"/>
      <family val="2"/>
      <scheme val="minor"/>
    </font>
    <font>
      <b/>
      <i/>
      <sz val="11"/>
      <name val="Calibri"/>
      <family val="2"/>
      <scheme val="minor"/>
    </font>
    <font>
      <u val="singleAccounting"/>
      <sz val="11"/>
      <name val="Calibri"/>
      <family val="2"/>
      <scheme val="minor"/>
    </font>
    <font>
      <i/>
      <u val="singleAccounting"/>
      <sz val="11"/>
      <name val="Calibri"/>
      <family val="2"/>
      <scheme val="minor"/>
    </font>
    <font>
      <u val="singleAccounting"/>
      <sz val="11"/>
      <color rgb="FFFF0000"/>
      <name val="Calibri"/>
      <family val="2"/>
      <scheme val="minor"/>
    </font>
    <font>
      <i/>
      <sz val="11"/>
      <color rgb="FFFF0000"/>
      <name val="Calibri"/>
      <family val="2"/>
      <scheme val="minor"/>
    </font>
    <font>
      <sz val="9"/>
      <name val="Calibri"/>
      <family val="2"/>
      <scheme val="minor"/>
    </font>
    <font>
      <sz val="9"/>
      <color theme="1"/>
      <name val="Calibri"/>
      <family val="2"/>
      <scheme val="minor"/>
    </font>
    <font>
      <i/>
      <sz val="9"/>
      <color theme="1"/>
      <name val="Calibri"/>
      <family val="2"/>
      <scheme val="minor"/>
    </font>
    <font>
      <b/>
      <sz val="9"/>
      <color theme="1"/>
      <name val="Calibri"/>
      <family val="2"/>
      <scheme val="minor"/>
    </font>
    <font>
      <i/>
      <sz val="9"/>
      <name val="Calibri"/>
      <family val="2"/>
      <scheme val="minor"/>
    </font>
    <font>
      <sz val="9"/>
      <color theme="0"/>
      <name val="Calibri"/>
      <family val="2"/>
      <scheme val="minor"/>
    </font>
    <font>
      <b/>
      <u val="singleAccounting"/>
      <sz val="9"/>
      <color theme="1"/>
      <name val="Calibri"/>
      <family val="2"/>
      <scheme val="minor"/>
    </font>
    <font>
      <b/>
      <u/>
      <sz val="9"/>
      <color theme="1"/>
      <name val="Calibri"/>
      <family val="2"/>
      <scheme val="minor"/>
    </font>
    <font>
      <b/>
      <i/>
      <sz val="9"/>
      <color theme="1"/>
      <name val="Calibri"/>
      <family val="2"/>
      <scheme val="minor"/>
    </font>
    <font>
      <sz val="9"/>
      <color rgb="FF00B050"/>
      <name val="Calibri"/>
      <family val="2"/>
      <scheme val="minor"/>
    </font>
    <font>
      <i/>
      <sz val="9"/>
      <color rgb="FF0070C0"/>
      <name val="Calibri"/>
      <family val="2"/>
      <scheme val="minor"/>
    </font>
    <font>
      <u val="singleAccounting"/>
      <sz val="9"/>
      <name val="Calibri"/>
      <family val="2"/>
      <scheme val="minor"/>
    </font>
    <font>
      <u val="singleAccounting"/>
      <sz val="9"/>
      <color rgb="FF0000FF"/>
      <name val="Calibri"/>
      <family val="2"/>
      <scheme val="minor"/>
    </font>
    <font>
      <u val="singleAccounting"/>
      <sz val="9"/>
      <color theme="1"/>
      <name val="Calibri"/>
      <family val="2"/>
      <scheme val="minor"/>
    </font>
    <font>
      <i/>
      <sz val="9"/>
      <color rgb="FFFF0000"/>
      <name val="Calibri"/>
      <family val="2"/>
      <scheme val="minor"/>
    </font>
    <font>
      <b/>
      <sz val="9"/>
      <name val="Calibri"/>
      <family val="2"/>
      <scheme val="minor"/>
    </font>
    <font>
      <sz val="9"/>
      <color theme="0" tint="-0.14999847407452621"/>
      <name val="Calibri"/>
      <family val="2"/>
      <scheme val="minor"/>
    </font>
    <font>
      <b/>
      <sz val="9"/>
      <color theme="0" tint="-0.14999847407452621"/>
      <name val="Calibri"/>
      <family val="2"/>
      <scheme val="minor"/>
    </font>
    <font>
      <sz val="9"/>
      <color rgb="FF364453"/>
      <name val="Arial"/>
      <family val="2"/>
    </font>
    <font>
      <b/>
      <i/>
      <sz val="11"/>
      <color theme="1"/>
      <name val="Calibri"/>
      <family val="2"/>
      <scheme val="minor"/>
    </font>
    <font>
      <i/>
      <u/>
      <sz val="11"/>
      <color theme="1"/>
      <name val="Calibri"/>
      <family val="2"/>
      <scheme val="minor"/>
    </font>
    <font>
      <sz val="9"/>
      <color rgb="FFFF0000"/>
      <name val="Calibri"/>
      <family val="2"/>
      <scheme val="minor"/>
    </font>
    <font>
      <u val="singleAccounting"/>
      <sz val="9"/>
      <color rgb="FFFF0000"/>
      <name val="Calibri"/>
      <family val="2"/>
      <scheme val="minor"/>
    </font>
    <font>
      <b/>
      <sz val="26"/>
      <color theme="1"/>
      <name val="Calibri"/>
      <family val="2"/>
      <scheme val="minor"/>
    </font>
    <font>
      <i/>
      <sz val="11"/>
      <color rgb="FF0070C0"/>
      <name val="Calibri"/>
      <family val="2"/>
      <scheme val="minor"/>
    </font>
    <font>
      <u/>
      <sz val="11"/>
      <color rgb="FFFF0000"/>
      <name val="Calibri"/>
      <family val="2"/>
      <scheme val="minor"/>
    </font>
    <font>
      <u/>
      <sz val="11"/>
      <color theme="10"/>
      <name val="Calibri"/>
      <family val="2"/>
      <scheme val="minor"/>
    </font>
    <font>
      <sz val="17"/>
      <color rgb="FF212121"/>
      <name val="Karla"/>
    </font>
    <font>
      <sz val="11"/>
      <color theme="0" tint="-0.14999847407452621"/>
      <name val="Calibri"/>
      <family val="2"/>
      <scheme val="minor"/>
    </font>
    <font>
      <sz val="26"/>
      <color rgb="FF212121"/>
      <name val="Karla"/>
    </font>
    <font>
      <i/>
      <u/>
      <sz val="11"/>
      <color theme="10"/>
      <name val="Calibri"/>
      <family val="2"/>
      <scheme val="minor"/>
    </font>
    <font>
      <sz val="11"/>
      <color rgb="FF0070C0"/>
      <name val="Calibri"/>
      <family val="2"/>
      <scheme val="minor"/>
    </font>
    <font>
      <b/>
      <sz val="11"/>
      <color rgb="FF0070C0"/>
      <name val="Calibri"/>
      <family val="2"/>
      <scheme val="minor"/>
    </font>
    <font>
      <u val="singleAccounting"/>
      <sz val="11"/>
      <color rgb="FF0070C0"/>
      <name val="Calibri"/>
      <family val="2"/>
      <scheme val="minor"/>
    </font>
    <font>
      <sz val="11"/>
      <name val="Arial"/>
      <family val="2"/>
    </font>
    <font>
      <i/>
      <sz val="11"/>
      <name val="Arial"/>
      <family val="2"/>
    </font>
    <font>
      <u/>
      <sz val="11"/>
      <name val="Calibri"/>
      <family val="2"/>
      <scheme val="minor"/>
    </font>
    <font>
      <b/>
      <sz val="9"/>
      <color theme="0"/>
      <name val="Calibri"/>
      <family val="2"/>
      <scheme val="minor"/>
    </font>
    <font>
      <b/>
      <sz val="11"/>
      <name val="Arial"/>
      <family val="2"/>
    </font>
    <font>
      <i/>
      <sz val="11"/>
      <color theme="1"/>
      <name val="Arial"/>
      <family val="2"/>
    </font>
    <font>
      <b/>
      <u/>
      <sz val="11"/>
      <name val="Arial"/>
      <family val="2"/>
    </font>
    <font>
      <i/>
      <sz val="9"/>
      <color rgb="FF00B050"/>
      <name val="Calibri"/>
      <family val="2"/>
      <scheme val="minor"/>
    </font>
    <font>
      <u/>
      <sz val="9"/>
      <color theme="1"/>
      <name val="Calibri"/>
      <family val="2"/>
      <scheme val="minor"/>
    </font>
    <font>
      <sz val="10"/>
      <name val="Arial"/>
      <family val="2"/>
    </font>
    <font>
      <b/>
      <sz val="10"/>
      <name val="Arial"/>
      <family val="2"/>
    </font>
    <font>
      <i/>
      <sz val="10"/>
      <name val="Arial"/>
      <family val="2"/>
    </font>
    <font>
      <b/>
      <i/>
      <sz val="10"/>
      <name val="Arial"/>
      <family val="2"/>
    </font>
    <font>
      <b/>
      <u val="singleAccounting"/>
      <sz val="10"/>
      <color theme="1"/>
      <name val="Arial"/>
      <family val="2"/>
    </font>
    <font>
      <u/>
      <sz val="10"/>
      <name val="Arial"/>
      <family val="2"/>
    </font>
    <font>
      <sz val="10"/>
      <color theme="1"/>
      <name val="Calibri"/>
      <family val="2"/>
      <scheme val="minor"/>
    </font>
    <font>
      <i/>
      <sz val="10"/>
      <color theme="1"/>
      <name val="Calibri"/>
      <family val="2"/>
      <scheme val="minor"/>
    </font>
    <font>
      <u val="singleAccounting"/>
      <sz val="10"/>
      <name val="Arial"/>
      <family val="2"/>
    </font>
    <font>
      <i/>
      <sz val="10"/>
      <name val="Airal"/>
    </font>
    <font>
      <i/>
      <u/>
      <sz val="10"/>
      <name val="Arial"/>
      <family val="2"/>
    </font>
    <font>
      <i/>
      <u val="singleAccounting"/>
      <sz val="10"/>
      <name val="Airal"/>
    </font>
    <font>
      <i/>
      <u val="singleAccounting"/>
      <sz val="10"/>
      <color theme="1"/>
      <name val="Arial"/>
      <family val="2"/>
    </font>
    <font>
      <b/>
      <u/>
      <sz val="10"/>
      <name val="Arial"/>
      <family val="2"/>
    </font>
    <font>
      <sz val="10"/>
      <color theme="1"/>
      <name val="Arial"/>
      <family val="2"/>
    </font>
    <font>
      <i/>
      <sz val="10"/>
      <color theme="1"/>
      <name val="Arial"/>
      <family val="2"/>
    </font>
    <font>
      <b/>
      <sz val="10"/>
      <color theme="1"/>
      <name val="Arial"/>
      <family val="2"/>
    </font>
    <font>
      <sz val="10"/>
      <color theme="0"/>
      <name val="Arial"/>
      <family val="2"/>
    </font>
    <font>
      <b/>
      <u/>
      <sz val="10"/>
      <color theme="1"/>
      <name val="Arial"/>
      <family val="2"/>
    </font>
    <font>
      <u val="singleAccounting"/>
      <sz val="10"/>
      <color theme="1"/>
      <name val="Arial"/>
      <family val="2"/>
    </font>
    <font>
      <sz val="12"/>
      <name val="Calibri"/>
      <family val="2"/>
      <scheme val="minor"/>
    </font>
    <font>
      <sz val="12"/>
      <color theme="1"/>
      <name val="Calibri"/>
      <family val="2"/>
      <scheme val="minor"/>
    </font>
    <font>
      <i/>
      <sz val="12"/>
      <name val="Calibri"/>
      <family val="2"/>
      <scheme val="minor"/>
    </font>
    <font>
      <b/>
      <sz val="12"/>
      <name val="Calibri"/>
      <family val="2"/>
      <scheme val="minor"/>
    </font>
    <font>
      <i/>
      <sz val="12"/>
      <color theme="1"/>
      <name val="Calibri"/>
      <family val="2"/>
      <scheme val="minor"/>
    </font>
    <font>
      <b/>
      <u val="singleAccounting"/>
      <sz val="12"/>
      <name val="Calibri"/>
      <family val="2"/>
      <scheme val="minor"/>
    </font>
    <font>
      <b/>
      <u val="singleAccounting"/>
      <sz val="12"/>
      <color theme="1"/>
      <name val="Calibri"/>
      <family val="2"/>
      <scheme val="minor"/>
    </font>
    <font>
      <u/>
      <sz val="12"/>
      <name val="Calibri"/>
      <family val="2"/>
      <scheme val="minor"/>
    </font>
    <font>
      <i/>
      <u val="singleAccounting"/>
      <sz val="12"/>
      <name val="Calibri"/>
      <family val="2"/>
      <scheme val="minor"/>
    </font>
    <font>
      <u val="singleAccounting"/>
      <sz val="12"/>
      <name val="Calibri"/>
      <family val="2"/>
      <scheme val="minor"/>
    </font>
    <font>
      <u val="singleAccounting"/>
      <sz val="12"/>
      <color theme="1"/>
      <name val="Calibri"/>
      <family val="2"/>
      <scheme val="minor"/>
    </font>
    <font>
      <i/>
      <u/>
      <sz val="12"/>
      <name val="Calibri"/>
      <family val="2"/>
      <scheme val="minor"/>
    </font>
    <font>
      <i/>
      <u val="singleAccounting"/>
      <sz val="12"/>
      <color theme="1"/>
      <name val="Calibri"/>
      <family val="2"/>
      <scheme val="minor"/>
    </font>
    <font>
      <b/>
      <i/>
      <sz val="12"/>
      <color theme="1"/>
      <name val="Calibri"/>
      <family val="2"/>
      <scheme val="minor"/>
    </font>
    <font>
      <i/>
      <sz val="12"/>
      <color rgb="FFFF0000"/>
      <name val="Calibri"/>
      <family val="2"/>
      <scheme val="minor"/>
    </font>
    <font>
      <b/>
      <sz val="12"/>
      <color theme="1"/>
      <name val="Calibri"/>
      <family val="2"/>
      <scheme val="minor"/>
    </font>
    <font>
      <u val="singleAccounting"/>
      <sz val="12"/>
      <color rgb="FFFF0000"/>
      <name val="Calibri"/>
      <family val="2"/>
      <scheme val="minor"/>
    </font>
    <font>
      <sz val="12"/>
      <color rgb="FF00B050"/>
      <name val="Calibri"/>
      <family val="2"/>
      <scheme val="minor"/>
    </font>
    <font>
      <sz val="12"/>
      <color rgb="FFFF0000"/>
      <name val="Calibri"/>
      <family val="2"/>
      <scheme val="minor"/>
    </font>
    <font>
      <b/>
      <u/>
      <sz val="12"/>
      <color theme="1"/>
      <name val="Calibri"/>
      <family val="2"/>
      <scheme val="minor"/>
    </font>
    <font>
      <i/>
      <u/>
      <sz val="12"/>
      <color theme="1"/>
      <name val="Calibri"/>
      <family val="2"/>
      <scheme val="minor"/>
    </font>
    <font>
      <sz val="10"/>
      <name val="Calibri"/>
      <family val="2"/>
      <scheme val="minor"/>
    </font>
    <font>
      <sz val="10"/>
      <color indexed="9"/>
      <name val="Arial"/>
      <family val="2"/>
    </font>
    <font>
      <b/>
      <u val="singleAccounting"/>
      <sz val="10"/>
      <name val="Arial"/>
      <family val="2"/>
    </font>
    <font>
      <b/>
      <sz val="11"/>
      <color indexed="8"/>
      <name val="Calibri"/>
      <family val="2"/>
      <scheme val="minor"/>
    </font>
    <font>
      <sz val="14"/>
      <name val="Calibri"/>
      <family val="2"/>
      <scheme val="minor"/>
    </font>
    <font>
      <sz val="14"/>
      <color theme="1"/>
      <name val="Calibri"/>
      <family val="2"/>
      <scheme val="minor"/>
    </font>
    <font>
      <i/>
      <sz val="14"/>
      <name val="Calibri"/>
      <family val="2"/>
      <scheme val="minor"/>
    </font>
    <font>
      <b/>
      <sz val="14"/>
      <name val="Calibri"/>
      <family val="2"/>
      <scheme val="minor"/>
    </font>
    <font>
      <i/>
      <sz val="14"/>
      <color theme="1"/>
      <name val="Calibri"/>
      <family val="2"/>
      <scheme val="minor"/>
    </font>
    <font>
      <b/>
      <u/>
      <sz val="14"/>
      <name val="Calibri"/>
      <family val="2"/>
      <scheme val="minor"/>
    </font>
    <font>
      <b/>
      <u val="singleAccounting"/>
      <sz val="14"/>
      <name val="Calibri"/>
      <family val="2"/>
      <scheme val="minor"/>
    </font>
    <font>
      <b/>
      <u val="singleAccounting"/>
      <sz val="14"/>
      <color theme="1"/>
      <name val="Calibri"/>
      <family val="2"/>
      <scheme val="minor"/>
    </font>
    <font>
      <u/>
      <sz val="14"/>
      <name val="Calibri"/>
      <family val="2"/>
      <scheme val="minor"/>
    </font>
    <font>
      <i/>
      <u val="singleAccounting"/>
      <sz val="14"/>
      <name val="Calibri"/>
      <family val="2"/>
      <scheme val="minor"/>
    </font>
    <font>
      <u val="singleAccounting"/>
      <sz val="14"/>
      <name val="Calibri"/>
      <family val="2"/>
      <scheme val="minor"/>
    </font>
    <font>
      <u val="singleAccounting"/>
      <sz val="14"/>
      <color theme="1"/>
      <name val="Calibri"/>
      <family val="2"/>
      <scheme val="minor"/>
    </font>
    <font>
      <i/>
      <u/>
      <sz val="14"/>
      <name val="Calibri"/>
      <family val="2"/>
      <scheme val="minor"/>
    </font>
    <font>
      <sz val="14"/>
      <name val="Arial"/>
      <family val="2"/>
    </font>
    <font>
      <u/>
      <sz val="14"/>
      <name val="Arial"/>
      <family val="2"/>
    </font>
    <font>
      <i/>
      <u val="singleAccounting"/>
      <sz val="14"/>
      <color theme="1"/>
      <name val="Calibri"/>
      <family val="2"/>
      <scheme val="minor"/>
    </font>
    <font>
      <b/>
      <i/>
      <u/>
      <sz val="14"/>
      <name val="Calibri"/>
      <family val="2"/>
      <scheme val="minor"/>
    </font>
    <font>
      <b/>
      <i/>
      <sz val="14"/>
      <name val="Calibri"/>
      <family val="2"/>
      <scheme val="minor"/>
    </font>
    <font>
      <b/>
      <i/>
      <sz val="14"/>
      <color theme="1"/>
      <name val="Calibri"/>
      <family val="2"/>
      <scheme val="minor"/>
    </font>
    <font>
      <i/>
      <sz val="14"/>
      <color rgb="FFFF0000"/>
      <name val="Calibri"/>
      <family val="2"/>
      <scheme val="minor"/>
    </font>
    <font>
      <b/>
      <sz val="14"/>
      <color theme="1"/>
      <name val="Calibri"/>
      <family val="2"/>
      <scheme val="minor"/>
    </font>
    <font>
      <i/>
      <sz val="14"/>
      <name val="Arial"/>
      <family val="2"/>
    </font>
    <font>
      <u val="singleAccounting"/>
      <sz val="14"/>
      <color rgb="FFFF0000"/>
      <name val="Calibri"/>
      <family val="2"/>
      <scheme val="minor"/>
    </font>
    <font>
      <i/>
      <u val="singleAccounting"/>
      <sz val="14"/>
      <color rgb="FFFF0000"/>
      <name val="Calibri"/>
      <family val="2"/>
      <scheme val="minor"/>
    </font>
    <font>
      <sz val="14"/>
      <color rgb="FF00B050"/>
      <name val="Calibri"/>
      <family val="2"/>
      <scheme val="minor"/>
    </font>
    <font>
      <sz val="14"/>
      <color rgb="FFFF0000"/>
      <name val="Calibri"/>
      <family val="2"/>
      <scheme val="minor"/>
    </font>
    <font>
      <b/>
      <u/>
      <sz val="14"/>
      <color theme="1"/>
      <name val="Calibri"/>
      <family val="2"/>
      <scheme val="minor"/>
    </font>
    <font>
      <u/>
      <sz val="12"/>
      <color theme="1"/>
      <name val="Calibri"/>
      <family val="2"/>
      <scheme val="minor"/>
    </font>
    <font>
      <sz val="12"/>
      <color rgb="FF0070C0"/>
      <name val="Calibri"/>
      <family val="2"/>
      <scheme val="minor"/>
    </font>
    <font>
      <i/>
      <sz val="12"/>
      <color rgb="FF0070C0"/>
      <name val="Calibri"/>
      <family val="2"/>
      <scheme val="minor"/>
    </font>
    <font>
      <b/>
      <i/>
      <sz val="12"/>
      <color rgb="FFFF0000"/>
      <name val="Calibri"/>
      <family val="2"/>
      <scheme val="minor"/>
    </font>
    <font>
      <i/>
      <u/>
      <sz val="14"/>
      <color theme="1"/>
      <name val="Calibri"/>
      <family val="2"/>
      <scheme val="minor"/>
    </font>
    <font>
      <u/>
      <sz val="12"/>
      <color rgb="FFFF0000"/>
      <name val="Calibri"/>
      <family val="2"/>
      <scheme val="minor"/>
    </font>
    <font>
      <b/>
      <sz val="12"/>
      <color rgb="FFFF0000"/>
      <name val="Calibri"/>
      <family val="2"/>
      <scheme val="minor"/>
    </font>
    <font>
      <sz val="12"/>
      <color theme="0" tint="-0.499984740745262"/>
      <name val="Calibri"/>
      <family val="2"/>
      <scheme val="minor"/>
    </font>
    <font>
      <sz val="11"/>
      <color theme="0"/>
      <name val="Calibri"/>
      <family val="2"/>
      <scheme val="minor"/>
    </font>
    <font>
      <i/>
      <u val="singleAccounting"/>
      <sz val="11"/>
      <color theme="1"/>
      <name val="Calibri"/>
      <family val="2"/>
      <scheme val="minor"/>
    </font>
  </fonts>
  <fills count="10">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5"/>
        <bgColor indexed="64"/>
      </patternFill>
    </fill>
    <fill>
      <patternFill patternType="solid">
        <fgColor theme="0" tint="-0.3499862666707357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auto="1"/>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44" fillId="0" borderId="0" applyNumberFormat="0" applyFill="0" applyBorder="0" applyAlignment="0" applyProtection="0"/>
    <xf numFmtId="0" fontId="61" fillId="0" borderId="0">
      <alignment vertical="center"/>
    </xf>
  </cellStyleXfs>
  <cellXfs count="653">
    <xf numFmtId="0" fontId="0" fillId="0" borderId="0" xfId="0"/>
    <xf numFmtId="0" fontId="3" fillId="0" borderId="2" xfId="0" applyFont="1" applyBorder="1"/>
    <xf numFmtId="0" fontId="3" fillId="0" borderId="0" xfId="0" applyFont="1"/>
    <xf numFmtId="0" fontId="4" fillId="0" borderId="0" xfId="0" applyFont="1"/>
    <xf numFmtId="0" fontId="5" fillId="0" borderId="0" xfId="0" applyFont="1"/>
    <xf numFmtId="0" fontId="0" fillId="0" borderId="0" xfId="0" applyAlignment="1">
      <alignment horizontal="left" indent="1"/>
    </xf>
    <xf numFmtId="0" fontId="3" fillId="0" borderId="0" xfId="0" applyFont="1" applyAlignment="1">
      <alignment horizontal="left" indent="1"/>
    </xf>
    <xf numFmtId="9" fontId="6" fillId="0" borderId="0" xfId="2" applyFont="1"/>
    <xf numFmtId="164" fontId="0" fillId="0" borderId="0" xfId="2" applyNumberFormat="1" applyFont="1"/>
    <xf numFmtId="166" fontId="0" fillId="0" borderId="0" xfId="1" applyNumberFormat="1" applyFont="1"/>
    <xf numFmtId="166" fontId="5" fillId="0" borderId="0" xfId="1" applyNumberFormat="1" applyFont="1"/>
    <xf numFmtId="166" fontId="3" fillId="0" borderId="0" xfId="1" applyNumberFormat="1" applyFont="1"/>
    <xf numFmtId="0" fontId="7" fillId="0" borderId="0" xfId="0" applyFont="1"/>
    <xf numFmtId="166" fontId="7" fillId="0" borderId="0" xfId="1" applyNumberFormat="1" applyFont="1"/>
    <xf numFmtId="9" fontId="0" fillId="0" borderId="0" xfId="0" applyNumberFormat="1"/>
    <xf numFmtId="0" fontId="0" fillId="0" borderId="3" xfId="0" applyBorder="1"/>
    <xf numFmtId="1" fontId="8" fillId="0" borderId="0" xfId="0" applyNumberFormat="1" applyFont="1" applyAlignment="1">
      <alignment horizontal="center"/>
    </xf>
    <xf numFmtId="166" fontId="0" fillId="0" borderId="0" xfId="0" applyNumberFormat="1"/>
    <xf numFmtId="0" fontId="9" fillId="0" borderId="0" xfId="0" applyFont="1"/>
    <xf numFmtId="14" fontId="10" fillId="0" borderId="0" xfId="0" applyNumberFormat="1" applyFont="1"/>
    <xf numFmtId="0" fontId="11" fillId="0" borderId="0" xfId="0" applyFont="1"/>
    <xf numFmtId="14" fontId="9" fillId="0" borderId="0" xfId="0" applyNumberFormat="1" applyFont="1" applyAlignment="1">
      <alignment horizontal="center"/>
    </xf>
    <xf numFmtId="0" fontId="6" fillId="0" borderId="4" xfId="0" applyFont="1" applyBorder="1"/>
    <xf numFmtId="0" fontId="9" fillId="0" borderId="4" xfId="0" applyFont="1" applyBorder="1"/>
    <xf numFmtId="0" fontId="12" fillId="0" borderId="0" xfId="0" applyFont="1" applyAlignment="1">
      <alignment horizontal="centerContinuous"/>
    </xf>
    <xf numFmtId="167" fontId="13" fillId="0" borderId="0" xfId="0" applyNumberFormat="1" applyFont="1"/>
    <xf numFmtId="166" fontId="3" fillId="0" borderId="0" xfId="0" applyNumberFormat="1" applyFont="1"/>
    <xf numFmtId="167" fontId="10" fillId="0" borderId="0" xfId="0" applyNumberFormat="1" applyFont="1"/>
    <xf numFmtId="167" fontId="15" fillId="0" borderId="0" xfId="0" applyNumberFormat="1" applyFont="1"/>
    <xf numFmtId="0" fontId="6" fillId="0" borderId="0" xfId="0" applyFont="1"/>
    <xf numFmtId="165" fontId="0" fillId="0" borderId="0" xfId="0" applyNumberFormat="1"/>
    <xf numFmtId="167" fontId="17" fillId="0" borderId="0" xfId="0" applyNumberFormat="1" applyFont="1"/>
    <xf numFmtId="166" fontId="9" fillId="0" borderId="0" xfId="1" applyNumberFormat="1" applyFont="1"/>
    <xf numFmtId="167" fontId="14" fillId="0" borderId="0" xfId="0" applyNumberFormat="1" applyFont="1"/>
    <xf numFmtId="0" fontId="18" fillId="0" borderId="0" xfId="0" applyFont="1"/>
    <xf numFmtId="0" fontId="19" fillId="0" borderId="0" xfId="0" applyFont="1"/>
    <xf numFmtId="14" fontId="19" fillId="0" borderId="0" xfId="0" applyNumberFormat="1" applyFont="1" applyAlignment="1">
      <alignment horizontal="center"/>
    </xf>
    <xf numFmtId="14" fontId="20" fillId="0" borderId="0" xfId="0" applyNumberFormat="1" applyFont="1" applyAlignment="1">
      <alignment horizontal="center"/>
    </xf>
    <xf numFmtId="0" fontId="21" fillId="0" borderId="6" xfId="0" applyFont="1" applyBorder="1"/>
    <xf numFmtId="0" fontId="19" fillId="0" borderId="6" xfId="0" applyFont="1" applyBorder="1"/>
    <xf numFmtId="0" fontId="22" fillId="0" borderId="0" xfId="0" applyFont="1"/>
    <xf numFmtId="14" fontId="23" fillId="0" borderId="0" xfId="0" applyNumberFormat="1" applyFont="1"/>
    <xf numFmtId="0" fontId="20" fillId="0" borderId="0" xfId="0" applyFont="1"/>
    <xf numFmtId="0" fontId="24" fillId="0" borderId="7" xfId="0" applyFont="1" applyBorder="1" applyAlignment="1">
      <alignment horizontal="centerContinuous"/>
    </xf>
    <xf numFmtId="0" fontId="24" fillId="0" borderId="0" xfId="0" applyFont="1" applyAlignment="1">
      <alignment horizontal="centerContinuous"/>
    </xf>
    <xf numFmtId="0" fontId="24" fillId="0" borderId="0" xfId="0" applyFont="1" applyAlignment="1">
      <alignment horizontal="center"/>
    </xf>
    <xf numFmtId="0" fontId="21" fillId="0" borderId="2" xfId="0" applyFont="1" applyBorder="1"/>
    <xf numFmtId="0" fontId="25" fillId="0" borderId="0" xfId="0" applyFont="1"/>
    <xf numFmtId="0" fontId="21" fillId="0" borderId="0" xfId="0" applyFont="1" applyAlignment="1">
      <alignment horizontal="left" indent="1"/>
    </xf>
    <xf numFmtId="0" fontId="21" fillId="0" borderId="0" xfId="0" applyFont="1"/>
    <xf numFmtId="5" fontId="18" fillId="0" borderId="0" xfId="0" applyNumberFormat="1" applyFont="1"/>
    <xf numFmtId="0" fontId="20" fillId="0" borderId="0" xfId="0" applyFont="1" applyAlignment="1">
      <alignment horizontal="left" indent="1"/>
    </xf>
    <xf numFmtId="167" fontId="22" fillId="0" borderId="0" xfId="0" applyNumberFormat="1" applyFont="1"/>
    <xf numFmtId="166" fontId="27" fillId="0" borderId="0" xfId="1" applyNumberFormat="1" applyFont="1" applyBorder="1"/>
    <xf numFmtId="166" fontId="18" fillId="0" borderId="0" xfId="1" applyNumberFormat="1" applyFont="1"/>
    <xf numFmtId="166" fontId="18" fillId="0" borderId="0" xfId="1" applyNumberFormat="1" applyFont="1" applyBorder="1"/>
    <xf numFmtId="167" fontId="20" fillId="0" borderId="0" xfId="0" applyNumberFormat="1" applyFont="1"/>
    <xf numFmtId="167" fontId="28" fillId="0" borderId="0" xfId="0" applyNumberFormat="1" applyFont="1"/>
    <xf numFmtId="166" fontId="19" fillId="0" borderId="0" xfId="1" applyNumberFormat="1" applyFont="1"/>
    <xf numFmtId="167" fontId="20" fillId="2" borderId="1" xfId="0" applyNumberFormat="1" applyFont="1" applyFill="1" applyBorder="1"/>
    <xf numFmtId="7" fontId="18" fillId="0" borderId="0" xfId="0" applyNumberFormat="1" applyFont="1"/>
    <xf numFmtId="41" fontId="29" fillId="0" borderId="0" xfId="0" applyNumberFormat="1" applyFont="1"/>
    <xf numFmtId="6" fontId="19" fillId="0" borderId="0" xfId="0" applyNumberFormat="1" applyFont="1" applyAlignment="1">
      <alignment horizontal="left" indent="1"/>
    </xf>
    <xf numFmtId="6" fontId="19" fillId="0" borderId="0" xfId="0" applyNumberFormat="1" applyFont="1"/>
    <xf numFmtId="168" fontId="20" fillId="0" borderId="0" xfId="0" applyNumberFormat="1" applyFont="1"/>
    <xf numFmtId="0" fontId="19" fillId="0" borderId="0" xfId="0" applyFont="1" applyAlignment="1">
      <alignment horizontal="left" indent="1"/>
    </xf>
    <xf numFmtId="0" fontId="20" fillId="0" borderId="0" xfId="0" applyFont="1" applyAlignment="1">
      <alignment horizontal="left" indent="2"/>
    </xf>
    <xf numFmtId="167" fontId="26" fillId="0" borderId="1" xfId="0" applyNumberFormat="1" applyFont="1" applyBorder="1"/>
    <xf numFmtId="168" fontId="18" fillId="0" borderId="0" xfId="0" applyNumberFormat="1" applyFont="1"/>
    <xf numFmtId="0" fontId="18" fillId="0" borderId="3" xfId="0" applyFont="1" applyBorder="1"/>
    <xf numFmtId="168" fontId="30" fillId="0" borderId="0" xfId="0" applyNumberFormat="1" applyFont="1"/>
    <xf numFmtId="0" fontId="21" fillId="3" borderId="2" xfId="0" applyFont="1" applyFill="1" applyBorder="1" applyAlignment="1">
      <alignment horizontal="left" indent="1"/>
    </xf>
    <xf numFmtId="0" fontId="21" fillId="3" borderId="5" xfId="0" applyFont="1" applyFill="1" applyBorder="1"/>
    <xf numFmtId="9" fontId="21" fillId="3" borderId="3" xfId="0" applyNumberFormat="1" applyFont="1" applyFill="1" applyBorder="1"/>
    <xf numFmtId="4" fontId="18" fillId="0" borderId="0" xfId="0" applyNumberFormat="1" applyFont="1"/>
    <xf numFmtId="0" fontId="21" fillId="0" borderId="2" xfId="0" applyFont="1" applyBorder="1" applyAlignment="1">
      <alignment horizontal="centerContinuous"/>
    </xf>
    <xf numFmtId="0" fontId="21" fillId="0" borderId="5" xfId="0" applyFont="1" applyBorder="1" applyAlignment="1">
      <alignment horizontal="centerContinuous"/>
    </xf>
    <xf numFmtId="9" fontId="21" fillId="0" borderId="5" xfId="0" applyNumberFormat="1" applyFont="1" applyBorder="1"/>
    <xf numFmtId="9" fontId="21" fillId="0" borderId="3" xfId="0" applyNumberFormat="1" applyFont="1" applyBorder="1"/>
    <xf numFmtId="0" fontId="25" fillId="0" borderId="0" xfId="0" applyFont="1" applyAlignment="1">
      <alignment horizontal="right"/>
    </xf>
    <xf numFmtId="8" fontId="18" fillId="0" borderId="0" xfId="0" applyNumberFormat="1" applyFont="1"/>
    <xf numFmtId="8" fontId="19" fillId="0" borderId="0" xfId="0" applyNumberFormat="1" applyFont="1"/>
    <xf numFmtId="166" fontId="29" fillId="0" borderId="0" xfId="1" applyNumberFormat="1" applyFont="1" applyBorder="1"/>
    <xf numFmtId="43" fontId="31" fillId="0" borderId="0" xfId="1" applyFont="1" applyBorder="1"/>
    <xf numFmtId="1" fontId="28" fillId="0" borderId="0" xfId="0" applyNumberFormat="1" applyFont="1"/>
    <xf numFmtId="10" fontId="19" fillId="0" borderId="0" xfId="0" applyNumberFormat="1" applyFont="1"/>
    <xf numFmtId="43" fontId="19" fillId="0" borderId="0" xfId="0" applyNumberFormat="1" applyFont="1"/>
    <xf numFmtId="43" fontId="31" fillId="0" borderId="0" xfId="0" applyNumberFormat="1" applyFont="1"/>
    <xf numFmtId="16" fontId="19" fillId="0" borderId="0" xfId="0" applyNumberFormat="1" applyFont="1"/>
    <xf numFmtId="43" fontId="18" fillId="0" borderId="0" xfId="1" applyFont="1"/>
    <xf numFmtId="0" fontId="25" fillId="0" borderId="0" xfId="0" applyFont="1" applyAlignment="1">
      <alignment horizontal="left"/>
    </xf>
    <xf numFmtId="0" fontId="6" fillId="0" borderId="0" xfId="0" applyFont="1" applyAlignment="1">
      <alignment horizontal="left" indent="1"/>
    </xf>
    <xf numFmtId="43" fontId="18" fillId="0" borderId="0" xfId="0" applyNumberFormat="1" applyFont="1"/>
    <xf numFmtId="0" fontId="32" fillId="0" borderId="0" xfId="0" applyFont="1" applyAlignment="1">
      <alignment horizontal="right"/>
    </xf>
    <xf numFmtId="0" fontId="19" fillId="0" borderId="2" xfId="0" applyFont="1" applyBorder="1"/>
    <xf numFmtId="0" fontId="19" fillId="0" borderId="5" xfId="0" applyFont="1" applyBorder="1"/>
    <xf numFmtId="0" fontId="18" fillId="0" borderId="5" xfId="0" applyFont="1" applyBorder="1"/>
    <xf numFmtId="168" fontId="18" fillId="0" borderId="3" xfId="0" applyNumberFormat="1" applyFont="1" applyBorder="1"/>
    <xf numFmtId="2" fontId="19" fillId="0" borderId="0" xfId="0" applyNumberFormat="1" applyFont="1"/>
    <xf numFmtId="0" fontId="21" fillId="0" borderId="0" xfId="0" applyFont="1" applyAlignment="1">
      <alignment horizontal="right"/>
    </xf>
    <xf numFmtId="166" fontId="19" fillId="0" borderId="0" xfId="0" applyNumberFormat="1" applyFont="1"/>
    <xf numFmtId="0" fontId="33" fillId="0" borderId="2" xfId="0" applyFont="1" applyBorder="1" applyAlignment="1">
      <alignment horizontal="left"/>
    </xf>
    <xf numFmtId="0" fontId="21" fillId="0" borderId="5" xfId="0" applyFont="1" applyBorder="1" applyAlignment="1">
      <alignment horizontal="center"/>
    </xf>
    <xf numFmtId="14" fontId="34" fillId="0" borderId="0" xfId="0" applyNumberFormat="1" applyFont="1" applyAlignment="1">
      <alignment horizontal="left"/>
    </xf>
    <xf numFmtId="0" fontId="35" fillId="0" borderId="0" xfId="0" applyFont="1"/>
    <xf numFmtId="43" fontId="29" fillId="0" borderId="0" xfId="1" applyFont="1" applyBorder="1"/>
    <xf numFmtId="166" fontId="33" fillId="0" borderId="0" xfId="1" applyNumberFormat="1" applyFont="1"/>
    <xf numFmtId="43" fontId="33" fillId="0" borderId="0" xfId="1" applyFont="1"/>
    <xf numFmtId="0" fontId="22" fillId="0" borderId="0" xfId="0" applyFont="1" applyAlignment="1">
      <alignment horizontal="left" indent="1"/>
    </xf>
    <xf numFmtId="1" fontId="22" fillId="0" borderId="0" xfId="0" applyNumberFormat="1" applyFont="1"/>
    <xf numFmtId="3" fontId="36" fillId="0" borderId="0" xfId="0" applyNumberFormat="1" applyFont="1" applyAlignment="1">
      <alignment vertical="center"/>
    </xf>
    <xf numFmtId="166" fontId="6" fillId="0" borderId="0" xfId="1" applyNumberFormat="1" applyFont="1"/>
    <xf numFmtId="0" fontId="37" fillId="0" borderId="0" xfId="0" applyFont="1" applyAlignment="1">
      <alignment horizontal="left" indent="2"/>
    </xf>
    <xf numFmtId="166" fontId="0" fillId="0" borderId="0" xfId="1" applyNumberFormat="1" applyFont="1" applyFill="1"/>
    <xf numFmtId="166" fontId="3" fillId="0" borderId="0" xfId="1" applyNumberFormat="1" applyFont="1" applyFill="1"/>
    <xf numFmtId="43" fontId="0" fillId="0" borderId="0" xfId="0" applyNumberFormat="1"/>
    <xf numFmtId="0" fontId="6" fillId="0" borderId="0" xfId="0" applyFont="1" applyAlignment="1">
      <alignment horizontal="left" indent="2"/>
    </xf>
    <xf numFmtId="171" fontId="10" fillId="0" borderId="0" xfId="0" applyNumberFormat="1" applyFont="1"/>
    <xf numFmtId="167" fontId="32" fillId="0" borderId="0" xfId="0" applyNumberFormat="1" applyFont="1"/>
    <xf numFmtId="0" fontId="37" fillId="0" borderId="0" xfId="0" applyFont="1"/>
    <xf numFmtId="0" fontId="38" fillId="0" borderId="0" xfId="0" applyFont="1"/>
    <xf numFmtId="41" fontId="40" fillId="0" borderId="0" xfId="0" applyNumberFormat="1" applyFont="1"/>
    <xf numFmtId="168" fontId="40" fillId="0" borderId="0" xfId="0" applyNumberFormat="1" applyFont="1"/>
    <xf numFmtId="0" fontId="41" fillId="0" borderId="0" xfId="0" applyFont="1"/>
    <xf numFmtId="9" fontId="0" fillId="0" borderId="0" xfId="2" applyFont="1"/>
    <xf numFmtId="167" fontId="16" fillId="0" borderId="0" xfId="0" applyNumberFormat="1" applyFont="1"/>
    <xf numFmtId="0" fontId="3" fillId="0" borderId="6" xfId="0" applyFont="1" applyBorder="1"/>
    <xf numFmtId="0" fontId="0" fillId="0" borderId="6" xfId="0" applyBorder="1"/>
    <xf numFmtId="9" fontId="42" fillId="0" borderId="0" xfId="2" applyFont="1"/>
    <xf numFmtId="9" fontId="10" fillId="0" borderId="0" xfId="2" applyFont="1"/>
    <xf numFmtId="172" fontId="6" fillId="0" borderId="0" xfId="0" applyNumberFormat="1" applyFont="1"/>
    <xf numFmtId="0" fontId="19" fillId="0" borderId="0" xfId="0" applyFont="1" applyAlignment="1">
      <alignment horizontal="right"/>
    </xf>
    <xf numFmtId="166" fontId="38" fillId="0" borderId="0" xfId="1" applyNumberFormat="1" applyFont="1"/>
    <xf numFmtId="0" fontId="38" fillId="0" borderId="0" xfId="0" applyFont="1" applyAlignment="1">
      <alignment horizontal="left" indent="1"/>
    </xf>
    <xf numFmtId="166" fontId="37" fillId="0" borderId="0" xfId="1" applyNumberFormat="1" applyFont="1"/>
    <xf numFmtId="166" fontId="1" fillId="0" borderId="0" xfId="1" applyNumberFormat="1" applyFont="1"/>
    <xf numFmtId="166" fontId="43" fillId="0" borderId="0" xfId="1" applyNumberFormat="1" applyFont="1"/>
    <xf numFmtId="169" fontId="4" fillId="0" borderId="0" xfId="0" applyNumberFormat="1" applyFont="1"/>
    <xf numFmtId="43" fontId="22" fillId="0" borderId="0" xfId="0" applyNumberFormat="1" applyFont="1"/>
    <xf numFmtId="166" fontId="7" fillId="0" borderId="0" xfId="1" applyNumberFormat="1" applyFont="1" applyFill="1"/>
    <xf numFmtId="43" fontId="39" fillId="0" borderId="0" xfId="1" applyFont="1"/>
    <xf numFmtId="164" fontId="37" fillId="0" borderId="6" xfId="2" applyNumberFormat="1" applyFont="1" applyBorder="1"/>
    <xf numFmtId="0" fontId="44" fillId="0" borderId="0" xfId="3" applyAlignment="1">
      <alignment horizontal="left" vertical="center" wrapText="1" indent="1"/>
    </xf>
    <xf numFmtId="0" fontId="45" fillId="0" borderId="0" xfId="0" applyFont="1" applyAlignment="1">
      <alignment vertical="center" wrapText="1"/>
    </xf>
    <xf numFmtId="0" fontId="46" fillId="0" borderId="0" xfId="0" applyFont="1"/>
    <xf numFmtId="167" fontId="37" fillId="0" borderId="0" xfId="0" applyNumberFormat="1" applyFont="1"/>
    <xf numFmtId="0" fontId="47" fillId="0" borderId="0" xfId="0" applyFont="1" applyAlignment="1">
      <alignment vertical="center" wrapText="1"/>
    </xf>
    <xf numFmtId="0" fontId="44" fillId="0" borderId="0" xfId="3"/>
    <xf numFmtId="0" fontId="48" fillId="0" borderId="0" xfId="3" applyFont="1"/>
    <xf numFmtId="0" fontId="44" fillId="0" borderId="0" xfId="3" applyAlignment="1">
      <alignment horizontal="left"/>
    </xf>
    <xf numFmtId="166" fontId="0" fillId="0" borderId="0" xfId="1" applyNumberFormat="1" applyFont="1" applyAlignment="1">
      <alignment horizontal="right"/>
    </xf>
    <xf numFmtId="167" fontId="10" fillId="0" borderId="0" xfId="0" applyNumberFormat="1" applyFont="1" applyAlignment="1">
      <alignment horizontal="right"/>
    </xf>
    <xf numFmtId="173" fontId="8" fillId="0" borderId="0" xfId="0" applyNumberFormat="1" applyFont="1" applyAlignment="1">
      <alignment horizontal="center"/>
    </xf>
    <xf numFmtId="166" fontId="6" fillId="0" borderId="0" xfId="1" applyNumberFormat="1" applyFont="1" applyAlignment="1">
      <alignment horizontal="right"/>
    </xf>
    <xf numFmtId="167" fontId="9" fillId="0" borderId="0" xfId="0" applyNumberFormat="1" applyFont="1" applyAlignment="1">
      <alignment horizontal="right"/>
    </xf>
    <xf numFmtId="14" fontId="6" fillId="0" borderId="0" xfId="0" applyNumberFormat="1" applyFont="1"/>
    <xf numFmtId="173" fontId="7" fillId="0" borderId="0" xfId="0" applyNumberFormat="1" applyFont="1" applyAlignment="1">
      <alignment horizontal="right"/>
    </xf>
    <xf numFmtId="173" fontId="0" fillId="0" borderId="0" xfId="0" applyNumberFormat="1" applyAlignment="1">
      <alignment horizontal="right"/>
    </xf>
    <xf numFmtId="173" fontId="3" fillId="0" borderId="0" xfId="0" applyNumberFormat="1" applyFont="1" applyAlignment="1">
      <alignment horizontal="right"/>
    </xf>
    <xf numFmtId="166" fontId="2" fillId="0" borderId="0" xfId="1" applyNumberFormat="1" applyFont="1"/>
    <xf numFmtId="166" fontId="49" fillId="0" borderId="0" xfId="1" applyNumberFormat="1" applyFont="1"/>
    <xf numFmtId="166" fontId="50" fillId="0" borderId="0" xfId="1" applyNumberFormat="1" applyFont="1"/>
    <xf numFmtId="43" fontId="2" fillId="0" borderId="0" xfId="0" applyNumberFormat="1" applyFont="1"/>
    <xf numFmtId="164" fontId="0" fillId="0" borderId="0" xfId="0" applyNumberFormat="1"/>
    <xf numFmtId="164" fontId="37" fillId="0" borderId="0" xfId="2" applyNumberFormat="1" applyFont="1"/>
    <xf numFmtId="164" fontId="6" fillId="0" borderId="0" xfId="2" applyNumberFormat="1" applyFont="1"/>
    <xf numFmtId="164" fontId="1" fillId="0" borderId="0" xfId="1" applyNumberFormat="1" applyFont="1"/>
    <xf numFmtId="167" fontId="6" fillId="0" borderId="0" xfId="0" applyNumberFormat="1" applyFont="1"/>
    <xf numFmtId="171" fontId="9" fillId="0" borderId="0" xfId="0" applyNumberFormat="1" applyFont="1"/>
    <xf numFmtId="171" fontId="14" fillId="0" borderId="0" xfId="0" applyNumberFormat="1" applyFont="1"/>
    <xf numFmtId="171" fontId="11" fillId="0" borderId="0" xfId="0" applyNumberFormat="1" applyFont="1"/>
    <xf numFmtId="43" fontId="5" fillId="0" borderId="0" xfId="0" applyNumberFormat="1" applyFont="1"/>
    <xf numFmtId="171" fontId="49" fillId="0" borderId="0" xfId="0" applyNumberFormat="1" applyFont="1"/>
    <xf numFmtId="171" fontId="51" fillId="0" borderId="0" xfId="0" applyNumberFormat="1" applyFont="1"/>
    <xf numFmtId="171" fontId="50" fillId="0" borderId="0" xfId="0" applyNumberFormat="1" applyFont="1"/>
    <xf numFmtId="43" fontId="50" fillId="0" borderId="0" xfId="0" applyNumberFormat="1" applyFont="1"/>
    <xf numFmtId="171" fontId="16" fillId="0" borderId="0" xfId="0" applyNumberFormat="1" applyFont="1"/>
    <xf numFmtId="1" fontId="0" fillId="0" borderId="0" xfId="0" applyNumberFormat="1"/>
    <xf numFmtId="43" fontId="16" fillId="0" borderId="0" xfId="0" applyNumberFormat="1" applyFont="1"/>
    <xf numFmtId="168" fontId="22" fillId="0" borderId="0" xfId="0" applyNumberFormat="1" applyFont="1"/>
    <xf numFmtId="166" fontId="6" fillId="0" borderId="0" xfId="0" applyNumberFormat="1" applyFont="1"/>
    <xf numFmtId="0" fontId="52" fillId="0" borderId="0" xfId="0" applyFont="1"/>
    <xf numFmtId="164" fontId="0" fillId="0" borderId="0" xfId="2" applyNumberFormat="1" applyFont="1" applyAlignment="1">
      <alignment horizontal="right"/>
    </xf>
    <xf numFmtId="164" fontId="10" fillId="0" borderId="0" xfId="2" applyNumberFormat="1" applyFont="1"/>
    <xf numFmtId="166" fontId="54" fillId="0" borderId="0" xfId="1" applyNumberFormat="1" applyFont="1"/>
    <xf numFmtId="168" fontId="18" fillId="0" borderId="5" xfId="0" applyNumberFormat="1" applyFont="1" applyBorder="1"/>
    <xf numFmtId="0" fontId="18" fillId="3" borderId="0" xfId="0" applyFont="1" applyFill="1"/>
    <xf numFmtId="0" fontId="33" fillId="3" borderId="0" xfId="0" applyFont="1" applyFill="1"/>
    <xf numFmtId="0" fontId="55" fillId="5" borderId="0" xfId="0" applyFont="1" applyFill="1"/>
    <xf numFmtId="0" fontId="23" fillId="6" borderId="0" xfId="0" applyFont="1" applyFill="1"/>
    <xf numFmtId="0" fontId="55" fillId="6" borderId="0" xfId="0" applyFont="1" applyFill="1"/>
    <xf numFmtId="166" fontId="18" fillId="0" borderId="0" xfId="0" applyNumberFormat="1" applyFont="1"/>
    <xf numFmtId="166" fontId="9" fillId="0" borderId="0" xfId="1" applyNumberFormat="1" applyFont="1" applyAlignment="1">
      <alignment horizontal="right"/>
    </xf>
    <xf numFmtId="14" fontId="53" fillId="0" borderId="0" xfId="0" applyNumberFormat="1" applyFont="1"/>
    <xf numFmtId="0" fontId="56" fillId="0" borderId="0" xfId="0" applyFont="1"/>
    <xf numFmtId="0" fontId="57" fillId="0" borderId="4" xfId="0" applyFont="1" applyBorder="1"/>
    <xf numFmtId="0" fontId="56" fillId="0" borderId="4" xfId="0" applyFont="1" applyBorder="1"/>
    <xf numFmtId="0" fontId="52" fillId="0" borderId="4" xfId="0" applyFont="1" applyBorder="1"/>
    <xf numFmtId="0" fontId="58" fillId="0" borderId="0" xfId="0" applyFont="1"/>
    <xf numFmtId="14" fontId="52" fillId="0" borderId="8" xfId="0" applyNumberFormat="1" applyFont="1" applyBorder="1" applyAlignment="1">
      <alignment vertical="top"/>
    </xf>
    <xf numFmtId="0" fontId="52" fillId="0" borderId="9" xfId="0" applyFont="1" applyBorder="1" applyAlignment="1">
      <alignment vertical="top"/>
    </xf>
    <xf numFmtId="0" fontId="52" fillId="0" borderId="10" xfId="0" applyFont="1" applyBorder="1" applyAlignment="1">
      <alignment vertical="top" wrapText="1"/>
    </xf>
    <xf numFmtId="0" fontId="52" fillId="0" borderId="11" xfId="0" applyFont="1" applyBorder="1" applyAlignment="1">
      <alignment vertical="top"/>
    </xf>
    <xf numFmtId="0" fontId="52" fillId="0" borderId="12" xfId="0" applyFont="1" applyBorder="1" applyAlignment="1">
      <alignment vertical="top" wrapText="1"/>
    </xf>
    <xf numFmtId="0" fontId="52" fillId="0" borderId="0" xfId="0" applyFont="1" applyAlignment="1">
      <alignment vertical="top"/>
    </xf>
    <xf numFmtId="0" fontId="23" fillId="5" borderId="0" xfId="0" applyFont="1" applyFill="1"/>
    <xf numFmtId="14" fontId="20" fillId="0" borderId="0" xfId="0" applyNumberFormat="1" applyFont="1"/>
    <xf numFmtId="0" fontId="0" fillId="0" borderId="4" xfId="0" applyBorder="1"/>
    <xf numFmtId="0" fontId="8" fillId="0" borderId="0" xfId="0" applyFont="1" applyAlignment="1">
      <alignment horizontal="centerContinuous"/>
    </xf>
    <xf numFmtId="14" fontId="0" fillId="4" borderId="0" xfId="0" applyNumberFormat="1" applyFill="1"/>
    <xf numFmtId="0" fontId="0" fillId="4" borderId="0" xfId="0" applyFill="1"/>
    <xf numFmtId="0" fontId="0" fillId="4" borderId="0" xfId="0" applyFill="1" applyAlignment="1">
      <alignment horizontal="left"/>
    </xf>
    <xf numFmtId="0" fontId="0" fillId="4" borderId="0" xfId="0" applyFill="1" applyAlignment="1">
      <alignment horizontal="center"/>
    </xf>
    <xf numFmtId="17" fontId="0" fillId="4" borderId="0" xfId="0" applyNumberFormat="1" applyFill="1" applyAlignment="1">
      <alignment horizontal="left"/>
    </xf>
    <xf numFmtId="0" fontId="0" fillId="4" borderId="0" xfId="0" quotePrefix="1" applyFill="1"/>
    <xf numFmtId="14" fontId="0" fillId="0" borderId="0" xfId="0" applyNumberFormat="1"/>
    <xf numFmtId="0" fontId="0" fillId="0" borderId="0" xfId="0" applyAlignment="1">
      <alignment horizontal="left"/>
    </xf>
    <xf numFmtId="0" fontId="0" fillId="0" borderId="0" xfId="0" applyAlignment="1">
      <alignment horizontal="center"/>
    </xf>
    <xf numFmtId="17" fontId="0" fillId="0" borderId="0" xfId="0" applyNumberFormat="1" applyAlignment="1">
      <alignment horizontal="left"/>
    </xf>
    <xf numFmtId="0" fontId="0" fillId="0" borderId="0" xfId="0" quotePrefix="1"/>
    <xf numFmtId="0" fontId="0" fillId="0" borderId="0" xfId="0" quotePrefix="1" applyAlignment="1">
      <alignment horizontal="center"/>
    </xf>
    <xf numFmtId="0" fontId="0" fillId="4" borderId="0" xfId="0" quotePrefix="1" applyFill="1" applyAlignment="1">
      <alignment horizontal="left"/>
    </xf>
    <xf numFmtId="166" fontId="0" fillId="4" borderId="0" xfId="0" quotePrefix="1" applyNumberFormat="1" applyFill="1" applyAlignment="1">
      <alignment horizontal="left"/>
    </xf>
    <xf numFmtId="166" fontId="0" fillId="4" borderId="0" xfId="0" applyNumberFormat="1" applyFill="1"/>
    <xf numFmtId="166" fontId="0" fillId="0" borderId="0" xfId="0" quotePrefix="1" applyNumberFormat="1" applyAlignment="1">
      <alignment horizontal="left"/>
    </xf>
    <xf numFmtId="0" fontId="0" fillId="0" borderId="0" xfId="0" quotePrefix="1" applyAlignment="1">
      <alignment horizontal="left"/>
    </xf>
    <xf numFmtId="166" fontId="9" fillId="0" borderId="0" xfId="1" applyNumberFormat="1" applyFont="1" applyAlignment="1">
      <alignment horizontal="left"/>
    </xf>
    <xf numFmtId="166" fontId="0" fillId="0" borderId="0" xfId="1" applyNumberFormat="1" applyFont="1" applyAlignment="1">
      <alignment horizontal="left"/>
    </xf>
    <xf numFmtId="10" fontId="0" fillId="0" borderId="0" xfId="0" quotePrefix="1" applyNumberFormat="1"/>
    <xf numFmtId="164" fontId="6" fillId="0" borderId="0" xfId="2" applyNumberFormat="1" applyFont="1" applyAlignment="1">
      <alignment horizontal="right"/>
    </xf>
    <xf numFmtId="164" fontId="0" fillId="0" borderId="0" xfId="2" applyNumberFormat="1" applyFont="1" applyAlignment="1">
      <alignment horizontal="center"/>
    </xf>
    <xf numFmtId="9" fontId="0" fillId="4" borderId="0" xfId="2" applyFont="1" applyFill="1" applyAlignment="1">
      <alignment horizontal="center"/>
    </xf>
    <xf numFmtId="164" fontId="0" fillId="4" borderId="0" xfId="0" applyNumberFormat="1" applyFill="1" applyAlignment="1">
      <alignment horizontal="center"/>
    </xf>
    <xf numFmtId="10" fontId="0" fillId="4" borderId="0" xfId="0" applyNumberFormat="1" applyFill="1" applyAlignment="1">
      <alignment horizontal="center"/>
    </xf>
    <xf numFmtId="167" fontId="59" fillId="0" borderId="0" xfId="0" applyNumberFormat="1" applyFont="1"/>
    <xf numFmtId="0" fontId="60" fillId="0" borderId="0" xfId="0" applyFont="1"/>
    <xf numFmtId="166" fontId="31" fillId="0" borderId="0" xfId="1" applyNumberFormat="1" applyFont="1"/>
    <xf numFmtId="0" fontId="61" fillId="0" borderId="0" xfId="0" applyFont="1"/>
    <xf numFmtId="0" fontId="63" fillId="0" borderId="0" xfId="0" applyFont="1" applyAlignment="1">
      <alignment horizontal="left" indent="1"/>
    </xf>
    <xf numFmtId="0" fontId="61" fillId="0" borderId="0" xfId="0" applyFont="1" applyAlignment="1">
      <alignment horizontal="left" indent="1"/>
    </xf>
    <xf numFmtId="0" fontId="61" fillId="0" borderId="0" xfId="0" applyFont="1" applyAlignment="1">
      <alignment vertical="top"/>
    </xf>
    <xf numFmtId="14" fontId="61" fillId="0" borderId="0" xfId="0" applyNumberFormat="1" applyFont="1" applyAlignment="1">
      <alignment vertical="top"/>
    </xf>
    <xf numFmtId="14" fontId="61" fillId="0" borderId="0" xfId="0" applyNumberFormat="1" applyFont="1" applyAlignment="1">
      <alignment horizontal="center" vertical="top"/>
    </xf>
    <xf numFmtId="0" fontId="62" fillId="0" borderId="6" xfId="0" applyFont="1" applyBorder="1" applyAlignment="1">
      <alignment vertical="top"/>
    </xf>
    <xf numFmtId="0" fontId="61" fillId="0" borderId="6" xfId="0" applyFont="1" applyBorder="1" applyAlignment="1">
      <alignment vertical="top"/>
    </xf>
    <xf numFmtId="0" fontId="62" fillId="0" borderId="0" xfId="0" applyFont="1" applyAlignment="1">
      <alignment vertical="top"/>
    </xf>
    <xf numFmtId="0" fontId="61" fillId="0" borderId="0" xfId="0" applyFont="1" applyAlignment="1">
      <alignment vertical="top" wrapText="1"/>
    </xf>
    <xf numFmtId="0" fontId="63" fillId="0" borderId="0" xfId="0" applyFont="1" applyAlignment="1">
      <alignment horizontal="left" vertical="top" indent="1"/>
    </xf>
    <xf numFmtId="0" fontId="63" fillId="0" borderId="0" xfId="0" applyFont="1" applyAlignment="1">
      <alignment vertical="top"/>
    </xf>
    <xf numFmtId="1" fontId="65" fillId="0" borderId="0" xfId="0" applyNumberFormat="1" applyFont="1" applyAlignment="1">
      <alignment horizontal="center"/>
    </xf>
    <xf numFmtId="0" fontId="62" fillId="0" borderId="1" xfId="0" applyFont="1" applyBorder="1" applyAlignment="1">
      <alignment vertical="top"/>
    </xf>
    <xf numFmtId="166" fontId="61" fillId="0" borderId="0" xfId="1" applyNumberFormat="1" applyFont="1" applyFill="1" applyBorder="1"/>
    <xf numFmtId="166" fontId="66" fillId="0" borderId="0" xfId="1" applyNumberFormat="1" applyFont="1" applyFill="1" applyBorder="1"/>
    <xf numFmtId="166" fontId="61" fillId="0" borderId="0" xfId="0" applyNumberFormat="1" applyFont="1" applyAlignment="1">
      <alignment vertical="top"/>
    </xf>
    <xf numFmtId="166" fontId="69" fillId="0" borderId="0" xfId="0" applyNumberFormat="1" applyFont="1" applyAlignment="1">
      <alignment vertical="top"/>
    </xf>
    <xf numFmtId="0" fontId="65" fillId="0" borderId="7" xfId="0" applyFont="1" applyBorder="1" applyAlignment="1">
      <alignment horizontal="centerContinuous"/>
    </xf>
    <xf numFmtId="43" fontId="61" fillId="0" borderId="0" xfId="0" applyNumberFormat="1" applyFont="1" applyAlignment="1">
      <alignment vertical="top"/>
    </xf>
    <xf numFmtId="167" fontId="70" fillId="0" borderId="0" xfId="0" applyNumberFormat="1" applyFont="1"/>
    <xf numFmtId="0" fontId="71" fillId="0" borderId="0" xfId="0" applyFont="1" applyAlignment="1">
      <alignment horizontal="left" vertical="top" indent="1"/>
    </xf>
    <xf numFmtId="14" fontId="63" fillId="0" borderId="0" xfId="0" applyNumberFormat="1" applyFont="1" applyAlignment="1">
      <alignment vertical="top"/>
    </xf>
    <xf numFmtId="0" fontId="63" fillId="0" borderId="0" xfId="0" applyFont="1" applyAlignment="1">
      <alignment horizontal="left" indent="2"/>
    </xf>
    <xf numFmtId="167" fontId="72" fillId="0" borderId="0" xfId="0" applyNumberFormat="1" applyFont="1"/>
    <xf numFmtId="14" fontId="64" fillId="0" borderId="0" xfId="0" applyNumberFormat="1" applyFont="1" applyAlignment="1">
      <alignment vertical="top"/>
    </xf>
    <xf numFmtId="0" fontId="64" fillId="0" borderId="0" xfId="0" applyFont="1" applyAlignment="1">
      <alignment vertical="top"/>
    </xf>
    <xf numFmtId="0" fontId="71" fillId="0" borderId="0" xfId="0" applyFont="1" applyAlignment="1">
      <alignment horizontal="left" indent="1"/>
    </xf>
    <xf numFmtId="0" fontId="63" fillId="0" borderId="0" xfId="0" applyFont="1" applyAlignment="1">
      <alignment horizontal="left" vertical="top" indent="2"/>
    </xf>
    <xf numFmtId="0" fontId="66" fillId="0" borderId="0" xfId="0" applyFont="1"/>
    <xf numFmtId="0" fontId="71" fillId="0" borderId="0" xfId="0" applyFont="1" applyAlignment="1">
      <alignment horizontal="left" vertical="top" indent="2"/>
    </xf>
    <xf numFmtId="0" fontId="73" fillId="0" borderId="7" xfId="0" applyFont="1" applyBorder="1" applyAlignment="1">
      <alignment horizontal="centerContinuous"/>
    </xf>
    <xf numFmtId="14" fontId="63" fillId="0" borderId="0" xfId="0" quotePrefix="1" applyNumberFormat="1" applyFont="1" applyAlignment="1">
      <alignment vertical="top"/>
    </xf>
    <xf numFmtId="167" fontId="70" fillId="3" borderId="0" xfId="0" applyNumberFormat="1" applyFont="1" applyFill="1"/>
    <xf numFmtId="166" fontId="63" fillId="0" borderId="0" xfId="1" applyNumberFormat="1" applyFont="1" applyFill="1" applyBorder="1"/>
    <xf numFmtId="43" fontId="63" fillId="0" borderId="0" xfId="1" applyFont="1" applyFill="1" applyBorder="1"/>
    <xf numFmtId="14" fontId="61" fillId="3" borderId="0" xfId="0" applyNumberFormat="1" applyFont="1" applyFill="1" applyAlignment="1">
      <alignment vertical="top"/>
    </xf>
    <xf numFmtId="0" fontId="62" fillId="3" borderId="0" xfId="0" applyFont="1" applyFill="1" applyAlignment="1">
      <alignment vertical="top"/>
    </xf>
    <xf numFmtId="0" fontId="74" fillId="0" borderId="0" xfId="0" applyFont="1" applyAlignment="1">
      <alignment vertical="top"/>
    </xf>
    <xf numFmtId="166" fontId="69" fillId="0" borderId="0" xfId="1" applyNumberFormat="1" applyFont="1" applyFill="1" applyBorder="1"/>
    <xf numFmtId="10" fontId="63" fillId="0" borderId="0" xfId="0" applyNumberFormat="1" applyFont="1" applyAlignment="1">
      <alignment vertical="top"/>
    </xf>
    <xf numFmtId="9" fontId="63" fillId="0" borderId="0" xfId="2" applyFont="1" applyAlignment="1">
      <alignment vertical="top"/>
    </xf>
    <xf numFmtId="9" fontId="61" fillId="0" borderId="0" xfId="2" applyFont="1" applyAlignment="1">
      <alignment vertical="top"/>
    </xf>
    <xf numFmtId="166" fontId="61" fillId="0" borderId="0" xfId="1" applyNumberFormat="1" applyFont="1" applyAlignment="1">
      <alignment vertical="top"/>
    </xf>
    <xf numFmtId="164" fontId="61" fillId="0" borderId="0" xfId="2" applyNumberFormat="1" applyFont="1" applyAlignment="1">
      <alignment vertical="top"/>
    </xf>
    <xf numFmtId="0" fontId="75" fillId="0" borderId="0" xfId="0" applyFont="1"/>
    <xf numFmtId="14" fontId="76" fillId="0" borderId="0" xfId="0" applyNumberFormat="1" applyFont="1"/>
    <xf numFmtId="14" fontId="75" fillId="0" borderId="0" xfId="0" applyNumberFormat="1" applyFont="1" applyAlignment="1">
      <alignment horizontal="center"/>
    </xf>
    <xf numFmtId="14" fontId="76" fillId="0" borderId="0" xfId="0" applyNumberFormat="1" applyFont="1" applyAlignment="1">
      <alignment horizontal="center"/>
    </xf>
    <xf numFmtId="0" fontId="77" fillId="0" borderId="6" xfId="0" applyFont="1" applyBorder="1"/>
    <xf numFmtId="0" fontId="75" fillId="0" borderId="6" xfId="0" applyFont="1" applyBorder="1"/>
    <xf numFmtId="0" fontId="63" fillId="0" borderId="0" xfId="0" applyFont="1"/>
    <xf numFmtId="14" fontId="78" fillId="0" borderId="0" xfId="0" applyNumberFormat="1" applyFont="1"/>
    <xf numFmtId="0" fontId="79" fillId="0" borderId="0" xfId="0" applyFont="1"/>
    <xf numFmtId="17" fontId="0" fillId="0" borderId="0" xfId="0" applyNumberFormat="1"/>
    <xf numFmtId="166" fontId="75" fillId="0" borderId="0" xfId="1" applyNumberFormat="1" applyFont="1"/>
    <xf numFmtId="167" fontId="61" fillId="0" borderId="0" xfId="0" applyNumberFormat="1" applyFont="1"/>
    <xf numFmtId="0" fontId="75" fillId="7" borderId="0" xfId="0" applyFont="1" applyFill="1"/>
    <xf numFmtId="167" fontId="61" fillId="7" borderId="0" xfId="0" applyNumberFormat="1" applyFont="1" applyFill="1"/>
    <xf numFmtId="166" fontId="75" fillId="7" borderId="0" xfId="1" applyNumberFormat="1" applyFont="1" applyFill="1"/>
    <xf numFmtId="14" fontId="0" fillId="4" borderId="0" xfId="0" applyNumberFormat="1" applyFill="1" applyAlignment="1">
      <alignment vertical="top"/>
    </xf>
    <xf numFmtId="0" fontId="0" fillId="4" borderId="0" xfId="0" applyFill="1" applyAlignment="1">
      <alignment vertical="top"/>
    </xf>
    <xf numFmtId="0" fontId="0" fillId="4" borderId="0" xfId="0" applyFill="1" applyAlignment="1">
      <alignment horizontal="left" vertical="top"/>
    </xf>
    <xf numFmtId="0" fontId="0" fillId="4" borderId="0" xfId="0" applyFill="1" applyAlignment="1">
      <alignment vertical="top" wrapText="1"/>
    </xf>
    <xf numFmtId="0" fontId="6" fillId="4" borderId="0" xfId="0" applyFont="1" applyFill="1" applyAlignment="1">
      <alignment horizontal="left" indent="7"/>
    </xf>
    <xf numFmtId="0" fontId="5" fillId="0" borderId="0" xfId="0" applyFont="1" applyAlignment="1">
      <alignment horizontal="center"/>
    </xf>
    <xf numFmtId="0" fontId="0" fillId="0" borderId="0" xfId="0" applyAlignment="1">
      <alignment horizontal="center" vertical="top"/>
    </xf>
    <xf numFmtId="0" fontId="0" fillId="0" borderId="0" xfId="0" applyAlignment="1">
      <alignment vertical="top"/>
    </xf>
    <xf numFmtId="0" fontId="6" fillId="0" borderId="0" xfId="0" applyFont="1" applyAlignment="1">
      <alignment horizontal="left" indent="4"/>
    </xf>
    <xf numFmtId="165" fontId="75" fillId="0" borderId="0" xfId="1" applyNumberFormat="1" applyFont="1"/>
    <xf numFmtId="165" fontId="75" fillId="7" borderId="0" xfId="1" applyNumberFormat="1" applyFont="1" applyFill="1"/>
    <xf numFmtId="166" fontId="75" fillId="0" borderId="0" xfId="1" applyNumberFormat="1" applyFont="1" applyBorder="1"/>
    <xf numFmtId="165" fontId="75" fillId="0" borderId="0" xfId="1" applyNumberFormat="1" applyFont="1" applyBorder="1"/>
    <xf numFmtId="166" fontId="75" fillId="7" borderId="0" xfId="1" applyNumberFormat="1" applyFont="1" applyFill="1" applyBorder="1"/>
    <xf numFmtId="165" fontId="75" fillId="7" borderId="0" xfId="1" applyNumberFormat="1" applyFont="1" applyFill="1" applyBorder="1"/>
    <xf numFmtId="3" fontId="0" fillId="0" borderId="0" xfId="0" applyNumberFormat="1"/>
    <xf numFmtId="0" fontId="80" fillId="0" borderId="0" xfId="0" applyFont="1"/>
    <xf numFmtId="167" fontId="69" fillId="0" borderId="0" xfId="0" applyNumberFormat="1" applyFont="1"/>
    <xf numFmtId="0" fontId="76" fillId="0" borderId="0" xfId="0" applyFont="1" applyAlignment="1">
      <alignment horizontal="left" indent="1"/>
    </xf>
    <xf numFmtId="0" fontId="76" fillId="0" borderId="0" xfId="0" applyFont="1"/>
    <xf numFmtId="167" fontId="63" fillId="0" borderId="0" xfId="0" applyNumberFormat="1" applyFont="1"/>
    <xf numFmtId="0" fontId="81" fillId="0" borderId="0" xfId="0" applyFont="1"/>
    <xf numFmtId="0" fontId="82" fillId="0" borderId="0" xfId="0" applyFont="1"/>
    <xf numFmtId="14" fontId="83" fillId="0" borderId="0" xfId="0" applyNumberFormat="1" applyFont="1"/>
    <xf numFmtId="0" fontId="84" fillId="0" borderId="0" xfId="0" applyFont="1"/>
    <xf numFmtId="14" fontId="81" fillId="0" borderId="0" xfId="0" applyNumberFormat="1" applyFont="1" applyAlignment="1">
      <alignment horizontal="center"/>
    </xf>
    <xf numFmtId="0" fontId="85" fillId="0" borderId="4" xfId="0" applyFont="1" applyBorder="1"/>
    <xf numFmtId="0" fontId="81" fillId="0" borderId="4" xfId="0" applyFont="1" applyBorder="1"/>
    <xf numFmtId="0" fontId="86" fillId="0" borderId="0" xfId="0" applyFont="1" applyAlignment="1">
      <alignment horizontal="centerContinuous"/>
    </xf>
    <xf numFmtId="1" fontId="87" fillId="0" borderId="0" xfId="0" applyNumberFormat="1" applyFont="1" applyAlignment="1">
      <alignment horizontal="center"/>
    </xf>
    <xf numFmtId="0" fontId="88" fillId="0" borderId="0" xfId="0" applyFont="1"/>
    <xf numFmtId="166" fontId="81" fillId="0" borderId="0" xfId="1" applyNumberFormat="1" applyFont="1"/>
    <xf numFmtId="167" fontId="81" fillId="0" borderId="0" xfId="0" applyNumberFormat="1" applyFont="1"/>
    <xf numFmtId="167" fontId="89" fillId="0" borderId="0" xfId="0" applyNumberFormat="1" applyFont="1"/>
    <xf numFmtId="167" fontId="90" fillId="0" borderId="0" xfId="0" applyNumberFormat="1" applyFont="1"/>
    <xf numFmtId="0" fontId="81" fillId="0" borderId="0" xfId="0" applyFont="1" applyAlignment="1">
      <alignment horizontal="left" indent="1"/>
    </xf>
    <xf numFmtId="166" fontId="90" fillId="0" borderId="0" xfId="1" applyNumberFormat="1" applyFont="1" applyBorder="1"/>
    <xf numFmtId="166" fontId="82" fillId="0" borderId="0" xfId="0" applyNumberFormat="1" applyFont="1"/>
    <xf numFmtId="166" fontId="81" fillId="0" borderId="0" xfId="1" applyNumberFormat="1" applyFont="1" applyBorder="1"/>
    <xf numFmtId="0" fontId="92" fillId="0" borderId="0" xfId="0" applyFont="1" applyAlignment="1">
      <alignment horizontal="left" indent="1"/>
    </xf>
    <xf numFmtId="0" fontId="85" fillId="0" borderId="0" xfId="0" applyFont="1"/>
    <xf numFmtId="0" fontId="83" fillId="0" borderId="0" xfId="0" applyFont="1" applyAlignment="1">
      <alignment horizontal="left" indent="1"/>
    </xf>
    <xf numFmtId="167" fontId="83" fillId="0" borderId="0" xfId="0" applyNumberFormat="1" applyFont="1"/>
    <xf numFmtId="0" fontId="93" fillId="0" borderId="0" xfId="0" applyFont="1"/>
    <xf numFmtId="0" fontId="83" fillId="0" borderId="0" xfId="0" applyFont="1" applyAlignment="1">
      <alignment horizontal="left" indent="2"/>
    </xf>
    <xf numFmtId="0" fontId="83" fillId="0" borderId="0" xfId="0" applyFont="1"/>
    <xf numFmtId="167" fontId="95" fillId="0" borderId="0" xfId="0" applyNumberFormat="1" applyFont="1"/>
    <xf numFmtId="171" fontId="83" fillId="0" borderId="0" xfId="0" applyNumberFormat="1" applyFont="1"/>
    <xf numFmtId="9" fontId="83" fillId="0" borderId="0" xfId="2" applyFont="1"/>
    <xf numFmtId="166" fontId="83" fillId="0" borderId="0" xfId="1" applyNumberFormat="1" applyFont="1"/>
    <xf numFmtId="0" fontId="92" fillId="0" borderId="0" xfId="0" applyFont="1" applyAlignment="1">
      <alignment horizontal="left" indent="2"/>
    </xf>
    <xf numFmtId="164" fontId="83" fillId="0" borderId="0" xfId="2" applyNumberFormat="1" applyFont="1"/>
    <xf numFmtId="166" fontId="81" fillId="0" borderId="0" xfId="0" applyNumberFormat="1" applyFont="1"/>
    <xf numFmtId="165" fontId="82" fillId="0" borderId="0" xfId="0" applyNumberFormat="1" applyFont="1"/>
    <xf numFmtId="43" fontId="81" fillId="0" borderId="0" xfId="1" applyFont="1"/>
    <xf numFmtId="0" fontId="96" fillId="0" borderId="0" xfId="0" applyFont="1"/>
    <xf numFmtId="0" fontId="96" fillId="0" borderId="2" xfId="0" applyFont="1" applyBorder="1"/>
    <xf numFmtId="0" fontId="96" fillId="0" borderId="3" xfId="0" applyFont="1" applyBorder="1"/>
    <xf numFmtId="166" fontId="82" fillId="0" borderId="0" xfId="1" applyNumberFormat="1" applyFont="1"/>
    <xf numFmtId="166" fontId="82" fillId="0" borderId="0" xfId="1" applyNumberFormat="1" applyFont="1" applyAlignment="1">
      <alignment horizontal="right"/>
    </xf>
    <xf numFmtId="169" fontId="82" fillId="0" borderId="0" xfId="1" applyNumberFormat="1" applyFont="1"/>
    <xf numFmtId="169" fontId="82" fillId="0" borderId="0" xfId="0" applyNumberFormat="1" applyFont="1"/>
    <xf numFmtId="9" fontId="82" fillId="0" borderId="0" xfId="2" applyFont="1"/>
    <xf numFmtId="165" fontId="82" fillId="0" borderId="0" xfId="1" applyNumberFormat="1" applyFont="1"/>
    <xf numFmtId="167" fontId="92" fillId="0" borderId="0" xfId="0" applyNumberFormat="1" applyFont="1"/>
    <xf numFmtId="0" fontId="101" fillId="0" borderId="0" xfId="0" applyFont="1"/>
    <xf numFmtId="43" fontId="85" fillId="0" borderId="0" xfId="0" applyNumberFormat="1" applyFont="1"/>
    <xf numFmtId="0" fontId="7" fillId="0" borderId="0" xfId="0" applyFont="1" applyAlignment="1">
      <alignment horizontal="centerContinuous"/>
    </xf>
    <xf numFmtId="167" fontId="102" fillId="0" borderId="0" xfId="0" applyNumberFormat="1" applyFont="1"/>
    <xf numFmtId="10" fontId="0" fillId="0" borderId="0" xfId="0" applyNumberFormat="1"/>
    <xf numFmtId="1" fontId="8" fillId="0" borderId="0" xfId="0" quotePrefix="1" applyNumberFormat="1" applyFont="1" applyAlignment="1">
      <alignment horizontal="center"/>
    </xf>
    <xf numFmtId="0" fontId="43" fillId="0" borderId="0" xfId="0" applyFont="1" applyAlignment="1">
      <alignment horizontal="center"/>
    </xf>
    <xf numFmtId="164" fontId="19" fillId="0" borderId="0" xfId="0" applyNumberFormat="1" applyFont="1"/>
    <xf numFmtId="0" fontId="23" fillId="8" borderId="0" xfId="0" applyFont="1" applyFill="1"/>
    <xf numFmtId="0" fontId="55" fillId="8" borderId="0" xfId="0" applyFont="1" applyFill="1"/>
    <xf numFmtId="166" fontId="0" fillId="9" borderId="0" xfId="1" applyNumberFormat="1" applyFont="1" applyFill="1"/>
    <xf numFmtId="1" fontId="8" fillId="0" borderId="7" xfId="0" applyNumberFormat="1" applyFont="1" applyBorder="1" applyAlignment="1">
      <alignment horizontal="center"/>
    </xf>
    <xf numFmtId="0" fontId="0" fillId="0" borderId="7" xfId="0" applyBorder="1"/>
    <xf numFmtId="166" fontId="0" fillId="0" borderId="7" xfId="1" applyNumberFormat="1" applyFont="1" applyBorder="1"/>
    <xf numFmtId="166" fontId="5" fillId="0" borderId="7" xfId="1" applyNumberFormat="1" applyFont="1" applyBorder="1"/>
    <xf numFmtId="166" fontId="1" fillId="0" borderId="7" xfId="1" applyNumberFormat="1" applyFont="1" applyBorder="1"/>
    <xf numFmtId="166" fontId="6" fillId="0" borderId="7" xfId="1" applyNumberFormat="1" applyFont="1" applyBorder="1"/>
    <xf numFmtId="167" fontId="6" fillId="0" borderId="7" xfId="0" applyNumberFormat="1" applyFont="1" applyBorder="1"/>
    <xf numFmtId="166" fontId="0" fillId="9" borderId="7" xfId="1" applyNumberFormat="1" applyFont="1" applyFill="1" applyBorder="1"/>
    <xf numFmtId="166" fontId="0" fillId="0" borderId="0" xfId="1" applyNumberFormat="1" applyFont="1" applyBorder="1"/>
    <xf numFmtId="166" fontId="5" fillId="0" borderId="0" xfId="1" applyNumberFormat="1" applyFont="1" applyBorder="1"/>
    <xf numFmtId="166" fontId="1" fillId="0" borderId="0" xfId="1" applyNumberFormat="1" applyFont="1" applyBorder="1"/>
    <xf numFmtId="166" fontId="6" fillId="0" borderId="0" xfId="1" applyNumberFormat="1" applyFont="1" applyBorder="1"/>
    <xf numFmtId="166" fontId="0" fillId="9" borderId="0" xfId="1" applyNumberFormat="1" applyFont="1" applyFill="1" applyBorder="1"/>
    <xf numFmtId="166" fontId="7" fillId="0" borderId="7" xfId="1" applyNumberFormat="1" applyFont="1" applyBorder="1" applyAlignment="1">
      <alignment horizontal="right"/>
    </xf>
    <xf numFmtId="166" fontId="7" fillId="0" borderId="0" xfId="1" applyNumberFormat="1" applyFont="1" applyBorder="1" applyAlignment="1">
      <alignment horizontal="right"/>
    </xf>
    <xf numFmtId="0" fontId="0" fillId="0" borderId="0" xfId="0" applyAlignment="1">
      <alignment vertical="center"/>
    </xf>
    <xf numFmtId="175" fontId="0" fillId="0" borderId="0" xfId="0" applyNumberFormat="1" applyAlignment="1">
      <alignment vertical="center"/>
    </xf>
    <xf numFmtId="176" fontId="0" fillId="0" borderId="0" xfId="0" applyNumberFormat="1" applyAlignment="1">
      <alignment vertical="center"/>
    </xf>
    <xf numFmtId="0" fontId="103" fillId="0" borderId="0" xfId="0" applyFont="1" applyAlignment="1">
      <alignment vertical="center"/>
    </xf>
    <xf numFmtId="0" fontId="0" fillId="3" borderId="0" xfId="0" applyFill="1"/>
    <xf numFmtId="0" fontId="3" fillId="3" borderId="0" xfId="0" applyFont="1" applyFill="1"/>
    <xf numFmtId="166" fontId="0" fillId="0" borderId="0" xfId="1" applyNumberFormat="1" applyFont="1" applyAlignment="1">
      <alignment vertical="center"/>
    </xf>
    <xf numFmtId="1" fontId="104" fillId="0" borderId="0" xfId="0" applyNumberFormat="1" applyFont="1" applyAlignment="1">
      <alignment horizontal="center"/>
    </xf>
    <xf numFmtId="2" fontId="0" fillId="0" borderId="0" xfId="0" applyNumberFormat="1" applyAlignment="1">
      <alignment vertical="center"/>
    </xf>
    <xf numFmtId="175" fontId="61" fillId="0" borderId="0" xfId="4" applyNumberFormat="1">
      <alignment vertical="center"/>
    </xf>
    <xf numFmtId="2" fontId="61" fillId="0" borderId="0" xfId="4" applyNumberFormat="1">
      <alignment vertical="center"/>
    </xf>
    <xf numFmtId="0" fontId="105" fillId="0" borderId="0" xfId="0" applyFont="1"/>
    <xf numFmtId="0" fontId="4" fillId="0" borderId="0" xfId="0" applyFont="1" applyAlignment="1">
      <alignment horizontal="right"/>
    </xf>
    <xf numFmtId="0" fontId="106" fillId="0" borderId="0" xfId="0" applyFont="1"/>
    <xf numFmtId="0" fontId="107" fillId="0" borderId="0" xfId="0" applyFont="1"/>
    <xf numFmtId="14" fontId="108" fillId="0" borderId="0" xfId="0" applyNumberFormat="1" applyFont="1"/>
    <xf numFmtId="0" fontId="109" fillId="0" borderId="0" xfId="0" applyFont="1"/>
    <xf numFmtId="14" fontId="106" fillId="0" borderId="0" xfId="0" applyNumberFormat="1" applyFont="1" applyAlignment="1">
      <alignment horizontal="center"/>
    </xf>
    <xf numFmtId="0" fontId="110" fillId="0" borderId="4" xfId="0" applyFont="1" applyBorder="1"/>
    <xf numFmtId="0" fontId="106" fillId="0" borderId="4" xfId="0" applyFont="1" applyBorder="1"/>
    <xf numFmtId="0" fontId="111" fillId="0" borderId="0" xfId="0" applyFont="1"/>
    <xf numFmtId="0" fontId="112" fillId="0" borderId="0" xfId="0" applyFont="1" applyAlignment="1">
      <alignment horizontal="centerContinuous"/>
    </xf>
    <xf numFmtId="0" fontId="106" fillId="0" borderId="0" xfId="0" applyFont="1" applyAlignment="1">
      <alignment horizontal="right"/>
    </xf>
    <xf numFmtId="1" fontId="113" fillId="0" borderId="0" xfId="0" applyNumberFormat="1" applyFont="1" applyAlignment="1">
      <alignment horizontal="center"/>
    </xf>
    <xf numFmtId="0" fontId="109" fillId="0" borderId="1" xfId="0" applyFont="1" applyBorder="1"/>
    <xf numFmtId="0" fontId="114" fillId="0" borderId="0" xfId="0" applyFont="1"/>
    <xf numFmtId="166" fontId="106" fillId="0" borderId="0" xfId="1" applyNumberFormat="1" applyFont="1"/>
    <xf numFmtId="167" fontId="106" fillId="0" borderId="0" xfId="0" applyNumberFormat="1" applyFont="1"/>
    <xf numFmtId="167" fontId="115" fillId="0" borderId="0" xfId="0" applyNumberFormat="1" applyFont="1"/>
    <xf numFmtId="167" fontId="116" fillId="0" borderId="0" xfId="0" applyNumberFormat="1" applyFont="1"/>
    <xf numFmtId="0" fontId="106" fillId="0" borderId="0" xfId="0" applyFont="1" applyAlignment="1">
      <alignment horizontal="left" indent="1"/>
    </xf>
    <xf numFmtId="166" fontId="117" fillId="0" borderId="0" xfId="0" applyNumberFormat="1" applyFont="1"/>
    <xf numFmtId="166" fontId="116" fillId="0" borderId="0" xfId="1" applyNumberFormat="1" applyFont="1" applyBorder="1"/>
    <xf numFmtId="165" fontId="116" fillId="0" borderId="0" xfId="1" applyNumberFormat="1" applyFont="1" applyBorder="1"/>
    <xf numFmtId="166" fontId="107" fillId="0" borderId="0" xfId="0" applyNumberFormat="1" applyFont="1"/>
    <xf numFmtId="166" fontId="106" fillId="0" borderId="0" xfId="1" applyNumberFormat="1" applyFont="1" applyBorder="1"/>
    <xf numFmtId="165" fontId="106" fillId="0" borderId="0" xfId="1" applyNumberFormat="1" applyFont="1" applyBorder="1"/>
    <xf numFmtId="43" fontId="114" fillId="0" borderId="0" xfId="0" applyNumberFormat="1" applyFont="1"/>
    <xf numFmtId="0" fontId="118" fillId="0" borderId="0" xfId="0" applyFont="1" applyAlignment="1">
      <alignment horizontal="left" indent="1"/>
    </xf>
    <xf numFmtId="0" fontId="118" fillId="0" borderId="0" xfId="0" applyFont="1"/>
    <xf numFmtId="0" fontId="110" fillId="0" borderId="0" xfId="0" applyFont="1"/>
    <xf numFmtId="0" fontId="108" fillId="0" borderId="0" xfId="0" applyFont="1" applyAlignment="1">
      <alignment horizontal="left" indent="1"/>
    </xf>
    <xf numFmtId="167" fontId="108" fillId="0" borderId="0" xfId="0" applyNumberFormat="1" applyFont="1"/>
    <xf numFmtId="0" fontId="119" fillId="0" borderId="0" xfId="0" applyFont="1"/>
    <xf numFmtId="14" fontId="120" fillId="0" borderId="0" xfId="0" applyNumberFormat="1" applyFont="1"/>
    <xf numFmtId="0" fontId="115" fillId="0" borderId="0" xfId="0" applyFont="1"/>
    <xf numFmtId="0" fontId="121" fillId="0" borderId="0" xfId="0" applyFont="1"/>
    <xf numFmtId="0" fontId="108" fillId="0" borderId="0" xfId="0" applyFont="1" applyAlignment="1">
      <alignment horizontal="left" indent="2"/>
    </xf>
    <xf numFmtId="0" fontId="122" fillId="0" borderId="0" xfId="0" applyFont="1"/>
    <xf numFmtId="164" fontId="108" fillId="0" borderId="0" xfId="0" applyNumberFormat="1" applyFont="1"/>
    <xf numFmtId="0" fontId="108" fillId="0" borderId="0" xfId="0" applyFont="1"/>
    <xf numFmtId="164" fontId="123" fillId="0" borderId="0" xfId="2" applyNumberFormat="1" applyFont="1" applyBorder="1" applyAlignment="1"/>
    <xf numFmtId="167" fontId="123" fillId="0" borderId="0" xfId="0" applyNumberFormat="1" applyFont="1"/>
    <xf numFmtId="0" fontId="123" fillId="0" borderId="0" xfId="0" applyFont="1"/>
    <xf numFmtId="0" fontId="124" fillId="0" borderId="0" xfId="0" applyFont="1"/>
    <xf numFmtId="0" fontId="123" fillId="0" borderId="0" xfId="0" applyFont="1" applyAlignment="1">
      <alignment horizontal="left" indent="1"/>
    </xf>
    <xf numFmtId="167" fontId="125" fillId="0" borderId="0" xfId="0" applyNumberFormat="1" applyFont="1"/>
    <xf numFmtId="43" fontId="108" fillId="0" borderId="0" xfId="0" applyNumberFormat="1" applyFont="1"/>
    <xf numFmtId="171" fontId="108" fillId="0" borderId="0" xfId="0" applyNumberFormat="1" applyFont="1"/>
    <xf numFmtId="164" fontId="108" fillId="0" borderId="0" xfId="2" applyNumberFormat="1" applyFont="1" applyBorder="1" applyAlignment="1"/>
    <xf numFmtId="166" fontId="108" fillId="0" borderId="0" xfId="0" applyNumberFormat="1" applyFont="1"/>
    <xf numFmtId="0" fontId="106" fillId="0" borderId="0" xfId="0" applyFont="1" applyAlignment="1">
      <alignment horizontal="left"/>
    </xf>
    <xf numFmtId="9" fontId="108" fillId="0" borderId="0" xfId="2" applyFont="1"/>
    <xf numFmtId="0" fontId="126" fillId="0" borderId="0" xfId="0" applyFont="1" applyAlignment="1">
      <alignment horizontal="left" indent="1"/>
    </xf>
    <xf numFmtId="166" fontId="109" fillId="0" borderId="0" xfId="1" applyNumberFormat="1" applyFont="1" applyBorder="1"/>
    <xf numFmtId="0" fontId="123" fillId="0" borderId="0" xfId="0" applyFont="1" applyAlignment="1">
      <alignment horizontal="left" indent="2"/>
    </xf>
    <xf numFmtId="0" fontId="127" fillId="0" borderId="0" xfId="0" applyFont="1"/>
    <xf numFmtId="43" fontId="127" fillId="0" borderId="0" xfId="0" applyNumberFormat="1" applyFont="1"/>
    <xf numFmtId="166" fontId="128" fillId="0" borderId="0" xfId="1" applyNumberFormat="1" applyFont="1" applyBorder="1"/>
    <xf numFmtId="166" fontId="108" fillId="0" borderId="0" xfId="1" applyNumberFormat="1" applyFont="1"/>
    <xf numFmtId="164" fontId="115" fillId="0" borderId="0" xfId="2" applyNumberFormat="1" applyFont="1" applyBorder="1" applyAlignment="1"/>
    <xf numFmtId="167" fontId="129" fillId="0" borderId="0" xfId="0" applyNumberFormat="1" applyFont="1"/>
    <xf numFmtId="0" fontId="118" fillId="0" borderId="0" xfId="0" applyFont="1" applyAlignment="1">
      <alignment horizontal="left" indent="2"/>
    </xf>
    <xf numFmtId="43" fontId="108" fillId="0" borderId="0" xfId="1" applyFont="1"/>
    <xf numFmtId="43" fontId="125" fillId="0" borderId="0" xfId="1" applyFont="1"/>
    <xf numFmtId="166" fontId="130" fillId="0" borderId="0" xfId="1" applyNumberFormat="1" applyFont="1" applyBorder="1"/>
    <xf numFmtId="41" fontId="106" fillId="0" borderId="0" xfId="0" applyNumberFormat="1" applyFont="1"/>
    <xf numFmtId="164" fontId="108" fillId="0" borderId="0" xfId="2" applyNumberFormat="1" applyFont="1"/>
    <xf numFmtId="164" fontId="106" fillId="0" borderId="0" xfId="2" applyNumberFormat="1" applyFont="1" applyBorder="1"/>
    <xf numFmtId="0" fontId="106" fillId="0" borderId="0" xfId="0" applyFont="1" applyAlignment="1">
      <alignment horizontal="left" indent="2"/>
    </xf>
    <xf numFmtId="9" fontId="106" fillId="0" borderId="0" xfId="2" applyFont="1" applyBorder="1"/>
    <xf numFmtId="41" fontId="131" fillId="0" borderId="0" xfId="0" applyNumberFormat="1" applyFont="1"/>
    <xf numFmtId="166" fontId="106" fillId="0" borderId="0" xfId="0" applyNumberFormat="1" applyFont="1"/>
    <xf numFmtId="165" fontId="131" fillId="0" borderId="0" xfId="1" applyNumberFormat="1" applyFont="1" applyBorder="1"/>
    <xf numFmtId="165" fontId="106" fillId="0" borderId="0" xfId="0" applyNumberFormat="1" applyFont="1"/>
    <xf numFmtId="165" fontId="107" fillId="0" borderId="0" xfId="0" applyNumberFormat="1" applyFont="1"/>
    <xf numFmtId="168" fontId="108" fillId="0" borderId="0" xfId="0" applyNumberFormat="1" applyFont="1"/>
    <xf numFmtId="0" fontId="111" fillId="0" borderId="0" xfId="0" applyFont="1" applyAlignment="1">
      <alignment horizontal="right"/>
    </xf>
    <xf numFmtId="168" fontId="106" fillId="0" borderId="0" xfId="0" applyNumberFormat="1" applyFont="1"/>
    <xf numFmtId="0" fontId="109" fillId="0" borderId="2" xfId="0" applyFont="1" applyBorder="1" applyAlignment="1">
      <alignment horizontal="left"/>
    </xf>
    <xf numFmtId="9" fontId="126" fillId="0" borderId="5" xfId="0" applyNumberFormat="1" applyFont="1" applyBorder="1"/>
    <xf numFmtId="9" fontId="126" fillId="0" borderId="3" xfId="0" applyNumberFormat="1" applyFont="1" applyBorder="1"/>
    <xf numFmtId="0" fontId="132" fillId="0" borderId="0" xfId="0" applyFont="1" applyAlignment="1">
      <alignment horizontal="right"/>
    </xf>
    <xf numFmtId="0" fontId="132" fillId="0" borderId="0" xfId="0" applyFont="1" applyAlignment="1">
      <alignment horizontal="left"/>
    </xf>
    <xf numFmtId="43" fontId="106" fillId="0" borderId="0" xfId="1" applyFont="1" applyBorder="1"/>
    <xf numFmtId="43" fontId="106" fillId="0" borderId="0" xfId="1" applyFont="1"/>
    <xf numFmtId="0" fontId="107" fillId="0" borderId="0" xfId="0" applyFont="1" applyAlignment="1">
      <alignment horizontal="right"/>
    </xf>
    <xf numFmtId="43" fontId="116" fillId="0" borderId="0" xfId="1" applyFont="1"/>
    <xf numFmtId="43" fontId="116" fillId="0" borderId="0" xfId="1" applyFont="1" applyBorder="1"/>
    <xf numFmtId="0" fontId="109" fillId="0" borderId="0" xfId="0" applyFont="1" applyAlignment="1">
      <alignment horizontal="left" indent="1"/>
    </xf>
    <xf numFmtId="43" fontId="109" fillId="0" borderId="0" xfId="1" applyFont="1" applyBorder="1"/>
    <xf numFmtId="166" fontId="109" fillId="0" borderId="0" xfId="1" applyNumberFormat="1" applyFont="1"/>
    <xf numFmtId="43" fontId="109" fillId="0" borderId="0" xfId="1" applyFont="1"/>
    <xf numFmtId="168" fontId="109" fillId="0" borderId="0" xfId="0" applyNumberFormat="1" applyFont="1"/>
    <xf numFmtId="0" fontId="126" fillId="0" borderId="0" xfId="0" applyFont="1"/>
    <xf numFmtId="41" fontId="108" fillId="0" borderId="0" xfId="0" applyNumberFormat="1" applyFont="1"/>
    <xf numFmtId="1" fontId="108" fillId="0" borderId="0" xfId="0" applyNumberFormat="1" applyFont="1"/>
    <xf numFmtId="0" fontId="126" fillId="0" borderId="2" xfId="0" applyFont="1" applyBorder="1"/>
    <xf numFmtId="0" fontId="126" fillId="0" borderId="3" xfId="0" applyFont="1" applyBorder="1"/>
    <xf numFmtId="166" fontId="107" fillId="0" borderId="0" xfId="1" applyNumberFormat="1" applyFont="1"/>
    <xf numFmtId="166" fontId="107" fillId="0" borderId="0" xfId="1" applyNumberFormat="1" applyFont="1" applyAlignment="1">
      <alignment horizontal="right"/>
    </xf>
    <xf numFmtId="169" fontId="107" fillId="0" borderId="0" xfId="1" applyNumberFormat="1" applyFont="1"/>
    <xf numFmtId="169" fontId="107" fillId="0" borderId="0" xfId="0" applyNumberFormat="1" applyFont="1"/>
    <xf numFmtId="43" fontId="119" fillId="0" borderId="0" xfId="1" applyFont="1"/>
    <xf numFmtId="9" fontId="107" fillId="0" borderId="0" xfId="2" applyFont="1"/>
    <xf numFmtId="165" fontId="107" fillId="0" borderId="0" xfId="1" applyNumberFormat="1" applyFont="1"/>
    <xf numFmtId="43" fontId="106" fillId="0" borderId="0" xfId="0" applyNumberFormat="1" applyFont="1"/>
    <xf numFmtId="0" fontId="100" fillId="0" borderId="0" xfId="0" applyFont="1"/>
    <xf numFmtId="43" fontId="133" fillId="0" borderId="0" xfId="1" applyFont="1"/>
    <xf numFmtId="0" fontId="90" fillId="0" borderId="0" xfId="0" applyFont="1" applyAlignment="1">
      <alignment horizontal="centerContinuous"/>
    </xf>
    <xf numFmtId="166" fontId="134" fillId="0" borderId="0" xfId="1" applyNumberFormat="1" applyFont="1"/>
    <xf numFmtId="166" fontId="99" fillId="0" borderId="0" xfId="1" applyNumberFormat="1" applyFont="1"/>
    <xf numFmtId="166" fontId="134" fillId="0" borderId="0" xfId="1" applyNumberFormat="1" applyFont="1" applyBorder="1"/>
    <xf numFmtId="43" fontId="82" fillId="0" borderId="0" xfId="0" applyNumberFormat="1" applyFont="1"/>
    <xf numFmtId="0" fontId="95" fillId="0" borderId="0" xfId="0" applyFont="1" applyAlignment="1">
      <alignment horizontal="center"/>
    </xf>
    <xf numFmtId="0" fontId="133" fillId="0" borderId="0" xfId="0" applyFont="1"/>
    <xf numFmtId="171" fontId="89" fillId="0" borderId="0" xfId="0" applyNumberFormat="1" applyFont="1"/>
    <xf numFmtId="1" fontId="93" fillId="0" borderId="0" xfId="0" applyNumberFormat="1" applyFont="1" applyAlignment="1">
      <alignment horizontal="center"/>
    </xf>
    <xf numFmtId="166" fontId="85" fillId="0" borderId="0" xfId="0" applyNumberFormat="1" applyFont="1"/>
    <xf numFmtId="165" fontId="135" fillId="0" borderId="0" xfId="1" applyNumberFormat="1" applyFont="1"/>
    <xf numFmtId="0" fontId="135" fillId="0" borderId="0" xfId="0" applyFont="1"/>
    <xf numFmtId="9" fontId="85" fillId="0" borderId="0" xfId="2" applyFont="1"/>
    <xf numFmtId="10" fontId="135" fillId="0" borderId="0" xfId="0" applyNumberFormat="1" applyFont="1"/>
    <xf numFmtId="166" fontId="135" fillId="0" borderId="0" xfId="1" applyNumberFormat="1" applyFont="1"/>
    <xf numFmtId="171" fontId="95" fillId="0" borderId="0" xfId="0" applyNumberFormat="1" applyFont="1"/>
    <xf numFmtId="43" fontId="101" fillId="0" borderId="0" xfId="1" applyFont="1"/>
    <xf numFmtId="0" fontId="91" fillId="0" borderId="0" xfId="0" applyFont="1"/>
    <xf numFmtId="166" fontId="91" fillId="0" borderId="0" xfId="1" applyNumberFormat="1" applyFont="1"/>
    <xf numFmtId="166" fontId="90" fillId="0" borderId="0" xfId="1" applyNumberFormat="1" applyFont="1"/>
    <xf numFmtId="0" fontId="82" fillId="0" borderId="0" xfId="0" applyFont="1" applyAlignment="1">
      <alignment horizontal="left" indent="1"/>
    </xf>
    <xf numFmtId="166" fontId="82" fillId="0" borderId="0" xfId="1" applyNumberFormat="1" applyFont="1" applyFill="1"/>
    <xf numFmtId="166" fontId="98" fillId="0" borderId="0" xfId="1" applyNumberFormat="1" applyFont="1"/>
    <xf numFmtId="0" fontId="101" fillId="0" borderId="0" xfId="0" applyFont="1" applyAlignment="1">
      <alignment horizontal="left" indent="1"/>
    </xf>
    <xf numFmtId="0" fontId="85" fillId="0" borderId="0" xfId="0" applyFont="1" applyAlignment="1">
      <alignment horizontal="left" indent="3"/>
    </xf>
    <xf numFmtId="9" fontId="95" fillId="0" borderId="0" xfId="2" applyFont="1"/>
    <xf numFmtId="9" fontId="133" fillId="0" borderId="0" xfId="2" applyFont="1"/>
    <xf numFmtId="165" fontId="133" fillId="0" borderId="0" xfId="1" applyNumberFormat="1" applyFont="1"/>
    <xf numFmtId="166" fontId="133" fillId="0" borderId="0" xfId="1" applyNumberFormat="1" applyFont="1"/>
    <xf numFmtId="0" fontId="94" fillId="0" borderId="0" xfId="0" applyFont="1" applyAlignment="1">
      <alignment horizontal="left" indent="2"/>
    </xf>
    <xf numFmtId="9" fontId="94" fillId="0" borderId="0" xfId="2" applyFont="1"/>
    <xf numFmtId="9" fontId="136" fillId="0" borderId="0" xfId="2" applyFont="1"/>
    <xf numFmtId="0" fontId="85" fillId="0" borderId="0" xfId="0" applyFont="1" applyAlignment="1">
      <alignment horizontal="left" indent="2"/>
    </xf>
    <xf numFmtId="0" fontId="101" fillId="0" borderId="0" xfId="0" applyFont="1" applyAlignment="1">
      <alignment horizontal="left" indent="2"/>
    </xf>
    <xf numFmtId="172" fontId="85" fillId="0" borderId="0" xfId="0" applyNumberFormat="1" applyFont="1"/>
    <xf numFmtId="166" fontId="85" fillId="0" borderId="0" xfId="2" applyNumberFormat="1" applyFont="1"/>
    <xf numFmtId="166" fontId="99" fillId="0" borderId="0" xfId="1" applyNumberFormat="1" applyFont="1" applyAlignment="1">
      <alignment horizontal="right"/>
    </xf>
    <xf numFmtId="167" fontId="85" fillId="0" borderId="0" xfId="0" applyNumberFormat="1" applyFont="1"/>
    <xf numFmtId="172" fontId="82" fillId="0" borderId="0" xfId="0" applyNumberFormat="1" applyFont="1"/>
    <xf numFmtId="0" fontId="85" fillId="0" borderId="0" xfId="0" applyFont="1" applyAlignment="1">
      <alignment horizontal="left" indent="1"/>
    </xf>
    <xf numFmtId="166" fontId="85" fillId="0" borderId="0" xfId="1" applyNumberFormat="1" applyFont="1"/>
    <xf numFmtId="167" fontId="118" fillId="0" borderId="0" xfId="0" applyNumberFormat="1" applyFont="1"/>
    <xf numFmtId="0" fontId="137" fillId="0" borderId="0" xfId="0" applyFont="1"/>
    <xf numFmtId="166" fontId="137" fillId="0" borderId="0" xfId="0" applyNumberFormat="1" applyFont="1"/>
    <xf numFmtId="43" fontId="110" fillId="0" borderId="0" xfId="0" applyNumberFormat="1" applyFont="1"/>
    <xf numFmtId="165" fontId="108" fillId="0" borderId="0" xfId="1" applyNumberFormat="1" applyFont="1"/>
    <xf numFmtId="9" fontId="109" fillId="0" borderId="0" xfId="2" applyFont="1"/>
    <xf numFmtId="164" fontId="85" fillId="0" borderId="0" xfId="2" applyNumberFormat="1" applyFont="1"/>
    <xf numFmtId="164" fontId="82" fillId="0" borderId="0" xfId="0" applyNumberFormat="1" applyFont="1"/>
    <xf numFmtId="164" fontId="82" fillId="0" borderId="0" xfId="1" applyNumberFormat="1" applyFont="1"/>
    <xf numFmtId="164" fontId="95" fillId="0" borderId="0" xfId="2" applyNumberFormat="1" applyFont="1"/>
    <xf numFmtId="164" fontId="82" fillId="0" borderId="0" xfId="2" applyNumberFormat="1" applyFont="1"/>
    <xf numFmtId="10" fontId="82" fillId="0" borderId="0" xfId="2" applyNumberFormat="1" applyFont="1"/>
    <xf numFmtId="166" fontId="133" fillId="0" borderId="0" xfId="0" applyNumberFormat="1" applyFont="1"/>
    <xf numFmtId="165" fontId="138" fillId="0" borderId="0" xfId="1" applyNumberFormat="1" applyFont="1"/>
    <xf numFmtId="166" fontId="91" fillId="0" borderId="0" xfId="1" applyNumberFormat="1" applyFont="1" applyAlignment="1">
      <alignment horizontal="right"/>
    </xf>
    <xf numFmtId="164" fontId="85" fillId="0" borderId="0" xfId="0" applyNumberFormat="1" applyFont="1" applyAlignment="1">
      <alignment horizontal="left" indent="2"/>
    </xf>
    <xf numFmtId="166" fontId="85" fillId="0" borderId="0" xfId="1" applyNumberFormat="1" applyFont="1" applyAlignment="1">
      <alignment horizontal="right"/>
    </xf>
    <xf numFmtId="164" fontId="101" fillId="0" borderId="0" xfId="2" applyNumberFormat="1" applyFont="1"/>
    <xf numFmtId="164" fontId="133" fillId="0" borderId="0" xfId="0" applyNumberFormat="1" applyFont="1"/>
    <xf numFmtId="166" fontId="93" fillId="0" borderId="0" xfId="1" applyNumberFormat="1" applyFont="1" applyAlignment="1">
      <alignment horizontal="right"/>
    </xf>
    <xf numFmtId="164" fontId="133" fillId="0" borderId="0" xfId="1" applyNumberFormat="1" applyFont="1"/>
    <xf numFmtId="164" fontId="85" fillId="0" borderId="0" xfId="0" applyNumberFormat="1" applyFont="1"/>
    <xf numFmtId="164" fontId="85" fillId="0" borderId="0" xfId="1" applyNumberFormat="1" applyFont="1"/>
    <xf numFmtId="166" fontId="95" fillId="0" borderId="0" xfId="1" applyNumberFormat="1" applyFont="1"/>
    <xf numFmtId="164" fontId="85" fillId="0" borderId="0" xfId="2" applyNumberFormat="1" applyFont="1" applyAlignment="1">
      <alignment horizontal="right"/>
    </xf>
    <xf numFmtId="166" fontId="138" fillId="0" borderId="0" xfId="1" applyNumberFormat="1" applyFont="1"/>
    <xf numFmtId="166" fontId="139" fillId="0" borderId="0" xfId="1" applyNumberFormat="1" applyFont="1"/>
    <xf numFmtId="166" fontId="97" fillId="0" borderId="0" xfId="1" applyNumberFormat="1" applyFont="1"/>
    <xf numFmtId="166" fontId="133" fillId="0" borderId="0" xfId="1" applyNumberFormat="1" applyFont="1" applyAlignment="1">
      <alignment horizontal="right"/>
    </xf>
    <xf numFmtId="166" fontId="88" fillId="0" borderId="0" xfId="1" applyNumberFormat="1" applyFont="1"/>
    <xf numFmtId="167" fontId="85" fillId="0" borderId="0" xfId="2" applyNumberFormat="1" applyFont="1"/>
    <xf numFmtId="167" fontId="82" fillId="0" borderId="0" xfId="0" applyNumberFormat="1" applyFont="1"/>
    <xf numFmtId="167" fontId="82" fillId="0" borderId="0" xfId="1" applyNumberFormat="1" applyFont="1"/>
    <xf numFmtId="167" fontId="95" fillId="0" borderId="0" xfId="2" applyNumberFormat="1" applyFont="1"/>
    <xf numFmtId="174" fontId="82" fillId="0" borderId="0" xfId="0" applyNumberFormat="1" applyFont="1"/>
    <xf numFmtId="164" fontId="82" fillId="0" borderId="0" xfId="2" applyNumberFormat="1" applyFont="1" applyAlignment="1">
      <alignment horizontal="right"/>
    </xf>
    <xf numFmtId="164" fontId="99" fillId="0" borderId="0" xfId="2" applyNumberFormat="1" applyFont="1"/>
    <xf numFmtId="164" fontId="81" fillId="0" borderId="0" xfId="2" applyNumberFormat="1" applyFont="1"/>
    <xf numFmtId="0" fontId="99" fillId="0" borderId="0" xfId="0" applyFont="1"/>
    <xf numFmtId="170" fontId="90" fillId="0" borderId="0" xfId="0" applyNumberFormat="1" applyFont="1"/>
    <xf numFmtId="43" fontId="99" fillId="0" borderId="0" xfId="0" applyNumberFormat="1" applyFont="1"/>
    <xf numFmtId="9" fontId="82" fillId="0" borderId="0" xfId="0" applyNumberFormat="1" applyFont="1"/>
    <xf numFmtId="9" fontId="99" fillId="0" borderId="0" xfId="0" applyNumberFormat="1" applyFont="1"/>
    <xf numFmtId="166" fontId="93" fillId="0" borderId="0" xfId="1" quotePrefix="1" applyNumberFormat="1" applyFont="1" applyAlignment="1">
      <alignment horizontal="right"/>
    </xf>
    <xf numFmtId="166" fontId="81" fillId="0" borderId="0" xfId="1" applyNumberFormat="1" applyFont="1" applyFill="1"/>
    <xf numFmtId="166" fontId="81" fillId="0" borderId="0" xfId="1" applyNumberFormat="1" applyFont="1" applyAlignment="1">
      <alignment horizontal="right"/>
    </xf>
    <xf numFmtId="166" fontId="88" fillId="0" borderId="0" xfId="0" applyNumberFormat="1" applyFont="1"/>
    <xf numFmtId="166" fontId="88" fillId="0" borderId="0" xfId="1" applyNumberFormat="1" applyFont="1" applyAlignment="1">
      <alignment horizontal="right"/>
    </xf>
    <xf numFmtId="166" fontId="91" fillId="0" borderId="0" xfId="1" quotePrefix="1" applyNumberFormat="1" applyFont="1" applyAlignment="1">
      <alignment horizontal="right"/>
    </xf>
    <xf numFmtId="166" fontId="85" fillId="0" borderId="0" xfId="1" quotePrefix="1" applyNumberFormat="1" applyFont="1" applyAlignment="1">
      <alignment horizontal="right"/>
    </xf>
    <xf numFmtId="166" fontId="93" fillId="0" borderId="0" xfId="1" applyNumberFormat="1" applyFont="1"/>
    <xf numFmtId="166" fontId="88" fillId="0" borderId="0" xfId="2" applyNumberFormat="1" applyFont="1"/>
    <xf numFmtId="166" fontId="81" fillId="0" borderId="0" xfId="2" applyNumberFormat="1" applyFont="1"/>
    <xf numFmtId="166" fontId="82" fillId="0" borderId="0" xfId="1" quotePrefix="1" applyNumberFormat="1" applyFont="1" applyAlignment="1">
      <alignment horizontal="right"/>
    </xf>
    <xf numFmtId="166" fontId="138" fillId="0" borderId="0" xfId="1" applyNumberFormat="1" applyFont="1" applyAlignment="1">
      <alignment horizontal="right"/>
    </xf>
    <xf numFmtId="43" fontId="81" fillId="0" borderId="0" xfId="1" applyFont="1" applyAlignment="1">
      <alignment horizontal="right"/>
    </xf>
    <xf numFmtId="171" fontId="85" fillId="0" borderId="0" xfId="0" applyNumberFormat="1" applyFont="1"/>
    <xf numFmtId="171" fontId="85" fillId="0" borderId="0" xfId="1" applyNumberFormat="1" applyFont="1"/>
    <xf numFmtId="166" fontId="99" fillId="0" borderId="0" xfId="1" applyNumberFormat="1" applyFont="1" applyFill="1"/>
    <xf numFmtId="166" fontId="133" fillId="0" borderId="0" xfId="1" applyNumberFormat="1" applyFont="1" applyFill="1"/>
    <xf numFmtId="164" fontId="82" fillId="0" borderId="0" xfId="2" quotePrefix="1" applyNumberFormat="1" applyFont="1" applyAlignment="1">
      <alignment horizontal="left"/>
    </xf>
    <xf numFmtId="0" fontId="82" fillId="0" borderId="3" xfId="0" applyFont="1" applyBorder="1"/>
    <xf numFmtId="166" fontId="82" fillId="4" borderId="0" xfId="1" applyNumberFormat="1" applyFont="1" applyFill="1"/>
    <xf numFmtId="166" fontId="91" fillId="0" borderId="0" xfId="1" applyNumberFormat="1" applyFont="1" applyFill="1"/>
    <xf numFmtId="166" fontId="133" fillId="4" borderId="0" xfId="1" applyNumberFormat="1" applyFont="1" applyFill="1"/>
    <xf numFmtId="166" fontId="140" fillId="0" borderId="0" xfId="1" applyNumberFormat="1" applyFont="1"/>
    <xf numFmtId="0" fontId="82" fillId="0" borderId="0" xfId="0" applyFont="1" applyAlignment="1">
      <alignment horizontal="left"/>
    </xf>
    <xf numFmtId="165" fontId="85" fillId="0" borderId="0" xfId="0" applyNumberFormat="1" applyFont="1" applyAlignment="1">
      <alignment horizontal="left" indent="1"/>
    </xf>
    <xf numFmtId="167" fontId="85" fillId="0" borderId="0" xfId="1" applyNumberFormat="1" applyFont="1"/>
    <xf numFmtId="43" fontId="82" fillId="0" borderId="0" xfId="1" applyFont="1"/>
    <xf numFmtId="43" fontId="133" fillId="0" borderId="0" xfId="0" applyNumberFormat="1" applyFont="1"/>
    <xf numFmtId="164" fontId="93" fillId="0" borderId="0" xfId="2" applyNumberFormat="1" applyFont="1"/>
    <xf numFmtId="164" fontId="91" fillId="0" borderId="0" xfId="1" applyNumberFormat="1" applyFont="1"/>
    <xf numFmtId="174" fontId="82" fillId="0" borderId="0" xfId="1" applyNumberFormat="1" applyFont="1" applyAlignment="1">
      <alignment horizontal="right"/>
    </xf>
    <xf numFmtId="174" fontId="82" fillId="0" borderId="0" xfId="1" applyNumberFormat="1" applyFont="1"/>
    <xf numFmtId="164" fontId="81" fillId="0" borderId="0" xfId="2" applyNumberFormat="1" applyFont="1" applyAlignment="1">
      <alignment horizontal="right"/>
    </xf>
    <xf numFmtId="3" fontId="82" fillId="0" borderId="0" xfId="0" applyNumberFormat="1" applyFont="1"/>
    <xf numFmtId="166" fontId="134" fillId="0" borderId="0" xfId="1" applyNumberFormat="1" applyFont="1" applyAlignment="1">
      <alignment horizontal="right"/>
    </xf>
    <xf numFmtId="166" fontId="101" fillId="0" borderId="0" xfId="1" applyNumberFormat="1" applyFont="1"/>
    <xf numFmtId="166" fontId="101" fillId="0" borderId="0" xfId="1" quotePrefix="1" applyNumberFormat="1" applyFont="1" applyAlignment="1">
      <alignment horizontal="right"/>
    </xf>
    <xf numFmtId="171" fontId="135" fillId="0" borderId="0" xfId="0" applyNumberFormat="1" applyFont="1"/>
    <xf numFmtId="166" fontId="82" fillId="0" borderId="0" xfId="1" quotePrefix="1" applyNumberFormat="1" applyFont="1"/>
    <xf numFmtId="166" fontId="82" fillId="0" borderId="0" xfId="1" applyNumberFormat="1" applyFont="1" applyFill="1" applyBorder="1"/>
    <xf numFmtId="166" fontId="5" fillId="0" borderId="0" xfId="0" applyNumberFormat="1" applyFont="1"/>
    <xf numFmtId="167" fontId="5" fillId="0" borderId="0" xfId="0" applyNumberFormat="1" applyFont="1"/>
    <xf numFmtId="167" fontId="0" fillId="0" borderId="0" xfId="0" applyNumberFormat="1"/>
    <xf numFmtId="0" fontId="0" fillId="0" borderId="6" xfId="0" applyBorder="1" applyAlignment="1">
      <alignment horizontal="center"/>
    </xf>
    <xf numFmtId="0" fontId="4" fillId="0" borderId="0" xfId="0" applyFont="1" applyAlignment="1">
      <alignment horizontal="center"/>
    </xf>
    <xf numFmtId="165" fontId="1" fillId="0" borderId="0" xfId="1" applyNumberFormat="1" applyFont="1" applyAlignment="1">
      <alignment horizontal="center"/>
    </xf>
    <xf numFmtId="165" fontId="5" fillId="0" borderId="0" xfId="1" applyNumberFormat="1" applyFont="1" applyAlignment="1">
      <alignment horizontal="center"/>
    </xf>
    <xf numFmtId="165" fontId="7" fillId="0" borderId="0" xfId="1" applyNumberFormat="1" applyFont="1" applyAlignment="1">
      <alignment horizontal="center"/>
    </xf>
    <xf numFmtId="165" fontId="3" fillId="0" borderId="0" xfId="1" applyNumberFormat="1" applyFont="1" applyAlignment="1">
      <alignment horizontal="center"/>
    </xf>
    <xf numFmtId="167" fontId="142" fillId="0" borderId="0" xfId="0" applyNumberFormat="1" applyFont="1"/>
    <xf numFmtId="43" fontId="1" fillId="0" borderId="0" xfId="1" applyFont="1" applyAlignment="1">
      <alignment horizontal="center"/>
    </xf>
    <xf numFmtId="14" fontId="141" fillId="0" borderId="0" xfId="0" applyNumberFormat="1" applyFont="1" applyAlignment="1">
      <alignment horizontal="center"/>
    </xf>
    <xf numFmtId="0" fontId="141" fillId="0" borderId="0" xfId="0" applyFont="1" applyAlignment="1">
      <alignment horizontal="center"/>
    </xf>
    <xf numFmtId="43" fontId="141" fillId="0" borderId="0" xfId="1" applyFont="1"/>
    <xf numFmtId="14" fontId="32" fillId="0" borderId="0" xfId="0" applyNumberFormat="1" applyFont="1" applyAlignment="1">
      <alignment horizontal="center"/>
    </xf>
    <xf numFmtId="169" fontId="131" fillId="0" borderId="0" xfId="1" applyNumberFormat="1" applyFont="1"/>
    <xf numFmtId="0" fontId="0" fillId="0" borderId="0" xfId="0" applyAlignment="1">
      <alignment wrapText="1"/>
    </xf>
    <xf numFmtId="0" fontId="6" fillId="0" borderId="0" xfId="0" applyFont="1" applyAlignment="1">
      <alignment wrapText="1"/>
    </xf>
    <xf numFmtId="0" fontId="61" fillId="0" borderId="0" xfId="0" applyFont="1" applyAlignment="1">
      <alignment vertical="top" wrapText="1"/>
    </xf>
    <xf numFmtId="0" fontId="67" fillId="0" borderId="0" xfId="0" applyFont="1" applyAlignment="1">
      <alignment vertical="top" wrapText="1"/>
    </xf>
    <xf numFmtId="0" fontId="63" fillId="0" borderId="0" xfId="0" applyFont="1" applyAlignment="1">
      <alignment vertical="top" wrapText="1"/>
    </xf>
    <xf numFmtId="0" fontId="68" fillId="0" borderId="0" xfId="0" applyFont="1" applyAlignment="1">
      <alignment vertical="top" wrapText="1"/>
    </xf>
  </cellXfs>
  <cellStyles count="5">
    <cellStyle name="Comma" xfId="1" builtinId="3"/>
    <cellStyle name="Hyperlink" xfId="3" builtinId="8"/>
    <cellStyle name="Normal" xfId="0" builtinId="0"/>
    <cellStyle name="Normal 2" xfId="4" xr:uid="{D1D7B3EC-D3DC-4CF9-BD2B-841DCEE5CE03}"/>
    <cellStyle name="Percent" xfId="2" builtinId="5"/>
  </cellStyles>
  <dxfs count="0"/>
  <tableStyles count="1" defaultTableStyle="TableStyleMedium2" defaultPivotStyle="PivotStyleLight16">
    <tableStyle name="Invisible" pivot="0" table="0" count="0" xr9:uid="{80DD409F-A897-4725-A35E-CAB75FDFBBB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Year-To-Date Luxury Stock Price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0"/>
          <c:order val="0"/>
          <c:tx>
            <c:strRef>
              <c:f>'2Q24 Webinar Charts'!$M$178</c:f>
              <c:strCache>
                <c:ptCount val="1"/>
                <c:pt idx="0">
                  <c:v>Hermes</c:v>
                </c:pt>
              </c:strCache>
            </c:strRef>
          </c:tx>
          <c:spPr>
            <a:ln w="28575" cap="rnd">
              <a:solidFill>
                <a:schemeClr val="accent5">
                  <a:lumMod val="60000"/>
                </a:schemeClr>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Charts'!$M$179:$M$318</c:f>
              <c:numCache>
                <c:formatCode>_(* #,##0_);_(* \(#,##0\);_(* "-"??_);_(@_)</c:formatCode>
                <c:ptCount val="140"/>
                <c:pt idx="0">
                  <c:v>100</c:v>
                </c:pt>
                <c:pt idx="1">
                  <c:v>101.94000000000001</c:v>
                </c:pt>
                <c:pt idx="2">
                  <c:v>100</c:v>
                </c:pt>
                <c:pt idx="3">
                  <c:v>99.429999999999993</c:v>
                </c:pt>
                <c:pt idx="4">
                  <c:v>97.78</c:v>
                </c:pt>
                <c:pt idx="5">
                  <c:v>98.66</c:v>
                </c:pt>
                <c:pt idx="6">
                  <c:v>98.11999999999999</c:v>
                </c:pt>
                <c:pt idx="7">
                  <c:v>99.61</c:v>
                </c:pt>
                <c:pt idx="8">
                  <c:v>98.68</c:v>
                </c:pt>
                <c:pt idx="9">
                  <c:v>98.69</c:v>
                </c:pt>
                <c:pt idx="10">
                  <c:v>98.509999999999991</c:v>
                </c:pt>
                <c:pt idx="11">
                  <c:v>98.08</c:v>
                </c:pt>
                <c:pt idx="12">
                  <c:v>97.25</c:v>
                </c:pt>
                <c:pt idx="13">
                  <c:v>98.960000000000008</c:v>
                </c:pt>
                <c:pt idx="14">
                  <c:v>98.47</c:v>
                </c:pt>
                <c:pt idx="15">
                  <c:v>98.65</c:v>
                </c:pt>
                <c:pt idx="16">
                  <c:v>97.22</c:v>
                </c:pt>
                <c:pt idx="17">
                  <c:v>98.42</c:v>
                </c:pt>
                <c:pt idx="18">
                  <c:v>99.08</c:v>
                </c:pt>
                <c:pt idx="19">
                  <c:v>105.64</c:v>
                </c:pt>
                <c:pt idx="20">
                  <c:v>105.66</c:v>
                </c:pt>
                <c:pt idx="21">
                  <c:v>105.77000000000001</c:v>
                </c:pt>
                <c:pt idx="22">
                  <c:v>105.19000000000001</c:v>
                </c:pt>
                <c:pt idx="23">
                  <c:v>106.49</c:v>
                </c:pt>
                <c:pt idx="24">
                  <c:v>108.69</c:v>
                </c:pt>
                <c:pt idx="25">
                  <c:v>108.83</c:v>
                </c:pt>
                <c:pt idx="26">
                  <c:v>108.4</c:v>
                </c:pt>
                <c:pt idx="27">
                  <c:v>109.5</c:v>
                </c:pt>
                <c:pt idx="28">
                  <c:v>111.49</c:v>
                </c:pt>
                <c:pt idx="29">
                  <c:v>116.82999999999998</c:v>
                </c:pt>
                <c:pt idx="30">
                  <c:v>117.41999999999999</c:v>
                </c:pt>
                <c:pt idx="31">
                  <c:v>114.71000000000001</c:v>
                </c:pt>
                <c:pt idx="32">
                  <c:v>115.41000000000001</c:v>
                </c:pt>
                <c:pt idx="33">
                  <c:v>117.75</c:v>
                </c:pt>
                <c:pt idx="34">
                  <c:v>118.34</c:v>
                </c:pt>
                <c:pt idx="35">
                  <c:v>119.07000000000001</c:v>
                </c:pt>
                <c:pt idx="36">
                  <c:v>119.44</c:v>
                </c:pt>
                <c:pt idx="37">
                  <c:v>119.93</c:v>
                </c:pt>
                <c:pt idx="38">
                  <c:v>122.16</c:v>
                </c:pt>
                <c:pt idx="39">
                  <c:v>123.83</c:v>
                </c:pt>
                <c:pt idx="40">
                  <c:v>123.47999999999999</c:v>
                </c:pt>
                <c:pt idx="41">
                  <c:v>123.61</c:v>
                </c:pt>
                <c:pt idx="42">
                  <c:v>124.66</c:v>
                </c:pt>
                <c:pt idx="43">
                  <c:v>124.47</c:v>
                </c:pt>
                <c:pt idx="44">
                  <c:v>124.2</c:v>
                </c:pt>
                <c:pt idx="45">
                  <c:v>123.77</c:v>
                </c:pt>
                <c:pt idx="46">
                  <c:v>121.97</c:v>
                </c:pt>
                <c:pt idx="47">
                  <c:v>122.24</c:v>
                </c:pt>
                <c:pt idx="48">
                  <c:v>124.58</c:v>
                </c:pt>
                <c:pt idx="49">
                  <c:v>124.47</c:v>
                </c:pt>
                <c:pt idx="50">
                  <c:v>124.02</c:v>
                </c:pt>
                <c:pt idx="51">
                  <c:v>125.47</c:v>
                </c:pt>
                <c:pt idx="52">
                  <c:v>126.86999999999999</c:v>
                </c:pt>
                <c:pt idx="53">
                  <c:v>128.75</c:v>
                </c:pt>
                <c:pt idx="54">
                  <c:v>128.62</c:v>
                </c:pt>
                <c:pt idx="55">
                  <c:v>127.95</c:v>
                </c:pt>
                <c:pt idx="56">
                  <c:v>129.4</c:v>
                </c:pt>
                <c:pt idx="57">
                  <c:v>129.42000000000002</c:v>
                </c:pt>
                <c:pt idx="58">
                  <c:v>129.72</c:v>
                </c:pt>
                <c:pt idx="59">
                  <c:v>128.4</c:v>
                </c:pt>
                <c:pt idx="60">
                  <c:v>129.32000000000002</c:v>
                </c:pt>
                <c:pt idx="61">
                  <c:v>128.46</c:v>
                </c:pt>
                <c:pt idx="62">
                  <c:v>128.51</c:v>
                </c:pt>
                <c:pt idx="63">
                  <c:v>127.32999999999998</c:v>
                </c:pt>
                <c:pt idx="64">
                  <c:v>127.32999999999998</c:v>
                </c:pt>
                <c:pt idx="65">
                  <c:v>127.06</c:v>
                </c:pt>
                <c:pt idx="66">
                  <c:v>128.88999999999999</c:v>
                </c:pt>
                <c:pt idx="67">
                  <c:v>128.29</c:v>
                </c:pt>
                <c:pt idx="68">
                  <c:v>126.2</c:v>
                </c:pt>
                <c:pt idx="69">
                  <c:v>125.86999999999999</c:v>
                </c:pt>
                <c:pt idx="70">
                  <c:v>122.81</c:v>
                </c:pt>
                <c:pt idx="71">
                  <c:v>122.75</c:v>
                </c:pt>
                <c:pt idx="72">
                  <c:v>123.34</c:v>
                </c:pt>
                <c:pt idx="73">
                  <c:v>122.16</c:v>
                </c:pt>
                <c:pt idx="74">
                  <c:v>123.94000000000001</c:v>
                </c:pt>
                <c:pt idx="75">
                  <c:v>123.18</c:v>
                </c:pt>
                <c:pt idx="76">
                  <c:v>126.03</c:v>
                </c:pt>
                <c:pt idx="77">
                  <c:v>125.12</c:v>
                </c:pt>
                <c:pt idx="78">
                  <c:v>124.85</c:v>
                </c:pt>
                <c:pt idx="79">
                  <c:v>124.31</c:v>
                </c:pt>
                <c:pt idx="80">
                  <c:v>126.73</c:v>
                </c:pt>
                <c:pt idx="81">
                  <c:v>126.63</c:v>
                </c:pt>
                <c:pt idx="82">
                  <c:v>123.61</c:v>
                </c:pt>
                <c:pt idx="83">
                  <c:v>126.47</c:v>
                </c:pt>
                <c:pt idx="84">
                  <c:v>123.66999999999999</c:v>
                </c:pt>
                <c:pt idx="85">
                  <c:v>121.14</c:v>
                </c:pt>
                <c:pt idx="86">
                  <c:v>121.14</c:v>
                </c:pt>
                <c:pt idx="87">
                  <c:v>121.71000000000001</c:v>
                </c:pt>
                <c:pt idx="88">
                  <c:v>124.15</c:v>
                </c:pt>
                <c:pt idx="89">
                  <c:v>123.56</c:v>
                </c:pt>
                <c:pt idx="90">
                  <c:v>124.64</c:v>
                </c:pt>
                <c:pt idx="91">
                  <c:v>125.24</c:v>
                </c:pt>
                <c:pt idx="92">
                  <c:v>125.13000000000001</c:v>
                </c:pt>
                <c:pt idx="93">
                  <c:v>124.75</c:v>
                </c:pt>
                <c:pt idx="94">
                  <c:v>124.15</c:v>
                </c:pt>
                <c:pt idx="95">
                  <c:v>124.97</c:v>
                </c:pt>
                <c:pt idx="96">
                  <c:v>124.21</c:v>
                </c:pt>
                <c:pt idx="97">
                  <c:v>124.03999999999999</c:v>
                </c:pt>
                <c:pt idx="98">
                  <c:v>124.69999999999999</c:v>
                </c:pt>
                <c:pt idx="99">
                  <c:v>125.02</c:v>
                </c:pt>
                <c:pt idx="100">
                  <c:v>123.94000000000001</c:v>
                </c:pt>
                <c:pt idx="101">
                  <c:v>118.67000000000002</c:v>
                </c:pt>
                <c:pt idx="102">
                  <c:v>118.88000000000001</c:v>
                </c:pt>
                <c:pt idx="103">
                  <c:v>118.44999999999999</c:v>
                </c:pt>
                <c:pt idx="104">
                  <c:v>119.53</c:v>
                </c:pt>
                <c:pt idx="105">
                  <c:v>118.44999999999999</c:v>
                </c:pt>
                <c:pt idx="106">
                  <c:v>116.71000000000001</c:v>
                </c:pt>
                <c:pt idx="107">
                  <c:v>117.96</c:v>
                </c:pt>
                <c:pt idx="108">
                  <c:v>118.23000000000002</c:v>
                </c:pt>
                <c:pt idx="109">
                  <c:v>117.9</c:v>
                </c:pt>
                <c:pt idx="110">
                  <c:v>117.52</c:v>
                </c:pt>
                <c:pt idx="111">
                  <c:v>120.46000000000001</c:v>
                </c:pt>
                <c:pt idx="112">
                  <c:v>120.08000000000001</c:v>
                </c:pt>
                <c:pt idx="113">
                  <c:v>119.59</c:v>
                </c:pt>
                <c:pt idx="114">
                  <c:v>116.21999999999998</c:v>
                </c:pt>
                <c:pt idx="115">
                  <c:v>115.73</c:v>
                </c:pt>
                <c:pt idx="116">
                  <c:v>117.14</c:v>
                </c:pt>
                <c:pt idx="117">
                  <c:v>117.8</c:v>
                </c:pt>
                <c:pt idx="118">
                  <c:v>114.75</c:v>
                </c:pt>
                <c:pt idx="119">
                  <c:v>115.46000000000001</c:v>
                </c:pt>
                <c:pt idx="120">
                  <c:v>115.13</c:v>
                </c:pt>
                <c:pt idx="121">
                  <c:v>115.57</c:v>
                </c:pt>
                <c:pt idx="122">
                  <c:v>117.9</c:v>
                </c:pt>
                <c:pt idx="123">
                  <c:v>117.41999999999999</c:v>
                </c:pt>
                <c:pt idx="124">
                  <c:v>118.34</c:v>
                </c:pt>
                <c:pt idx="125">
                  <c:v>120.02</c:v>
                </c:pt>
                <c:pt idx="126">
                  <c:v>119.59</c:v>
                </c:pt>
                <c:pt idx="127">
                  <c:v>118.07000000000001</c:v>
                </c:pt>
                <c:pt idx="128">
                  <c:v>116.27000000000001</c:v>
                </c:pt>
                <c:pt idx="129">
                  <c:v>114.21000000000001</c:v>
                </c:pt>
                <c:pt idx="130">
                  <c:v>114.21000000000001</c:v>
                </c:pt>
                <c:pt idx="131">
                  <c:v>115.01999999999998</c:v>
                </c:pt>
                <c:pt idx="132">
                  <c:v>115.3</c:v>
                </c:pt>
                <c:pt idx="133">
                  <c:v>114.97</c:v>
                </c:pt>
                <c:pt idx="134">
                  <c:v>113.5</c:v>
                </c:pt>
                <c:pt idx="135">
                  <c:v>111.97999999999999</c:v>
                </c:pt>
                <c:pt idx="136">
                  <c:v>113.34</c:v>
                </c:pt>
                <c:pt idx="137">
                  <c:v>115.01999999999998</c:v>
                </c:pt>
                <c:pt idx="138">
                  <c:v>117.9</c:v>
                </c:pt>
                <c:pt idx="139">
                  <c:v>114.86000000000001</c:v>
                </c:pt>
              </c:numCache>
            </c:numRef>
          </c:val>
          <c:smooth val="0"/>
          <c:extLst>
            <c:ext xmlns:c16="http://schemas.microsoft.com/office/drawing/2014/chart" uri="{C3380CC4-5D6E-409C-BE32-E72D297353CC}">
              <c16:uniqueId val="{00000000-7418-41D5-B9A1-1A92EAF18F83}"/>
            </c:ext>
          </c:extLst>
        </c:ser>
        <c:ser>
          <c:idx val="0"/>
          <c:order val="1"/>
          <c:tx>
            <c:strRef>
              <c:f>'2Q24 Webinar Charts'!$C$178</c:f>
              <c:strCache>
                <c:ptCount val="1"/>
                <c:pt idx="0">
                  <c:v>LVMH</c:v>
                </c:pt>
              </c:strCache>
            </c:strRef>
          </c:tx>
          <c:spPr>
            <a:ln w="28575" cap="rnd">
              <a:solidFill>
                <a:schemeClr val="accent1"/>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Charts'!$C$179:$C$318</c:f>
              <c:numCache>
                <c:formatCode>_(* #,##0_);_(* \(#,##0\);_(* "-"??_);_(@_)</c:formatCode>
                <c:ptCount val="140"/>
                <c:pt idx="0">
                  <c:v>100</c:v>
                </c:pt>
                <c:pt idx="1">
                  <c:v>103.97000000000001</c:v>
                </c:pt>
                <c:pt idx="2">
                  <c:v>100</c:v>
                </c:pt>
                <c:pt idx="3">
                  <c:v>100.35000000000001</c:v>
                </c:pt>
                <c:pt idx="4">
                  <c:v>99.070000000000007</c:v>
                </c:pt>
                <c:pt idx="5">
                  <c:v>99.41</c:v>
                </c:pt>
                <c:pt idx="6">
                  <c:v>97.89</c:v>
                </c:pt>
                <c:pt idx="7">
                  <c:v>98.22</c:v>
                </c:pt>
                <c:pt idx="8">
                  <c:v>96.66</c:v>
                </c:pt>
                <c:pt idx="9">
                  <c:v>96.33</c:v>
                </c:pt>
                <c:pt idx="10">
                  <c:v>96.23</c:v>
                </c:pt>
                <c:pt idx="11">
                  <c:v>95.820000000000007</c:v>
                </c:pt>
                <c:pt idx="12">
                  <c:v>93.100000000000009</c:v>
                </c:pt>
                <c:pt idx="13">
                  <c:v>95.399999999999991</c:v>
                </c:pt>
                <c:pt idx="14">
                  <c:v>94.820000000000007</c:v>
                </c:pt>
                <c:pt idx="15">
                  <c:v>95.33</c:v>
                </c:pt>
                <c:pt idx="16">
                  <c:v>96.399999999999991</c:v>
                </c:pt>
                <c:pt idx="17">
                  <c:v>98.27</c:v>
                </c:pt>
                <c:pt idx="18">
                  <c:v>98.550000000000011</c:v>
                </c:pt>
                <c:pt idx="19">
                  <c:v>111.16999999999999</c:v>
                </c:pt>
                <c:pt idx="20">
                  <c:v>111.63000000000001</c:v>
                </c:pt>
                <c:pt idx="21">
                  <c:v>112.45</c:v>
                </c:pt>
                <c:pt idx="22">
                  <c:v>111.25</c:v>
                </c:pt>
                <c:pt idx="23">
                  <c:v>110.81</c:v>
                </c:pt>
                <c:pt idx="24">
                  <c:v>111.89</c:v>
                </c:pt>
                <c:pt idx="25">
                  <c:v>112.27000000000001</c:v>
                </c:pt>
                <c:pt idx="26">
                  <c:v>112.09</c:v>
                </c:pt>
                <c:pt idx="27">
                  <c:v>112.75999999999999</c:v>
                </c:pt>
                <c:pt idx="28">
                  <c:v>115.69</c:v>
                </c:pt>
                <c:pt idx="29">
                  <c:v>116.12</c:v>
                </c:pt>
                <c:pt idx="30">
                  <c:v>118.19</c:v>
                </c:pt>
                <c:pt idx="31">
                  <c:v>115.16</c:v>
                </c:pt>
                <c:pt idx="32">
                  <c:v>115.41999999999999</c:v>
                </c:pt>
                <c:pt idx="33">
                  <c:v>117.29</c:v>
                </c:pt>
                <c:pt idx="34">
                  <c:v>117.31</c:v>
                </c:pt>
                <c:pt idx="35">
                  <c:v>118.19</c:v>
                </c:pt>
                <c:pt idx="36">
                  <c:v>117.95</c:v>
                </c:pt>
                <c:pt idx="37">
                  <c:v>118.15</c:v>
                </c:pt>
                <c:pt idx="38">
                  <c:v>120.85</c:v>
                </c:pt>
                <c:pt idx="39">
                  <c:v>122.24999999999999</c:v>
                </c:pt>
                <c:pt idx="40">
                  <c:v>121.11000000000001</c:v>
                </c:pt>
                <c:pt idx="41">
                  <c:v>122.29</c:v>
                </c:pt>
                <c:pt idx="42">
                  <c:v>121.89999999999999</c:v>
                </c:pt>
                <c:pt idx="43">
                  <c:v>121.2</c:v>
                </c:pt>
                <c:pt idx="44">
                  <c:v>121.71000000000001</c:v>
                </c:pt>
                <c:pt idx="45">
                  <c:v>120.77</c:v>
                </c:pt>
                <c:pt idx="46">
                  <c:v>119.22999999999999</c:v>
                </c:pt>
                <c:pt idx="47">
                  <c:v>119.73</c:v>
                </c:pt>
                <c:pt idx="48">
                  <c:v>120.77</c:v>
                </c:pt>
                <c:pt idx="49">
                  <c:v>121.50000000000001</c:v>
                </c:pt>
                <c:pt idx="50">
                  <c:v>122.29</c:v>
                </c:pt>
                <c:pt idx="51">
                  <c:v>123.53</c:v>
                </c:pt>
                <c:pt idx="52">
                  <c:v>124.71000000000001</c:v>
                </c:pt>
                <c:pt idx="53">
                  <c:v>125.51</c:v>
                </c:pt>
                <c:pt idx="54">
                  <c:v>124</c:v>
                </c:pt>
                <c:pt idx="55">
                  <c:v>123.4</c:v>
                </c:pt>
                <c:pt idx="56">
                  <c:v>123.70000000000002</c:v>
                </c:pt>
                <c:pt idx="57">
                  <c:v>121.69000000000001</c:v>
                </c:pt>
                <c:pt idx="58">
                  <c:v>121.93</c:v>
                </c:pt>
                <c:pt idx="59">
                  <c:v>119.15</c:v>
                </c:pt>
                <c:pt idx="60">
                  <c:v>118.71000000000001</c:v>
                </c:pt>
                <c:pt idx="61">
                  <c:v>118.17999999999999</c:v>
                </c:pt>
                <c:pt idx="62">
                  <c:v>119.39999999999999</c:v>
                </c:pt>
                <c:pt idx="63">
                  <c:v>119.89000000000001</c:v>
                </c:pt>
                <c:pt idx="64">
                  <c:v>119.89000000000001</c:v>
                </c:pt>
                <c:pt idx="65">
                  <c:v>118.17999999999999</c:v>
                </c:pt>
                <c:pt idx="66">
                  <c:v>117.34</c:v>
                </c:pt>
                <c:pt idx="67">
                  <c:v>117.82999999999998</c:v>
                </c:pt>
                <c:pt idx="68">
                  <c:v>115.01000000000002</c:v>
                </c:pt>
                <c:pt idx="69">
                  <c:v>116.09</c:v>
                </c:pt>
                <c:pt idx="70">
                  <c:v>114.35</c:v>
                </c:pt>
                <c:pt idx="71">
                  <c:v>114.04</c:v>
                </c:pt>
                <c:pt idx="72">
                  <c:v>113.68</c:v>
                </c:pt>
                <c:pt idx="73">
                  <c:v>112.33999999999999</c:v>
                </c:pt>
                <c:pt idx="74">
                  <c:v>114.29</c:v>
                </c:pt>
                <c:pt idx="75">
                  <c:v>112.42000000000002</c:v>
                </c:pt>
                <c:pt idx="76">
                  <c:v>115.62</c:v>
                </c:pt>
                <c:pt idx="77">
                  <c:v>114.58</c:v>
                </c:pt>
                <c:pt idx="78">
                  <c:v>114.55</c:v>
                </c:pt>
                <c:pt idx="79">
                  <c:v>114.58</c:v>
                </c:pt>
                <c:pt idx="80">
                  <c:v>116.08000000000001</c:v>
                </c:pt>
                <c:pt idx="81">
                  <c:v>116.16</c:v>
                </c:pt>
                <c:pt idx="82">
                  <c:v>112.94</c:v>
                </c:pt>
                <c:pt idx="83">
                  <c:v>114.99999999999999</c:v>
                </c:pt>
                <c:pt idx="84">
                  <c:v>113.12</c:v>
                </c:pt>
                <c:pt idx="85">
                  <c:v>112.42000000000002</c:v>
                </c:pt>
                <c:pt idx="86">
                  <c:v>112.42000000000002</c:v>
                </c:pt>
                <c:pt idx="87">
                  <c:v>111.33999999999999</c:v>
                </c:pt>
                <c:pt idx="88">
                  <c:v>113.52</c:v>
                </c:pt>
                <c:pt idx="89">
                  <c:v>113.48</c:v>
                </c:pt>
                <c:pt idx="90">
                  <c:v>114.6</c:v>
                </c:pt>
                <c:pt idx="91">
                  <c:v>114.38</c:v>
                </c:pt>
                <c:pt idx="92">
                  <c:v>114.53999999999999</c:v>
                </c:pt>
                <c:pt idx="93">
                  <c:v>114.45</c:v>
                </c:pt>
                <c:pt idx="94">
                  <c:v>113.60999999999999</c:v>
                </c:pt>
                <c:pt idx="95">
                  <c:v>114.96</c:v>
                </c:pt>
                <c:pt idx="96">
                  <c:v>114.53999999999999</c:v>
                </c:pt>
                <c:pt idx="97">
                  <c:v>114.1</c:v>
                </c:pt>
                <c:pt idx="98">
                  <c:v>113.7</c:v>
                </c:pt>
                <c:pt idx="99">
                  <c:v>113.1</c:v>
                </c:pt>
                <c:pt idx="100">
                  <c:v>111.5</c:v>
                </c:pt>
                <c:pt idx="101">
                  <c:v>109.14999999999999</c:v>
                </c:pt>
                <c:pt idx="102">
                  <c:v>109.28</c:v>
                </c:pt>
                <c:pt idx="103">
                  <c:v>108.88</c:v>
                </c:pt>
                <c:pt idx="104">
                  <c:v>109.77999999999999</c:v>
                </c:pt>
                <c:pt idx="105">
                  <c:v>108.21000000000001</c:v>
                </c:pt>
                <c:pt idx="106">
                  <c:v>105.13</c:v>
                </c:pt>
                <c:pt idx="107">
                  <c:v>106.61</c:v>
                </c:pt>
                <c:pt idx="108">
                  <c:v>106.67999999999999</c:v>
                </c:pt>
                <c:pt idx="109">
                  <c:v>107.13</c:v>
                </c:pt>
                <c:pt idx="110">
                  <c:v>106.69999999999999</c:v>
                </c:pt>
                <c:pt idx="111">
                  <c:v>109.25</c:v>
                </c:pt>
                <c:pt idx="112">
                  <c:v>110.72</c:v>
                </c:pt>
                <c:pt idx="113">
                  <c:v>110.69</c:v>
                </c:pt>
                <c:pt idx="114">
                  <c:v>108.33999999999999</c:v>
                </c:pt>
                <c:pt idx="115">
                  <c:v>106.92999999999999</c:v>
                </c:pt>
                <c:pt idx="116">
                  <c:v>106.76</c:v>
                </c:pt>
                <c:pt idx="117">
                  <c:v>106.19000000000001</c:v>
                </c:pt>
                <c:pt idx="118">
                  <c:v>103.27</c:v>
                </c:pt>
                <c:pt idx="119">
                  <c:v>104.14000000000001</c:v>
                </c:pt>
                <c:pt idx="120">
                  <c:v>103.08</c:v>
                </c:pt>
                <c:pt idx="121">
                  <c:v>102.63</c:v>
                </c:pt>
                <c:pt idx="122">
                  <c:v>103.59</c:v>
                </c:pt>
                <c:pt idx="123">
                  <c:v>104.13</c:v>
                </c:pt>
                <c:pt idx="124">
                  <c:v>105.46</c:v>
                </c:pt>
                <c:pt idx="125">
                  <c:v>106.96</c:v>
                </c:pt>
                <c:pt idx="126">
                  <c:v>105.53999999999999</c:v>
                </c:pt>
                <c:pt idx="127">
                  <c:v>103.86999999999999</c:v>
                </c:pt>
                <c:pt idx="128">
                  <c:v>103.59</c:v>
                </c:pt>
                <c:pt idx="129">
                  <c:v>103.36000000000001</c:v>
                </c:pt>
                <c:pt idx="130">
                  <c:v>103.01</c:v>
                </c:pt>
                <c:pt idx="131">
                  <c:v>103.77000000000001</c:v>
                </c:pt>
                <c:pt idx="132">
                  <c:v>104.49</c:v>
                </c:pt>
                <c:pt idx="133">
                  <c:v>104</c:v>
                </c:pt>
                <c:pt idx="134">
                  <c:v>100.99000000000001</c:v>
                </c:pt>
                <c:pt idx="135">
                  <c:v>99.72</c:v>
                </c:pt>
                <c:pt idx="136">
                  <c:v>101.27</c:v>
                </c:pt>
                <c:pt idx="137">
                  <c:v>103.07</c:v>
                </c:pt>
                <c:pt idx="138">
                  <c:v>105.22</c:v>
                </c:pt>
                <c:pt idx="139">
                  <c:v>102.42999999999999</c:v>
                </c:pt>
              </c:numCache>
            </c:numRef>
          </c:val>
          <c:smooth val="0"/>
          <c:extLst>
            <c:ext xmlns:c16="http://schemas.microsoft.com/office/drawing/2014/chart" uri="{C3380CC4-5D6E-409C-BE32-E72D297353CC}">
              <c16:uniqueId val="{00000001-7418-41D5-B9A1-1A92EAF18F83}"/>
            </c:ext>
          </c:extLst>
        </c:ser>
        <c:ser>
          <c:idx val="1"/>
          <c:order val="2"/>
          <c:tx>
            <c:strRef>
              <c:f>'2Q24 Webinar Charts'!$D$178</c:f>
              <c:strCache>
                <c:ptCount val="1"/>
                <c:pt idx="0">
                  <c:v>Kering</c:v>
                </c:pt>
              </c:strCache>
            </c:strRef>
          </c:tx>
          <c:spPr>
            <a:ln w="28575" cap="rnd">
              <a:solidFill>
                <a:schemeClr val="accent2"/>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Charts'!$D$179:$D$318</c:f>
              <c:numCache>
                <c:formatCode>_(* #,##0_);_(* \(#,##0\);_(* "-"??_);_(@_)</c:formatCode>
                <c:ptCount val="140"/>
                <c:pt idx="0">
                  <c:v>100</c:v>
                </c:pt>
                <c:pt idx="1">
                  <c:v>103.11999999999999</c:v>
                </c:pt>
                <c:pt idx="2">
                  <c:v>100</c:v>
                </c:pt>
                <c:pt idx="3">
                  <c:v>99.550000000000011</c:v>
                </c:pt>
                <c:pt idx="4">
                  <c:v>99.28</c:v>
                </c:pt>
                <c:pt idx="5">
                  <c:v>101.13000000000001</c:v>
                </c:pt>
                <c:pt idx="6">
                  <c:v>100.75</c:v>
                </c:pt>
                <c:pt idx="7">
                  <c:v>100.14</c:v>
                </c:pt>
                <c:pt idx="8">
                  <c:v>97.38</c:v>
                </c:pt>
                <c:pt idx="9">
                  <c:v>96.21</c:v>
                </c:pt>
                <c:pt idx="10">
                  <c:v>96.28</c:v>
                </c:pt>
                <c:pt idx="11">
                  <c:v>95.28</c:v>
                </c:pt>
                <c:pt idx="12">
                  <c:v>91.93</c:v>
                </c:pt>
                <c:pt idx="13">
                  <c:v>93.92</c:v>
                </c:pt>
                <c:pt idx="14">
                  <c:v>93.100000000000009</c:v>
                </c:pt>
                <c:pt idx="15">
                  <c:v>93.99</c:v>
                </c:pt>
                <c:pt idx="16">
                  <c:v>95.62</c:v>
                </c:pt>
                <c:pt idx="17">
                  <c:v>96.89</c:v>
                </c:pt>
                <c:pt idx="18">
                  <c:v>95.89</c:v>
                </c:pt>
                <c:pt idx="19">
                  <c:v>102.21000000000001</c:v>
                </c:pt>
                <c:pt idx="20">
                  <c:v>102.23</c:v>
                </c:pt>
                <c:pt idx="21">
                  <c:v>102.49999999999999</c:v>
                </c:pt>
                <c:pt idx="22">
                  <c:v>101.8</c:v>
                </c:pt>
                <c:pt idx="23">
                  <c:v>100.49999999999999</c:v>
                </c:pt>
                <c:pt idx="24">
                  <c:v>100.03</c:v>
                </c:pt>
                <c:pt idx="25">
                  <c:v>102.03999999999999</c:v>
                </c:pt>
                <c:pt idx="26">
                  <c:v>104.03999999999999</c:v>
                </c:pt>
                <c:pt idx="27">
                  <c:v>103.66</c:v>
                </c:pt>
                <c:pt idx="28">
                  <c:v>108.74999999999999</c:v>
                </c:pt>
                <c:pt idx="29">
                  <c:v>109.72999999999999</c:v>
                </c:pt>
                <c:pt idx="30">
                  <c:v>109.41000000000001</c:v>
                </c:pt>
                <c:pt idx="31">
                  <c:v>109.13999999999999</c:v>
                </c:pt>
                <c:pt idx="32">
                  <c:v>110.53</c:v>
                </c:pt>
                <c:pt idx="33">
                  <c:v>112.45</c:v>
                </c:pt>
                <c:pt idx="34">
                  <c:v>113.71</c:v>
                </c:pt>
                <c:pt idx="35">
                  <c:v>113.69</c:v>
                </c:pt>
                <c:pt idx="36">
                  <c:v>113.74</c:v>
                </c:pt>
                <c:pt idx="37">
                  <c:v>114.14</c:v>
                </c:pt>
                <c:pt idx="38">
                  <c:v>115.41000000000001</c:v>
                </c:pt>
                <c:pt idx="39">
                  <c:v>113.06</c:v>
                </c:pt>
                <c:pt idx="40">
                  <c:v>113.69</c:v>
                </c:pt>
                <c:pt idx="41">
                  <c:v>115.16999999999999</c:v>
                </c:pt>
                <c:pt idx="42">
                  <c:v>113.16</c:v>
                </c:pt>
                <c:pt idx="43">
                  <c:v>112.9</c:v>
                </c:pt>
                <c:pt idx="44">
                  <c:v>112.61000000000001</c:v>
                </c:pt>
                <c:pt idx="45">
                  <c:v>110.43</c:v>
                </c:pt>
                <c:pt idx="46">
                  <c:v>109.16999999999999</c:v>
                </c:pt>
                <c:pt idx="47">
                  <c:v>109.21000000000001</c:v>
                </c:pt>
                <c:pt idx="48">
                  <c:v>109.28999999999999</c:v>
                </c:pt>
                <c:pt idx="49">
                  <c:v>110.87</c:v>
                </c:pt>
                <c:pt idx="50">
                  <c:v>111.60000000000001</c:v>
                </c:pt>
                <c:pt idx="51">
                  <c:v>113.20000000000002</c:v>
                </c:pt>
                <c:pt idx="52">
                  <c:v>112.52</c:v>
                </c:pt>
                <c:pt idx="53">
                  <c:v>113.21</c:v>
                </c:pt>
                <c:pt idx="54">
                  <c:v>113.20000000000002</c:v>
                </c:pt>
                <c:pt idx="55">
                  <c:v>112.48</c:v>
                </c:pt>
                <c:pt idx="56">
                  <c:v>113.14</c:v>
                </c:pt>
                <c:pt idx="57">
                  <c:v>99.660000000000011</c:v>
                </c:pt>
                <c:pt idx="58">
                  <c:v>98.63</c:v>
                </c:pt>
                <c:pt idx="59">
                  <c:v>95.11</c:v>
                </c:pt>
                <c:pt idx="60">
                  <c:v>93.96</c:v>
                </c:pt>
                <c:pt idx="61">
                  <c:v>96.93</c:v>
                </c:pt>
                <c:pt idx="62">
                  <c:v>97.38</c:v>
                </c:pt>
                <c:pt idx="63">
                  <c:v>97.31</c:v>
                </c:pt>
                <c:pt idx="64">
                  <c:v>97.31</c:v>
                </c:pt>
                <c:pt idx="65">
                  <c:v>97.44</c:v>
                </c:pt>
                <c:pt idx="66">
                  <c:v>97.34</c:v>
                </c:pt>
                <c:pt idx="67">
                  <c:v>98.09</c:v>
                </c:pt>
                <c:pt idx="68">
                  <c:v>96.37</c:v>
                </c:pt>
                <c:pt idx="69">
                  <c:v>97.009999999999991</c:v>
                </c:pt>
                <c:pt idx="70">
                  <c:v>96.740000000000009</c:v>
                </c:pt>
                <c:pt idx="71">
                  <c:v>94.809999999999988</c:v>
                </c:pt>
                <c:pt idx="72">
                  <c:v>94.320000000000007</c:v>
                </c:pt>
                <c:pt idx="73">
                  <c:v>93.100000000000009</c:v>
                </c:pt>
                <c:pt idx="74">
                  <c:v>93.02</c:v>
                </c:pt>
                <c:pt idx="75">
                  <c:v>90.39</c:v>
                </c:pt>
                <c:pt idx="76">
                  <c:v>90.58</c:v>
                </c:pt>
                <c:pt idx="77">
                  <c:v>90.44</c:v>
                </c:pt>
                <c:pt idx="78">
                  <c:v>90.070000000000007</c:v>
                </c:pt>
                <c:pt idx="79">
                  <c:v>91.99</c:v>
                </c:pt>
                <c:pt idx="80">
                  <c:v>93.02</c:v>
                </c:pt>
                <c:pt idx="81">
                  <c:v>86.63000000000001</c:v>
                </c:pt>
                <c:pt idx="82">
                  <c:v>86.94</c:v>
                </c:pt>
                <c:pt idx="83">
                  <c:v>89.77</c:v>
                </c:pt>
                <c:pt idx="84">
                  <c:v>89.16</c:v>
                </c:pt>
                <c:pt idx="85">
                  <c:v>87.660000000000011</c:v>
                </c:pt>
                <c:pt idx="86">
                  <c:v>87.660000000000011</c:v>
                </c:pt>
                <c:pt idx="87">
                  <c:v>88.28</c:v>
                </c:pt>
                <c:pt idx="88">
                  <c:v>89.86</c:v>
                </c:pt>
                <c:pt idx="89">
                  <c:v>89.38000000000001</c:v>
                </c:pt>
                <c:pt idx="90">
                  <c:v>90.210000000000008</c:v>
                </c:pt>
                <c:pt idx="91">
                  <c:v>90.55</c:v>
                </c:pt>
                <c:pt idx="92">
                  <c:v>91.14</c:v>
                </c:pt>
                <c:pt idx="93">
                  <c:v>90.92</c:v>
                </c:pt>
                <c:pt idx="94">
                  <c:v>90.94</c:v>
                </c:pt>
                <c:pt idx="95">
                  <c:v>92.67</c:v>
                </c:pt>
                <c:pt idx="96">
                  <c:v>92.09</c:v>
                </c:pt>
                <c:pt idx="97">
                  <c:v>93.33</c:v>
                </c:pt>
                <c:pt idx="98">
                  <c:v>90.81</c:v>
                </c:pt>
                <c:pt idx="99">
                  <c:v>91.86999999999999</c:v>
                </c:pt>
                <c:pt idx="100">
                  <c:v>91.16</c:v>
                </c:pt>
                <c:pt idx="101">
                  <c:v>90.3</c:v>
                </c:pt>
                <c:pt idx="102">
                  <c:v>90.97999999999999</c:v>
                </c:pt>
                <c:pt idx="103">
                  <c:v>90.92</c:v>
                </c:pt>
                <c:pt idx="104">
                  <c:v>91.13</c:v>
                </c:pt>
                <c:pt idx="105">
                  <c:v>90.57</c:v>
                </c:pt>
                <c:pt idx="106">
                  <c:v>88.48</c:v>
                </c:pt>
                <c:pt idx="107">
                  <c:v>87.68</c:v>
                </c:pt>
                <c:pt idx="108">
                  <c:v>86.75</c:v>
                </c:pt>
                <c:pt idx="109">
                  <c:v>88.11</c:v>
                </c:pt>
                <c:pt idx="110">
                  <c:v>88.149999999999991</c:v>
                </c:pt>
                <c:pt idx="111">
                  <c:v>88.41</c:v>
                </c:pt>
                <c:pt idx="112">
                  <c:v>89.149999999999991</c:v>
                </c:pt>
                <c:pt idx="113">
                  <c:v>89.73</c:v>
                </c:pt>
                <c:pt idx="114">
                  <c:v>89.69</c:v>
                </c:pt>
                <c:pt idx="115">
                  <c:v>87.339999999999989</c:v>
                </c:pt>
                <c:pt idx="116">
                  <c:v>86.64</c:v>
                </c:pt>
                <c:pt idx="117">
                  <c:v>86.03</c:v>
                </c:pt>
                <c:pt idx="118">
                  <c:v>82.73</c:v>
                </c:pt>
                <c:pt idx="119">
                  <c:v>83.32</c:v>
                </c:pt>
                <c:pt idx="120">
                  <c:v>84.98</c:v>
                </c:pt>
                <c:pt idx="121">
                  <c:v>84.399999999999991</c:v>
                </c:pt>
                <c:pt idx="122">
                  <c:v>86.47</c:v>
                </c:pt>
                <c:pt idx="123">
                  <c:v>87.55</c:v>
                </c:pt>
                <c:pt idx="124">
                  <c:v>88.67</c:v>
                </c:pt>
                <c:pt idx="125">
                  <c:v>88.929999999999993</c:v>
                </c:pt>
                <c:pt idx="126">
                  <c:v>89.3</c:v>
                </c:pt>
                <c:pt idx="127">
                  <c:v>93.47</c:v>
                </c:pt>
                <c:pt idx="128">
                  <c:v>92.58</c:v>
                </c:pt>
                <c:pt idx="129">
                  <c:v>91.89</c:v>
                </c:pt>
                <c:pt idx="130">
                  <c:v>90.08</c:v>
                </c:pt>
                <c:pt idx="131">
                  <c:v>90.42</c:v>
                </c:pt>
                <c:pt idx="132">
                  <c:v>91.85</c:v>
                </c:pt>
                <c:pt idx="133">
                  <c:v>91.64</c:v>
                </c:pt>
                <c:pt idx="134">
                  <c:v>89.08</c:v>
                </c:pt>
                <c:pt idx="135">
                  <c:v>88.039999999999992</c:v>
                </c:pt>
                <c:pt idx="136">
                  <c:v>88.87</c:v>
                </c:pt>
                <c:pt idx="137">
                  <c:v>90.62</c:v>
                </c:pt>
                <c:pt idx="138">
                  <c:v>92.77</c:v>
                </c:pt>
                <c:pt idx="139">
                  <c:v>87.87</c:v>
                </c:pt>
              </c:numCache>
            </c:numRef>
          </c:val>
          <c:smooth val="0"/>
          <c:extLst>
            <c:ext xmlns:c16="http://schemas.microsoft.com/office/drawing/2014/chart" uri="{C3380CC4-5D6E-409C-BE32-E72D297353CC}">
              <c16:uniqueId val="{00000002-7418-41D5-B9A1-1A92EAF18F83}"/>
            </c:ext>
          </c:extLst>
        </c:ser>
        <c:ser>
          <c:idx val="5"/>
          <c:order val="3"/>
          <c:tx>
            <c:strRef>
              <c:f>'2Q24 Webinar Charts'!$H$178</c:f>
              <c:strCache>
                <c:ptCount val="1"/>
                <c:pt idx="0">
                  <c:v>Hugo Boss</c:v>
                </c:pt>
              </c:strCache>
            </c:strRef>
          </c:tx>
          <c:spPr>
            <a:ln w="28575" cap="rnd">
              <a:solidFill>
                <a:schemeClr val="accent6"/>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Charts'!$H$179:$H$318</c:f>
              <c:numCache>
                <c:formatCode>_(* #,##0_);_(* \(#,##0\);_(* "-"??_);_(@_)</c:formatCode>
                <c:ptCount val="140"/>
                <c:pt idx="0">
                  <c:v>100</c:v>
                </c:pt>
                <c:pt idx="1">
                  <c:v>101.92000000000002</c:v>
                </c:pt>
                <c:pt idx="2">
                  <c:v>100</c:v>
                </c:pt>
                <c:pt idx="3">
                  <c:v>98.61</c:v>
                </c:pt>
                <c:pt idx="4">
                  <c:v>98.550000000000011</c:v>
                </c:pt>
                <c:pt idx="5">
                  <c:v>100.74000000000001</c:v>
                </c:pt>
                <c:pt idx="6">
                  <c:v>99.63</c:v>
                </c:pt>
                <c:pt idx="7">
                  <c:v>102.50999999999999</c:v>
                </c:pt>
                <c:pt idx="8">
                  <c:v>102.66</c:v>
                </c:pt>
                <c:pt idx="9">
                  <c:v>103.03</c:v>
                </c:pt>
                <c:pt idx="10">
                  <c:v>102.54</c:v>
                </c:pt>
                <c:pt idx="11">
                  <c:v>92.64</c:v>
                </c:pt>
                <c:pt idx="12">
                  <c:v>89.36</c:v>
                </c:pt>
                <c:pt idx="13">
                  <c:v>89.39</c:v>
                </c:pt>
                <c:pt idx="14">
                  <c:v>89.42</c:v>
                </c:pt>
                <c:pt idx="15">
                  <c:v>89.95</c:v>
                </c:pt>
                <c:pt idx="16">
                  <c:v>90.63</c:v>
                </c:pt>
                <c:pt idx="17">
                  <c:v>90.72</c:v>
                </c:pt>
                <c:pt idx="18">
                  <c:v>90.600000000000009</c:v>
                </c:pt>
                <c:pt idx="19">
                  <c:v>92.89</c:v>
                </c:pt>
                <c:pt idx="20">
                  <c:v>91.179999999999993</c:v>
                </c:pt>
                <c:pt idx="21">
                  <c:v>92.300000000000011</c:v>
                </c:pt>
                <c:pt idx="22">
                  <c:v>89.92</c:v>
                </c:pt>
                <c:pt idx="23">
                  <c:v>87.97</c:v>
                </c:pt>
                <c:pt idx="24">
                  <c:v>87.94</c:v>
                </c:pt>
                <c:pt idx="25">
                  <c:v>87.570000000000007</c:v>
                </c:pt>
                <c:pt idx="26">
                  <c:v>88.86</c:v>
                </c:pt>
                <c:pt idx="27">
                  <c:v>88.59</c:v>
                </c:pt>
                <c:pt idx="28">
                  <c:v>91</c:v>
                </c:pt>
                <c:pt idx="29">
                  <c:v>93.23</c:v>
                </c:pt>
                <c:pt idx="30">
                  <c:v>96.350000000000009</c:v>
                </c:pt>
                <c:pt idx="31">
                  <c:v>95.86</c:v>
                </c:pt>
                <c:pt idx="32">
                  <c:v>97.929999999999993</c:v>
                </c:pt>
                <c:pt idx="33">
                  <c:v>97.77</c:v>
                </c:pt>
                <c:pt idx="34">
                  <c:v>98.14</c:v>
                </c:pt>
                <c:pt idx="35">
                  <c:v>97.22</c:v>
                </c:pt>
                <c:pt idx="36">
                  <c:v>96.44</c:v>
                </c:pt>
                <c:pt idx="37">
                  <c:v>98.36</c:v>
                </c:pt>
                <c:pt idx="38">
                  <c:v>98.86</c:v>
                </c:pt>
                <c:pt idx="39">
                  <c:v>97.899999999999991</c:v>
                </c:pt>
                <c:pt idx="40">
                  <c:v>98.45</c:v>
                </c:pt>
                <c:pt idx="41">
                  <c:v>98.550000000000011</c:v>
                </c:pt>
                <c:pt idx="42">
                  <c:v>98.61</c:v>
                </c:pt>
                <c:pt idx="43">
                  <c:v>97.25</c:v>
                </c:pt>
                <c:pt idx="44">
                  <c:v>98.86</c:v>
                </c:pt>
                <c:pt idx="45">
                  <c:v>98.48</c:v>
                </c:pt>
                <c:pt idx="46">
                  <c:v>97.15</c:v>
                </c:pt>
                <c:pt idx="47">
                  <c:v>97.49</c:v>
                </c:pt>
                <c:pt idx="48">
                  <c:v>84.07</c:v>
                </c:pt>
                <c:pt idx="49">
                  <c:v>86.61</c:v>
                </c:pt>
                <c:pt idx="50">
                  <c:v>85.21</c:v>
                </c:pt>
                <c:pt idx="51">
                  <c:v>85.9</c:v>
                </c:pt>
                <c:pt idx="52">
                  <c:v>86.72999999999999</c:v>
                </c:pt>
                <c:pt idx="53">
                  <c:v>86.050000000000011</c:v>
                </c:pt>
                <c:pt idx="54">
                  <c:v>84.32</c:v>
                </c:pt>
                <c:pt idx="55">
                  <c:v>82.96</c:v>
                </c:pt>
                <c:pt idx="56">
                  <c:v>82.179999999999993</c:v>
                </c:pt>
                <c:pt idx="57">
                  <c:v>82.309999999999988</c:v>
                </c:pt>
                <c:pt idx="58">
                  <c:v>81.84</c:v>
                </c:pt>
                <c:pt idx="59">
                  <c:v>80.17</c:v>
                </c:pt>
                <c:pt idx="60">
                  <c:v>83.05</c:v>
                </c:pt>
                <c:pt idx="61">
                  <c:v>83.509999999999991</c:v>
                </c:pt>
                <c:pt idx="62">
                  <c:v>84.97</c:v>
                </c:pt>
                <c:pt idx="63">
                  <c:v>84.47</c:v>
                </c:pt>
                <c:pt idx="64">
                  <c:v>84.47</c:v>
                </c:pt>
                <c:pt idx="65">
                  <c:v>81.72</c:v>
                </c:pt>
                <c:pt idx="66">
                  <c:v>80.27</c:v>
                </c:pt>
                <c:pt idx="67">
                  <c:v>78.75</c:v>
                </c:pt>
                <c:pt idx="68">
                  <c:v>76.510000000000005</c:v>
                </c:pt>
                <c:pt idx="69">
                  <c:v>80.42</c:v>
                </c:pt>
                <c:pt idx="70">
                  <c:v>81.320000000000007</c:v>
                </c:pt>
                <c:pt idx="71">
                  <c:v>80.73</c:v>
                </c:pt>
                <c:pt idx="72">
                  <c:v>81.16</c:v>
                </c:pt>
                <c:pt idx="73">
                  <c:v>78.5</c:v>
                </c:pt>
                <c:pt idx="74">
                  <c:v>76.790000000000006</c:v>
                </c:pt>
                <c:pt idx="75">
                  <c:v>75.36</c:v>
                </c:pt>
                <c:pt idx="76">
                  <c:v>75.84</c:v>
                </c:pt>
                <c:pt idx="77">
                  <c:v>77</c:v>
                </c:pt>
                <c:pt idx="78">
                  <c:v>76.429999999999993</c:v>
                </c:pt>
                <c:pt idx="79">
                  <c:v>78.259999999999991</c:v>
                </c:pt>
                <c:pt idx="80">
                  <c:v>78.66</c:v>
                </c:pt>
                <c:pt idx="81">
                  <c:v>78.66</c:v>
                </c:pt>
                <c:pt idx="82">
                  <c:v>78.100000000000009</c:v>
                </c:pt>
                <c:pt idx="83">
                  <c:v>78.47</c:v>
                </c:pt>
                <c:pt idx="84">
                  <c:v>79.489999999999995</c:v>
                </c:pt>
                <c:pt idx="85">
                  <c:v>78.16</c:v>
                </c:pt>
                <c:pt idx="86">
                  <c:v>78.16</c:v>
                </c:pt>
                <c:pt idx="87">
                  <c:v>72.78</c:v>
                </c:pt>
                <c:pt idx="88">
                  <c:v>74</c:v>
                </c:pt>
                <c:pt idx="89">
                  <c:v>74</c:v>
                </c:pt>
                <c:pt idx="90">
                  <c:v>73.460000000000008</c:v>
                </c:pt>
                <c:pt idx="91">
                  <c:v>72.77</c:v>
                </c:pt>
                <c:pt idx="92">
                  <c:v>73.58</c:v>
                </c:pt>
                <c:pt idx="93">
                  <c:v>74.079999999999984</c:v>
                </c:pt>
                <c:pt idx="94">
                  <c:v>75.550000000000011</c:v>
                </c:pt>
                <c:pt idx="95">
                  <c:v>76.149999999999991</c:v>
                </c:pt>
                <c:pt idx="96">
                  <c:v>77.739999999999995</c:v>
                </c:pt>
                <c:pt idx="97">
                  <c:v>80.11</c:v>
                </c:pt>
                <c:pt idx="98">
                  <c:v>80.02</c:v>
                </c:pt>
                <c:pt idx="99">
                  <c:v>79.3</c:v>
                </c:pt>
                <c:pt idx="100">
                  <c:v>79.540000000000006</c:v>
                </c:pt>
                <c:pt idx="101">
                  <c:v>76.849999999999994</c:v>
                </c:pt>
                <c:pt idx="102">
                  <c:v>76.3</c:v>
                </c:pt>
                <c:pt idx="103">
                  <c:v>74.72</c:v>
                </c:pt>
                <c:pt idx="104">
                  <c:v>76.95</c:v>
                </c:pt>
                <c:pt idx="105">
                  <c:v>75.25</c:v>
                </c:pt>
                <c:pt idx="106">
                  <c:v>74.8</c:v>
                </c:pt>
                <c:pt idx="107">
                  <c:v>76.33</c:v>
                </c:pt>
                <c:pt idx="108">
                  <c:v>77.459999999999994</c:v>
                </c:pt>
                <c:pt idx="109">
                  <c:v>76.649999999999991</c:v>
                </c:pt>
                <c:pt idx="110">
                  <c:v>75.5</c:v>
                </c:pt>
                <c:pt idx="111">
                  <c:v>74.72</c:v>
                </c:pt>
                <c:pt idx="112">
                  <c:v>74.930000000000007</c:v>
                </c:pt>
                <c:pt idx="113">
                  <c:v>74.88</c:v>
                </c:pt>
                <c:pt idx="114">
                  <c:v>74.75</c:v>
                </c:pt>
                <c:pt idx="115">
                  <c:v>73.39</c:v>
                </c:pt>
                <c:pt idx="116">
                  <c:v>72.83</c:v>
                </c:pt>
                <c:pt idx="117">
                  <c:v>70.86</c:v>
                </c:pt>
                <c:pt idx="118">
                  <c:v>68.690000000000012</c:v>
                </c:pt>
                <c:pt idx="119">
                  <c:v>69.92</c:v>
                </c:pt>
                <c:pt idx="120">
                  <c:v>70.489999999999995</c:v>
                </c:pt>
                <c:pt idx="121">
                  <c:v>70.16</c:v>
                </c:pt>
                <c:pt idx="122">
                  <c:v>70.73</c:v>
                </c:pt>
                <c:pt idx="123">
                  <c:v>68.739999999999995</c:v>
                </c:pt>
                <c:pt idx="124">
                  <c:v>70.08</c:v>
                </c:pt>
                <c:pt idx="125">
                  <c:v>69.31</c:v>
                </c:pt>
                <c:pt idx="126">
                  <c:v>67.759999999999991</c:v>
                </c:pt>
                <c:pt idx="127">
                  <c:v>67.259999999999991</c:v>
                </c:pt>
                <c:pt idx="128">
                  <c:v>66.42</c:v>
                </c:pt>
                <c:pt idx="129">
                  <c:v>66.36</c:v>
                </c:pt>
                <c:pt idx="130">
                  <c:v>66.58</c:v>
                </c:pt>
                <c:pt idx="131">
                  <c:v>67.009999999999991</c:v>
                </c:pt>
                <c:pt idx="132">
                  <c:v>64.59</c:v>
                </c:pt>
                <c:pt idx="133">
                  <c:v>65.429999999999993</c:v>
                </c:pt>
                <c:pt idx="134">
                  <c:v>64.73</c:v>
                </c:pt>
                <c:pt idx="135">
                  <c:v>63.420000000000009</c:v>
                </c:pt>
                <c:pt idx="136">
                  <c:v>62.62</c:v>
                </c:pt>
                <c:pt idx="137">
                  <c:v>64.179999999999993</c:v>
                </c:pt>
                <c:pt idx="138">
                  <c:v>66.12</c:v>
                </c:pt>
                <c:pt idx="139">
                  <c:v>64.19</c:v>
                </c:pt>
              </c:numCache>
            </c:numRef>
          </c:val>
          <c:smooth val="0"/>
          <c:extLst>
            <c:ext xmlns:c16="http://schemas.microsoft.com/office/drawing/2014/chart" uri="{C3380CC4-5D6E-409C-BE32-E72D297353CC}">
              <c16:uniqueId val="{00000003-7418-41D5-B9A1-1A92EAF18F83}"/>
            </c:ext>
          </c:extLst>
        </c:ser>
        <c:ser>
          <c:idx val="8"/>
          <c:order val="4"/>
          <c:tx>
            <c:strRef>
              <c:f>'2Q24 Webinar Charts'!$K$178</c:f>
              <c:strCache>
                <c:ptCount val="1"/>
                <c:pt idx="0">
                  <c:v>Capri</c:v>
                </c:pt>
              </c:strCache>
            </c:strRef>
          </c:tx>
          <c:spPr>
            <a:ln w="28575" cap="rnd">
              <a:solidFill>
                <a:schemeClr val="accent3">
                  <a:lumMod val="60000"/>
                </a:schemeClr>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Charts'!$K$179:$K$318</c:f>
              <c:numCache>
                <c:formatCode>_(* #,##0_);_(* \(#,##0\);_(* "-"??_);_(@_)</c:formatCode>
                <c:ptCount val="140"/>
                <c:pt idx="0">
                  <c:v>100</c:v>
                </c:pt>
                <c:pt idx="1">
                  <c:v>100.32000000000001</c:v>
                </c:pt>
                <c:pt idx="2">
                  <c:v>100</c:v>
                </c:pt>
                <c:pt idx="3">
                  <c:v>100.18</c:v>
                </c:pt>
                <c:pt idx="4">
                  <c:v>101.08</c:v>
                </c:pt>
                <c:pt idx="5">
                  <c:v>100.67999999999999</c:v>
                </c:pt>
                <c:pt idx="6">
                  <c:v>100.47999999999999</c:v>
                </c:pt>
                <c:pt idx="7">
                  <c:v>101.75</c:v>
                </c:pt>
                <c:pt idx="8">
                  <c:v>101.62</c:v>
                </c:pt>
                <c:pt idx="9">
                  <c:v>101.02</c:v>
                </c:pt>
                <c:pt idx="10">
                  <c:v>101.02</c:v>
                </c:pt>
                <c:pt idx="11">
                  <c:v>101.16000000000001</c:v>
                </c:pt>
                <c:pt idx="12">
                  <c:v>100.98</c:v>
                </c:pt>
                <c:pt idx="13">
                  <c:v>100.69999999999999</c:v>
                </c:pt>
                <c:pt idx="14">
                  <c:v>100.14</c:v>
                </c:pt>
                <c:pt idx="15">
                  <c:v>99.8</c:v>
                </c:pt>
                <c:pt idx="16">
                  <c:v>98.68</c:v>
                </c:pt>
                <c:pt idx="17">
                  <c:v>97.69</c:v>
                </c:pt>
                <c:pt idx="18">
                  <c:v>96.75</c:v>
                </c:pt>
                <c:pt idx="19">
                  <c:v>97.13000000000001</c:v>
                </c:pt>
                <c:pt idx="20">
                  <c:v>98.54</c:v>
                </c:pt>
                <c:pt idx="21">
                  <c:v>98.21</c:v>
                </c:pt>
                <c:pt idx="22">
                  <c:v>97.19</c:v>
                </c:pt>
                <c:pt idx="23">
                  <c:v>94.62</c:v>
                </c:pt>
                <c:pt idx="24">
                  <c:v>94.86</c:v>
                </c:pt>
                <c:pt idx="25">
                  <c:v>93.72</c:v>
                </c:pt>
                <c:pt idx="26">
                  <c:v>92.88</c:v>
                </c:pt>
                <c:pt idx="27">
                  <c:v>92.16</c:v>
                </c:pt>
                <c:pt idx="28">
                  <c:v>94.8</c:v>
                </c:pt>
                <c:pt idx="29">
                  <c:v>93.38</c:v>
                </c:pt>
                <c:pt idx="30">
                  <c:v>94.72</c:v>
                </c:pt>
                <c:pt idx="31">
                  <c:v>93.8</c:v>
                </c:pt>
                <c:pt idx="32">
                  <c:v>94.399999999999991</c:v>
                </c:pt>
                <c:pt idx="33">
                  <c:v>94.679999999999993</c:v>
                </c:pt>
                <c:pt idx="34">
                  <c:v>94.36</c:v>
                </c:pt>
                <c:pt idx="35">
                  <c:v>94.36</c:v>
                </c:pt>
                <c:pt idx="36">
                  <c:v>93.820000000000007</c:v>
                </c:pt>
                <c:pt idx="37">
                  <c:v>92.820000000000007</c:v>
                </c:pt>
                <c:pt idx="38">
                  <c:v>92.9</c:v>
                </c:pt>
                <c:pt idx="39">
                  <c:v>92.46</c:v>
                </c:pt>
                <c:pt idx="40">
                  <c:v>91.94</c:v>
                </c:pt>
                <c:pt idx="41">
                  <c:v>92.36</c:v>
                </c:pt>
                <c:pt idx="42">
                  <c:v>92.259999999999991</c:v>
                </c:pt>
                <c:pt idx="43">
                  <c:v>91.97999999999999</c:v>
                </c:pt>
                <c:pt idx="44">
                  <c:v>91.35</c:v>
                </c:pt>
                <c:pt idx="45">
                  <c:v>91.39</c:v>
                </c:pt>
                <c:pt idx="46">
                  <c:v>91.53</c:v>
                </c:pt>
                <c:pt idx="47">
                  <c:v>91.29</c:v>
                </c:pt>
                <c:pt idx="48">
                  <c:v>92.679999999999993</c:v>
                </c:pt>
                <c:pt idx="49">
                  <c:v>93.300000000000011</c:v>
                </c:pt>
                <c:pt idx="50">
                  <c:v>92.72</c:v>
                </c:pt>
                <c:pt idx="51">
                  <c:v>93.399999999999991</c:v>
                </c:pt>
                <c:pt idx="52">
                  <c:v>93.12</c:v>
                </c:pt>
                <c:pt idx="53">
                  <c:v>93.58</c:v>
                </c:pt>
                <c:pt idx="54">
                  <c:v>93.36</c:v>
                </c:pt>
                <c:pt idx="55">
                  <c:v>91.51</c:v>
                </c:pt>
                <c:pt idx="56">
                  <c:v>91.820000000000007</c:v>
                </c:pt>
                <c:pt idx="57">
                  <c:v>91.23</c:v>
                </c:pt>
                <c:pt idx="58">
                  <c:v>90.83</c:v>
                </c:pt>
                <c:pt idx="59">
                  <c:v>90.31</c:v>
                </c:pt>
                <c:pt idx="60">
                  <c:v>89.63</c:v>
                </c:pt>
                <c:pt idx="61">
                  <c:v>89.25</c:v>
                </c:pt>
                <c:pt idx="62">
                  <c:v>90.25</c:v>
                </c:pt>
                <c:pt idx="63">
                  <c:v>90.33</c:v>
                </c:pt>
                <c:pt idx="64">
                  <c:v>90.45</c:v>
                </c:pt>
                <c:pt idx="65">
                  <c:v>89.47</c:v>
                </c:pt>
                <c:pt idx="66">
                  <c:v>90.31</c:v>
                </c:pt>
                <c:pt idx="67">
                  <c:v>89.31</c:v>
                </c:pt>
                <c:pt idx="68">
                  <c:v>87.240000000000009</c:v>
                </c:pt>
                <c:pt idx="69">
                  <c:v>87.240000000000009</c:v>
                </c:pt>
                <c:pt idx="70">
                  <c:v>87.8</c:v>
                </c:pt>
                <c:pt idx="71">
                  <c:v>84.95</c:v>
                </c:pt>
                <c:pt idx="72">
                  <c:v>81.320000000000007</c:v>
                </c:pt>
                <c:pt idx="73">
                  <c:v>78.38000000000001</c:v>
                </c:pt>
                <c:pt idx="74">
                  <c:v>78.42</c:v>
                </c:pt>
                <c:pt idx="75">
                  <c:v>77.63</c:v>
                </c:pt>
                <c:pt idx="76">
                  <c:v>75.510000000000005</c:v>
                </c:pt>
                <c:pt idx="77">
                  <c:v>75.429999999999993</c:v>
                </c:pt>
                <c:pt idx="78">
                  <c:v>76.83</c:v>
                </c:pt>
                <c:pt idx="79">
                  <c:v>75.69</c:v>
                </c:pt>
                <c:pt idx="80">
                  <c:v>72.8</c:v>
                </c:pt>
                <c:pt idx="81">
                  <c:v>70.59</c:v>
                </c:pt>
                <c:pt idx="82">
                  <c:v>69.41</c:v>
                </c:pt>
                <c:pt idx="83">
                  <c:v>70.87</c:v>
                </c:pt>
                <c:pt idx="84">
                  <c:v>71.449999999999989</c:v>
                </c:pt>
                <c:pt idx="85">
                  <c:v>70.75</c:v>
                </c:pt>
                <c:pt idx="86">
                  <c:v>70.289999999999992</c:v>
                </c:pt>
                <c:pt idx="87">
                  <c:v>69.989999999999995</c:v>
                </c:pt>
                <c:pt idx="88">
                  <c:v>71.150000000000006</c:v>
                </c:pt>
                <c:pt idx="89">
                  <c:v>71.25</c:v>
                </c:pt>
                <c:pt idx="90">
                  <c:v>73.7</c:v>
                </c:pt>
                <c:pt idx="91">
                  <c:v>73.2</c:v>
                </c:pt>
                <c:pt idx="92">
                  <c:v>72.260000000000005</c:v>
                </c:pt>
                <c:pt idx="93">
                  <c:v>72.02</c:v>
                </c:pt>
                <c:pt idx="94">
                  <c:v>71.31</c:v>
                </c:pt>
                <c:pt idx="95">
                  <c:v>72.180000000000007</c:v>
                </c:pt>
                <c:pt idx="96">
                  <c:v>72.08</c:v>
                </c:pt>
                <c:pt idx="97">
                  <c:v>72.08</c:v>
                </c:pt>
                <c:pt idx="98">
                  <c:v>71.679999999999993</c:v>
                </c:pt>
                <c:pt idx="99">
                  <c:v>71.25</c:v>
                </c:pt>
                <c:pt idx="100">
                  <c:v>70.09</c:v>
                </c:pt>
                <c:pt idx="101">
                  <c:v>69.650000000000006</c:v>
                </c:pt>
                <c:pt idx="102">
                  <c:v>69.39</c:v>
                </c:pt>
                <c:pt idx="103">
                  <c:v>69.05</c:v>
                </c:pt>
                <c:pt idx="104">
                  <c:v>69.05</c:v>
                </c:pt>
                <c:pt idx="105">
                  <c:v>68.300000000000011</c:v>
                </c:pt>
                <c:pt idx="106">
                  <c:v>68.16</c:v>
                </c:pt>
                <c:pt idx="107">
                  <c:v>67.5</c:v>
                </c:pt>
                <c:pt idx="108">
                  <c:v>68.89</c:v>
                </c:pt>
                <c:pt idx="109">
                  <c:v>68.61</c:v>
                </c:pt>
                <c:pt idx="110">
                  <c:v>67.47999999999999</c:v>
                </c:pt>
                <c:pt idx="111">
                  <c:v>67.739999999999995</c:v>
                </c:pt>
                <c:pt idx="112">
                  <c:v>67.72</c:v>
                </c:pt>
                <c:pt idx="113">
                  <c:v>67.599999999999994</c:v>
                </c:pt>
                <c:pt idx="114">
                  <c:v>66.820000000000007</c:v>
                </c:pt>
                <c:pt idx="115">
                  <c:v>65.48</c:v>
                </c:pt>
                <c:pt idx="116">
                  <c:v>65.039999999999992</c:v>
                </c:pt>
                <c:pt idx="117">
                  <c:v>64.169999999999987</c:v>
                </c:pt>
                <c:pt idx="118">
                  <c:v>63.21</c:v>
                </c:pt>
                <c:pt idx="119">
                  <c:v>63.81</c:v>
                </c:pt>
                <c:pt idx="120">
                  <c:v>63.27</c:v>
                </c:pt>
                <c:pt idx="121">
                  <c:v>63.27</c:v>
                </c:pt>
                <c:pt idx="122">
                  <c:v>61.71</c:v>
                </c:pt>
                <c:pt idx="123">
                  <c:v>62.41</c:v>
                </c:pt>
                <c:pt idx="124">
                  <c:v>62.83</c:v>
                </c:pt>
                <c:pt idx="125">
                  <c:v>63.61</c:v>
                </c:pt>
                <c:pt idx="126">
                  <c:v>64.429999999999993</c:v>
                </c:pt>
                <c:pt idx="127">
                  <c:v>64.73</c:v>
                </c:pt>
                <c:pt idx="128">
                  <c:v>65.959999999999994</c:v>
                </c:pt>
                <c:pt idx="129">
                  <c:v>67.64</c:v>
                </c:pt>
                <c:pt idx="130">
                  <c:v>66.66</c:v>
                </c:pt>
                <c:pt idx="131">
                  <c:v>66.460000000000008</c:v>
                </c:pt>
                <c:pt idx="132">
                  <c:v>66.460000000000008</c:v>
                </c:pt>
                <c:pt idx="133">
                  <c:v>66.58</c:v>
                </c:pt>
                <c:pt idx="134">
                  <c:v>67.840000000000018</c:v>
                </c:pt>
                <c:pt idx="135">
                  <c:v>67.78</c:v>
                </c:pt>
                <c:pt idx="136">
                  <c:v>67.97999999999999</c:v>
                </c:pt>
                <c:pt idx="137">
                  <c:v>70.13000000000001</c:v>
                </c:pt>
                <c:pt idx="138">
                  <c:v>71.41</c:v>
                </c:pt>
                <c:pt idx="139">
                  <c:v>71.41</c:v>
                </c:pt>
              </c:numCache>
            </c:numRef>
          </c:val>
          <c:smooth val="0"/>
          <c:extLst>
            <c:ext xmlns:c16="http://schemas.microsoft.com/office/drawing/2014/chart" uri="{C3380CC4-5D6E-409C-BE32-E72D297353CC}">
              <c16:uniqueId val="{00000004-7418-41D5-B9A1-1A92EAF18F83}"/>
            </c:ext>
          </c:extLst>
        </c:ser>
        <c:ser>
          <c:idx val="2"/>
          <c:order val="5"/>
          <c:tx>
            <c:strRef>
              <c:f>'2Q24 Webinar Charts'!$E$178</c:f>
              <c:strCache>
                <c:ptCount val="1"/>
                <c:pt idx="0">
                  <c:v>Burberry</c:v>
                </c:pt>
              </c:strCache>
            </c:strRef>
          </c:tx>
          <c:spPr>
            <a:ln w="28575" cap="rnd">
              <a:solidFill>
                <a:schemeClr val="accent3"/>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Charts'!$E$179:$E$318</c:f>
              <c:numCache>
                <c:formatCode>_(* #,##0_);_(* \(#,##0\);_(* "-"??_);_(@_)</c:formatCode>
                <c:ptCount val="140"/>
                <c:pt idx="0">
                  <c:v>100</c:v>
                </c:pt>
                <c:pt idx="1">
                  <c:v>103.05</c:v>
                </c:pt>
                <c:pt idx="2">
                  <c:v>100</c:v>
                </c:pt>
                <c:pt idx="3">
                  <c:v>100.07</c:v>
                </c:pt>
                <c:pt idx="4">
                  <c:v>101.44</c:v>
                </c:pt>
                <c:pt idx="5">
                  <c:v>102.42999999999999</c:v>
                </c:pt>
                <c:pt idx="6">
                  <c:v>101.66</c:v>
                </c:pt>
                <c:pt idx="7">
                  <c:v>103.28</c:v>
                </c:pt>
                <c:pt idx="8">
                  <c:v>100.15</c:v>
                </c:pt>
                <c:pt idx="9">
                  <c:v>94.63000000000001</c:v>
                </c:pt>
                <c:pt idx="10">
                  <c:v>89.22</c:v>
                </c:pt>
                <c:pt idx="11">
                  <c:v>90.32</c:v>
                </c:pt>
                <c:pt idx="12">
                  <c:v>90.91</c:v>
                </c:pt>
                <c:pt idx="13">
                  <c:v>90.539999999999992</c:v>
                </c:pt>
                <c:pt idx="14">
                  <c:v>90.73</c:v>
                </c:pt>
                <c:pt idx="15">
                  <c:v>91.61</c:v>
                </c:pt>
                <c:pt idx="16">
                  <c:v>91.61</c:v>
                </c:pt>
                <c:pt idx="17">
                  <c:v>94.99</c:v>
                </c:pt>
                <c:pt idx="18">
                  <c:v>94.11</c:v>
                </c:pt>
                <c:pt idx="19">
                  <c:v>98.75</c:v>
                </c:pt>
                <c:pt idx="20">
                  <c:v>98.86</c:v>
                </c:pt>
                <c:pt idx="21">
                  <c:v>97.460000000000008</c:v>
                </c:pt>
                <c:pt idx="22">
                  <c:v>96.28</c:v>
                </c:pt>
                <c:pt idx="23">
                  <c:v>94.52000000000001</c:v>
                </c:pt>
                <c:pt idx="24">
                  <c:v>94.410000000000011</c:v>
                </c:pt>
                <c:pt idx="25">
                  <c:v>94.99</c:v>
                </c:pt>
                <c:pt idx="26">
                  <c:v>96.320000000000007</c:v>
                </c:pt>
                <c:pt idx="27">
                  <c:v>95.14</c:v>
                </c:pt>
                <c:pt idx="28">
                  <c:v>95.399999999999991</c:v>
                </c:pt>
                <c:pt idx="29">
                  <c:v>93.56</c:v>
                </c:pt>
                <c:pt idx="30">
                  <c:v>98.31</c:v>
                </c:pt>
                <c:pt idx="31">
                  <c:v>95.55</c:v>
                </c:pt>
                <c:pt idx="32">
                  <c:v>95.44</c:v>
                </c:pt>
                <c:pt idx="33">
                  <c:v>96.72</c:v>
                </c:pt>
                <c:pt idx="34">
                  <c:v>98.53</c:v>
                </c:pt>
                <c:pt idx="35">
                  <c:v>97.13000000000001</c:v>
                </c:pt>
                <c:pt idx="36">
                  <c:v>96.25</c:v>
                </c:pt>
                <c:pt idx="37">
                  <c:v>96.25</c:v>
                </c:pt>
                <c:pt idx="38">
                  <c:v>96.43</c:v>
                </c:pt>
                <c:pt idx="39">
                  <c:v>95.99</c:v>
                </c:pt>
                <c:pt idx="40">
                  <c:v>94.740000000000009</c:v>
                </c:pt>
                <c:pt idx="41">
                  <c:v>96.54</c:v>
                </c:pt>
                <c:pt idx="42">
                  <c:v>93.93</c:v>
                </c:pt>
                <c:pt idx="43">
                  <c:v>94.59</c:v>
                </c:pt>
                <c:pt idx="44">
                  <c:v>94.740000000000009</c:v>
                </c:pt>
                <c:pt idx="45">
                  <c:v>92.45</c:v>
                </c:pt>
                <c:pt idx="46">
                  <c:v>93.26</c:v>
                </c:pt>
                <c:pt idx="47">
                  <c:v>93.410000000000011</c:v>
                </c:pt>
                <c:pt idx="48">
                  <c:v>92.490000000000009</c:v>
                </c:pt>
                <c:pt idx="49">
                  <c:v>92.6</c:v>
                </c:pt>
                <c:pt idx="50">
                  <c:v>91.83</c:v>
                </c:pt>
                <c:pt idx="51">
                  <c:v>92.57</c:v>
                </c:pt>
                <c:pt idx="52">
                  <c:v>92.710000000000008</c:v>
                </c:pt>
                <c:pt idx="53">
                  <c:v>92.75</c:v>
                </c:pt>
                <c:pt idx="54">
                  <c:v>93.45</c:v>
                </c:pt>
                <c:pt idx="55">
                  <c:v>92.45</c:v>
                </c:pt>
                <c:pt idx="56">
                  <c:v>90.539999999999992</c:v>
                </c:pt>
                <c:pt idx="57">
                  <c:v>87.56</c:v>
                </c:pt>
                <c:pt idx="58">
                  <c:v>87.6</c:v>
                </c:pt>
                <c:pt idx="59">
                  <c:v>87.12</c:v>
                </c:pt>
                <c:pt idx="60">
                  <c:v>88.3</c:v>
                </c:pt>
                <c:pt idx="61">
                  <c:v>89.73</c:v>
                </c:pt>
                <c:pt idx="62">
                  <c:v>90.649999999999991</c:v>
                </c:pt>
                <c:pt idx="63">
                  <c:v>89.29</c:v>
                </c:pt>
                <c:pt idx="64">
                  <c:v>89.29</c:v>
                </c:pt>
                <c:pt idx="65">
                  <c:v>86.23</c:v>
                </c:pt>
                <c:pt idx="66">
                  <c:v>87.27000000000001</c:v>
                </c:pt>
                <c:pt idx="67">
                  <c:v>87.01</c:v>
                </c:pt>
                <c:pt idx="68">
                  <c:v>85.350000000000009</c:v>
                </c:pt>
                <c:pt idx="69">
                  <c:v>87.6</c:v>
                </c:pt>
                <c:pt idx="70">
                  <c:v>87.49</c:v>
                </c:pt>
                <c:pt idx="71">
                  <c:v>88.26</c:v>
                </c:pt>
                <c:pt idx="72">
                  <c:v>87.6</c:v>
                </c:pt>
                <c:pt idx="73">
                  <c:v>86.09</c:v>
                </c:pt>
                <c:pt idx="74">
                  <c:v>85.79</c:v>
                </c:pt>
                <c:pt idx="75">
                  <c:v>83.55</c:v>
                </c:pt>
                <c:pt idx="76">
                  <c:v>84.36</c:v>
                </c:pt>
                <c:pt idx="77">
                  <c:v>82.59</c:v>
                </c:pt>
                <c:pt idx="78">
                  <c:v>83.33</c:v>
                </c:pt>
                <c:pt idx="79">
                  <c:v>85.2</c:v>
                </c:pt>
                <c:pt idx="80">
                  <c:v>85.72</c:v>
                </c:pt>
                <c:pt idx="81">
                  <c:v>83.509999999999991</c:v>
                </c:pt>
                <c:pt idx="82">
                  <c:v>84.25</c:v>
                </c:pt>
                <c:pt idx="83">
                  <c:v>84.8</c:v>
                </c:pt>
                <c:pt idx="84">
                  <c:v>85.06</c:v>
                </c:pt>
                <c:pt idx="85">
                  <c:v>84.69</c:v>
                </c:pt>
                <c:pt idx="86">
                  <c:v>84.06</c:v>
                </c:pt>
                <c:pt idx="87">
                  <c:v>84.65</c:v>
                </c:pt>
                <c:pt idx="88">
                  <c:v>86.86</c:v>
                </c:pt>
                <c:pt idx="89">
                  <c:v>86.86</c:v>
                </c:pt>
                <c:pt idx="90">
                  <c:v>84.72999999999999</c:v>
                </c:pt>
                <c:pt idx="91">
                  <c:v>84.69</c:v>
                </c:pt>
                <c:pt idx="92">
                  <c:v>85.460000000000008</c:v>
                </c:pt>
                <c:pt idx="93">
                  <c:v>86.49</c:v>
                </c:pt>
                <c:pt idx="94">
                  <c:v>85.76</c:v>
                </c:pt>
                <c:pt idx="95">
                  <c:v>87.49</c:v>
                </c:pt>
                <c:pt idx="96">
                  <c:v>81.12</c:v>
                </c:pt>
                <c:pt idx="97">
                  <c:v>83.92</c:v>
                </c:pt>
                <c:pt idx="98">
                  <c:v>80.97</c:v>
                </c:pt>
                <c:pt idx="99">
                  <c:v>78.539999999999992</c:v>
                </c:pt>
                <c:pt idx="100">
                  <c:v>78.06</c:v>
                </c:pt>
                <c:pt idx="101">
                  <c:v>77.22</c:v>
                </c:pt>
                <c:pt idx="102">
                  <c:v>77.36</c:v>
                </c:pt>
                <c:pt idx="103">
                  <c:v>76.22</c:v>
                </c:pt>
                <c:pt idx="104">
                  <c:v>76.22</c:v>
                </c:pt>
                <c:pt idx="105">
                  <c:v>76.11</c:v>
                </c:pt>
                <c:pt idx="106">
                  <c:v>75.52</c:v>
                </c:pt>
                <c:pt idx="107">
                  <c:v>77.59</c:v>
                </c:pt>
                <c:pt idx="108">
                  <c:v>76.19</c:v>
                </c:pt>
                <c:pt idx="109">
                  <c:v>76.960000000000008</c:v>
                </c:pt>
                <c:pt idx="110">
                  <c:v>76.33</c:v>
                </c:pt>
                <c:pt idx="111">
                  <c:v>75.599999999999994</c:v>
                </c:pt>
                <c:pt idx="112">
                  <c:v>76.739999999999995</c:v>
                </c:pt>
                <c:pt idx="113">
                  <c:v>75.97</c:v>
                </c:pt>
                <c:pt idx="114">
                  <c:v>75.05</c:v>
                </c:pt>
                <c:pt idx="115">
                  <c:v>74.31</c:v>
                </c:pt>
                <c:pt idx="116">
                  <c:v>75.89</c:v>
                </c:pt>
                <c:pt idx="117">
                  <c:v>75.339999999999989</c:v>
                </c:pt>
                <c:pt idx="118">
                  <c:v>72.150000000000006</c:v>
                </c:pt>
                <c:pt idx="119">
                  <c:v>72.570000000000007</c:v>
                </c:pt>
                <c:pt idx="120">
                  <c:v>72.12</c:v>
                </c:pt>
                <c:pt idx="121">
                  <c:v>70.98</c:v>
                </c:pt>
                <c:pt idx="122">
                  <c:v>71.56</c:v>
                </c:pt>
                <c:pt idx="123">
                  <c:v>72.510000000000005</c:v>
                </c:pt>
                <c:pt idx="124">
                  <c:v>74.940000000000012</c:v>
                </c:pt>
                <c:pt idx="125">
                  <c:v>71.59</c:v>
                </c:pt>
                <c:pt idx="126">
                  <c:v>70.8</c:v>
                </c:pt>
                <c:pt idx="127">
                  <c:v>69.31</c:v>
                </c:pt>
                <c:pt idx="128">
                  <c:v>67.61999999999999</c:v>
                </c:pt>
                <c:pt idx="129">
                  <c:v>66.45</c:v>
                </c:pt>
                <c:pt idx="130">
                  <c:v>65.290000000000006</c:v>
                </c:pt>
                <c:pt idx="131">
                  <c:v>67.569999999999993</c:v>
                </c:pt>
                <c:pt idx="132">
                  <c:v>67.66</c:v>
                </c:pt>
                <c:pt idx="133">
                  <c:v>68.459999999999994</c:v>
                </c:pt>
                <c:pt idx="134">
                  <c:v>69.19</c:v>
                </c:pt>
                <c:pt idx="135">
                  <c:v>66.05</c:v>
                </c:pt>
                <c:pt idx="136">
                  <c:v>66.31</c:v>
                </c:pt>
                <c:pt idx="137">
                  <c:v>67.450000000000017</c:v>
                </c:pt>
                <c:pt idx="138">
                  <c:v>68.300000000000011</c:v>
                </c:pt>
                <c:pt idx="139">
                  <c:v>57.309999999999995</c:v>
                </c:pt>
              </c:numCache>
            </c:numRef>
          </c:val>
          <c:smooth val="0"/>
          <c:extLst>
            <c:ext xmlns:c16="http://schemas.microsoft.com/office/drawing/2014/chart" uri="{C3380CC4-5D6E-409C-BE32-E72D297353CC}">
              <c16:uniqueId val="{00000005-7418-41D5-B9A1-1A92EAF18F83}"/>
            </c:ext>
          </c:extLst>
        </c:ser>
        <c:ser>
          <c:idx val="3"/>
          <c:order val="6"/>
          <c:tx>
            <c:strRef>
              <c:f>'2Q24 Webinar Charts'!$F$178</c:f>
              <c:strCache>
                <c:ptCount val="1"/>
                <c:pt idx="0">
                  <c:v>Richemont</c:v>
                </c:pt>
              </c:strCache>
            </c:strRef>
          </c:tx>
          <c:spPr>
            <a:ln w="28575" cap="rnd">
              <a:solidFill>
                <a:schemeClr val="accent4"/>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Charts'!$F$179:$F$318</c:f>
            </c:numRef>
          </c:val>
          <c:smooth val="0"/>
          <c:extLst>
            <c:ext xmlns:c16="http://schemas.microsoft.com/office/drawing/2014/chart" uri="{C3380CC4-5D6E-409C-BE32-E72D297353CC}">
              <c16:uniqueId val="{00000006-7418-41D5-B9A1-1A92EAF18F83}"/>
            </c:ext>
          </c:extLst>
        </c:ser>
        <c:ser>
          <c:idx val="4"/>
          <c:order val="7"/>
          <c:tx>
            <c:strRef>
              <c:f>'2Q24 Webinar Charts'!$G$178</c:f>
              <c:strCache>
                <c:ptCount val="1"/>
                <c:pt idx="0">
                  <c:v>Moncler</c:v>
                </c:pt>
              </c:strCache>
            </c:strRef>
          </c:tx>
          <c:spPr>
            <a:ln w="28575" cap="rnd">
              <a:solidFill>
                <a:schemeClr val="accent5"/>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Charts'!$G$179:$G$318</c:f>
            </c:numRef>
          </c:val>
          <c:smooth val="0"/>
          <c:extLst>
            <c:ext xmlns:c16="http://schemas.microsoft.com/office/drawing/2014/chart" uri="{C3380CC4-5D6E-409C-BE32-E72D297353CC}">
              <c16:uniqueId val="{00000007-7418-41D5-B9A1-1A92EAF18F83}"/>
            </c:ext>
          </c:extLst>
        </c:ser>
        <c:ser>
          <c:idx val="6"/>
          <c:order val="8"/>
          <c:tx>
            <c:strRef>
              <c:f>'2Q24 Webinar Charts'!$I$178</c:f>
              <c:strCache>
                <c:ptCount val="1"/>
                <c:pt idx="0">
                  <c:v>Swatch</c:v>
                </c:pt>
              </c:strCache>
            </c:strRef>
          </c:tx>
          <c:spPr>
            <a:ln w="28575" cap="rnd">
              <a:solidFill>
                <a:schemeClr val="accent1">
                  <a:lumMod val="60000"/>
                </a:schemeClr>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Charts'!$I$179:$I$318</c:f>
            </c:numRef>
          </c:val>
          <c:smooth val="0"/>
          <c:extLst>
            <c:ext xmlns:c16="http://schemas.microsoft.com/office/drawing/2014/chart" uri="{C3380CC4-5D6E-409C-BE32-E72D297353CC}">
              <c16:uniqueId val="{00000008-7418-41D5-B9A1-1A92EAF18F83}"/>
            </c:ext>
          </c:extLst>
        </c:ser>
        <c:ser>
          <c:idx val="7"/>
          <c:order val="9"/>
          <c:tx>
            <c:strRef>
              <c:f>'2Q24 Webinar Charts'!$J$178</c:f>
              <c:strCache>
                <c:ptCount val="1"/>
                <c:pt idx="0">
                  <c:v>Tapestry</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Charts'!$J$179:$J$318</c:f>
            </c:numRef>
          </c:val>
          <c:smooth val="0"/>
          <c:extLst>
            <c:ext xmlns:c16="http://schemas.microsoft.com/office/drawing/2014/chart" uri="{C3380CC4-5D6E-409C-BE32-E72D297353CC}">
              <c16:uniqueId val="{00000009-7418-41D5-B9A1-1A92EAF18F83}"/>
            </c:ext>
          </c:extLst>
        </c:ser>
        <c:ser>
          <c:idx val="9"/>
          <c:order val="10"/>
          <c:tx>
            <c:strRef>
              <c:f>'2Q24 Webinar Charts'!$L$178</c:f>
              <c:strCache>
                <c:ptCount val="1"/>
                <c:pt idx="0">
                  <c:v>Zegna</c:v>
                </c:pt>
              </c:strCache>
            </c:strRef>
          </c:tx>
          <c:spPr>
            <a:ln w="28575" cap="rnd">
              <a:solidFill>
                <a:schemeClr val="accent4">
                  <a:lumMod val="60000"/>
                </a:schemeClr>
              </a:solidFill>
              <a:round/>
            </a:ln>
            <a:effectLst/>
          </c:spPr>
          <c:marker>
            <c:symbol val="none"/>
          </c:marker>
          <c:cat>
            <c:numRef>
              <c:f>'2Q24 Webinar Charts'!$B$179:$B$318</c:f>
              <c:numCache>
                <c:formatCode>[$-409]mmm\-dd\-yyyy;@</c:formatCode>
                <c:ptCount val="140"/>
                <c:pt idx="0">
                  <c:v>45292</c:v>
                </c:pt>
                <c:pt idx="1">
                  <c:v>45293</c:v>
                </c:pt>
                <c:pt idx="2">
                  <c:v>45294</c:v>
                </c:pt>
                <c:pt idx="3">
                  <c:v>45295</c:v>
                </c:pt>
                <c:pt idx="4">
                  <c:v>45296</c:v>
                </c:pt>
                <c:pt idx="5">
                  <c:v>45299</c:v>
                </c:pt>
                <c:pt idx="6">
                  <c:v>45300</c:v>
                </c:pt>
                <c:pt idx="7">
                  <c:v>45301</c:v>
                </c:pt>
                <c:pt idx="8">
                  <c:v>45302</c:v>
                </c:pt>
                <c:pt idx="9">
                  <c:v>45303</c:v>
                </c:pt>
                <c:pt idx="10">
                  <c:v>45306</c:v>
                </c:pt>
                <c:pt idx="11">
                  <c:v>45307</c:v>
                </c:pt>
                <c:pt idx="12">
                  <c:v>45308</c:v>
                </c:pt>
                <c:pt idx="13">
                  <c:v>45309</c:v>
                </c:pt>
                <c:pt idx="14">
                  <c:v>45310</c:v>
                </c:pt>
                <c:pt idx="15">
                  <c:v>45313</c:v>
                </c:pt>
                <c:pt idx="16">
                  <c:v>45314</c:v>
                </c:pt>
                <c:pt idx="17">
                  <c:v>45315</c:v>
                </c:pt>
                <c:pt idx="18">
                  <c:v>45316</c:v>
                </c:pt>
                <c:pt idx="19">
                  <c:v>45317</c:v>
                </c:pt>
                <c:pt idx="20">
                  <c:v>45320</c:v>
                </c:pt>
                <c:pt idx="21">
                  <c:v>45321</c:v>
                </c:pt>
                <c:pt idx="22">
                  <c:v>45322</c:v>
                </c:pt>
                <c:pt idx="23">
                  <c:v>45323</c:v>
                </c:pt>
                <c:pt idx="24">
                  <c:v>45324</c:v>
                </c:pt>
                <c:pt idx="25">
                  <c:v>45327</c:v>
                </c:pt>
                <c:pt idx="26">
                  <c:v>45328</c:v>
                </c:pt>
                <c:pt idx="27">
                  <c:v>45329</c:v>
                </c:pt>
                <c:pt idx="28">
                  <c:v>45330</c:v>
                </c:pt>
                <c:pt idx="29">
                  <c:v>45331</c:v>
                </c:pt>
                <c:pt idx="30">
                  <c:v>45334</c:v>
                </c:pt>
                <c:pt idx="31">
                  <c:v>45335</c:v>
                </c:pt>
                <c:pt idx="32">
                  <c:v>45336</c:v>
                </c:pt>
                <c:pt idx="33">
                  <c:v>45337</c:v>
                </c:pt>
                <c:pt idx="34">
                  <c:v>45338</c:v>
                </c:pt>
                <c:pt idx="35">
                  <c:v>45341</c:v>
                </c:pt>
                <c:pt idx="36">
                  <c:v>45342</c:v>
                </c:pt>
                <c:pt idx="37">
                  <c:v>45343</c:v>
                </c:pt>
                <c:pt idx="38">
                  <c:v>45344</c:v>
                </c:pt>
                <c:pt idx="39">
                  <c:v>45345</c:v>
                </c:pt>
                <c:pt idx="40">
                  <c:v>45348</c:v>
                </c:pt>
                <c:pt idx="41">
                  <c:v>45349</c:v>
                </c:pt>
                <c:pt idx="42">
                  <c:v>45350</c:v>
                </c:pt>
                <c:pt idx="43">
                  <c:v>45351</c:v>
                </c:pt>
                <c:pt idx="44">
                  <c:v>45352</c:v>
                </c:pt>
                <c:pt idx="45">
                  <c:v>45355</c:v>
                </c:pt>
                <c:pt idx="46">
                  <c:v>45356</c:v>
                </c:pt>
                <c:pt idx="47">
                  <c:v>45357</c:v>
                </c:pt>
                <c:pt idx="48">
                  <c:v>45358</c:v>
                </c:pt>
                <c:pt idx="49">
                  <c:v>45359</c:v>
                </c:pt>
                <c:pt idx="50">
                  <c:v>45362</c:v>
                </c:pt>
                <c:pt idx="51">
                  <c:v>45363</c:v>
                </c:pt>
                <c:pt idx="52">
                  <c:v>45364</c:v>
                </c:pt>
                <c:pt idx="53">
                  <c:v>45365</c:v>
                </c:pt>
                <c:pt idx="54">
                  <c:v>45366</c:v>
                </c:pt>
                <c:pt idx="55">
                  <c:v>45369</c:v>
                </c:pt>
                <c:pt idx="56">
                  <c:v>45370</c:v>
                </c:pt>
                <c:pt idx="57">
                  <c:v>45371</c:v>
                </c:pt>
                <c:pt idx="58">
                  <c:v>45372</c:v>
                </c:pt>
                <c:pt idx="59">
                  <c:v>45373</c:v>
                </c:pt>
                <c:pt idx="60">
                  <c:v>45376</c:v>
                </c:pt>
                <c:pt idx="61">
                  <c:v>45377</c:v>
                </c:pt>
                <c:pt idx="62">
                  <c:v>45378</c:v>
                </c:pt>
                <c:pt idx="63">
                  <c:v>45379</c:v>
                </c:pt>
                <c:pt idx="64">
                  <c:v>45383</c:v>
                </c:pt>
                <c:pt idx="65">
                  <c:v>45384</c:v>
                </c:pt>
                <c:pt idx="66">
                  <c:v>45385</c:v>
                </c:pt>
                <c:pt idx="67">
                  <c:v>45386</c:v>
                </c:pt>
                <c:pt idx="68">
                  <c:v>45387</c:v>
                </c:pt>
                <c:pt idx="69">
                  <c:v>45390</c:v>
                </c:pt>
                <c:pt idx="70">
                  <c:v>45391</c:v>
                </c:pt>
                <c:pt idx="71">
                  <c:v>45392</c:v>
                </c:pt>
                <c:pt idx="72">
                  <c:v>45393</c:v>
                </c:pt>
                <c:pt idx="73">
                  <c:v>45394</c:v>
                </c:pt>
                <c:pt idx="74">
                  <c:v>45397</c:v>
                </c:pt>
                <c:pt idx="75">
                  <c:v>45398</c:v>
                </c:pt>
                <c:pt idx="76">
                  <c:v>45399</c:v>
                </c:pt>
                <c:pt idx="77">
                  <c:v>45400</c:v>
                </c:pt>
                <c:pt idx="78">
                  <c:v>45401</c:v>
                </c:pt>
                <c:pt idx="79">
                  <c:v>45404</c:v>
                </c:pt>
                <c:pt idx="80">
                  <c:v>45405</c:v>
                </c:pt>
                <c:pt idx="81">
                  <c:v>45406</c:v>
                </c:pt>
                <c:pt idx="82">
                  <c:v>45407</c:v>
                </c:pt>
                <c:pt idx="83">
                  <c:v>45408</c:v>
                </c:pt>
                <c:pt idx="84">
                  <c:v>45411</c:v>
                </c:pt>
                <c:pt idx="85">
                  <c:v>45412</c:v>
                </c:pt>
                <c:pt idx="86">
                  <c:v>45413</c:v>
                </c:pt>
                <c:pt idx="87">
                  <c:v>45414</c:v>
                </c:pt>
                <c:pt idx="88">
                  <c:v>45415</c:v>
                </c:pt>
                <c:pt idx="89">
                  <c:v>45418</c:v>
                </c:pt>
                <c:pt idx="90">
                  <c:v>45419</c:v>
                </c:pt>
                <c:pt idx="91">
                  <c:v>45420</c:v>
                </c:pt>
                <c:pt idx="92">
                  <c:v>45421</c:v>
                </c:pt>
                <c:pt idx="93">
                  <c:v>45422</c:v>
                </c:pt>
                <c:pt idx="94">
                  <c:v>45425</c:v>
                </c:pt>
                <c:pt idx="95">
                  <c:v>45426</c:v>
                </c:pt>
                <c:pt idx="96">
                  <c:v>45427</c:v>
                </c:pt>
                <c:pt idx="97">
                  <c:v>45428</c:v>
                </c:pt>
                <c:pt idx="98">
                  <c:v>45429</c:v>
                </c:pt>
                <c:pt idx="99">
                  <c:v>45432</c:v>
                </c:pt>
                <c:pt idx="100">
                  <c:v>45433</c:v>
                </c:pt>
                <c:pt idx="101">
                  <c:v>45434</c:v>
                </c:pt>
                <c:pt idx="102">
                  <c:v>45435</c:v>
                </c:pt>
                <c:pt idx="103">
                  <c:v>45436</c:v>
                </c:pt>
                <c:pt idx="104">
                  <c:v>45439</c:v>
                </c:pt>
                <c:pt idx="105">
                  <c:v>45440</c:v>
                </c:pt>
                <c:pt idx="106">
                  <c:v>45441</c:v>
                </c:pt>
                <c:pt idx="107">
                  <c:v>45442</c:v>
                </c:pt>
                <c:pt idx="108">
                  <c:v>45443</c:v>
                </c:pt>
                <c:pt idx="109">
                  <c:v>45446</c:v>
                </c:pt>
                <c:pt idx="110">
                  <c:v>45447</c:v>
                </c:pt>
                <c:pt idx="111">
                  <c:v>45448</c:v>
                </c:pt>
                <c:pt idx="112">
                  <c:v>45449</c:v>
                </c:pt>
                <c:pt idx="113">
                  <c:v>45450</c:v>
                </c:pt>
                <c:pt idx="114">
                  <c:v>45453</c:v>
                </c:pt>
                <c:pt idx="115">
                  <c:v>45454</c:v>
                </c:pt>
                <c:pt idx="116">
                  <c:v>45455</c:v>
                </c:pt>
                <c:pt idx="117">
                  <c:v>45456</c:v>
                </c:pt>
                <c:pt idx="118">
                  <c:v>45457</c:v>
                </c:pt>
                <c:pt idx="119">
                  <c:v>45460</c:v>
                </c:pt>
                <c:pt idx="120">
                  <c:v>45461</c:v>
                </c:pt>
                <c:pt idx="121">
                  <c:v>45462</c:v>
                </c:pt>
                <c:pt idx="122">
                  <c:v>45463</c:v>
                </c:pt>
                <c:pt idx="123">
                  <c:v>45464</c:v>
                </c:pt>
                <c:pt idx="124">
                  <c:v>45467</c:v>
                </c:pt>
                <c:pt idx="125">
                  <c:v>45468</c:v>
                </c:pt>
                <c:pt idx="126">
                  <c:v>45469</c:v>
                </c:pt>
                <c:pt idx="127">
                  <c:v>45470</c:v>
                </c:pt>
                <c:pt idx="128">
                  <c:v>45471</c:v>
                </c:pt>
                <c:pt idx="129">
                  <c:v>45474</c:v>
                </c:pt>
                <c:pt idx="130">
                  <c:v>45475</c:v>
                </c:pt>
                <c:pt idx="131">
                  <c:v>45476</c:v>
                </c:pt>
                <c:pt idx="132">
                  <c:v>45477</c:v>
                </c:pt>
                <c:pt idx="133">
                  <c:v>45478</c:v>
                </c:pt>
                <c:pt idx="134">
                  <c:v>45481</c:v>
                </c:pt>
                <c:pt idx="135">
                  <c:v>45482</c:v>
                </c:pt>
                <c:pt idx="136">
                  <c:v>45483</c:v>
                </c:pt>
                <c:pt idx="137">
                  <c:v>45484</c:v>
                </c:pt>
                <c:pt idx="138">
                  <c:v>45485</c:v>
                </c:pt>
                <c:pt idx="139">
                  <c:v>45488</c:v>
                </c:pt>
              </c:numCache>
            </c:numRef>
          </c:cat>
          <c:val>
            <c:numRef>
              <c:f>'2Q24 Webinar Charts'!$L$179:$L$318</c:f>
            </c:numRef>
          </c:val>
          <c:smooth val="0"/>
          <c:extLst>
            <c:ext xmlns:c16="http://schemas.microsoft.com/office/drawing/2014/chart" uri="{C3380CC4-5D6E-409C-BE32-E72D297353CC}">
              <c16:uniqueId val="{0000000A-7418-41D5-B9A1-1A92EAF18F83}"/>
            </c:ext>
          </c:extLst>
        </c:ser>
        <c:dLbls>
          <c:showLegendKey val="0"/>
          <c:showVal val="0"/>
          <c:showCatName val="0"/>
          <c:showSerName val="0"/>
          <c:showPercent val="0"/>
          <c:showBubbleSize val="0"/>
        </c:dLbls>
        <c:smooth val="0"/>
        <c:axId val="422709647"/>
        <c:axId val="422695247"/>
      </c:lineChart>
      <c:dateAx>
        <c:axId val="422709647"/>
        <c:scaling>
          <c:orientation val="minMax"/>
        </c:scaling>
        <c:delete val="0"/>
        <c:axPos val="b"/>
        <c:numFmt formatCode="[$-409]mmm\-d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695247"/>
        <c:crosses val="autoZero"/>
        <c:auto val="1"/>
        <c:lblOffset val="100"/>
        <c:baseTimeUnit val="days"/>
      </c:dateAx>
      <c:valAx>
        <c:axId val="42269524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70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Soft-Luxury Holdco Quarterly Organic CC Revenue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'2Q24 Webinar Charts'!$B$324</c:f>
              <c:strCache>
                <c:ptCount val="1"/>
                <c:pt idx="0">
                  <c:v>Hermes</c:v>
                </c:pt>
              </c:strCache>
            </c:strRef>
          </c:tx>
          <c:spPr>
            <a:ln w="28575" cap="rnd">
              <a:solidFill>
                <a:schemeClr val="accent1"/>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Charts'!$C$324:$W$324</c:f>
            </c:numRef>
          </c:val>
          <c:smooth val="0"/>
          <c:extLst>
            <c:ext xmlns:c16="http://schemas.microsoft.com/office/drawing/2014/chart" uri="{C3380CC4-5D6E-409C-BE32-E72D297353CC}">
              <c16:uniqueId val="{00000000-3C80-46C8-91DC-F4789DBA5D69}"/>
            </c:ext>
          </c:extLst>
        </c:ser>
        <c:ser>
          <c:idx val="1"/>
          <c:order val="1"/>
          <c:tx>
            <c:strRef>
              <c:f>'2Q24 Webinar Charts'!$B$325</c:f>
              <c:strCache>
                <c:ptCount val="1"/>
                <c:pt idx="0">
                  <c:v>LVMH - F&amp;LG</c:v>
                </c:pt>
              </c:strCache>
            </c:strRef>
          </c:tx>
          <c:spPr>
            <a:ln w="28575" cap="rnd">
              <a:solidFill>
                <a:schemeClr val="accent2"/>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Charts'!$C$325:$W$325</c:f>
              <c:numCache>
                <c:formatCode>0%</c:formatCode>
                <c:ptCount val="15"/>
                <c:pt idx="0">
                  <c:v>0.15</c:v>
                </c:pt>
                <c:pt idx="1">
                  <c:v>0.2</c:v>
                </c:pt>
                <c:pt idx="2">
                  <c:v>0.19</c:v>
                </c:pt>
                <c:pt idx="3">
                  <c:v>-0.37465186300338732</c:v>
                </c:pt>
                <c:pt idx="4">
                  <c:v>0.52</c:v>
                </c:pt>
                <c:pt idx="5">
                  <c:v>0.24</c:v>
                </c:pt>
                <c:pt idx="6">
                  <c:v>0.3</c:v>
                </c:pt>
                <c:pt idx="7">
                  <c:v>0.19</c:v>
                </c:pt>
                <c:pt idx="8">
                  <c:v>0.22</c:v>
                </c:pt>
                <c:pt idx="9">
                  <c:v>0.1</c:v>
                </c:pt>
                <c:pt idx="10">
                  <c:v>0.18</c:v>
                </c:pt>
                <c:pt idx="11">
                  <c:v>0.21</c:v>
                </c:pt>
                <c:pt idx="12">
                  <c:v>0.09</c:v>
                </c:pt>
                <c:pt idx="13">
                  <c:v>0.09</c:v>
                </c:pt>
                <c:pt idx="14">
                  <c:v>0.02</c:v>
                </c:pt>
              </c:numCache>
            </c:numRef>
          </c:val>
          <c:smooth val="0"/>
          <c:extLst>
            <c:ext xmlns:c16="http://schemas.microsoft.com/office/drawing/2014/chart" uri="{C3380CC4-5D6E-409C-BE32-E72D297353CC}">
              <c16:uniqueId val="{00000001-3C80-46C8-91DC-F4789DBA5D69}"/>
            </c:ext>
          </c:extLst>
        </c:ser>
        <c:ser>
          <c:idx val="2"/>
          <c:order val="2"/>
          <c:tx>
            <c:strRef>
              <c:f>'2Q24 Webinar Charts'!$B$326</c:f>
              <c:strCache>
                <c:ptCount val="1"/>
                <c:pt idx="0">
                  <c:v>Kering - excl. eyewear</c:v>
                </c:pt>
              </c:strCache>
            </c:strRef>
          </c:tx>
          <c:spPr>
            <a:ln w="28575" cap="rnd">
              <a:solidFill>
                <a:schemeClr val="accent3"/>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Charts'!$C$326:$W$326</c:f>
              <c:numCache>
                <c:formatCode>0%</c:formatCode>
                <c:ptCount val="15"/>
                <c:pt idx="0">
                  <c:v>0.17399999999999999</c:v>
                </c:pt>
                <c:pt idx="1">
                  <c:v>0.13100000000000001</c:v>
                </c:pt>
                <c:pt idx="2">
                  <c:v>0.113</c:v>
                </c:pt>
                <c:pt idx="3">
                  <c:v>-0.434</c:v>
                </c:pt>
                <c:pt idx="4">
                  <c:v>0.26</c:v>
                </c:pt>
                <c:pt idx="5">
                  <c:v>0.11799999999999999</c:v>
                </c:pt>
                <c:pt idx="6">
                  <c:v>0.19953783976123976</c:v>
                </c:pt>
                <c:pt idx="7">
                  <c:v>0.12</c:v>
                </c:pt>
                <c:pt idx="8">
                  <c:v>0.14000000000000001</c:v>
                </c:pt>
                <c:pt idx="9">
                  <c:v>-0.08</c:v>
                </c:pt>
                <c:pt idx="10">
                  <c:v>-1.2839606838861881E-2</c:v>
                </c:pt>
                <c:pt idx="11">
                  <c:v>4.9576207092784375E-3</c:v>
                </c:pt>
                <c:pt idx="12">
                  <c:v>-0.11277341164528523</c:v>
                </c:pt>
                <c:pt idx="13">
                  <c:v>-4.3632929011731957E-2</c:v>
                </c:pt>
                <c:pt idx="14">
                  <c:v>-0.13075396489138438</c:v>
                </c:pt>
              </c:numCache>
            </c:numRef>
          </c:val>
          <c:smooth val="0"/>
          <c:extLst>
            <c:ext xmlns:c16="http://schemas.microsoft.com/office/drawing/2014/chart" uri="{C3380CC4-5D6E-409C-BE32-E72D297353CC}">
              <c16:uniqueId val="{00000002-3C80-46C8-91DC-F4789DBA5D69}"/>
            </c:ext>
          </c:extLst>
        </c:ser>
        <c:ser>
          <c:idx val="3"/>
          <c:order val="3"/>
          <c:tx>
            <c:strRef>
              <c:f>'2Q24 Webinar Charts'!$B$327</c:f>
              <c:strCache>
                <c:ptCount val="1"/>
                <c:pt idx="0">
                  <c:v>Richemont</c:v>
                </c:pt>
              </c:strCache>
            </c:strRef>
          </c:tx>
          <c:spPr>
            <a:ln w="28575" cap="rnd">
              <a:solidFill>
                <a:schemeClr val="accent4"/>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Charts'!$C$327:$W$327</c:f>
            </c:numRef>
          </c:val>
          <c:smooth val="0"/>
          <c:extLst>
            <c:ext xmlns:c16="http://schemas.microsoft.com/office/drawing/2014/chart" uri="{C3380CC4-5D6E-409C-BE32-E72D297353CC}">
              <c16:uniqueId val="{00000003-3C80-46C8-91DC-F4789DBA5D69}"/>
            </c:ext>
          </c:extLst>
        </c:ser>
        <c:ser>
          <c:idx val="4"/>
          <c:order val="4"/>
          <c:tx>
            <c:strRef>
              <c:f>'2Q24 Webinar Charts'!$B$328</c:f>
              <c:strCache>
                <c:ptCount val="1"/>
                <c:pt idx="0">
                  <c:v>Swatch</c:v>
                </c:pt>
              </c:strCache>
            </c:strRef>
          </c:tx>
          <c:spPr>
            <a:ln w="28575" cap="rnd">
              <a:solidFill>
                <a:schemeClr val="accent5"/>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Charts'!$C$328:$W$328</c:f>
            </c:numRef>
          </c:val>
          <c:smooth val="0"/>
          <c:extLst>
            <c:ext xmlns:c16="http://schemas.microsoft.com/office/drawing/2014/chart" uri="{C3380CC4-5D6E-409C-BE32-E72D297353CC}">
              <c16:uniqueId val="{00000004-3C80-46C8-91DC-F4789DBA5D69}"/>
            </c:ext>
          </c:extLst>
        </c:ser>
        <c:ser>
          <c:idx val="5"/>
          <c:order val="5"/>
          <c:tx>
            <c:strRef>
              <c:f>'2Q24 Webinar Charts'!$B$329</c:f>
              <c:strCache>
                <c:ptCount val="1"/>
                <c:pt idx="0">
                  <c:v>Tapestry</c:v>
                </c:pt>
              </c:strCache>
            </c:strRef>
          </c:tx>
          <c:spPr>
            <a:ln w="28575" cap="rnd">
              <a:solidFill>
                <a:schemeClr val="accent6"/>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Charts'!$C$329:$W$329</c:f>
              <c:numCache>
                <c:formatCode>0%</c:formatCode>
                <c:ptCount val="15"/>
                <c:pt idx="0">
                  <c:v>0.02</c:v>
                </c:pt>
                <c:pt idx="1">
                  <c:v>0.04</c:v>
                </c:pt>
                <c:pt idx="2">
                  <c:v>-0.01</c:v>
                </c:pt>
                <c:pt idx="3">
                  <c:v>-0.52</c:v>
                </c:pt>
                <c:pt idx="4">
                  <c:v>0.16</c:v>
                </c:pt>
                <c:pt idx="5">
                  <c:v>0.25</c:v>
                </c:pt>
                <c:pt idx="6">
                  <c:v>0.14000000000000001</c:v>
                </c:pt>
                <c:pt idx="7">
                  <c:v>0.03</c:v>
                </c:pt>
                <c:pt idx="8">
                  <c:v>0.05</c:v>
                </c:pt>
                <c:pt idx="9">
                  <c:v>-1.6081823276667219E-2</c:v>
                </c:pt>
                <c:pt idx="10">
                  <c:v>8.7052435953376445E-2</c:v>
                </c:pt>
                <c:pt idx="11">
                  <c:v>1.3442024155201439E-2</c:v>
                </c:pt>
                <c:pt idx="12">
                  <c:v>1.8780459149618345E-2</c:v>
                </c:pt>
                <c:pt idx="13">
                  <c:v>3.4425685847658281E-2</c:v>
                </c:pt>
                <c:pt idx="14">
                  <c:v>0</c:v>
                </c:pt>
              </c:numCache>
            </c:numRef>
          </c:val>
          <c:smooth val="0"/>
          <c:extLst>
            <c:ext xmlns:c16="http://schemas.microsoft.com/office/drawing/2014/chart" uri="{C3380CC4-5D6E-409C-BE32-E72D297353CC}">
              <c16:uniqueId val="{00000005-3C80-46C8-91DC-F4789DBA5D69}"/>
            </c:ext>
          </c:extLst>
        </c:ser>
        <c:ser>
          <c:idx val="6"/>
          <c:order val="6"/>
          <c:tx>
            <c:strRef>
              <c:f>'2Q24 Webinar Charts'!$B$330</c:f>
              <c:strCache>
                <c:ptCount val="1"/>
                <c:pt idx="0">
                  <c:v>Capri</c:v>
                </c:pt>
              </c:strCache>
            </c:strRef>
          </c:tx>
          <c:spPr>
            <a:ln w="28575" cap="rnd">
              <a:solidFill>
                <a:schemeClr val="accent1">
                  <a:lumMod val="60000"/>
                </a:schemeClr>
              </a:solidFill>
              <a:round/>
            </a:ln>
            <a:effectLst/>
          </c:spPr>
          <c:marker>
            <c:symbol val="none"/>
          </c:marker>
          <c:cat>
            <c:strRef>
              <c:f>'2Q24 Webinar Charts'!$C$323:$W$323</c:f>
              <c:strCache>
                <c:ptCount val="15"/>
                <c:pt idx="0">
                  <c:v>Q1 19</c:v>
                </c:pt>
                <c:pt idx="1">
                  <c:v>Q2 19</c:v>
                </c:pt>
                <c:pt idx="2">
                  <c:v>Q3 19</c:v>
                </c:pt>
                <c:pt idx="3">
                  <c:v>Q2 20</c:v>
                </c:pt>
                <c:pt idx="4">
                  <c:v>Q1 21</c:v>
                </c:pt>
                <c:pt idx="5">
                  <c:v>Q3 21</c:v>
                </c:pt>
                <c:pt idx="6">
                  <c:v>Q1 22</c:v>
                </c:pt>
                <c:pt idx="7">
                  <c:v>Q2 22</c:v>
                </c:pt>
                <c:pt idx="8">
                  <c:v>Q3 22</c:v>
                </c:pt>
                <c:pt idx="9">
                  <c:v>Q4 22</c:v>
                </c:pt>
                <c:pt idx="10">
                  <c:v>Q1 23</c:v>
                </c:pt>
                <c:pt idx="11">
                  <c:v>Q2 23</c:v>
                </c:pt>
                <c:pt idx="12">
                  <c:v>Q3 23</c:v>
                </c:pt>
                <c:pt idx="13">
                  <c:v>Q4 23</c:v>
                </c:pt>
                <c:pt idx="14">
                  <c:v>Q1 24</c:v>
                </c:pt>
              </c:strCache>
            </c:strRef>
          </c:cat>
          <c:val>
            <c:numRef>
              <c:f>'2Q24 Webinar Charts'!$C$330:$W$330</c:f>
              <c:numCache>
                <c:formatCode>0%</c:formatCode>
                <c:ptCount val="15"/>
                <c:pt idx="0">
                  <c:v>2.1000000000000001E-2</c:v>
                </c:pt>
                <c:pt idx="1">
                  <c:v>0.13800000000000001</c:v>
                </c:pt>
                <c:pt idx="2">
                  <c:v>0.161</c:v>
                </c:pt>
                <c:pt idx="3">
                  <c:v>-0.66200000000000003</c:v>
                </c:pt>
                <c:pt idx="4">
                  <c:v>-3.7999999999999999E-2</c:v>
                </c:pt>
                <c:pt idx="5">
                  <c:v>0.15</c:v>
                </c:pt>
                <c:pt idx="6">
                  <c:v>0.28399999999999997</c:v>
                </c:pt>
                <c:pt idx="7">
                  <c:v>0.152</c:v>
                </c:pt>
                <c:pt idx="8">
                  <c:v>0.17499999999999999</c:v>
                </c:pt>
                <c:pt idx="9">
                  <c:v>-5.0000000000000001E-3</c:v>
                </c:pt>
                <c:pt idx="10">
                  <c:v>-7.4999999999999997E-2</c:v>
                </c:pt>
                <c:pt idx="11">
                  <c:v>-9.2999999999999999E-2</c:v>
                </c:pt>
                <c:pt idx="12">
                  <c:v>-0.10100000000000001</c:v>
                </c:pt>
                <c:pt idx="13">
                  <c:v>-6.6000000000000003E-2</c:v>
                </c:pt>
                <c:pt idx="14">
                  <c:v>-7.9000000000000001E-2</c:v>
                </c:pt>
              </c:numCache>
            </c:numRef>
          </c:val>
          <c:smooth val="0"/>
          <c:extLst>
            <c:ext xmlns:c16="http://schemas.microsoft.com/office/drawing/2014/chart" uri="{C3380CC4-5D6E-409C-BE32-E72D297353CC}">
              <c16:uniqueId val="{00000006-3C80-46C8-91DC-F4789DBA5D69}"/>
            </c:ext>
          </c:extLst>
        </c:ser>
        <c:dLbls>
          <c:showLegendKey val="0"/>
          <c:showVal val="0"/>
          <c:showCatName val="0"/>
          <c:showSerName val="0"/>
          <c:showPercent val="0"/>
          <c:showBubbleSize val="0"/>
        </c:dLbls>
        <c:smooth val="0"/>
        <c:axId val="1938477712"/>
        <c:axId val="1938472912"/>
      </c:lineChart>
      <c:catAx>
        <c:axId val="19384777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472912"/>
        <c:crosses val="autoZero"/>
        <c:auto val="1"/>
        <c:lblAlgn val="ctr"/>
        <c:lblOffset val="100"/>
        <c:noMultiLvlLbl val="0"/>
      </c:catAx>
      <c:valAx>
        <c:axId val="1938472912"/>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47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Cettire Growth and Margin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'2Q24 Webinar Charts'!$P$338</c:f>
              <c:strCache>
                <c:ptCount val="1"/>
                <c:pt idx="0">
                  <c:v>EBITDA Margin %</c:v>
                </c:pt>
              </c:strCache>
            </c:strRef>
          </c:tx>
          <c:spPr>
            <a:solidFill>
              <a:schemeClr val="accent1"/>
            </a:solidFill>
            <a:ln>
              <a:noFill/>
            </a:ln>
            <a:effectLst/>
          </c:spPr>
          <c:invertIfNegative val="0"/>
          <c:cat>
            <c:strRef>
              <c:f>'2Q24 Webinar Charts'!$Q$337:$Z$337</c:f>
              <c:strCache>
                <c:ptCount val="10"/>
                <c:pt idx="0">
                  <c:v>2H19</c:v>
                </c:pt>
                <c:pt idx="1">
                  <c:v>1H20</c:v>
                </c:pt>
                <c:pt idx="2">
                  <c:v>2H20</c:v>
                </c:pt>
                <c:pt idx="3">
                  <c:v>1H21</c:v>
                </c:pt>
                <c:pt idx="4">
                  <c:v>2H21</c:v>
                </c:pt>
                <c:pt idx="5">
                  <c:v>1H22</c:v>
                </c:pt>
                <c:pt idx="6">
                  <c:v>2H22</c:v>
                </c:pt>
                <c:pt idx="7">
                  <c:v>1H23</c:v>
                </c:pt>
                <c:pt idx="8">
                  <c:v>2H23</c:v>
                </c:pt>
                <c:pt idx="9">
                  <c:v>1H24E</c:v>
                </c:pt>
              </c:strCache>
            </c:strRef>
          </c:cat>
          <c:val>
            <c:numRef>
              <c:f>'2Q24 Webinar Charts'!$Q$338:$Z$338</c:f>
              <c:numCache>
                <c:formatCode>0.0%</c:formatCode>
                <c:ptCount val="10"/>
                <c:pt idx="0">
                  <c:v>0.12847682365276902</c:v>
                </c:pt>
                <c:pt idx="1">
                  <c:v>0.11703407652704405</c:v>
                </c:pt>
                <c:pt idx="2">
                  <c:v>0.11831471581163046</c:v>
                </c:pt>
                <c:pt idx="3">
                  <c:v>-4.837948295902101E-2</c:v>
                </c:pt>
                <c:pt idx="4">
                  <c:v>-8.9229908686916812E-2</c:v>
                </c:pt>
                <c:pt idx="5">
                  <c:v>-0.1220866574879515</c:v>
                </c:pt>
                <c:pt idx="6">
                  <c:v>8.8196717724814036E-2</c:v>
                </c:pt>
                <c:pt idx="7">
                  <c:v>5.438034825591629E-2</c:v>
                </c:pt>
                <c:pt idx="8">
                  <c:v>7.2946960605481906E-2</c:v>
                </c:pt>
                <c:pt idx="9">
                  <c:v>1.2148229485231582E-2</c:v>
                </c:pt>
              </c:numCache>
            </c:numRef>
          </c:val>
          <c:extLst>
            <c:ext xmlns:c16="http://schemas.microsoft.com/office/drawing/2014/chart" uri="{C3380CC4-5D6E-409C-BE32-E72D297353CC}">
              <c16:uniqueId val="{00000000-DD5D-4274-BA58-43E0E7DFD046}"/>
            </c:ext>
          </c:extLst>
        </c:ser>
        <c:dLbls>
          <c:showLegendKey val="0"/>
          <c:showVal val="0"/>
          <c:showCatName val="0"/>
          <c:showSerName val="0"/>
          <c:showPercent val="0"/>
          <c:showBubbleSize val="0"/>
        </c:dLbls>
        <c:gapWidth val="219"/>
        <c:overlap val="-27"/>
        <c:axId val="862837919"/>
        <c:axId val="862828319"/>
      </c:barChart>
      <c:lineChart>
        <c:grouping val="standard"/>
        <c:varyColors val="0"/>
        <c:ser>
          <c:idx val="1"/>
          <c:order val="1"/>
          <c:tx>
            <c:strRef>
              <c:f>'2Q24 Webinar Charts'!$P$339</c:f>
              <c:strCache>
                <c:ptCount val="1"/>
                <c:pt idx="0">
                  <c:v>Revenue Growth % (USD)</c:v>
                </c:pt>
              </c:strCache>
            </c:strRef>
          </c:tx>
          <c:spPr>
            <a:ln w="28575" cap="rnd">
              <a:solidFill>
                <a:schemeClr val="accent2"/>
              </a:solidFill>
              <a:round/>
            </a:ln>
            <a:effectLst/>
          </c:spPr>
          <c:marker>
            <c:symbol val="none"/>
          </c:marker>
          <c:cat>
            <c:strRef>
              <c:f>'2Q24 Webinar Charts'!$Q$337:$Z$337</c:f>
              <c:strCache>
                <c:ptCount val="10"/>
                <c:pt idx="0">
                  <c:v>2H19</c:v>
                </c:pt>
                <c:pt idx="1">
                  <c:v>1H20</c:v>
                </c:pt>
                <c:pt idx="2">
                  <c:v>2H20</c:v>
                </c:pt>
                <c:pt idx="3">
                  <c:v>1H21</c:v>
                </c:pt>
                <c:pt idx="4">
                  <c:v>2H21</c:v>
                </c:pt>
                <c:pt idx="5">
                  <c:v>1H22</c:v>
                </c:pt>
                <c:pt idx="6">
                  <c:v>2H22</c:v>
                </c:pt>
                <c:pt idx="7">
                  <c:v>1H23</c:v>
                </c:pt>
                <c:pt idx="8">
                  <c:v>2H23</c:v>
                </c:pt>
                <c:pt idx="9">
                  <c:v>1H24E</c:v>
                </c:pt>
              </c:strCache>
            </c:strRef>
          </c:cat>
          <c:val>
            <c:numRef>
              <c:f>'2Q24 Webinar Charts'!$Q$339:$Z$339</c:f>
              <c:numCache>
                <c:formatCode>0%</c:formatCode>
                <c:ptCount val="10"/>
                <c:pt idx="4">
                  <c:v>1.8393971103975542</c:v>
                </c:pt>
                <c:pt idx="5">
                  <c:v>0.72891171811761946</c:v>
                </c:pt>
                <c:pt idx="6">
                  <c:v>0.50373261101204059</c:v>
                </c:pt>
                <c:pt idx="7">
                  <c:v>1.2294612948142682</c:v>
                </c:pt>
                <c:pt idx="8">
                  <c:v>0.84794049905064184</c:v>
                </c:pt>
                <c:pt idx="9">
                  <c:v>0.65636099612218723</c:v>
                </c:pt>
              </c:numCache>
            </c:numRef>
          </c:val>
          <c:smooth val="0"/>
          <c:extLst>
            <c:ext xmlns:c16="http://schemas.microsoft.com/office/drawing/2014/chart" uri="{C3380CC4-5D6E-409C-BE32-E72D297353CC}">
              <c16:uniqueId val="{00000001-DD5D-4274-BA58-43E0E7DFD046}"/>
            </c:ext>
          </c:extLst>
        </c:ser>
        <c:dLbls>
          <c:showLegendKey val="0"/>
          <c:showVal val="0"/>
          <c:showCatName val="0"/>
          <c:showSerName val="0"/>
          <c:showPercent val="0"/>
          <c:showBubbleSize val="0"/>
        </c:dLbls>
        <c:marker val="1"/>
        <c:smooth val="0"/>
        <c:axId val="862826399"/>
        <c:axId val="862830239"/>
      </c:lineChart>
      <c:catAx>
        <c:axId val="8628379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828319"/>
        <c:crosses val="autoZero"/>
        <c:auto val="1"/>
        <c:lblAlgn val="ctr"/>
        <c:lblOffset val="100"/>
        <c:noMultiLvlLbl val="0"/>
      </c:catAx>
      <c:valAx>
        <c:axId val="862828319"/>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837919"/>
        <c:crosses val="autoZero"/>
        <c:crossBetween val="between"/>
      </c:valAx>
      <c:valAx>
        <c:axId val="86283023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826399"/>
        <c:crosses val="max"/>
        <c:crossBetween val="between"/>
      </c:valAx>
      <c:catAx>
        <c:axId val="862826399"/>
        <c:scaling>
          <c:orientation val="minMax"/>
        </c:scaling>
        <c:delete val="1"/>
        <c:axPos val="b"/>
        <c:numFmt formatCode="General" sourceLinked="1"/>
        <c:majorTickMark val="out"/>
        <c:minorTickMark val="none"/>
        <c:tickLblPos val="nextTo"/>
        <c:crossAx val="8628302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Cettire</a:t>
            </a:r>
            <a:r>
              <a:rPr lang="en-US" b="1" baseline="0"/>
              <a:t> Stock Price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'2Q24 Webinar Charts'!$B$343:$B$1242</c:f>
              <c:numCache>
                <c:formatCode>[$-409]mmm\-dd\-yyyy;@</c:formatCode>
                <c:ptCount val="900"/>
                <c:pt idx="0">
                  <c:v>44183</c:v>
                </c:pt>
                <c:pt idx="1">
                  <c:v>44186</c:v>
                </c:pt>
                <c:pt idx="2">
                  <c:v>44187</c:v>
                </c:pt>
                <c:pt idx="3">
                  <c:v>44188</c:v>
                </c:pt>
                <c:pt idx="4">
                  <c:v>44189</c:v>
                </c:pt>
                <c:pt idx="5">
                  <c:v>44194</c:v>
                </c:pt>
                <c:pt idx="6">
                  <c:v>44195</c:v>
                </c:pt>
                <c:pt idx="7">
                  <c:v>44196</c:v>
                </c:pt>
                <c:pt idx="8">
                  <c:v>44200</c:v>
                </c:pt>
                <c:pt idx="9">
                  <c:v>44201</c:v>
                </c:pt>
                <c:pt idx="10">
                  <c:v>44202</c:v>
                </c:pt>
                <c:pt idx="11">
                  <c:v>44203</c:v>
                </c:pt>
                <c:pt idx="12">
                  <c:v>44204</c:v>
                </c:pt>
                <c:pt idx="13">
                  <c:v>44207</c:v>
                </c:pt>
                <c:pt idx="14">
                  <c:v>44208</c:v>
                </c:pt>
                <c:pt idx="15">
                  <c:v>44209</c:v>
                </c:pt>
                <c:pt idx="16">
                  <c:v>44210</c:v>
                </c:pt>
                <c:pt idx="17">
                  <c:v>44211</c:v>
                </c:pt>
                <c:pt idx="18">
                  <c:v>44214</c:v>
                </c:pt>
                <c:pt idx="19">
                  <c:v>44215</c:v>
                </c:pt>
                <c:pt idx="20">
                  <c:v>44216</c:v>
                </c:pt>
                <c:pt idx="21">
                  <c:v>44217</c:v>
                </c:pt>
                <c:pt idx="22">
                  <c:v>44218</c:v>
                </c:pt>
                <c:pt idx="23">
                  <c:v>44221</c:v>
                </c:pt>
                <c:pt idx="24">
                  <c:v>44223</c:v>
                </c:pt>
                <c:pt idx="25">
                  <c:v>44224</c:v>
                </c:pt>
                <c:pt idx="26">
                  <c:v>44225</c:v>
                </c:pt>
                <c:pt idx="27">
                  <c:v>44228</c:v>
                </c:pt>
                <c:pt idx="28">
                  <c:v>44229</c:v>
                </c:pt>
                <c:pt idx="29">
                  <c:v>44230</c:v>
                </c:pt>
                <c:pt idx="30">
                  <c:v>44231</c:v>
                </c:pt>
                <c:pt idx="31">
                  <c:v>44232</c:v>
                </c:pt>
                <c:pt idx="32">
                  <c:v>44235</c:v>
                </c:pt>
                <c:pt idx="33">
                  <c:v>44236</c:v>
                </c:pt>
                <c:pt idx="34">
                  <c:v>44237</c:v>
                </c:pt>
                <c:pt idx="35">
                  <c:v>44238</c:v>
                </c:pt>
                <c:pt idx="36">
                  <c:v>44239</c:v>
                </c:pt>
                <c:pt idx="37">
                  <c:v>44242</c:v>
                </c:pt>
                <c:pt idx="38">
                  <c:v>44243</c:v>
                </c:pt>
                <c:pt idx="39">
                  <c:v>44244</c:v>
                </c:pt>
                <c:pt idx="40">
                  <c:v>44245</c:v>
                </c:pt>
                <c:pt idx="41">
                  <c:v>44246</c:v>
                </c:pt>
                <c:pt idx="42">
                  <c:v>44249</c:v>
                </c:pt>
                <c:pt idx="43">
                  <c:v>44250</c:v>
                </c:pt>
                <c:pt idx="44">
                  <c:v>44251</c:v>
                </c:pt>
                <c:pt idx="45">
                  <c:v>44252</c:v>
                </c:pt>
                <c:pt idx="46">
                  <c:v>44253</c:v>
                </c:pt>
                <c:pt idx="47">
                  <c:v>44256</c:v>
                </c:pt>
                <c:pt idx="48">
                  <c:v>44257</c:v>
                </c:pt>
                <c:pt idx="49">
                  <c:v>44258</c:v>
                </c:pt>
                <c:pt idx="50">
                  <c:v>44259</c:v>
                </c:pt>
                <c:pt idx="51">
                  <c:v>44260</c:v>
                </c:pt>
                <c:pt idx="52">
                  <c:v>44263</c:v>
                </c:pt>
                <c:pt idx="53">
                  <c:v>44264</c:v>
                </c:pt>
                <c:pt idx="54">
                  <c:v>44265</c:v>
                </c:pt>
                <c:pt idx="55">
                  <c:v>44266</c:v>
                </c:pt>
                <c:pt idx="56">
                  <c:v>44267</c:v>
                </c:pt>
                <c:pt idx="57">
                  <c:v>44270</c:v>
                </c:pt>
                <c:pt idx="58">
                  <c:v>44271</c:v>
                </c:pt>
                <c:pt idx="59">
                  <c:v>44272</c:v>
                </c:pt>
                <c:pt idx="60">
                  <c:v>44273</c:v>
                </c:pt>
                <c:pt idx="61">
                  <c:v>44274</c:v>
                </c:pt>
                <c:pt idx="62">
                  <c:v>44277</c:v>
                </c:pt>
                <c:pt idx="63">
                  <c:v>44278</c:v>
                </c:pt>
                <c:pt idx="64">
                  <c:v>44279</c:v>
                </c:pt>
                <c:pt idx="65">
                  <c:v>44280</c:v>
                </c:pt>
                <c:pt idx="66">
                  <c:v>44281</c:v>
                </c:pt>
                <c:pt idx="67">
                  <c:v>44284</c:v>
                </c:pt>
                <c:pt idx="68">
                  <c:v>44285</c:v>
                </c:pt>
                <c:pt idx="69">
                  <c:v>44286</c:v>
                </c:pt>
                <c:pt idx="70">
                  <c:v>44287</c:v>
                </c:pt>
                <c:pt idx="71">
                  <c:v>44292</c:v>
                </c:pt>
                <c:pt idx="72">
                  <c:v>44293</c:v>
                </c:pt>
                <c:pt idx="73">
                  <c:v>44294</c:v>
                </c:pt>
                <c:pt idx="74">
                  <c:v>44295</c:v>
                </c:pt>
                <c:pt idx="75">
                  <c:v>44298</c:v>
                </c:pt>
                <c:pt idx="76">
                  <c:v>44299</c:v>
                </c:pt>
                <c:pt idx="77">
                  <c:v>44300</c:v>
                </c:pt>
                <c:pt idx="78">
                  <c:v>44301</c:v>
                </c:pt>
                <c:pt idx="79">
                  <c:v>44302</c:v>
                </c:pt>
                <c:pt idx="80">
                  <c:v>44305</c:v>
                </c:pt>
                <c:pt idx="81">
                  <c:v>44306</c:v>
                </c:pt>
                <c:pt idx="82">
                  <c:v>44307</c:v>
                </c:pt>
                <c:pt idx="83">
                  <c:v>44308</c:v>
                </c:pt>
                <c:pt idx="84">
                  <c:v>44309</c:v>
                </c:pt>
                <c:pt idx="85">
                  <c:v>44312</c:v>
                </c:pt>
                <c:pt idx="86">
                  <c:v>44313</c:v>
                </c:pt>
                <c:pt idx="87">
                  <c:v>44314</c:v>
                </c:pt>
                <c:pt idx="88">
                  <c:v>44315</c:v>
                </c:pt>
                <c:pt idx="89">
                  <c:v>44316</c:v>
                </c:pt>
                <c:pt idx="90">
                  <c:v>44319</c:v>
                </c:pt>
                <c:pt idx="91">
                  <c:v>44320</c:v>
                </c:pt>
                <c:pt idx="92">
                  <c:v>44321</c:v>
                </c:pt>
                <c:pt idx="93">
                  <c:v>44322</c:v>
                </c:pt>
                <c:pt idx="94">
                  <c:v>44323</c:v>
                </c:pt>
                <c:pt idx="95">
                  <c:v>44326</c:v>
                </c:pt>
                <c:pt idx="96">
                  <c:v>44327</c:v>
                </c:pt>
                <c:pt idx="97">
                  <c:v>44328</c:v>
                </c:pt>
                <c:pt idx="98">
                  <c:v>44329</c:v>
                </c:pt>
                <c:pt idx="99">
                  <c:v>44330</c:v>
                </c:pt>
                <c:pt idx="100">
                  <c:v>44333</c:v>
                </c:pt>
                <c:pt idx="101">
                  <c:v>44334</c:v>
                </c:pt>
                <c:pt idx="102">
                  <c:v>44335</c:v>
                </c:pt>
                <c:pt idx="103">
                  <c:v>44336</c:v>
                </c:pt>
                <c:pt idx="104">
                  <c:v>44337</c:v>
                </c:pt>
                <c:pt idx="105">
                  <c:v>44340</c:v>
                </c:pt>
                <c:pt idx="106">
                  <c:v>44341</c:v>
                </c:pt>
                <c:pt idx="107">
                  <c:v>44342</c:v>
                </c:pt>
                <c:pt idx="108">
                  <c:v>44343</c:v>
                </c:pt>
                <c:pt idx="109">
                  <c:v>44344</c:v>
                </c:pt>
                <c:pt idx="110">
                  <c:v>44347</c:v>
                </c:pt>
                <c:pt idx="111">
                  <c:v>44348</c:v>
                </c:pt>
                <c:pt idx="112">
                  <c:v>44349</c:v>
                </c:pt>
                <c:pt idx="113">
                  <c:v>44350</c:v>
                </c:pt>
                <c:pt idx="114">
                  <c:v>44351</c:v>
                </c:pt>
                <c:pt idx="115">
                  <c:v>44354</c:v>
                </c:pt>
                <c:pt idx="116">
                  <c:v>44355</c:v>
                </c:pt>
                <c:pt idx="117">
                  <c:v>44356</c:v>
                </c:pt>
                <c:pt idx="118">
                  <c:v>44357</c:v>
                </c:pt>
                <c:pt idx="119">
                  <c:v>44358</c:v>
                </c:pt>
                <c:pt idx="120">
                  <c:v>44362</c:v>
                </c:pt>
                <c:pt idx="121">
                  <c:v>44363</c:v>
                </c:pt>
                <c:pt idx="122">
                  <c:v>44364</c:v>
                </c:pt>
                <c:pt idx="123">
                  <c:v>44365</c:v>
                </c:pt>
                <c:pt idx="124">
                  <c:v>44368</c:v>
                </c:pt>
                <c:pt idx="125">
                  <c:v>44369</c:v>
                </c:pt>
                <c:pt idx="126">
                  <c:v>44370</c:v>
                </c:pt>
                <c:pt idx="127">
                  <c:v>44371</c:v>
                </c:pt>
                <c:pt idx="128">
                  <c:v>44372</c:v>
                </c:pt>
                <c:pt idx="129">
                  <c:v>44375</c:v>
                </c:pt>
                <c:pt idx="130">
                  <c:v>44376</c:v>
                </c:pt>
                <c:pt idx="131">
                  <c:v>44377</c:v>
                </c:pt>
                <c:pt idx="132">
                  <c:v>44378</c:v>
                </c:pt>
                <c:pt idx="133">
                  <c:v>44379</c:v>
                </c:pt>
                <c:pt idx="134">
                  <c:v>44382</c:v>
                </c:pt>
                <c:pt idx="135">
                  <c:v>44383</c:v>
                </c:pt>
                <c:pt idx="136">
                  <c:v>44384</c:v>
                </c:pt>
                <c:pt idx="137">
                  <c:v>44385</c:v>
                </c:pt>
                <c:pt idx="138">
                  <c:v>44386</c:v>
                </c:pt>
                <c:pt idx="139">
                  <c:v>44389</c:v>
                </c:pt>
                <c:pt idx="140">
                  <c:v>44390</c:v>
                </c:pt>
                <c:pt idx="141">
                  <c:v>44391</c:v>
                </c:pt>
                <c:pt idx="142">
                  <c:v>44392</c:v>
                </c:pt>
                <c:pt idx="143">
                  <c:v>44393</c:v>
                </c:pt>
                <c:pt idx="144">
                  <c:v>44396</c:v>
                </c:pt>
                <c:pt idx="145">
                  <c:v>44397</c:v>
                </c:pt>
                <c:pt idx="146">
                  <c:v>44398</c:v>
                </c:pt>
                <c:pt idx="147">
                  <c:v>44399</c:v>
                </c:pt>
                <c:pt idx="148">
                  <c:v>44400</c:v>
                </c:pt>
                <c:pt idx="149">
                  <c:v>44403</c:v>
                </c:pt>
                <c:pt idx="150">
                  <c:v>44404</c:v>
                </c:pt>
                <c:pt idx="151">
                  <c:v>44405</c:v>
                </c:pt>
                <c:pt idx="152">
                  <c:v>44406</c:v>
                </c:pt>
                <c:pt idx="153">
                  <c:v>44407</c:v>
                </c:pt>
                <c:pt idx="154">
                  <c:v>44410</c:v>
                </c:pt>
                <c:pt idx="155">
                  <c:v>44411</c:v>
                </c:pt>
                <c:pt idx="156">
                  <c:v>44412</c:v>
                </c:pt>
                <c:pt idx="157">
                  <c:v>44413</c:v>
                </c:pt>
                <c:pt idx="158">
                  <c:v>44414</c:v>
                </c:pt>
                <c:pt idx="159">
                  <c:v>44417</c:v>
                </c:pt>
                <c:pt idx="160">
                  <c:v>44418</c:v>
                </c:pt>
                <c:pt idx="161">
                  <c:v>44419</c:v>
                </c:pt>
                <c:pt idx="162">
                  <c:v>44420</c:v>
                </c:pt>
                <c:pt idx="163">
                  <c:v>44421</c:v>
                </c:pt>
                <c:pt idx="164">
                  <c:v>44424</c:v>
                </c:pt>
                <c:pt idx="165">
                  <c:v>44425</c:v>
                </c:pt>
                <c:pt idx="166">
                  <c:v>44426</c:v>
                </c:pt>
                <c:pt idx="167">
                  <c:v>44427</c:v>
                </c:pt>
                <c:pt idx="168">
                  <c:v>44428</c:v>
                </c:pt>
                <c:pt idx="169">
                  <c:v>44431</c:v>
                </c:pt>
                <c:pt idx="170">
                  <c:v>44432</c:v>
                </c:pt>
                <c:pt idx="171">
                  <c:v>44433</c:v>
                </c:pt>
                <c:pt idx="172">
                  <c:v>44434</c:v>
                </c:pt>
                <c:pt idx="173">
                  <c:v>44435</c:v>
                </c:pt>
                <c:pt idx="174">
                  <c:v>44438</c:v>
                </c:pt>
                <c:pt idx="175">
                  <c:v>44439</c:v>
                </c:pt>
                <c:pt idx="176">
                  <c:v>44440</c:v>
                </c:pt>
                <c:pt idx="177">
                  <c:v>44441</c:v>
                </c:pt>
                <c:pt idx="178">
                  <c:v>44442</c:v>
                </c:pt>
                <c:pt idx="179">
                  <c:v>44445</c:v>
                </c:pt>
                <c:pt idx="180">
                  <c:v>44446</c:v>
                </c:pt>
                <c:pt idx="181">
                  <c:v>44447</c:v>
                </c:pt>
                <c:pt idx="182">
                  <c:v>44448</c:v>
                </c:pt>
                <c:pt idx="183">
                  <c:v>44449</c:v>
                </c:pt>
                <c:pt idx="184">
                  <c:v>44452</c:v>
                </c:pt>
                <c:pt idx="185">
                  <c:v>44453</c:v>
                </c:pt>
                <c:pt idx="186">
                  <c:v>44454</c:v>
                </c:pt>
                <c:pt idx="187">
                  <c:v>44455</c:v>
                </c:pt>
                <c:pt idx="188">
                  <c:v>44456</c:v>
                </c:pt>
                <c:pt idx="189">
                  <c:v>44459</c:v>
                </c:pt>
                <c:pt idx="190">
                  <c:v>44460</c:v>
                </c:pt>
                <c:pt idx="191">
                  <c:v>44461</c:v>
                </c:pt>
                <c:pt idx="192">
                  <c:v>44462</c:v>
                </c:pt>
                <c:pt idx="193">
                  <c:v>44463</c:v>
                </c:pt>
                <c:pt idx="194">
                  <c:v>44466</c:v>
                </c:pt>
                <c:pt idx="195">
                  <c:v>44467</c:v>
                </c:pt>
                <c:pt idx="196">
                  <c:v>44468</c:v>
                </c:pt>
                <c:pt idx="197">
                  <c:v>44469</c:v>
                </c:pt>
                <c:pt idx="198">
                  <c:v>44470</c:v>
                </c:pt>
                <c:pt idx="199">
                  <c:v>44473</c:v>
                </c:pt>
                <c:pt idx="200">
                  <c:v>44474</c:v>
                </c:pt>
                <c:pt idx="201">
                  <c:v>44475</c:v>
                </c:pt>
                <c:pt idx="202">
                  <c:v>44476</c:v>
                </c:pt>
                <c:pt idx="203">
                  <c:v>44477</c:v>
                </c:pt>
                <c:pt idx="204">
                  <c:v>44480</c:v>
                </c:pt>
                <c:pt idx="205">
                  <c:v>44481</c:v>
                </c:pt>
                <c:pt idx="206">
                  <c:v>44482</c:v>
                </c:pt>
                <c:pt idx="207">
                  <c:v>44483</c:v>
                </c:pt>
                <c:pt idx="208">
                  <c:v>44484</c:v>
                </c:pt>
                <c:pt idx="209">
                  <c:v>44487</c:v>
                </c:pt>
                <c:pt idx="210">
                  <c:v>44488</c:v>
                </c:pt>
                <c:pt idx="211">
                  <c:v>44489</c:v>
                </c:pt>
                <c:pt idx="212">
                  <c:v>44490</c:v>
                </c:pt>
                <c:pt idx="213">
                  <c:v>44491</c:v>
                </c:pt>
                <c:pt idx="214">
                  <c:v>44494</c:v>
                </c:pt>
                <c:pt idx="215">
                  <c:v>44495</c:v>
                </c:pt>
                <c:pt idx="216">
                  <c:v>44496</c:v>
                </c:pt>
                <c:pt idx="217">
                  <c:v>44497</c:v>
                </c:pt>
                <c:pt idx="218">
                  <c:v>44498</c:v>
                </c:pt>
                <c:pt idx="219">
                  <c:v>44501</c:v>
                </c:pt>
                <c:pt idx="220">
                  <c:v>44502</c:v>
                </c:pt>
                <c:pt idx="221">
                  <c:v>44503</c:v>
                </c:pt>
                <c:pt idx="222">
                  <c:v>44504</c:v>
                </c:pt>
                <c:pt idx="223">
                  <c:v>44505</c:v>
                </c:pt>
                <c:pt idx="224">
                  <c:v>44508</c:v>
                </c:pt>
                <c:pt idx="225">
                  <c:v>44509</c:v>
                </c:pt>
                <c:pt idx="226">
                  <c:v>44510</c:v>
                </c:pt>
                <c:pt idx="227">
                  <c:v>44511</c:v>
                </c:pt>
                <c:pt idx="228">
                  <c:v>44512</c:v>
                </c:pt>
                <c:pt idx="229">
                  <c:v>44515</c:v>
                </c:pt>
                <c:pt idx="230">
                  <c:v>44516</c:v>
                </c:pt>
                <c:pt idx="231">
                  <c:v>44517</c:v>
                </c:pt>
                <c:pt idx="232">
                  <c:v>44518</c:v>
                </c:pt>
                <c:pt idx="233">
                  <c:v>44519</c:v>
                </c:pt>
                <c:pt idx="234">
                  <c:v>44522</c:v>
                </c:pt>
                <c:pt idx="235">
                  <c:v>44523</c:v>
                </c:pt>
                <c:pt idx="236">
                  <c:v>44524</c:v>
                </c:pt>
                <c:pt idx="237">
                  <c:v>44525</c:v>
                </c:pt>
                <c:pt idx="238">
                  <c:v>44526</c:v>
                </c:pt>
                <c:pt idx="239">
                  <c:v>44529</c:v>
                </c:pt>
                <c:pt idx="240">
                  <c:v>44530</c:v>
                </c:pt>
                <c:pt idx="241">
                  <c:v>44531</c:v>
                </c:pt>
                <c:pt idx="242">
                  <c:v>44532</c:v>
                </c:pt>
                <c:pt idx="243">
                  <c:v>44533</c:v>
                </c:pt>
                <c:pt idx="244">
                  <c:v>44536</c:v>
                </c:pt>
                <c:pt idx="245">
                  <c:v>44537</c:v>
                </c:pt>
                <c:pt idx="246">
                  <c:v>44538</c:v>
                </c:pt>
                <c:pt idx="247">
                  <c:v>44539</c:v>
                </c:pt>
                <c:pt idx="248">
                  <c:v>44540</c:v>
                </c:pt>
                <c:pt idx="249">
                  <c:v>44543</c:v>
                </c:pt>
                <c:pt idx="250">
                  <c:v>44544</c:v>
                </c:pt>
                <c:pt idx="251">
                  <c:v>44545</c:v>
                </c:pt>
                <c:pt idx="252">
                  <c:v>44546</c:v>
                </c:pt>
                <c:pt idx="253">
                  <c:v>44547</c:v>
                </c:pt>
                <c:pt idx="254">
                  <c:v>44550</c:v>
                </c:pt>
                <c:pt idx="255">
                  <c:v>44551</c:v>
                </c:pt>
                <c:pt idx="256">
                  <c:v>44552</c:v>
                </c:pt>
                <c:pt idx="257">
                  <c:v>44553</c:v>
                </c:pt>
                <c:pt idx="258">
                  <c:v>44554</c:v>
                </c:pt>
                <c:pt idx="259">
                  <c:v>44559</c:v>
                </c:pt>
                <c:pt idx="260">
                  <c:v>44560</c:v>
                </c:pt>
                <c:pt idx="261">
                  <c:v>44561</c:v>
                </c:pt>
                <c:pt idx="262">
                  <c:v>44565</c:v>
                </c:pt>
                <c:pt idx="263">
                  <c:v>44566</c:v>
                </c:pt>
                <c:pt idx="264">
                  <c:v>44567</c:v>
                </c:pt>
                <c:pt idx="265">
                  <c:v>44568</c:v>
                </c:pt>
                <c:pt idx="266">
                  <c:v>44571</c:v>
                </c:pt>
                <c:pt idx="267">
                  <c:v>44572</c:v>
                </c:pt>
                <c:pt idx="268">
                  <c:v>44573</c:v>
                </c:pt>
                <c:pt idx="269">
                  <c:v>44574</c:v>
                </c:pt>
                <c:pt idx="270">
                  <c:v>44575</c:v>
                </c:pt>
                <c:pt idx="271">
                  <c:v>44578</c:v>
                </c:pt>
                <c:pt idx="272">
                  <c:v>44579</c:v>
                </c:pt>
                <c:pt idx="273">
                  <c:v>44580</c:v>
                </c:pt>
                <c:pt idx="274">
                  <c:v>44581</c:v>
                </c:pt>
                <c:pt idx="275">
                  <c:v>44582</c:v>
                </c:pt>
                <c:pt idx="276">
                  <c:v>44585</c:v>
                </c:pt>
                <c:pt idx="277">
                  <c:v>44586</c:v>
                </c:pt>
                <c:pt idx="278">
                  <c:v>44588</c:v>
                </c:pt>
                <c:pt idx="279">
                  <c:v>44589</c:v>
                </c:pt>
                <c:pt idx="280">
                  <c:v>44592</c:v>
                </c:pt>
                <c:pt idx="281">
                  <c:v>44593</c:v>
                </c:pt>
                <c:pt idx="282">
                  <c:v>44594</c:v>
                </c:pt>
                <c:pt idx="283">
                  <c:v>44595</c:v>
                </c:pt>
                <c:pt idx="284">
                  <c:v>44596</c:v>
                </c:pt>
                <c:pt idx="285">
                  <c:v>44599</c:v>
                </c:pt>
                <c:pt idx="286">
                  <c:v>44600</c:v>
                </c:pt>
                <c:pt idx="287">
                  <c:v>44601</c:v>
                </c:pt>
                <c:pt idx="288">
                  <c:v>44602</c:v>
                </c:pt>
                <c:pt idx="289">
                  <c:v>44603</c:v>
                </c:pt>
                <c:pt idx="290">
                  <c:v>44606</c:v>
                </c:pt>
                <c:pt idx="291">
                  <c:v>44607</c:v>
                </c:pt>
                <c:pt idx="292">
                  <c:v>44608</c:v>
                </c:pt>
                <c:pt idx="293">
                  <c:v>44609</c:v>
                </c:pt>
                <c:pt idx="294">
                  <c:v>44610</c:v>
                </c:pt>
                <c:pt idx="295">
                  <c:v>44613</c:v>
                </c:pt>
                <c:pt idx="296">
                  <c:v>44614</c:v>
                </c:pt>
                <c:pt idx="297">
                  <c:v>44615</c:v>
                </c:pt>
                <c:pt idx="298">
                  <c:v>44616</c:v>
                </c:pt>
                <c:pt idx="299">
                  <c:v>44617</c:v>
                </c:pt>
                <c:pt idx="300">
                  <c:v>44620</c:v>
                </c:pt>
                <c:pt idx="301">
                  <c:v>44621</c:v>
                </c:pt>
                <c:pt idx="302">
                  <c:v>44622</c:v>
                </c:pt>
                <c:pt idx="303">
                  <c:v>44623</c:v>
                </c:pt>
                <c:pt idx="304">
                  <c:v>44624</c:v>
                </c:pt>
                <c:pt idx="305">
                  <c:v>44627</c:v>
                </c:pt>
                <c:pt idx="306">
                  <c:v>44628</c:v>
                </c:pt>
                <c:pt idx="307">
                  <c:v>44629</c:v>
                </c:pt>
                <c:pt idx="308">
                  <c:v>44630</c:v>
                </c:pt>
                <c:pt idx="309">
                  <c:v>44631</c:v>
                </c:pt>
                <c:pt idx="310">
                  <c:v>44634</c:v>
                </c:pt>
                <c:pt idx="311">
                  <c:v>44635</c:v>
                </c:pt>
                <c:pt idx="312">
                  <c:v>44636</c:v>
                </c:pt>
                <c:pt idx="313">
                  <c:v>44637</c:v>
                </c:pt>
                <c:pt idx="314">
                  <c:v>44638</c:v>
                </c:pt>
                <c:pt idx="315">
                  <c:v>44641</c:v>
                </c:pt>
                <c:pt idx="316">
                  <c:v>44642</c:v>
                </c:pt>
                <c:pt idx="317">
                  <c:v>44643</c:v>
                </c:pt>
                <c:pt idx="318">
                  <c:v>44644</c:v>
                </c:pt>
                <c:pt idx="319">
                  <c:v>44645</c:v>
                </c:pt>
                <c:pt idx="320">
                  <c:v>44648</c:v>
                </c:pt>
                <c:pt idx="321">
                  <c:v>44649</c:v>
                </c:pt>
                <c:pt idx="322">
                  <c:v>44650</c:v>
                </c:pt>
                <c:pt idx="323">
                  <c:v>44651</c:v>
                </c:pt>
                <c:pt idx="324">
                  <c:v>44652</c:v>
                </c:pt>
                <c:pt idx="325">
                  <c:v>44655</c:v>
                </c:pt>
                <c:pt idx="326">
                  <c:v>44656</c:v>
                </c:pt>
                <c:pt idx="327">
                  <c:v>44657</c:v>
                </c:pt>
                <c:pt idx="328">
                  <c:v>44658</c:v>
                </c:pt>
                <c:pt idx="329">
                  <c:v>44659</c:v>
                </c:pt>
                <c:pt idx="330">
                  <c:v>44662</c:v>
                </c:pt>
                <c:pt idx="331">
                  <c:v>44663</c:v>
                </c:pt>
                <c:pt idx="332">
                  <c:v>44664</c:v>
                </c:pt>
                <c:pt idx="333">
                  <c:v>44665</c:v>
                </c:pt>
                <c:pt idx="334">
                  <c:v>44670</c:v>
                </c:pt>
                <c:pt idx="335">
                  <c:v>44671</c:v>
                </c:pt>
                <c:pt idx="336">
                  <c:v>44672</c:v>
                </c:pt>
                <c:pt idx="337">
                  <c:v>44673</c:v>
                </c:pt>
                <c:pt idx="338">
                  <c:v>44677</c:v>
                </c:pt>
                <c:pt idx="339">
                  <c:v>44678</c:v>
                </c:pt>
                <c:pt idx="340">
                  <c:v>44679</c:v>
                </c:pt>
                <c:pt idx="341">
                  <c:v>44680</c:v>
                </c:pt>
                <c:pt idx="342">
                  <c:v>44683</c:v>
                </c:pt>
                <c:pt idx="343">
                  <c:v>44684</c:v>
                </c:pt>
                <c:pt idx="344">
                  <c:v>44685</c:v>
                </c:pt>
                <c:pt idx="345">
                  <c:v>44686</c:v>
                </c:pt>
                <c:pt idx="346">
                  <c:v>44687</c:v>
                </c:pt>
                <c:pt idx="347">
                  <c:v>44690</c:v>
                </c:pt>
                <c:pt idx="348">
                  <c:v>44691</c:v>
                </c:pt>
                <c:pt idx="349">
                  <c:v>44692</c:v>
                </c:pt>
                <c:pt idx="350">
                  <c:v>44693</c:v>
                </c:pt>
                <c:pt idx="351">
                  <c:v>44694</c:v>
                </c:pt>
                <c:pt idx="352">
                  <c:v>44697</c:v>
                </c:pt>
                <c:pt idx="353">
                  <c:v>44698</c:v>
                </c:pt>
                <c:pt idx="354">
                  <c:v>44699</c:v>
                </c:pt>
                <c:pt idx="355">
                  <c:v>44700</c:v>
                </c:pt>
                <c:pt idx="356">
                  <c:v>44701</c:v>
                </c:pt>
                <c:pt idx="357">
                  <c:v>44704</c:v>
                </c:pt>
                <c:pt idx="358">
                  <c:v>44705</c:v>
                </c:pt>
                <c:pt idx="359">
                  <c:v>44706</c:v>
                </c:pt>
                <c:pt idx="360">
                  <c:v>44707</c:v>
                </c:pt>
                <c:pt idx="361">
                  <c:v>44708</c:v>
                </c:pt>
                <c:pt idx="362">
                  <c:v>44711</c:v>
                </c:pt>
                <c:pt idx="363">
                  <c:v>44712</c:v>
                </c:pt>
                <c:pt idx="364">
                  <c:v>44713</c:v>
                </c:pt>
                <c:pt idx="365">
                  <c:v>44714</c:v>
                </c:pt>
                <c:pt idx="366">
                  <c:v>44715</c:v>
                </c:pt>
                <c:pt idx="367">
                  <c:v>44718</c:v>
                </c:pt>
                <c:pt idx="368">
                  <c:v>44719</c:v>
                </c:pt>
                <c:pt idx="369">
                  <c:v>44720</c:v>
                </c:pt>
                <c:pt idx="370">
                  <c:v>44721</c:v>
                </c:pt>
                <c:pt idx="371">
                  <c:v>44722</c:v>
                </c:pt>
                <c:pt idx="372">
                  <c:v>44726</c:v>
                </c:pt>
                <c:pt idx="373">
                  <c:v>44727</c:v>
                </c:pt>
                <c:pt idx="374">
                  <c:v>44728</c:v>
                </c:pt>
                <c:pt idx="375">
                  <c:v>44729</c:v>
                </c:pt>
                <c:pt idx="376">
                  <c:v>44732</c:v>
                </c:pt>
                <c:pt idx="377">
                  <c:v>44733</c:v>
                </c:pt>
                <c:pt idx="378">
                  <c:v>44734</c:v>
                </c:pt>
                <c:pt idx="379">
                  <c:v>44735</c:v>
                </c:pt>
                <c:pt idx="380">
                  <c:v>44736</c:v>
                </c:pt>
                <c:pt idx="381">
                  <c:v>44739</c:v>
                </c:pt>
                <c:pt idx="382">
                  <c:v>44740</c:v>
                </c:pt>
                <c:pt idx="383">
                  <c:v>44741</c:v>
                </c:pt>
                <c:pt idx="384">
                  <c:v>44742</c:v>
                </c:pt>
                <c:pt idx="385">
                  <c:v>44743</c:v>
                </c:pt>
                <c:pt idx="386">
                  <c:v>44746</c:v>
                </c:pt>
                <c:pt idx="387">
                  <c:v>44747</c:v>
                </c:pt>
                <c:pt idx="388">
                  <c:v>44748</c:v>
                </c:pt>
                <c:pt idx="389">
                  <c:v>44749</c:v>
                </c:pt>
                <c:pt idx="390">
                  <c:v>44750</c:v>
                </c:pt>
                <c:pt idx="391">
                  <c:v>44753</c:v>
                </c:pt>
                <c:pt idx="392">
                  <c:v>44754</c:v>
                </c:pt>
                <c:pt idx="393">
                  <c:v>44755</c:v>
                </c:pt>
                <c:pt idx="394">
                  <c:v>44756</c:v>
                </c:pt>
                <c:pt idx="395">
                  <c:v>44757</c:v>
                </c:pt>
                <c:pt idx="396">
                  <c:v>44760</c:v>
                </c:pt>
                <c:pt idx="397">
                  <c:v>44761</c:v>
                </c:pt>
                <c:pt idx="398">
                  <c:v>44762</c:v>
                </c:pt>
                <c:pt idx="399">
                  <c:v>44763</c:v>
                </c:pt>
                <c:pt idx="400">
                  <c:v>44764</c:v>
                </c:pt>
                <c:pt idx="401">
                  <c:v>44767</c:v>
                </c:pt>
                <c:pt idx="402">
                  <c:v>44768</c:v>
                </c:pt>
                <c:pt idx="403">
                  <c:v>44769</c:v>
                </c:pt>
                <c:pt idx="404">
                  <c:v>44770</c:v>
                </c:pt>
                <c:pt idx="405">
                  <c:v>44771</c:v>
                </c:pt>
                <c:pt idx="406">
                  <c:v>44774</c:v>
                </c:pt>
                <c:pt idx="407">
                  <c:v>44775</c:v>
                </c:pt>
                <c:pt idx="408">
                  <c:v>44776</c:v>
                </c:pt>
                <c:pt idx="409">
                  <c:v>44777</c:v>
                </c:pt>
                <c:pt idx="410">
                  <c:v>44778</c:v>
                </c:pt>
                <c:pt idx="411">
                  <c:v>44781</c:v>
                </c:pt>
                <c:pt idx="412">
                  <c:v>44782</c:v>
                </c:pt>
                <c:pt idx="413">
                  <c:v>44783</c:v>
                </c:pt>
                <c:pt idx="414">
                  <c:v>44784</c:v>
                </c:pt>
                <c:pt idx="415">
                  <c:v>44785</c:v>
                </c:pt>
                <c:pt idx="416">
                  <c:v>44788</c:v>
                </c:pt>
                <c:pt idx="417">
                  <c:v>44789</c:v>
                </c:pt>
                <c:pt idx="418">
                  <c:v>44790</c:v>
                </c:pt>
                <c:pt idx="419">
                  <c:v>44791</c:v>
                </c:pt>
                <c:pt idx="420">
                  <c:v>44792</c:v>
                </c:pt>
                <c:pt idx="421">
                  <c:v>44795</c:v>
                </c:pt>
                <c:pt idx="422">
                  <c:v>44796</c:v>
                </c:pt>
                <c:pt idx="423">
                  <c:v>44797</c:v>
                </c:pt>
                <c:pt idx="424">
                  <c:v>44798</c:v>
                </c:pt>
                <c:pt idx="425">
                  <c:v>44799</c:v>
                </c:pt>
                <c:pt idx="426">
                  <c:v>44802</c:v>
                </c:pt>
                <c:pt idx="427">
                  <c:v>44803</c:v>
                </c:pt>
                <c:pt idx="428">
                  <c:v>44804</c:v>
                </c:pt>
                <c:pt idx="429">
                  <c:v>44805</c:v>
                </c:pt>
                <c:pt idx="430">
                  <c:v>44806</c:v>
                </c:pt>
                <c:pt idx="431">
                  <c:v>44809</c:v>
                </c:pt>
                <c:pt idx="432">
                  <c:v>44810</c:v>
                </c:pt>
                <c:pt idx="433">
                  <c:v>44811</c:v>
                </c:pt>
                <c:pt idx="434">
                  <c:v>44812</c:v>
                </c:pt>
                <c:pt idx="435">
                  <c:v>44813</c:v>
                </c:pt>
                <c:pt idx="436">
                  <c:v>44816</c:v>
                </c:pt>
                <c:pt idx="437">
                  <c:v>44817</c:v>
                </c:pt>
                <c:pt idx="438">
                  <c:v>44818</c:v>
                </c:pt>
                <c:pt idx="439">
                  <c:v>44819</c:v>
                </c:pt>
                <c:pt idx="440">
                  <c:v>44820</c:v>
                </c:pt>
                <c:pt idx="441">
                  <c:v>44823</c:v>
                </c:pt>
                <c:pt idx="442">
                  <c:v>44824</c:v>
                </c:pt>
                <c:pt idx="443">
                  <c:v>44825</c:v>
                </c:pt>
                <c:pt idx="444">
                  <c:v>44827</c:v>
                </c:pt>
                <c:pt idx="445">
                  <c:v>44830</c:v>
                </c:pt>
                <c:pt idx="446">
                  <c:v>44831</c:v>
                </c:pt>
                <c:pt idx="447">
                  <c:v>44832</c:v>
                </c:pt>
                <c:pt idx="448">
                  <c:v>44833</c:v>
                </c:pt>
                <c:pt idx="449">
                  <c:v>44834</c:v>
                </c:pt>
                <c:pt idx="450">
                  <c:v>44837</c:v>
                </c:pt>
                <c:pt idx="451">
                  <c:v>44838</c:v>
                </c:pt>
                <c:pt idx="452">
                  <c:v>44839</c:v>
                </c:pt>
                <c:pt idx="453">
                  <c:v>44840</c:v>
                </c:pt>
                <c:pt idx="454">
                  <c:v>44841</c:v>
                </c:pt>
                <c:pt idx="455">
                  <c:v>44844</c:v>
                </c:pt>
                <c:pt idx="456">
                  <c:v>44845</c:v>
                </c:pt>
                <c:pt idx="457">
                  <c:v>44846</c:v>
                </c:pt>
                <c:pt idx="458">
                  <c:v>44847</c:v>
                </c:pt>
                <c:pt idx="459">
                  <c:v>44848</c:v>
                </c:pt>
                <c:pt idx="460">
                  <c:v>44851</c:v>
                </c:pt>
                <c:pt idx="461">
                  <c:v>44852</c:v>
                </c:pt>
                <c:pt idx="462">
                  <c:v>44853</c:v>
                </c:pt>
                <c:pt idx="463">
                  <c:v>44854</c:v>
                </c:pt>
                <c:pt idx="464">
                  <c:v>44855</c:v>
                </c:pt>
                <c:pt idx="465">
                  <c:v>44858</c:v>
                </c:pt>
                <c:pt idx="466">
                  <c:v>44859</c:v>
                </c:pt>
                <c:pt idx="467">
                  <c:v>44860</c:v>
                </c:pt>
                <c:pt idx="468">
                  <c:v>44861</c:v>
                </c:pt>
                <c:pt idx="469">
                  <c:v>44862</c:v>
                </c:pt>
                <c:pt idx="470">
                  <c:v>44865</c:v>
                </c:pt>
                <c:pt idx="471">
                  <c:v>44866</c:v>
                </c:pt>
                <c:pt idx="472">
                  <c:v>44867</c:v>
                </c:pt>
                <c:pt idx="473">
                  <c:v>44868</c:v>
                </c:pt>
                <c:pt idx="474">
                  <c:v>44869</c:v>
                </c:pt>
                <c:pt idx="475">
                  <c:v>44872</c:v>
                </c:pt>
                <c:pt idx="476">
                  <c:v>44873</c:v>
                </c:pt>
                <c:pt idx="477">
                  <c:v>44874</c:v>
                </c:pt>
                <c:pt idx="478">
                  <c:v>44875</c:v>
                </c:pt>
                <c:pt idx="479">
                  <c:v>44876</c:v>
                </c:pt>
                <c:pt idx="480">
                  <c:v>44879</c:v>
                </c:pt>
                <c:pt idx="481">
                  <c:v>44880</c:v>
                </c:pt>
                <c:pt idx="482">
                  <c:v>44881</c:v>
                </c:pt>
                <c:pt idx="483">
                  <c:v>44882</c:v>
                </c:pt>
                <c:pt idx="484">
                  <c:v>44883</c:v>
                </c:pt>
                <c:pt idx="485">
                  <c:v>44886</c:v>
                </c:pt>
                <c:pt idx="486">
                  <c:v>44887</c:v>
                </c:pt>
                <c:pt idx="487">
                  <c:v>44888</c:v>
                </c:pt>
                <c:pt idx="488">
                  <c:v>44889</c:v>
                </c:pt>
                <c:pt idx="489">
                  <c:v>44890</c:v>
                </c:pt>
                <c:pt idx="490">
                  <c:v>44893</c:v>
                </c:pt>
                <c:pt idx="491">
                  <c:v>44894</c:v>
                </c:pt>
                <c:pt idx="492">
                  <c:v>44895</c:v>
                </c:pt>
                <c:pt idx="493">
                  <c:v>44896</c:v>
                </c:pt>
                <c:pt idx="494">
                  <c:v>44897</c:v>
                </c:pt>
                <c:pt idx="495">
                  <c:v>44900</c:v>
                </c:pt>
                <c:pt idx="496">
                  <c:v>44901</c:v>
                </c:pt>
                <c:pt idx="497">
                  <c:v>44902</c:v>
                </c:pt>
                <c:pt idx="498">
                  <c:v>44903</c:v>
                </c:pt>
                <c:pt idx="499">
                  <c:v>44904</c:v>
                </c:pt>
                <c:pt idx="500">
                  <c:v>44907</c:v>
                </c:pt>
                <c:pt idx="501">
                  <c:v>44908</c:v>
                </c:pt>
                <c:pt idx="502">
                  <c:v>44909</c:v>
                </c:pt>
                <c:pt idx="503">
                  <c:v>44910</c:v>
                </c:pt>
                <c:pt idx="504">
                  <c:v>44911</c:v>
                </c:pt>
                <c:pt idx="505">
                  <c:v>44914</c:v>
                </c:pt>
                <c:pt idx="506">
                  <c:v>44915</c:v>
                </c:pt>
                <c:pt idx="507">
                  <c:v>44916</c:v>
                </c:pt>
                <c:pt idx="508">
                  <c:v>44917</c:v>
                </c:pt>
                <c:pt idx="509">
                  <c:v>44918</c:v>
                </c:pt>
                <c:pt idx="510">
                  <c:v>44923</c:v>
                </c:pt>
                <c:pt idx="511">
                  <c:v>44924</c:v>
                </c:pt>
                <c:pt idx="512">
                  <c:v>44925</c:v>
                </c:pt>
                <c:pt idx="513">
                  <c:v>44929</c:v>
                </c:pt>
                <c:pt idx="514">
                  <c:v>44930</c:v>
                </c:pt>
                <c:pt idx="515">
                  <c:v>44931</c:v>
                </c:pt>
                <c:pt idx="516">
                  <c:v>44932</c:v>
                </c:pt>
                <c:pt idx="517">
                  <c:v>44935</c:v>
                </c:pt>
                <c:pt idx="518">
                  <c:v>44936</c:v>
                </c:pt>
                <c:pt idx="519">
                  <c:v>44937</c:v>
                </c:pt>
                <c:pt idx="520">
                  <c:v>44938</c:v>
                </c:pt>
                <c:pt idx="521">
                  <c:v>44939</c:v>
                </c:pt>
                <c:pt idx="522">
                  <c:v>44942</c:v>
                </c:pt>
                <c:pt idx="523">
                  <c:v>44943</c:v>
                </c:pt>
                <c:pt idx="524">
                  <c:v>44944</c:v>
                </c:pt>
                <c:pt idx="525">
                  <c:v>44945</c:v>
                </c:pt>
                <c:pt idx="526">
                  <c:v>44946</c:v>
                </c:pt>
                <c:pt idx="527">
                  <c:v>44949</c:v>
                </c:pt>
                <c:pt idx="528">
                  <c:v>44950</c:v>
                </c:pt>
                <c:pt idx="529">
                  <c:v>44951</c:v>
                </c:pt>
                <c:pt idx="530">
                  <c:v>44953</c:v>
                </c:pt>
                <c:pt idx="531">
                  <c:v>44956</c:v>
                </c:pt>
                <c:pt idx="532">
                  <c:v>44957</c:v>
                </c:pt>
                <c:pt idx="533">
                  <c:v>44958</c:v>
                </c:pt>
                <c:pt idx="534">
                  <c:v>44959</c:v>
                </c:pt>
                <c:pt idx="535">
                  <c:v>44960</c:v>
                </c:pt>
                <c:pt idx="536">
                  <c:v>44963</c:v>
                </c:pt>
                <c:pt idx="537">
                  <c:v>44964</c:v>
                </c:pt>
                <c:pt idx="538">
                  <c:v>44965</c:v>
                </c:pt>
                <c:pt idx="539">
                  <c:v>44966</c:v>
                </c:pt>
                <c:pt idx="540">
                  <c:v>44967</c:v>
                </c:pt>
                <c:pt idx="541">
                  <c:v>44970</c:v>
                </c:pt>
                <c:pt idx="542">
                  <c:v>44971</c:v>
                </c:pt>
                <c:pt idx="543">
                  <c:v>44972</c:v>
                </c:pt>
                <c:pt idx="544">
                  <c:v>44973</c:v>
                </c:pt>
                <c:pt idx="545">
                  <c:v>44974</c:v>
                </c:pt>
                <c:pt idx="546">
                  <c:v>44977</c:v>
                </c:pt>
                <c:pt idx="547">
                  <c:v>44978</c:v>
                </c:pt>
                <c:pt idx="548">
                  <c:v>44979</c:v>
                </c:pt>
                <c:pt idx="549">
                  <c:v>44980</c:v>
                </c:pt>
                <c:pt idx="550">
                  <c:v>44981</c:v>
                </c:pt>
                <c:pt idx="551">
                  <c:v>44984</c:v>
                </c:pt>
                <c:pt idx="552">
                  <c:v>44985</c:v>
                </c:pt>
                <c:pt idx="553">
                  <c:v>44986</c:v>
                </c:pt>
                <c:pt idx="554">
                  <c:v>44987</c:v>
                </c:pt>
                <c:pt idx="555">
                  <c:v>44988</c:v>
                </c:pt>
                <c:pt idx="556">
                  <c:v>44991</c:v>
                </c:pt>
                <c:pt idx="557">
                  <c:v>44992</c:v>
                </c:pt>
                <c:pt idx="558">
                  <c:v>44993</c:v>
                </c:pt>
                <c:pt idx="559">
                  <c:v>44994</c:v>
                </c:pt>
                <c:pt idx="560">
                  <c:v>44995</c:v>
                </c:pt>
                <c:pt idx="561">
                  <c:v>44998</c:v>
                </c:pt>
                <c:pt idx="562">
                  <c:v>44999</c:v>
                </c:pt>
                <c:pt idx="563">
                  <c:v>45000</c:v>
                </c:pt>
                <c:pt idx="564">
                  <c:v>45001</c:v>
                </c:pt>
                <c:pt idx="565">
                  <c:v>45002</c:v>
                </c:pt>
                <c:pt idx="566">
                  <c:v>45005</c:v>
                </c:pt>
                <c:pt idx="567">
                  <c:v>45006</c:v>
                </c:pt>
                <c:pt idx="568">
                  <c:v>45007</c:v>
                </c:pt>
                <c:pt idx="569">
                  <c:v>45008</c:v>
                </c:pt>
                <c:pt idx="570">
                  <c:v>45009</c:v>
                </c:pt>
                <c:pt idx="571">
                  <c:v>45012</c:v>
                </c:pt>
                <c:pt idx="572">
                  <c:v>45013</c:v>
                </c:pt>
                <c:pt idx="573">
                  <c:v>45014</c:v>
                </c:pt>
                <c:pt idx="574">
                  <c:v>45015</c:v>
                </c:pt>
                <c:pt idx="575">
                  <c:v>45016</c:v>
                </c:pt>
                <c:pt idx="576">
                  <c:v>45019</c:v>
                </c:pt>
                <c:pt idx="577">
                  <c:v>45020</c:v>
                </c:pt>
                <c:pt idx="578">
                  <c:v>45021</c:v>
                </c:pt>
                <c:pt idx="579">
                  <c:v>45022</c:v>
                </c:pt>
                <c:pt idx="580">
                  <c:v>45027</c:v>
                </c:pt>
                <c:pt idx="581">
                  <c:v>45028</c:v>
                </c:pt>
                <c:pt idx="582">
                  <c:v>45029</c:v>
                </c:pt>
                <c:pt idx="583">
                  <c:v>45030</c:v>
                </c:pt>
                <c:pt idx="584">
                  <c:v>45033</c:v>
                </c:pt>
                <c:pt idx="585">
                  <c:v>45034</c:v>
                </c:pt>
                <c:pt idx="586">
                  <c:v>45035</c:v>
                </c:pt>
                <c:pt idx="587">
                  <c:v>45036</c:v>
                </c:pt>
                <c:pt idx="588">
                  <c:v>45037</c:v>
                </c:pt>
                <c:pt idx="589">
                  <c:v>45040</c:v>
                </c:pt>
                <c:pt idx="590">
                  <c:v>45042</c:v>
                </c:pt>
                <c:pt idx="591">
                  <c:v>45043</c:v>
                </c:pt>
                <c:pt idx="592">
                  <c:v>45044</c:v>
                </c:pt>
                <c:pt idx="593">
                  <c:v>45047</c:v>
                </c:pt>
                <c:pt idx="594">
                  <c:v>45048</c:v>
                </c:pt>
                <c:pt idx="595">
                  <c:v>45049</c:v>
                </c:pt>
                <c:pt idx="596">
                  <c:v>45050</c:v>
                </c:pt>
                <c:pt idx="597">
                  <c:v>45051</c:v>
                </c:pt>
                <c:pt idx="598">
                  <c:v>45054</c:v>
                </c:pt>
                <c:pt idx="599">
                  <c:v>45055</c:v>
                </c:pt>
                <c:pt idx="600">
                  <c:v>45056</c:v>
                </c:pt>
                <c:pt idx="601">
                  <c:v>45057</c:v>
                </c:pt>
                <c:pt idx="602">
                  <c:v>45058</c:v>
                </c:pt>
                <c:pt idx="603">
                  <c:v>45061</c:v>
                </c:pt>
                <c:pt idx="604">
                  <c:v>45062</c:v>
                </c:pt>
                <c:pt idx="605">
                  <c:v>45063</c:v>
                </c:pt>
                <c:pt idx="606">
                  <c:v>45064</c:v>
                </c:pt>
                <c:pt idx="607">
                  <c:v>45065</c:v>
                </c:pt>
                <c:pt idx="608">
                  <c:v>45068</c:v>
                </c:pt>
                <c:pt idx="609">
                  <c:v>45069</c:v>
                </c:pt>
                <c:pt idx="610">
                  <c:v>45070</c:v>
                </c:pt>
                <c:pt idx="611">
                  <c:v>45071</c:v>
                </c:pt>
                <c:pt idx="612">
                  <c:v>45072</c:v>
                </c:pt>
                <c:pt idx="613">
                  <c:v>45075</c:v>
                </c:pt>
                <c:pt idx="614">
                  <c:v>45076</c:v>
                </c:pt>
                <c:pt idx="615">
                  <c:v>45077</c:v>
                </c:pt>
                <c:pt idx="616">
                  <c:v>45078</c:v>
                </c:pt>
                <c:pt idx="617">
                  <c:v>45079</c:v>
                </c:pt>
                <c:pt idx="618">
                  <c:v>45082</c:v>
                </c:pt>
                <c:pt idx="619">
                  <c:v>45083</c:v>
                </c:pt>
                <c:pt idx="620">
                  <c:v>45084</c:v>
                </c:pt>
                <c:pt idx="621">
                  <c:v>45085</c:v>
                </c:pt>
                <c:pt idx="622">
                  <c:v>45086</c:v>
                </c:pt>
                <c:pt idx="623">
                  <c:v>45090</c:v>
                </c:pt>
                <c:pt idx="624">
                  <c:v>45091</c:v>
                </c:pt>
                <c:pt idx="625">
                  <c:v>45092</c:v>
                </c:pt>
                <c:pt idx="626">
                  <c:v>45093</c:v>
                </c:pt>
                <c:pt idx="627">
                  <c:v>45096</c:v>
                </c:pt>
                <c:pt idx="628">
                  <c:v>45097</c:v>
                </c:pt>
                <c:pt idx="629">
                  <c:v>45098</c:v>
                </c:pt>
                <c:pt idx="630">
                  <c:v>45099</c:v>
                </c:pt>
                <c:pt idx="631">
                  <c:v>45100</c:v>
                </c:pt>
                <c:pt idx="632">
                  <c:v>45103</c:v>
                </c:pt>
                <c:pt idx="633">
                  <c:v>45104</c:v>
                </c:pt>
                <c:pt idx="634">
                  <c:v>45105</c:v>
                </c:pt>
                <c:pt idx="635">
                  <c:v>45106</c:v>
                </c:pt>
                <c:pt idx="636">
                  <c:v>45107</c:v>
                </c:pt>
                <c:pt idx="637">
                  <c:v>45110</c:v>
                </c:pt>
                <c:pt idx="638">
                  <c:v>45111</c:v>
                </c:pt>
                <c:pt idx="639">
                  <c:v>45112</c:v>
                </c:pt>
                <c:pt idx="640">
                  <c:v>45113</c:v>
                </c:pt>
                <c:pt idx="641">
                  <c:v>45114</c:v>
                </c:pt>
                <c:pt idx="642">
                  <c:v>45117</c:v>
                </c:pt>
                <c:pt idx="643">
                  <c:v>45118</c:v>
                </c:pt>
                <c:pt idx="644">
                  <c:v>45119</c:v>
                </c:pt>
                <c:pt idx="645">
                  <c:v>45120</c:v>
                </c:pt>
                <c:pt idx="646">
                  <c:v>45121</c:v>
                </c:pt>
                <c:pt idx="647">
                  <c:v>45124</c:v>
                </c:pt>
                <c:pt idx="648">
                  <c:v>45125</c:v>
                </c:pt>
                <c:pt idx="649">
                  <c:v>45126</c:v>
                </c:pt>
                <c:pt idx="650">
                  <c:v>45127</c:v>
                </c:pt>
                <c:pt idx="651">
                  <c:v>45128</c:v>
                </c:pt>
                <c:pt idx="652">
                  <c:v>45131</c:v>
                </c:pt>
                <c:pt idx="653">
                  <c:v>45132</c:v>
                </c:pt>
                <c:pt idx="654">
                  <c:v>45133</c:v>
                </c:pt>
                <c:pt idx="655">
                  <c:v>45134</c:v>
                </c:pt>
                <c:pt idx="656">
                  <c:v>45135</c:v>
                </c:pt>
                <c:pt idx="657">
                  <c:v>45138</c:v>
                </c:pt>
                <c:pt idx="658">
                  <c:v>45139</c:v>
                </c:pt>
                <c:pt idx="659">
                  <c:v>45140</c:v>
                </c:pt>
                <c:pt idx="660">
                  <c:v>45141</c:v>
                </c:pt>
                <c:pt idx="661">
                  <c:v>45142</c:v>
                </c:pt>
                <c:pt idx="662">
                  <c:v>45145</c:v>
                </c:pt>
                <c:pt idx="663">
                  <c:v>45146</c:v>
                </c:pt>
                <c:pt idx="664">
                  <c:v>45147</c:v>
                </c:pt>
                <c:pt idx="665">
                  <c:v>45148</c:v>
                </c:pt>
                <c:pt idx="666">
                  <c:v>45149</c:v>
                </c:pt>
                <c:pt idx="667">
                  <c:v>45152</c:v>
                </c:pt>
                <c:pt idx="668">
                  <c:v>45153</c:v>
                </c:pt>
                <c:pt idx="669">
                  <c:v>45154</c:v>
                </c:pt>
                <c:pt idx="670">
                  <c:v>45155</c:v>
                </c:pt>
                <c:pt idx="671">
                  <c:v>45156</c:v>
                </c:pt>
                <c:pt idx="672">
                  <c:v>45159</c:v>
                </c:pt>
                <c:pt idx="673">
                  <c:v>45160</c:v>
                </c:pt>
                <c:pt idx="674">
                  <c:v>45161</c:v>
                </c:pt>
                <c:pt idx="675">
                  <c:v>45162</c:v>
                </c:pt>
                <c:pt idx="676">
                  <c:v>45163</c:v>
                </c:pt>
                <c:pt idx="677">
                  <c:v>45166</c:v>
                </c:pt>
                <c:pt idx="678">
                  <c:v>45167</c:v>
                </c:pt>
                <c:pt idx="679">
                  <c:v>45168</c:v>
                </c:pt>
                <c:pt idx="680">
                  <c:v>45169</c:v>
                </c:pt>
                <c:pt idx="681">
                  <c:v>45170</c:v>
                </c:pt>
                <c:pt idx="682">
                  <c:v>45173</c:v>
                </c:pt>
                <c:pt idx="683">
                  <c:v>45174</c:v>
                </c:pt>
                <c:pt idx="684">
                  <c:v>45175</c:v>
                </c:pt>
                <c:pt idx="685">
                  <c:v>45176</c:v>
                </c:pt>
                <c:pt idx="686">
                  <c:v>45177</c:v>
                </c:pt>
                <c:pt idx="687">
                  <c:v>45180</c:v>
                </c:pt>
                <c:pt idx="688">
                  <c:v>45181</c:v>
                </c:pt>
                <c:pt idx="689">
                  <c:v>45182</c:v>
                </c:pt>
                <c:pt idx="690">
                  <c:v>45183</c:v>
                </c:pt>
                <c:pt idx="691">
                  <c:v>45184</c:v>
                </c:pt>
                <c:pt idx="692">
                  <c:v>45187</c:v>
                </c:pt>
                <c:pt idx="693">
                  <c:v>45188</c:v>
                </c:pt>
                <c:pt idx="694">
                  <c:v>45189</c:v>
                </c:pt>
                <c:pt idx="695">
                  <c:v>45190</c:v>
                </c:pt>
                <c:pt idx="696">
                  <c:v>45191</c:v>
                </c:pt>
                <c:pt idx="697">
                  <c:v>45194</c:v>
                </c:pt>
                <c:pt idx="698">
                  <c:v>45195</c:v>
                </c:pt>
                <c:pt idx="699">
                  <c:v>45196</c:v>
                </c:pt>
                <c:pt idx="700">
                  <c:v>45197</c:v>
                </c:pt>
                <c:pt idx="701">
                  <c:v>45198</c:v>
                </c:pt>
                <c:pt idx="702">
                  <c:v>45201</c:v>
                </c:pt>
                <c:pt idx="703">
                  <c:v>45202</c:v>
                </c:pt>
                <c:pt idx="704">
                  <c:v>45203</c:v>
                </c:pt>
                <c:pt idx="705">
                  <c:v>45204</c:v>
                </c:pt>
                <c:pt idx="706">
                  <c:v>45205</c:v>
                </c:pt>
                <c:pt idx="707">
                  <c:v>45208</c:v>
                </c:pt>
                <c:pt idx="708">
                  <c:v>45209</c:v>
                </c:pt>
                <c:pt idx="709">
                  <c:v>45210</c:v>
                </c:pt>
                <c:pt idx="710">
                  <c:v>45211</c:v>
                </c:pt>
                <c:pt idx="711">
                  <c:v>45212</c:v>
                </c:pt>
                <c:pt idx="712">
                  <c:v>45215</c:v>
                </c:pt>
                <c:pt idx="713">
                  <c:v>45216</c:v>
                </c:pt>
                <c:pt idx="714">
                  <c:v>45217</c:v>
                </c:pt>
                <c:pt idx="715">
                  <c:v>45218</c:v>
                </c:pt>
                <c:pt idx="716">
                  <c:v>45219</c:v>
                </c:pt>
                <c:pt idx="717">
                  <c:v>45222</c:v>
                </c:pt>
                <c:pt idx="718">
                  <c:v>45223</c:v>
                </c:pt>
                <c:pt idx="719">
                  <c:v>45224</c:v>
                </c:pt>
                <c:pt idx="720">
                  <c:v>45225</c:v>
                </c:pt>
                <c:pt idx="721">
                  <c:v>45226</c:v>
                </c:pt>
                <c:pt idx="722">
                  <c:v>45229</c:v>
                </c:pt>
                <c:pt idx="723">
                  <c:v>45230</c:v>
                </c:pt>
                <c:pt idx="724">
                  <c:v>45231</c:v>
                </c:pt>
                <c:pt idx="725">
                  <c:v>45232</c:v>
                </c:pt>
                <c:pt idx="726">
                  <c:v>45233</c:v>
                </c:pt>
                <c:pt idx="727">
                  <c:v>45236</c:v>
                </c:pt>
                <c:pt idx="728">
                  <c:v>45237</c:v>
                </c:pt>
                <c:pt idx="729">
                  <c:v>45238</c:v>
                </c:pt>
                <c:pt idx="730">
                  <c:v>45239</c:v>
                </c:pt>
                <c:pt idx="731">
                  <c:v>45240</c:v>
                </c:pt>
                <c:pt idx="732">
                  <c:v>45243</c:v>
                </c:pt>
                <c:pt idx="733">
                  <c:v>45244</c:v>
                </c:pt>
                <c:pt idx="734">
                  <c:v>45245</c:v>
                </c:pt>
                <c:pt idx="735">
                  <c:v>45246</c:v>
                </c:pt>
                <c:pt idx="736">
                  <c:v>45247</c:v>
                </c:pt>
                <c:pt idx="737">
                  <c:v>45250</c:v>
                </c:pt>
                <c:pt idx="738">
                  <c:v>45251</c:v>
                </c:pt>
                <c:pt idx="739">
                  <c:v>45252</c:v>
                </c:pt>
                <c:pt idx="740">
                  <c:v>45253</c:v>
                </c:pt>
                <c:pt idx="741">
                  <c:v>45254</c:v>
                </c:pt>
                <c:pt idx="742">
                  <c:v>45257</c:v>
                </c:pt>
                <c:pt idx="743">
                  <c:v>45258</c:v>
                </c:pt>
                <c:pt idx="744">
                  <c:v>45259</c:v>
                </c:pt>
                <c:pt idx="745">
                  <c:v>45260</c:v>
                </c:pt>
                <c:pt idx="746">
                  <c:v>45261</c:v>
                </c:pt>
                <c:pt idx="747">
                  <c:v>45264</c:v>
                </c:pt>
                <c:pt idx="748">
                  <c:v>45265</c:v>
                </c:pt>
                <c:pt idx="749">
                  <c:v>45266</c:v>
                </c:pt>
                <c:pt idx="750">
                  <c:v>45267</c:v>
                </c:pt>
                <c:pt idx="751">
                  <c:v>45268</c:v>
                </c:pt>
                <c:pt idx="752">
                  <c:v>45271</c:v>
                </c:pt>
                <c:pt idx="753">
                  <c:v>45272</c:v>
                </c:pt>
                <c:pt idx="754">
                  <c:v>45273</c:v>
                </c:pt>
                <c:pt idx="755">
                  <c:v>45274</c:v>
                </c:pt>
                <c:pt idx="756">
                  <c:v>45275</c:v>
                </c:pt>
                <c:pt idx="757">
                  <c:v>45278</c:v>
                </c:pt>
                <c:pt idx="758">
                  <c:v>45279</c:v>
                </c:pt>
                <c:pt idx="759">
                  <c:v>45280</c:v>
                </c:pt>
                <c:pt idx="760">
                  <c:v>45281</c:v>
                </c:pt>
                <c:pt idx="761">
                  <c:v>45282</c:v>
                </c:pt>
                <c:pt idx="762">
                  <c:v>45287</c:v>
                </c:pt>
                <c:pt idx="763">
                  <c:v>45288</c:v>
                </c:pt>
                <c:pt idx="764">
                  <c:v>45289</c:v>
                </c:pt>
                <c:pt idx="765">
                  <c:v>45293</c:v>
                </c:pt>
                <c:pt idx="766">
                  <c:v>45294</c:v>
                </c:pt>
                <c:pt idx="767">
                  <c:v>45295</c:v>
                </c:pt>
                <c:pt idx="768">
                  <c:v>45296</c:v>
                </c:pt>
                <c:pt idx="769">
                  <c:v>45299</c:v>
                </c:pt>
                <c:pt idx="770">
                  <c:v>45300</c:v>
                </c:pt>
                <c:pt idx="771">
                  <c:v>45301</c:v>
                </c:pt>
                <c:pt idx="772">
                  <c:v>45302</c:v>
                </c:pt>
                <c:pt idx="773">
                  <c:v>45303</c:v>
                </c:pt>
                <c:pt idx="774">
                  <c:v>45306</c:v>
                </c:pt>
                <c:pt idx="775">
                  <c:v>45307</c:v>
                </c:pt>
                <c:pt idx="776">
                  <c:v>45308</c:v>
                </c:pt>
                <c:pt idx="777">
                  <c:v>45309</c:v>
                </c:pt>
                <c:pt idx="778">
                  <c:v>45310</c:v>
                </c:pt>
                <c:pt idx="779">
                  <c:v>45313</c:v>
                </c:pt>
                <c:pt idx="780">
                  <c:v>45314</c:v>
                </c:pt>
                <c:pt idx="781">
                  <c:v>45315</c:v>
                </c:pt>
                <c:pt idx="782">
                  <c:v>45316</c:v>
                </c:pt>
                <c:pt idx="783">
                  <c:v>45320</c:v>
                </c:pt>
                <c:pt idx="784">
                  <c:v>45321</c:v>
                </c:pt>
                <c:pt idx="785">
                  <c:v>45322</c:v>
                </c:pt>
                <c:pt idx="786">
                  <c:v>45323</c:v>
                </c:pt>
                <c:pt idx="787">
                  <c:v>45324</c:v>
                </c:pt>
                <c:pt idx="788">
                  <c:v>45327</c:v>
                </c:pt>
                <c:pt idx="789">
                  <c:v>45328</c:v>
                </c:pt>
                <c:pt idx="790">
                  <c:v>45329</c:v>
                </c:pt>
                <c:pt idx="791">
                  <c:v>45330</c:v>
                </c:pt>
                <c:pt idx="792">
                  <c:v>45331</c:v>
                </c:pt>
                <c:pt idx="793">
                  <c:v>45334</c:v>
                </c:pt>
                <c:pt idx="794">
                  <c:v>45335</c:v>
                </c:pt>
                <c:pt idx="795">
                  <c:v>45336</c:v>
                </c:pt>
                <c:pt idx="796">
                  <c:v>45337</c:v>
                </c:pt>
                <c:pt idx="797">
                  <c:v>45338</c:v>
                </c:pt>
                <c:pt idx="798">
                  <c:v>45341</c:v>
                </c:pt>
                <c:pt idx="799">
                  <c:v>45342</c:v>
                </c:pt>
                <c:pt idx="800">
                  <c:v>45343</c:v>
                </c:pt>
                <c:pt idx="801">
                  <c:v>45344</c:v>
                </c:pt>
                <c:pt idx="802">
                  <c:v>45345</c:v>
                </c:pt>
                <c:pt idx="803">
                  <c:v>45348</c:v>
                </c:pt>
                <c:pt idx="804">
                  <c:v>45349</c:v>
                </c:pt>
                <c:pt idx="805">
                  <c:v>45350</c:v>
                </c:pt>
                <c:pt idx="806">
                  <c:v>45351</c:v>
                </c:pt>
                <c:pt idx="807">
                  <c:v>45352</c:v>
                </c:pt>
                <c:pt idx="808">
                  <c:v>45355</c:v>
                </c:pt>
                <c:pt idx="809">
                  <c:v>45356</c:v>
                </c:pt>
                <c:pt idx="810">
                  <c:v>45357</c:v>
                </c:pt>
                <c:pt idx="811">
                  <c:v>45358</c:v>
                </c:pt>
                <c:pt idx="812">
                  <c:v>45359</c:v>
                </c:pt>
                <c:pt idx="813">
                  <c:v>45362</c:v>
                </c:pt>
                <c:pt idx="814">
                  <c:v>45363</c:v>
                </c:pt>
                <c:pt idx="815">
                  <c:v>45364</c:v>
                </c:pt>
                <c:pt idx="816">
                  <c:v>45365</c:v>
                </c:pt>
                <c:pt idx="817">
                  <c:v>45366</c:v>
                </c:pt>
                <c:pt idx="818">
                  <c:v>45369</c:v>
                </c:pt>
                <c:pt idx="819">
                  <c:v>45370</c:v>
                </c:pt>
                <c:pt idx="820">
                  <c:v>45371</c:v>
                </c:pt>
                <c:pt idx="821">
                  <c:v>45372</c:v>
                </c:pt>
                <c:pt idx="822">
                  <c:v>45373</c:v>
                </c:pt>
                <c:pt idx="823">
                  <c:v>45376</c:v>
                </c:pt>
                <c:pt idx="824">
                  <c:v>45377</c:v>
                </c:pt>
                <c:pt idx="825">
                  <c:v>45378</c:v>
                </c:pt>
                <c:pt idx="826">
                  <c:v>45379</c:v>
                </c:pt>
                <c:pt idx="827">
                  <c:v>45384</c:v>
                </c:pt>
                <c:pt idx="828">
                  <c:v>45385</c:v>
                </c:pt>
                <c:pt idx="829">
                  <c:v>45386</c:v>
                </c:pt>
                <c:pt idx="830">
                  <c:v>45387</c:v>
                </c:pt>
                <c:pt idx="831">
                  <c:v>45390</c:v>
                </c:pt>
                <c:pt idx="832">
                  <c:v>45391</c:v>
                </c:pt>
                <c:pt idx="833">
                  <c:v>45392</c:v>
                </c:pt>
                <c:pt idx="834">
                  <c:v>45393</c:v>
                </c:pt>
                <c:pt idx="835">
                  <c:v>45394</c:v>
                </c:pt>
                <c:pt idx="836">
                  <c:v>45397</c:v>
                </c:pt>
                <c:pt idx="837">
                  <c:v>45398</c:v>
                </c:pt>
                <c:pt idx="838">
                  <c:v>45399</c:v>
                </c:pt>
                <c:pt idx="839">
                  <c:v>45400</c:v>
                </c:pt>
                <c:pt idx="840">
                  <c:v>45401</c:v>
                </c:pt>
                <c:pt idx="841">
                  <c:v>45404</c:v>
                </c:pt>
                <c:pt idx="842">
                  <c:v>45405</c:v>
                </c:pt>
                <c:pt idx="843">
                  <c:v>45406</c:v>
                </c:pt>
                <c:pt idx="844">
                  <c:v>45408</c:v>
                </c:pt>
                <c:pt idx="845">
                  <c:v>45411</c:v>
                </c:pt>
                <c:pt idx="846">
                  <c:v>45412</c:v>
                </c:pt>
                <c:pt idx="847">
                  <c:v>45413</c:v>
                </c:pt>
                <c:pt idx="848">
                  <c:v>45414</c:v>
                </c:pt>
                <c:pt idx="849">
                  <c:v>45415</c:v>
                </c:pt>
                <c:pt idx="850">
                  <c:v>45418</c:v>
                </c:pt>
                <c:pt idx="851">
                  <c:v>45419</c:v>
                </c:pt>
                <c:pt idx="852">
                  <c:v>45420</c:v>
                </c:pt>
                <c:pt idx="853">
                  <c:v>45421</c:v>
                </c:pt>
                <c:pt idx="854">
                  <c:v>45422</c:v>
                </c:pt>
                <c:pt idx="855">
                  <c:v>45425</c:v>
                </c:pt>
                <c:pt idx="856">
                  <c:v>45426</c:v>
                </c:pt>
                <c:pt idx="857">
                  <c:v>45427</c:v>
                </c:pt>
                <c:pt idx="858">
                  <c:v>45428</c:v>
                </c:pt>
                <c:pt idx="859">
                  <c:v>45429</c:v>
                </c:pt>
                <c:pt idx="860">
                  <c:v>45432</c:v>
                </c:pt>
                <c:pt idx="861">
                  <c:v>45433</c:v>
                </c:pt>
                <c:pt idx="862">
                  <c:v>45434</c:v>
                </c:pt>
                <c:pt idx="863">
                  <c:v>45435</c:v>
                </c:pt>
                <c:pt idx="864">
                  <c:v>45436</c:v>
                </c:pt>
                <c:pt idx="865">
                  <c:v>45439</c:v>
                </c:pt>
                <c:pt idx="866">
                  <c:v>45440</c:v>
                </c:pt>
                <c:pt idx="867">
                  <c:v>45441</c:v>
                </c:pt>
                <c:pt idx="868">
                  <c:v>45442</c:v>
                </c:pt>
                <c:pt idx="869">
                  <c:v>45443</c:v>
                </c:pt>
                <c:pt idx="870">
                  <c:v>45446</c:v>
                </c:pt>
                <c:pt idx="871">
                  <c:v>45447</c:v>
                </c:pt>
                <c:pt idx="872">
                  <c:v>45448</c:v>
                </c:pt>
                <c:pt idx="873">
                  <c:v>45449</c:v>
                </c:pt>
                <c:pt idx="874">
                  <c:v>45450</c:v>
                </c:pt>
                <c:pt idx="875">
                  <c:v>45454</c:v>
                </c:pt>
                <c:pt idx="876">
                  <c:v>45455</c:v>
                </c:pt>
                <c:pt idx="877">
                  <c:v>45456</c:v>
                </c:pt>
                <c:pt idx="878">
                  <c:v>45457</c:v>
                </c:pt>
                <c:pt idx="879">
                  <c:v>45460</c:v>
                </c:pt>
                <c:pt idx="880">
                  <c:v>45461</c:v>
                </c:pt>
                <c:pt idx="881">
                  <c:v>45462</c:v>
                </c:pt>
                <c:pt idx="882">
                  <c:v>45463</c:v>
                </c:pt>
                <c:pt idx="883">
                  <c:v>45464</c:v>
                </c:pt>
                <c:pt idx="884">
                  <c:v>45467</c:v>
                </c:pt>
                <c:pt idx="885">
                  <c:v>45468</c:v>
                </c:pt>
                <c:pt idx="886">
                  <c:v>45469</c:v>
                </c:pt>
                <c:pt idx="887">
                  <c:v>45470</c:v>
                </c:pt>
                <c:pt idx="888">
                  <c:v>45471</c:v>
                </c:pt>
                <c:pt idx="889">
                  <c:v>45474</c:v>
                </c:pt>
                <c:pt idx="890">
                  <c:v>45475</c:v>
                </c:pt>
                <c:pt idx="891">
                  <c:v>45476</c:v>
                </c:pt>
                <c:pt idx="892">
                  <c:v>45477</c:v>
                </c:pt>
                <c:pt idx="893">
                  <c:v>45478</c:v>
                </c:pt>
                <c:pt idx="894">
                  <c:v>45481</c:v>
                </c:pt>
                <c:pt idx="895">
                  <c:v>45482</c:v>
                </c:pt>
                <c:pt idx="896">
                  <c:v>45483</c:v>
                </c:pt>
                <c:pt idx="897">
                  <c:v>45484</c:v>
                </c:pt>
                <c:pt idx="898">
                  <c:v>45485</c:v>
                </c:pt>
                <c:pt idx="899">
                  <c:v>45488</c:v>
                </c:pt>
              </c:numCache>
            </c:numRef>
          </c:cat>
          <c:val>
            <c:numRef>
              <c:f>'2Q24 Webinar Charts'!$C$343:$C$1242</c:f>
              <c:numCache>
                <c:formatCode>0.00</c:formatCode>
                <c:ptCount val="900"/>
                <c:pt idx="0">
                  <c:v>0.5</c:v>
                </c:pt>
                <c:pt idx="1">
                  <c:v>0.48</c:v>
                </c:pt>
                <c:pt idx="2">
                  <c:v>0.495</c:v>
                </c:pt>
                <c:pt idx="3">
                  <c:v>0.5</c:v>
                </c:pt>
                <c:pt idx="4">
                  <c:v>0.5</c:v>
                </c:pt>
                <c:pt idx="5">
                  <c:v>0.5</c:v>
                </c:pt>
                <c:pt idx="6">
                  <c:v>0.48</c:v>
                </c:pt>
                <c:pt idx="7">
                  <c:v>0.47</c:v>
                </c:pt>
                <c:pt idx="8">
                  <c:v>0.48499999999999999</c:v>
                </c:pt>
                <c:pt idx="9">
                  <c:v>0.56000000000000005</c:v>
                </c:pt>
                <c:pt idx="10">
                  <c:v>0.57499999999999996</c:v>
                </c:pt>
                <c:pt idx="11">
                  <c:v>0.58499999999999996</c:v>
                </c:pt>
                <c:pt idx="12">
                  <c:v>0.57999999999999996</c:v>
                </c:pt>
                <c:pt idx="13">
                  <c:v>0.57999999999999996</c:v>
                </c:pt>
                <c:pt idx="14">
                  <c:v>0.55000000000000004</c:v>
                </c:pt>
                <c:pt idx="15">
                  <c:v>0.56999999999999995</c:v>
                </c:pt>
                <c:pt idx="16">
                  <c:v>0.57499999999999996</c:v>
                </c:pt>
                <c:pt idx="17">
                  <c:v>0.56499999999999995</c:v>
                </c:pt>
                <c:pt idx="18">
                  <c:v>0.57499999999999996</c:v>
                </c:pt>
                <c:pt idx="19">
                  <c:v>0.6</c:v>
                </c:pt>
                <c:pt idx="20">
                  <c:v>0.64500000000000002</c:v>
                </c:pt>
                <c:pt idx="21">
                  <c:v>0.64500000000000002</c:v>
                </c:pt>
                <c:pt idx="22">
                  <c:v>0.65</c:v>
                </c:pt>
                <c:pt idx="23">
                  <c:v>0.69499999999999995</c:v>
                </c:pt>
                <c:pt idx="24">
                  <c:v>0.67</c:v>
                </c:pt>
                <c:pt idx="25">
                  <c:v>0.67</c:v>
                </c:pt>
                <c:pt idx="26">
                  <c:v>0.6</c:v>
                </c:pt>
                <c:pt idx="27">
                  <c:v>0.64</c:v>
                </c:pt>
                <c:pt idx="28">
                  <c:v>0.63</c:v>
                </c:pt>
                <c:pt idx="29">
                  <c:v>0.65</c:v>
                </c:pt>
                <c:pt idx="30">
                  <c:v>0.7</c:v>
                </c:pt>
                <c:pt idx="31">
                  <c:v>0.755</c:v>
                </c:pt>
                <c:pt idx="32">
                  <c:v>0.82499999999999996</c:v>
                </c:pt>
                <c:pt idx="33">
                  <c:v>0.81</c:v>
                </c:pt>
                <c:pt idx="34">
                  <c:v>0.77500000000000002</c:v>
                </c:pt>
                <c:pt idx="35">
                  <c:v>0.73</c:v>
                </c:pt>
                <c:pt idx="36">
                  <c:v>0.76</c:v>
                </c:pt>
                <c:pt idx="37">
                  <c:v>0.86499999999999999</c:v>
                </c:pt>
                <c:pt idx="38">
                  <c:v>0.93</c:v>
                </c:pt>
                <c:pt idx="39">
                  <c:v>0.93</c:v>
                </c:pt>
                <c:pt idx="40">
                  <c:v>0.97499999999999998</c:v>
                </c:pt>
                <c:pt idx="41">
                  <c:v>1.05</c:v>
                </c:pt>
                <c:pt idx="42">
                  <c:v>1.03</c:v>
                </c:pt>
                <c:pt idx="43">
                  <c:v>1.01</c:v>
                </c:pt>
                <c:pt idx="44">
                  <c:v>0.88500000000000001</c:v>
                </c:pt>
                <c:pt idx="45">
                  <c:v>0.89500000000000002</c:v>
                </c:pt>
                <c:pt idx="46">
                  <c:v>0.95</c:v>
                </c:pt>
                <c:pt idx="47">
                  <c:v>1.0049999999999999</c:v>
                </c:pt>
                <c:pt idx="48">
                  <c:v>1.01</c:v>
                </c:pt>
                <c:pt idx="49">
                  <c:v>1</c:v>
                </c:pt>
                <c:pt idx="50">
                  <c:v>0.90500000000000003</c:v>
                </c:pt>
                <c:pt idx="51">
                  <c:v>0.93</c:v>
                </c:pt>
                <c:pt idx="52">
                  <c:v>0.95</c:v>
                </c:pt>
                <c:pt idx="53">
                  <c:v>0.94499999999999995</c:v>
                </c:pt>
                <c:pt idx="54">
                  <c:v>0.96</c:v>
                </c:pt>
                <c:pt idx="55">
                  <c:v>1.115</c:v>
                </c:pt>
                <c:pt idx="56">
                  <c:v>1.28</c:v>
                </c:pt>
                <c:pt idx="57">
                  <c:v>1.2949999999999999</c:v>
                </c:pt>
                <c:pt idx="58">
                  <c:v>1.2150000000000001</c:v>
                </c:pt>
                <c:pt idx="59">
                  <c:v>1.27</c:v>
                </c:pt>
                <c:pt idx="60">
                  <c:v>1.2649999999999999</c:v>
                </c:pt>
                <c:pt idx="61">
                  <c:v>1.19</c:v>
                </c:pt>
                <c:pt idx="62">
                  <c:v>1.19</c:v>
                </c:pt>
                <c:pt idx="63">
                  <c:v>1.34</c:v>
                </c:pt>
                <c:pt idx="64">
                  <c:v>1.44</c:v>
                </c:pt>
                <c:pt idx="65">
                  <c:v>1.5</c:v>
                </c:pt>
                <c:pt idx="66">
                  <c:v>1.51</c:v>
                </c:pt>
                <c:pt idx="67">
                  <c:v>1.46</c:v>
                </c:pt>
                <c:pt idx="68">
                  <c:v>1.43</c:v>
                </c:pt>
                <c:pt idx="69">
                  <c:v>1.405</c:v>
                </c:pt>
                <c:pt idx="70">
                  <c:v>1.46</c:v>
                </c:pt>
                <c:pt idx="71">
                  <c:v>1.405</c:v>
                </c:pt>
                <c:pt idx="72">
                  <c:v>1.48</c:v>
                </c:pt>
                <c:pt idx="73">
                  <c:v>1.52</c:v>
                </c:pt>
                <c:pt idx="74">
                  <c:v>1.5</c:v>
                </c:pt>
                <c:pt idx="75">
                  <c:v>1.4850000000000001</c:v>
                </c:pt>
                <c:pt idx="76">
                  <c:v>1.615</c:v>
                </c:pt>
                <c:pt idx="77">
                  <c:v>1.67</c:v>
                </c:pt>
                <c:pt idx="78">
                  <c:v>1.57</c:v>
                </c:pt>
                <c:pt idx="79">
                  <c:v>1.56</c:v>
                </c:pt>
                <c:pt idx="80">
                  <c:v>1.75</c:v>
                </c:pt>
                <c:pt idx="81">
                  <c:v>1.78</c:v>
                </c:pt>
                <c:pt idx="82">
                  <c:v>1.75</c:v>
                </c:pt>
                <c:pt idx="83">
                  <c:v>1.75</c:v>
                </c:pt>
                <c:pt idx="84">
                  <c:v>1.79</c:v>
                </c:pt>
                <c:pt idx="85">
                  <c:v>1.76</c:v>
                </c:pt>
                <c:pt idx="86">
                  <c:v>1.77</c:v>
                </c:pt>
                <c:pt idx="87">
                  <c:v>1.75</c:v>
                </c:pt>
                <c:pt idx="88">
                  <c:v>1.65</c:v>
                </c:pt>
                <c:pt idx="89">
                  <c:v>1.68</c:v>
                </c:pt>
                <c:pt idx="90">
                  <c:v>1.66</c:v>
                </c:pt>
                <c:pt idx="91">
                  <c:v>1.5349999999999999</c:v>
                </c:pt>
                <c:pt idx="92">
                  <c:v>1.47</c:v>
                </c:pt>
                <c:pt idx="93">
                  <c:v>1.635</c:v>
                </c:pt>
                <c:pt idx="94">
                  <c:v>1.61</c:v>
                </c:pt>
                <c:pt idx="95">
                  <c:v>1.6</c:v>
                </c:pt>
                <c:pt idx="96">
                  <c:v>1.76</c:v>
                </c:pt>
                <c:pt idx="97">
                  <c:v>1.8049999999999999</c:v>
                </c:pt>
                <c:pt idx="98">
                  <c:v>1.7</c:v>
                </c:pt>
                <c:pt idx="99">
                  <c:v>1.71</c:v>
                </c:pt>
                <c:pt idx="100">
                  <c:v>1.68</c:v>
                </c:pt>
                <c:pt idx="101">
                  <c:v>1.72</c:v>
                </c:pt>
                <c:pt idx="102">
                  <c:v>1.875</c:v>
                </c:pt>
                <c:pt idx="103">
                  <c:v>1.86</c:v>
                </c:pt>
                <c:pt idx="104">
                  <c:v>2.0499999999999998</c:v>
                </c:pt>
                <c:pt idx="105">
                  <c:v>2.1800000000000002</c:v>
                </c:pt>
                <c:pt idx="106">
                  <c:v>2.2799999999999998</c:v>
                </c:pt>
                <c:pt idx="107">
                  <c:v>2.2000000000000002</c:v>
                </c:pt>
                <c:pt idx="108">
                  <c:v>2.29</c:v>
                </c:pt>
                <c:pt idx="109">
                  <c:v>2.36</c:v>
                </c:pt>
                <c:pt idx="110">
                  <c:v>2.42</c:v>
                </c:pt>
                <c:pt idx="111">
                  <c:v>2.4500000000000002</c:v>
                </c:pt>
                <c:pt idx="112">
                  <c:v>2.54</c:v>
                </c:pt>
                <c:pt idx="113">
                  <c:v>2.35</c:v>
                </c:pt>
                <c:pt idx="114">
                  <c:v>2.35</c:v>
                </c:pt>
                <c:pt idx="115">
                  <c:v>2.39</c:v>
                </c:pt>
                <c:pt idx="116">
                  <c:v>2.78</c:v>
                </c:pt>
                <c:pt idx="117">
                  <c:v>2.85</c:v>
                </c:pt>
                <c:pt idx="118">
                  <c:v>2.62</c:v>
                </c:pt>
                <c:pt idx="119">
                  <c:v>2.52</c:v>
                </c:pt>
                <c:pt idx="120">
                  <c:v>1.98</c:v>
                </c:pt>
                <c:pt idx="121">
                  <c:v>2.1</c:v>
                </c:pt>
                <c:pt idx="122">
                  <c:v>2.1</c:v>
                </c:pt>
                <c:pt idx="123">
                  <c:v>2.35</c:v>
                </c:pt>
                <c:pt idx="124">
                  <c:v>2.2200000000000002</c:v>
                </c:pt>
                <c:pt idx="125">
                  <c:v>2.2200000000000002</c:v>
                </c:pt>
                <c:pt idx="126">
                  <c:v>2.29</c:v>
                </c:pt>
                <c:pt idx="127">
                  <c:v>2.23</c:v>
                </c:pt>
                <c:pt idx="128">
                  <c:v>2.35</c:v>
                </c:pt>
                <c:pt idx="129">
                  <c:v>2.68</c:v>
                </c:pt>
                <c:pt idx="130">
                  <c:v>2.63</c:v>
                </c:pt>
                <c:pt idx="131">
                  <c:v>2.64</c:v>
                </c:pt>
                <c:pt idx="132">
                  <c:v>2.77</c:v>
                </c:pt>
                <c:pt idx="133">
                  <c:v>2.7</c:v>
                </c:pt>
                <c:pt idx="134">
                  <c:v>2.68</c:v>
                </c:pt>
                <c:pt idx="135">
                  <c:v>2.57</c:v>
                </c:pt>
                <c:pt idx="136">
                  <c:v>2.68</c:v>
                </c:pt>
                <c:pt idx="137">
                  <c:v>2.5499999999999998</c:v>
                </c:pt>
                <c:pt idx="138">
                  <c:v>2.54</c:v>
                </c:pt>
                <c:pt idx="139">
                  <c:v>2.4700000000000002</c:v>
                </c:pt>
                <c:pt idx="140">
                  <c:v>2.36</c:v>
                </c:pt>
                <c:pt idx="141">
                  <c:v>2.25</c:v>
                </c:pt>
                <c:pt idx="142">
                  <c:v>2.2000000000000002</c:v>
                </c:pt>
                <c:pt idx="143">
                  <c:v>2.15</c:v>
                </c:pt>
                <c:pt idx="144">
                  <c:v>2.06</c:v>
                </c:pt>
                <c:pt idx="145">
                  <c:v>2.13</c:v>
                </c:pt>
                <c:pt idx="146">
                  <c:v>2.14</c:v>
                </c:pt>
                <c:pt idx="147">
                  <c:v>2.08</c:v>
                </c:pt>
                <c:pt idx="148">
                  <c:v>2.08</c:v>
                </c:pt>
                <c:pt idx="149">
                  <c:v>2.0499999999999998</c:v>
                </c:pt>
                <c:pt idx="150">
                  <c:v>2</c:v>
                </c:pt>
                <c:pt idx="151">
                  <c:v>2</c:v>
                </c:pt>
                <c:pt idx="152">
                  <c:v>2.0499999999999998</c:v>
                </c:pt>
                <c:pt idx="153">
                  <c:v>2.02</c:v>
                </c:pt>
                <c:pt idx="154">
                  <c:v>2.19</c:v>
                </c:pt>
                <c:pt idx="155">
                  <c:v>2.2200000000000002</c:v>
                </c:pt>
                <c:pt idx="156">
                  <c:v>2.13</c:v>
                </c:pt>
                <c:pt idx="157">
                  <c:v>2.08</c:v>
                </c:pt>
                <c:pt idx="158">
                  <c:v>2.2200000000000002</c:v>
                </c:pt>
                <c:pt idx="159">
                  <c:v>2.2200000000000002</c:v>
                </c:pt>
                <c:pt idx="160">
                  <c:v>2.2999999999999998</c:v>
                </c:pt>
                <c:pt idx="161">
                  <c:v>2.5</c:v>
                </c:pt>
                <c:pt idx="162">
                  <c:v>2.64</c:v>
                </c:pt>
                <c:pt idx="163">
                  <c:v>2.4500000000000002</c:v>
                </c:pt>
                <c:pt idx="164">
                  <c:v>2.2999999999999998</c:v>
                </c:pt>
                <c:pt idx="165">
                  <c:v>2.2400000000000002</c:v>
                </c:pt>
                <c:pt idx="166">
                  <c:v>2.2000000000000002</c:v>
                </c:pt>
                <c:pt idx="167">
                  <c:v>2.1</c:v>
                </c:pt>
                <c:pt idx="168">
                  <c:v>2.13</c:v>
                </c:pt>
                <c:pt idx="169">
                  <c:v>2.35</c:v>
                </c:pt>
                <c:pt idx="170">
                  <c:v>2.4</c:v>
                </c:pt>
                <c:pt idx="171">
                  <c:v>2.4</c:v>
                </c:pt>
                <c:pt idx="172">
                  <c:v>2.37</c:v>
                </c:pt>
                <c:pt idx="173">
                  <c:v>2.4300000000000002</c:v>
                </c:pt>
                <c:pt idx="174">
                  <c:v>2.5299999999999998</c:v>
                </c:pt>
                <c:pt idx="175">
                  <c:v>2.6</c:v>
                </c:pt>
                <c:pt idx="176">
                  <c:v>2.52</c:v>
                </c:pt>
                <c:pt idx="177">
                  <c:v>2.59</c:v>
                </c:pt>
                <c:pt idx="178">
                  <c:v>3.17</c:v>
                </c:pt>
                <c:pt idx="179">
                  <c:v>2.98</c:v>
                </c:pt>
                <c:pt idx="180">
                  <c:v>3.43</c:v>
                </c:pt>
                <c:pt idx="181">
                  <c:v>3.64</c:v>
                </c:pt>
                <c:pt idx="182">
                  <c:v>3.35</c:v>
                </c:pt>
                <c:pt idx="183">
                  <c:v>3.36</c:v>
                </c:pt>
                <c:pt idx="184">
                  <c:v>3.44</c:v>
                </c:pt>
                <c:pt idx="185">
                  <c:v>3.47</c:v>
                </c:pt>
                <c:pt idx="186">
                  <c:v>3.26</c:v>
                </c:pt>
                <c:pt idx="187">
                  <c:v>3.19</c:v>
                </c:pt>
                <c:pt idx="188">
                  <c:v>3.63</c:v>
                </c:pt>
                <c:pt idx="189">
                  <c:v>3.73</c:v>
                </c:pt>
                <c:pt idx="190">
                  <c:v>3.65</c:v>
                </c:pt>
                <c:pt idx="191">
                  <c:v>3.6</c:v>
                </c:pt>
                <c:pt idx="192">
                  <c:v>3.69</c:v>
                </c:pt>
                <c:pt idx="193">
                  <c:v>3.69</c:v>
                </c:pt>
                <c:pt idx="194">
                  <c:v>3.66</c:v>
                </c:pt>
                <c:pt idx="195">
                  <c:v>3.59</c:v>
                </c:pt>
                <c:pt idx="196">
                  <c:v>3.43</c:v>
                </c:pt>
                <c:pt idx="197">
                  <c:v>3.27</c:v>
                </c:pt>
                <c:pt idx="198">
                  <c:v>3.09</c:v>
                </c:pt>
                <c:pt idx="199">
                  <c:v>3.18</c:v>
                </c:pt>
                <c:pt idx="200">
                  <c:v>3.13</c:v>
                </c:pt>
                <c:pt idx="201">
                  <c:v>3.24</c:v>
                </c:pt>
                <c:pt idx="202">
                  <c:v>3.26</c:v>
                </c:pt>
                <c:pt idx="203">
                  <c:v>3.25</c:v>
                </c:pt>
                <c:pt idx="204">
                  <c:v>3.11</c:v>
                </c:pt>
                <c:pt idx="205">
                  <c:v>2.98</c:v>
                </c:pt>
                <c:pt idx="206">
                  <c:v>3.01</c:v>
                </c:pt>
                <c:pt idx="207">
                  <c:v>3.17</c:v>
                </c:pt>
                <c:pt idx="208">
                  <c:v>3.18</c:v>
                </c:pt>
                <c:pt idx="209">
                  <c:v>3.1</c:v>
                </c:pt>
                <c:pt idx="210">
                  <c:v>3.19</c:v>
                </c:pt>
                <c:pt idx="211">
                  <c:v>3.2</c:v>
                </c:pt>
                <c:pt idx="212">
                  <c:v>3.17</c:v>
                </c:pt>
                <c:pt idx="213">
                  <c:v>3.41</c:v>
                </c:pt>
                <c:pt idx="214">
                  <c:v>3.3</c:v>
                </c:pt>
                <c:pt idx="215">
                  <c:v>3.39</c:v>
                </c:pt>
                <c:pt idx="216">
                  <c:v>3.6</c:v>
                </c:pt>
                <c:pt idx="217">
                  <c:v>3.57</c:v>
                </c:pt>
                <c:pt idx="218">
                  <c:v>3.4</c:v>
                </c:pt>
                <c:pt idx="219">
                  <c:v>3.5</c:v>
                </c:pt>
                <c:pt idx="220">
                  <c:v>3.52</c:v>
                </c:pt>
                <c:pt idx="221">
                  <c:v>3.65</c:v>
                </c:pt>
                <c:pt idx="222">
                  <c:v>3.61</c:v>
                </c:pt>
                <c:pt idx="223">
                  <c:v>3.5</c:v>
                </c:pt>
                <c:pt idx="224">
                  <c:v>3.75</c:v>
                </c:pt>
                <c:pt idx="225">
                  <c:v>4</c:v>
                </c:pt>
                <c:pt idx="226">
                  <c:v>4.08</c:v>
                </c:pt>
                <c:pt idx="227">
                  <c:v>4.0999999999999996</c:v>
                </c:pt>
                <c:pt idx="228">
                  <c:v>4.32</c:v>
                </c:pt>
                <c:pt idx="229">
                  <c:v>4.41</c:v>
                </c:pt>
                <c:pt idx="230">
                  <c:v>4.75</c:v>
                </c:pt>
                <c:pt idx="231">
                  <c:v>4.53</c:v>
                </c:pt>
                <c:pt idx="232">
                  <c:v>4.29</c:v>
                </c:pt>
                <c:pt idx="233">
                  <c:v>3.9</c:v>
                </c:pt>
                <c:pt idx="234">
                  <c:v>3.89</c:v>
                </c:pt>
                <c:pt idx="235">
                  <c:v>3.72</c:v>
                </c:pt>
                <c:pt idx="236">
                  <c:v>3.92</c:v>
                </c:pt>
                <c:pt idx="237">
                  <c:v>3.81</c:v>
                </c:pt>
                <c:pt idx="238">
                  <c:v>3.65</c:v>
                </c:pt>
                <c:pt idx="239">
                  <c:v>3.72</c:v>
                </c:pt>
                <c:pt idx="240">
                  <c:v>3.81</c:v>
                </c:pt>
                <c:pt idx="241">
                  <c:v>3.65</c:v>
                </c:pt>
                <c:pt idx="242">
                  <c:v>3.33</c:v>
                </c:pt>
                <c:pt idx="243">
                  <c:v>3</c:v>
                </c:pt>
                <c:pt idx="244">
                  <c:v>3.15</c:v>
                </c:pt>
                <c:pt idx="245">
                  <c:v>3.17</c:v>
                </c:pt>
                <c:pt idx="246">
                  <c:v>3.43</c:v>
                </c:pt>
                <c:pt idx="247">
                  <c:v>3.41</c:v>
                </c:pt>
                <c:pt idx="248">
                  <c:v>3.52</c:v>
                </c:pt>
                <c:pt idx="249">
                  <c:v>3.52</c:v>
                </c:pt>
                <c:pt idx="250">
                  <c:v>3.9</c:v>
                </c:pt>
                <c:pt idx="251">
                  <c:v>3.55</c:v>
                </c:pt>
                <c:pt idx="252">
                  <c:v>3.58</c:v>
                </c:pt>
                <c:pt idx="253">
                  <c:v>3.72</c:v>
                </c:pt>
                <c:pt idx="254">
                  <c:v>3.52</c:v>
                </c:pt>
                <c:pt idx="255">
                  <c:v>3.45</c:v>
                </c:pt>
                <c:pt idx="256">
                  <c:v>3.52</c:v>
                </c:pt>
                <c:pt idx="257">
                  <c:v>3.52</c:v>
                </c:pt>
                <c:pt idx="258">
                  <c:v>3.6</c:v>
                </c:pt>
                <c:pt idx="259">
                  <c:v>3.69</c:v>
                </c:pt>
                <c:pt idx="260">
                  <c:v>3.63</c:v>
                </c:pt>
                <c:pt idx="261">
                  <c:v>3.56</c:v>
                </c:pt>
                <c:pt idx="262">
                  <c:v>3.67</c:v>
                </c:pt>
                <c:pt idx="263">
                  <c:v>3.67</c:v>
                </c:pt>
                <c:pt idx="264">
                  <c:v>3.24</c:v>
                </c:pt>
                <c:pt idx="265">
                  <c:v>3.15</c:v>
                </c:pt>
                <c:pt idx="266">
                  <c:v>3.2</c:v>
                </c:pt>
                <c:pt idx="267">
                  <c:v>3.18</c:v>
                </c:pt>
                <c:pt idx="268">
                  <c:v>3.42</c:v>
                </c:pt>
                <c:pt idx="269">
                  <c:v>3.37</c:v>
                </c:pt>
                <c:pt idx="270">
                  <c:v>3.3</c:v>
                </c:pt>
                <c:pt idx="271">
                  <c:v>3.24</c:v>
                </c:pt>
                <c:pt idx="272">
                  <c:v>3.4</c:v>
                </c:pt>
                <c:pt idx="273">
                  <c:v>3.25</c:v>
                </c:pt>
                <c:pt idx="274">
                  <c:v>3.23</c:v>
                </c:pt>
                <c:pt idx="275">
                  <c:v>3.16</c:v>
                </c:pt>
                <c:pt idx="276">
                  <c:v>3</c:v>
                </c:pt>
                <c:pt idx="277">
                  <c:v>2.95</c:v>
                </c:pt>
                <c:pt idx="278">
                  <c:v>2.74</c:v>
                </c:pt>
                <c:pt idx="279">
                  <c:v>2.81</c:v>
                </c:pt>
                <c:pt idx="280">
                  <c:v>2.9</c:v>
                </c:pt>
                <c:pt idx="281">
                  <c:v>3.02</c:v>
                </c:pt>
                <c:pt idx="282">
                  <c:v>3.02</c:v>
                </c:pt>
                <c:pt idx="283">
                  <c:v>2.38</c:v>
                </c:pt>
                <c:pt idx="284">
                  <c:v>2.34</c:v>
                </c:pt>
                <c:pt idx="285">
                  <c:v>2.85</c:v>
                </c:pt>
                <c:pt idx="286">
                  <c:v>2.81</c:v>
                </c:pt>
                <c:pt idx="287">
                  <c:v>2.7</c:v>
                </c:pt>
                <c:pt idx="288">
                  <c:v>2.88</c:v>
                </c:pt>
                <c:pt idx="289">
                  <c:v>2.65</c:v>
                </c:pt>
                <c:pt idx="290">
                  <c:v>2.5</c:v>
                </c:pt>
                <c:pt idx="291">
                  <c:v>2.5</c:v>
                </c:pt>
                <c:pt idx="292">
                  <c:v>2.59</c:v>
                </c:pt>
                <c:pt idx="293">
                  <c:v>2.39</c:v>
                </c:pt>
                <c:pt idx="294">
                  <c:v>2.63</c:v>
                </c:pt>
                <c:pt idx="295">
                  <c:v>2.3199999999999998</c:v>
                </c:pt>
                <c:pt idx="296">
                  <c:v>2.1</c:v>
                </c:pt>
                <c:pt idx="297">
                  <c:v>2.2999999999999998</c:v>
                </c:pt>
                <c:pt idx="298">
                  <c:v>2.0699999999999998</c:v>
                </c:pt>
                <c:pt idx="299">
                  <c:v>2.09</c:v>
                </c:pt>
                <c:pt idx="300">
                  <c:v>2.21</c:v>
                </c:pt>
                <c:pt idx="301">
                  <c:v>2.19</c:v>
                </c:pt>
                <c:pt idx="302">
                  <c:v>2.17</c:v>
                </c:pt>
                <c:pt idx="303">
                  <c:v>2.1800000000000002</c:v>
                </c:pt>
                <c:pt idx="304">
                  <c:v>1.98</c:v>
                </c:pt>
                <c:pt idx="305">
                  <c:v>1.8</c:v>
                </c:pt>
                <c:pt idx="306">
                  <c:v>1.79</c:v>
                </c:pt>
                <c:pt idx="307">
                  <c:v>1.89</c:v>
                </c:pt>
                <c:pt idx="308">
                  <c:v>1.865</c:v>
                </c:pt>
                <c:pt idx="309">
                  <c:v>1.57</c:v>
                </c:pt>
                <c:pt idx="310">
                  <c:v>1.43</c:v>
                </c:pt>
                <c:pt idx="311">
                  <c:v>1.43</c:v>
                </c:pt>
                <c:pt idx="312">
                  <c:v>1.4850000000000001</c:v>
                </c:pt>
                <c:pt idx="313">
                  <c:v>1.57</c:v>
                </c:pt>
                <c:pt idx="314">
                  <c:v>1.625</c:v>
                </c:pt>
                <c:pt idx="315">
                  <c:v>1.59</c:v>
                </c:pt>
                <c:pt idx="316">
                  <c:v>1.55</c:v>
                </c:pt>
                <c:pt idx="317">
                  <c:v>1.345</c:v>
                </c:pt>
                <c:pt idx="318">
                  <c:v>1.28</c:v>
                </c:pt>
                <c:pt idx="319">
                  <c:v>1.3</c:v>
                </c:pt>
                <c:pt idx="320">
                  <c:v>1.2</c:v>
                </c:pt>
                <c:pt idx="321">
                  <c:v>1.22</c:v>
                </c:pt>
                <c:pt idx="322">
                  <c:v>1.19</c:v>
                </c:pt>
                <c:pt idx="323">
                  <c:v>1.1399999999999999</c:v>
                </c:pt>
                <c:pt idx="324">
                  <c:v>1.1200000000000001</c:v>
                </c:pt>
                <c:pt idx="325">
                  <c:v>1.1399999999999999</c:v>
                </c:pt>
                <c:pt idx="326">
                  <c:v>1.24</c:v>
                </c:pt>
                <c:pt idx="327">
                  <c:v>1.145</c:v>
                </c:pt>
                <c:pt idx="328">
                  <c:v>1.0649999999999999</c:v>
                </c:pt>
                <c:pt idx="329">
                  <c:v>1.07</c:v>
                </c:pt>
                <c:pt idx="330">
                  <c:v>1</c:v>
                </c:pt>
                <c:pt idx="331">
                  <c:v>0.97</c:v>
                </c:pt>
                <c:pt idx="332">
                  <c:v>0.97499999999999998</c:v>
                </c:pt>
                <c:pt idx="333">
                  <c:v>0.94499999999999995</c:v>
                </c:pt>
                <c:pt idx="334">
                  <c:v>0.91</c:v>
                </c:pt>
                <c:pt idx="335">
                  <c:v>0.9</c:v>
                </c:pt>
                <c:pt idx="336">
                  <c:v>0.86</c:v>
                </c:pt>
                <c:pt idx="337">
                  <c:v>0.83</c:v>
                </c:pt>
                <c:pt idx="338">
                  <c:v>0.77500000000000002</c:v>
                </c:pt>
                <c:pt idx="339">
                  <c:v>0.73499999999999999</c:v>
                </c:pt>
                <c:pt idx="340">
                  <c:v>0.66</c:v>
                </c:pt>
                <c:pt idx="341">
                  <c:v>0.66</c:v>
                </c:pt>
                <c:pt idx="342">
                  <c:v>0.64500000000000002</c:v>
                </c:pt>
                <c:pt idx="343">
                  <c:v>0.61499999999999999</c:v>
                </c:pt>
                <c:pt idx="344">
                  <c:v>0.57499999999999996</c:v>
                </c:pt>
                <c:pt idx="345">
                  <c:v>0.56999999999999995</c:v>
                </c:pt>
                <c:pt idx="346">
                  <c:v>0.51500000000000001</c:v>
                </c:pt>
                <c:pt idx="347">
                  <c:v>0.49</c:v>
                </c:pt>
                <c:pt idx="348">
                  <c:v>0.54</c:v>
                </c:pt>
                <c:pt idx="349">
                  <c:v>0.53500000000000003</c:v>
                </c:pt>
                <c:pt idx="350">
                  <c:v>0.45500000000000002</c:v>
                </c:pt>
                <c:pt idx="351">
                  <c:v>0.52500000000000002</c:v>
                </c:pt>
                <c:pt idx="352">
                  <c:v>0.495</c:v>
                </c:pt>
                <c:pt idx="353">
                  <c:v>0.5</c:v>
                </c:pt>
                <c:pt idx="354">
                  <c:v>0.54</c:v>
                </c:pt>
                <c:pt idx="355">
                  <c:v>0.505</c:v>
                </c:pt>
                <c:pt idx="356">
                  <c:v>0.55000000000000004</c:v>
                </c:pt>
                <c:pt idx="357">
                  <c:v>0.69</c:v>
                </c:pt>
                <c:pt idx="358">
                  <c:v>0.625</c:v>
                </c:pt>
                <c:pt idx="359">
                  <c:v>0.56499999999999995</c:v>
                </c:pt>
                <c:pt idx="360">
                  <c:v>0.55000000000000004</c:v>
                </c:pt>
                <c:pt idx="361">
                  <c:v>0.58499999999999996</c:v>
                </c:pt>
                <c:pt idx="362">
                  <c:v>0.72499999999999998</c:v>
                </c:pt>
                <c:pt idx="363">
                  <c:v>0.72499999999999998</c:v>
                </c:pt>
                <c:pt idx="364">
                  <c:v>0.65</c:v>
                </c:pt>
                <c:pt idx="365">
                  <c:v>0.57999999999999996</c:v>
                </c:pt>
                <c:pt idx="366">
                  <c:v>0.57999999999999996</c:v>
                </c:pt>
                <c:pt idx="367">
                  <c:v>0.51500000000000001</c:v>
                </c:pt>
                <c:pt idx="368">
                  <c:v>0.46500000000000002</c:v>
                </c:pt>
                <c:pt idx="369">
                  <c:v>0.44500000000000001</c:v>
                </c:pt>
                <c:pt idx="370">
                  <c:v>0.43</c:v>
                </c:pt>
                <c:pt idx="371">
                  <c:v>0.41</c:v>
                </c:pt>
                <c:pt idx="372">
                  <c:v>0.39</c:v>
                </c:pt>
                <c:pt idx="373">
                  <c:v>0.37</c:v>
                </c:pt>
                <c:pt idx="374">
                  <c:v>0.4</c:v>
                </c:pt>
                <c:pt idx="375">
                  <c:v>0.38</c:v>
                </c:pt>
                <c:pt idx="376">
                  <c:v>0.39500000000000002</c:v>
                </c:pt>
                <c:pt idx="377">
                  <c:v>0.39</c:v>
                </c:pt>
                <c:pt idx="378">
                  <c:v>0.36499999999999999</c:v>
                </c:pt>
                <c:pt idx="379">
                  <c:v>0.4</c:v>
                </c:pt>
                <c:pt idx="380">
                  <c:v>0.5</c:v>
                </c:pt>
                <c:pt idx="381">
                  <c:v>0.47499999999999998</c:v>
                </c:pt>
                <c:pt idx="382">
                  <c:v>0.42</c:v>
                </c:pt>
                <c:pt idx="383">
                  <c:v>0.4</c:v>
                </c:pt>
                <c:pt idx="384">
                  <c:v>0.38</c:v>
                </c:pt>
                <c:pt idx="385">
                  <c:v>0.38</c:v>
                </c:pt>
                <c:pt idx="386">
                  <c:v>0.38500000000000001</c:v>
                </c:pt>
                <c:pt idx="387">
                  <c:v>0.40500000000000003</c:v>
                </c:pt>
                <c:pt idx="388">
                  <c:v>0.40500000000000003</c:v>
                </c:pt>
                <c:pt idx="389">
                  <c:v>0.39500000000000002</c:v>
                </c:pt>
                <c:pt idx="390">
                  <c:v>0.4</c:v>
                </c:pt>
                <c:pt idx="391">
                  <c:v>0.38500000000000001</c:v>
                </c:pt>
                <c:pt idx="392">
                  <c:v>0.35</c:v>
                </c:pt>
                <c:pt idx="393">
                  <c:v>0.39500000000000002</c:v>
                </c:pt>
                <c:pt idx="394">
                  <c:v>0.375</c:v>
                </c:pt>
                <c:pt idx="395">
                  <c:v>0.38</c:v>
                </c:pt>
                <c:pt idx="396">
                  <c:v>0.4</c:v>
                </c:pt>
                <c:pt idx="397">
                  <c:v>0.41499999999999998</c:v>
                </c:pt>
                <c:pt idx="398">
                  <c:v>0.43</c:v>
                </c:pt>
                <c:pt idx="399">
                  <c:v>0.49</c:v>
                </c:pt>
                <c:pt idx="400">
                  <c:v>0.53</c:v>
                </c:pt>
                <c:pt idx="401">
                  <c:v>0.45500000000000002</c:v>
                </c:pt>
                <c:pt idx="402">
                  <c:v>0.48</c:v>
                </c:pt>
                <c:pt idx="403">
                  <c:v>0.53500000000000003</c:v>
                </c:pt>
                <c:pt idx="404">
                  <c:v>0.66</c:v>
                </c:pt>
                <c:pt idx="405">
                  <c:v>0.64500000000000002</c:v>
                </c:pt>
                <c:pt idx="406">
                  <c:v>0.56499999999999995</c:v>
                </c:pt>
                <c:pt idx="407">
                  <c:v>0.59</c:v>
                </c:pt>
                <c:pt idx="408">
                  <c:v>0.63</c:v>
                </c:pt>
                <c:pt idx="409">
                  <c:v>0.69499999999999995</c:v>
                </c:pt>
                <c:pt idx="410">
                  <c:v>0.66</c:v>
                </c:pt>
                <c:pt idx="411">
                  <c:v>0.71</c:v>
                </c:pt>
                <c:pt idx="412">
                  <c:v>0.75</c:v>
                </c:pt>
                <c:pt idx="413">
                  <c:v>0.84499999999999997</c:v>
                </c:pt>
                <c:pt idx="414">
                  <c:v>0.94499999999999995</c:v>
                </c:pt>
                <c:pt idx="415">
                  <c:v>0.97499999999999998</c:v>
                </c:pt>
                <c:pt idx="416">
                  <c:v>1.03</c:v>
                </c:pt>
                <c:pt idx="417">
                  <c:v>1.0349999999999999</c:v>
                </c:pt>
                <c:pt idx="418">
                  <c:v>1.02</c:v>
                </c:pt>
                <c:pt idx="419">
                  <c:v>0.88500000000000001</c:v>
                </c:pt>
                <c:pt idx="420">
                  <c:v>0.91500000000000004</c:v>
                </c:pt>
                <c:pt idx="421">
                  <c:v>0.90500000000000003</c:v>
                </c:pt>
                <c:pt idx="422">
                  <c:v>0.76500000000000001</c:v>
                </c:pt>
                <c:pt idx="423">
                  <c:v>0.88</c:v>
                </c:pt>
                <c:pt idx="424">
                  <c:v>0.91</c:v>
                </c:pt>
                <c:pt idx="425">
                  <c:v>0.95499999999999996</c:v>
                </c:pt>
                <c:pt idx="426">
                  <c:v>0.875</c:v>
                </c:pt>
                <c:pt idx="427">
                  <c:v>0.72</c:v>
                </c:pt>
                <c:pt idx="428">
                  <c:v>0.81</c:v>
                </c:pt>
                <c:pt idx="429">
                  <c:v>0.69</c:v>
                </c:pt>
                <c:pt idx="430">
                  <c:v>0.73</c:v>
                </c:pt>
                <c:pt idx="431">
                  <c:v>0.64500000000000002</c:v>
                </c:pt>
                <c:pt idx="432">
                  <c:v>0.63500000000000001</c:v>
                </c:pt>
                <c:pt idx="433">
                  <c:v>0.70499999999999996</c:v>
                </c:pt>
                <c:pt idx="434">
                  <c:v>0.82</c:v>
                </c:pt>
                <c:pt idx="435">
                  <c:v>0.89500000000000002</c:v>
                </c:pt>
                <c:pt idx="436">
                  <c:v>1.0049999999999999</c:v>
                </c:pt>
                <c:pt idx="437">
                  <c:v>1.06</c:v>
                </c:pt>
                <c:pt idx="438">
                  <c:v>1</c:v>
                </c:pt>
                <c:pt idx="439">
                  <c:v>0.99</c:v>
                </c:pt>
                <c:pt idx="440">
                  <c:v>1</c:v>
                </c:pt>
                <c:pt idx="441">
                  <c:v>0.96</c:v>
                </c:pt>
                <c:pt idx="442">
                  <c:v>0.93</c:v>
                </c:pt>
                <c:pt idx="443">
                  <c:v>0.875</c:v>
                </c:pt>
                <c:pt idx="444">
                  <c:v>0.8</c:v>
                </c:pt>
                <c:pt idx="445">
                  <c:v>0.78</c:v>
                </c:pt>
                <c:pt idx="446">
                  <c:v>0.79</c:v>
                </c:pt>
                <c:pt idx="447">
                  <c:v>0.75</c:v>
                </c:pt>
                <c:pt idx="448">
                  <c:v>0.81</c:v>
                </c:pt>
                <c:pt idx="449">
                  <c:v>0.745</c:v>
                </c:pt>
                <c:pt idx="450">
                  <c:v>0.71</c:v>
                </c:pt>
                <c:pt idx="451">
                  <c:v>0.84</c:v>
                </c:pt>
                <c:pt idx="452">
                  <c:v>0.90500000000000003</c:v>
                </c:pt>
                <c:pt idx="453">
                  <c:v>0.90500000000000003</c:v>
                </c:pt>
                <c:pt idx="454">
                  <c:v>0.90500000000000003</c:v>
                </c:pt>
                <c:pt idx="455">
                  <c:v>0.83499999999999996</c:v>
                </c:pt>
                <c:pt idx="456">
                  <c:v>0.84499999999999997</c:v>
                </c:pt>
                <c:pt idx="457">
                  <c:v>0.88</c:v>
                </c:pt>
                <c:pt idx="458">
                  <c:v>1.05</c:v>
                </c:pt>
                <c:pt idx="459">
                  <c:v>1.325</c:v>
                </c:pt>
                <c:pt idx="460">
                  <c:v>1.21</c:v>
                </c:pt>
                <c:pt idx="461">
                  <c:v>1.27</c:v>
                </c:pt>
                <c:pt idx="462">
                  <c:v>1.1850000000000001</c:v>
                </c:pt>
                <c:pt idx="463">
                  <c:v>1.145</c:v>
                </c:pt>
                <c:pt idx="464">
                  <c:v>1.27</c:v>
                </c:pt>
                <c:pt idx="465">
                  <c:v>1.55</c:v>
                </c:pt>
                <c:pt idx="466">
                  <c:v>1.75</c:v>
                </c:pt>
                <c:pt idx="467">
                  <c:v>1.75</c:v>
                </c:pt>
                <c:pt idx="468">
                  <c:v>1.82</c:v>
                </c:pt>
                <c:pt idx="469">
                  <c:v>1.665</c:v>
                </c:pt>
                <c:pt idx="470">
                  <c:v>1.625</c:v>
                </c:pt>
                <c:pt idx="471">
                  <c:v>1.905</c:v>
                </c:pt>
                <c:pt idx="472">
                  <c:v>1.83</c:v>
                </c:pt>
                <c:pt idx="473">
                  <c:v>1.81</c:v>
                </c:pt>
                <c:pt idx="474">
                  <c:v>1.7749999999999999</c:v>
                </c:pt>
                <c:pt idx="475">
                  <c:v>1.85</c:v>
                </c:pt>
                <c:pt idx="476">
                  <c:v>1.925</c:v>
                </c:pt>
                <c:pt idx="477">
                  <c:v>1.8</c:v>
                </c:pt>
                <c:pt idx="478">
                  <c:v>1.7</c:v>
                </c:pt>
                <c:pt idx="479">
                  <c:v>1.6850000000000001</c:v>
                </c:pt>
                <c:pt idx="480">
                  <c:v>1.7</c:v>
                </c:pt>
                <c:pt idx="481">
                  <c:v>1.7350000000000001</c:v>
                </c:pt>
                <c:pt idx="482">
                  <c:v>1.67</c:v>
                </c:pt>
                <c:pt idx="483">
                  <c:v>1.68</c:v>
                </c:pt>
                <c:pt idx="484">
                  <c:v>1.4750000000000001</c:v>
                </c:pt>
                <c:pt idx="485">
                  <c:v>1.42</c:v>
                </c:pt>
                <c:pt idx="486">
                  <c:v>1.34</c:v>
                </c:pt>
                <c:pt idx="487">
                  <c:v>1.34</c:v>
                </c:pt>
                <c:pt idx="488">
                  <c:v>1.44</c:v>
                </c:pt>
                <c:pt idx="489">
                  <c:v>1.4</c:v>
                </c:pt>
                <c:pt idx="490">
                  <c:v>1.385</c:v>
                </c:pt>
                <c:pt idx="491">
                  <c:v>1.42</c:v>
                </c:pt>
                <c:pt idx="492">
                  <c:v>1.5449999999999999</c:v>
                </c:pt>
                <c:pt idx="493">
                  <c:v>1.4650000000000001</c:v>
                </c:pt>
                <c:pt idx="494">
                  <c:v>1.46</c:v>
                </c:pt>
                <c:pt idx="495">
                  <c:v>1.43</c:v>
                </c:pt>
                <c:pt idx="496">
                  <c:v>1.4650000000000001</c:v>
                </c:pt>
                <c:pt idx="497">
                  <c:v>1.59</c:v>
                </c:pt>
                <c:pt idx="498">
                  <c:v>1.58</c:v>
                </c:pt>
                <c:pt idx="499">
                  <c:v>1.585</c:v>
                </c:pt>
                <c:pt idx="500">
                  <c:v>1.4950000000000001</c:v>
                </c:pt>
                <c:pt idx="501">
                  <c:v>1.415</c:v>
                </c:pt>
                <c:pt idx="502">
                  <c:v>1.43</c:v>
                </c:pt>
                <c:pt idx="503">
                  <c:v>1.46</c:v>
                </c:pt>
                <c:pt idx="504">
                  <c:v>1.39</c:v>
                </c:pt>
                <c:pt idx="505">
                  <c:v>1.36</c:v>
                </c:pt>
                <c:pt idx="506">
                  <c:v>1.32</c:v>
                </c:pt>
                <c:pt idx="507">
                  <c:v>1.3149999999999999</c:v>
                </c:pt>
                <c:pt idx="508">
                  <c:v>1.28</c:v>
                </c:pt>
                <c:pt idx="509">
                  <c:v>1.3</c:v>
                </c:pt>
                <c:pt idx="510">
                  <c:v>1.2050000000000001</c:v>
                </c:pt>
                <c:pt idx="511">
                  <c:v>1.17</c:v>
                </c:pt>
                <c:pt idx="512">
                  <c:v>1.2749999999999999</c:v>
                </c:pt>
                <c:pt idx="513">
                  <c:v>1.2549999999999999</c:v>
                </c:pt>
                <c:pt idx="514">
                  <c:v>1.39</c:v>
                </c:pt>
                <c:pt idx="515">
                  <c:v>1.37</c:v>
                </c:pt>
                <c:pt idx="516">
                  <c:v>1.39</c:v>
                </c:pt>
                <c:pt idx="517">
                  <c:v>1.42</c:v>
                </c:pt>
                <c:pt idx="518">
                  <c:v>1.415</c:v>
                </c:pt>
                <c:pt idx="519">
                  <c:v>1.595</c:v>
                </c:pt>
                <c:pt idx="520">
                  <c:v>1.61</c:v>
                </c:pt>
                <c:pt idx="521">
                  <c:v>1.68</c:v>
                </c:pt>
                <c:pt idx="522">
                  <c:v>1.76</c:v>
                </c:pt>
                <c:pt idx="523">
                  <c:v>1.79</c:v>
                </c:pt>
                <c:pt idx="524">
                  <c:v>1.885</c:v>
                </c:pt>
                <c:pt idx="525">
                  <c:v>1.9550000000000001</c:v>
                </c:pt>
                <c:pt idx="526">
                  <c:v>1.655</c:v>
                </c:pt>
                <c:pt idx="527">
                  <c:v>1.7350000000000001</c:v>
                </c:pt>
                <c:pt idx="528">
                  <c:v>1.92</c:v>
                </c:pt>
                <c:pt idx="529">
                  <c:v>1.7549999999999999</c:v>
                </c:pt>
                <c:pt idx="530">
                  <c:v>1.77</c:v>
                </c:pt>
                <c:pt idx="531">
                  <c:v>1.9</c:v>
                </c:pt>
                <c:pt idx="532">
                  <c:v>1.91</c:v>
                </c:pt>
                <c:pt idx="533">
                  <c:v>2.0299999999999998</c:v>
                </c:pt>
                <c:pt idx="534">
                  <c:v>2.0299999999999998</c:v>
                </c:pt>
                <c:pt idx="535">
                  <c:v>2</c:v>
                </c:pt>
                <c:pt idx="536">
                  <c:v>1.82</c:v>
                </c:pt>
                <c:pt idx="537">
                  <c:v>1.7</c:v>
                </c:pt>
                <c:pt idx="538">
                  <c:v>1.7649999999999999</c:v>
                </c:pt>
                <c:pt idx="539">
                  <c:v>1.7</c:v>
                </c:pt>
                <c:pt idx="540">
                  <c:v>1.7</c:v>
                </c:pt>
                <c:pt idx="541">
                  <c:v>1.77</c:v>
                </c:pt>
                <c:pt idx="542">
                  <c:v>1.78</c:v>
                </c:pt>
                <c:pt idx="543">
                  <c:v>1.585</c:v>
                </c:pt>
                <c:pt idx="544">
                  <c:v>1.5649999999999999</c:v>
                </c:pt>
                <c:pt idx="545">
                  <c:v>1.5549999999999999</c:v>
                </c:pt>
                <c:pt idx="546">
                  <c:v>1.5249999999999999</c:v>
                </c:pt>
                <c:pt idx="547">
                  <c:v>1.5549999999999999</c:v>
                </c:pt>
                <c:pt idx="548">
                  <c:v>1.55</c:v>
                </c:pt>
                <c:pt idx="549">
                  <c:v>1.59</c:v>
                </c:pt>
                <c:pt idx="550">
                  <c:v>1.58</c:v>
                </c:pt>
                <c:pt idx="551">
                  <c:v>1.58</c:v>
                </c:pt>
                <c:pt idx="552">
                  <c:v>1.66</c:v>
                </c:pt>
                <c:pt idx="553">
                  <c:v>1.68</c:v>
                </c:pt>
                <c:pt idx="554">
                  <c:v>1.6850000000000001</c:v>
                </c:pt>
                <c:pt idx="555">
                  <c:v>1.63</c:v>
                </c:pt>
                <c:pt idx="556">
                  <c:v>1.64</c:v>
                </c:pt>
                <c:pt idx="557">
                  <c:v>1.655</c:v>
                </c:pt>
                <c:pt idx="558">
                  <c:v>1.585</c:v>
                </c:pt>
                <c:pt idx="559">
                  <c:v>1.57</c:v>
                </c:pt>
                <c:pt idx="560">
                  <c:v>1.5149999999999999</c:v>
                </c:pt>
                <c:pt idx="561">
                  <c:v>1.56</c:v>
                </c:pt>
                <c:pt idx="562">
                  <c:v>1.5149999999999999</c:v>
                </c:pt>
                <c:pt idx="563">
                  <c:v>1.595</c:v>
                </c:pt>
                <c:pt idx="564">
                  <c:v>1.48</c:v>
                </c:pt>
                <c:pt idx="565">
                  <c:v>1.395</c:v>
                </c:pt>
                <c:pt idx="566">
                  <c:v>1.2949999999999999</c:v>
                </c:pt>
                <c:pt idx="567">
                  <c:v>1.33</c:v>
                </c:pt>
                <c:pt idx="568">
                  <c:v>1.345</c:v>
                </c:pt>
                <c:pt idx="569">
                  <c:v>1.34</c:v>
                </c:pt>
                <c:pt idx="570">
                  <c:v>1.395</c:v>
                </c:pt>
                <c:pt idx="571">
                  <c:v>1.2849999999999999</c:v>
                </c:pt>
                <c:pt idx="572">
                  <c:v>1.33</c:v>
                </c:pt>
                <c:pt idx="573">
                  <c:v>1.34</c:v>
                </c:pt>
                <c:pt idx="574">
                  <c:v>1.375</c:v>
                </c:pt>
                <c:pt idx="575">
                  <c:v>1.4450000000000001</c:v>
                </c:pt>
                <c:pt idx="576">
                  <c:v>1.55</c:v>
                </c:pt>
                <c:pt idx="577">
                  <c:v>1.64</c:v>
                </c:pt>
                <c:pt idx="578">
                  <c:v>1.655</c:v>
                </c:pt>
                <c:pt idx="579">
                  <c:v>1.7</c:v>
                </c:pt>
                <c:pt idx="580">
                  <c:v>1.7450000000000001</c:v>
                </c:pt>
                <c:pt idx="581">
                  <c:v>1.75</c:v>
                </c:pt>
                <c:pt idx="582">
                  <c:v>1.79</c:v>
                </c:pt>
                <c:pt idx="583">
                  <c:v>1.81</c:v>
                </c:pt>
                <c:pt idx="584">
                  <c:v>1.8149999999999999</c:v>
                </c:pt>
                <c:pt idx="585">
                  <c:v>1.75</c:v>
                </c:pt>
                <c:pt idx="586">
                  <c:v>1.7450000000000001</c:v>
                </c:pt>
                <c:pt idx="587">
                  <c:v>1.8</c:v>
                </c:pt>
                <c:pt idx="588">
                  <c:v>1.85</c:v>
                </c:pt>
                <c:pt idx="589">
                  <c:v>1.83</c:v>
                </c:pt>
                <c:pt idx="590">
                  <c:v>1.97</c:v>
                </c:pt>
                <c:pt idx="591">
                  <c:v>1.905</c:v>
                </c:pt>
                <c:pt idx="592">
                  <c:v>1.93</c:v>
                </c:pt>
                <c:pt idx="593">
                  <c:v>1.7549999999999999</c:v>
                </c:pt>
                <c:pt idx="594">
                  <c:v>1.78</c:v>
                </c:pt>
                <c:pt idx="595">
                  <c:v>1.81</c:v>
                </c:pt>
                <c:pt idx="596">
                  <c:v>1.84</c:v>
                </c:pt>
                <c:pt idx="597">
                  <c:v>1.85</c:v>
                </c:pt>
                <c:pt idx="598">
                  <c:v>1.84</c:v>
                </c:pt>
                <c:pt idx="599">
                  <c:v>1.74</c:v>
                </c:pt>
                <c:pt idx="600">
                  <c:v>1.74</c:v>
                </c:pt>
                <c:pt idx="601">
                  <c:v>1.7649999999999999</c:v>
                </c:pt>
                <c:pt idx="602">
                  <c:v>1.84</c:v>
                </c:pt>
                <c:pt idx="603">
                  <c:v>1.865</c:v>
                </c:pt>
                <c:pt idx="604">
                  <c:v>1.7849999999999999</c:v>
                </c:pt>
                <c:pt idx="605">
                  <c:v>2.02</c:v>
                </c:pt>
                <c:pt idx="606">
                  <c:v>2.19</c:v>
                </c:pt>
                <c:pt idx="607">
                  <c:v>2.29</c:v>
                </c:pt>
                <c:pt idx="608">
                  <c:v>2.17</c:v>
                </c:pt>
                <c:pt idx="609">
                  <c:v>2.1800000000000002</c:v>
                </c:pt>
                <c:pt idx="610">
                  <c:v>1.96</c:v>
                </c:pt>
                <c:pt idx="611">
                  <c:v>1.92</c:v>
                </c:pt>
                <c:pt idx="612">
                  <c:v>1.88</c:v>
                </c:pt>
                <c:pt idx="613">
                  <c:v>1.91</c:v>
                </c:pt>
                <c:pt idx="614">
                  <c:v>1.94</c:v>
                </c:pt>
                <c:pt idx="615">
                  <c:v>2.16</c:v>
                </c:pt>
                <c:pt idx="616">
                  <c:v>2.09</c:v>
                </c:pt>
                <c:pt idx="617">
                  <c:v>2.12</c:v>
                </c:pt>
                <c:pt idx="618">
                  <c:v>2.0699999999999998</c:v>
                </c:pt>
                <c:pt idx="619">
                  <c:v>2.0499999999999998</c:v>
                </c:pt>
                <c:pt idx="620">
                  <c:v>2.0699999999999998</c:v>
                </c:pt>
                <c:pt idx="621">
                  <c:v>1.98</c:v>
                </c:pt>
                <c:pt idx="622">
                  <c:v>1.95</c:v>
                </c:pt>
                <c:pt idx="623">
                  <c:v>1.925</c:v>
                </c:pt>
                <c:pt idx="624">
                  <c:v>1.885</c:v>
                </c:pt>
                <c:pt idx="625">
                  <c:v>1.91</c:v>
                </c:pt>
                <c:pt idx="626">
                  <c:v>2.04</c:v>
                </c:pt>
                <c:pt idx="627">
                  <c:v>2.09</c:v>
                </c:pt>
                <c:pt idx="628">
                  <c:v>2.2599999999999998</c:v>
                </c:pt>
                <c:pt idx="629">
                  <c:v>2.2000000000000002</c:v>
                </c:pt>
                <c:pt idx="630">
                  <c:v>2.4</c:v>
                </c:pt>
                <c:pt idx="631">
                  <c:v>2.5499999999999998</c:v>
                </c:pt>
                <c:pt idx="632">
                  <c:v>2.73</c:v>
                </c:pt>
                <c:pt idx="633">
                  <c:v>2.7</c:v>
                </c:pt>
                <c:pt idx="634">
                  <c:v>2.94</c:v>
                </c:pt>
                <c:pt idx="635">
                  <c:v>2.96</c:v>
                </c:pt>
                <c:pt idx="636">
                  <c:v>3.11</c:v>
                </c:pt>
                <c:pt idx="637">
                  <c:v>3.18</c:v>
                </c:pt>
                <c:pt idx="638">
                  <c:v>3.37</c:v>
                </c:pt>
                <c:pt idx="639">
                  <c:v>3.44</c:v>
                </c:pt>
                <c:pt idx="640">
                  <c:v>3.54</c:v>
                </c:pt>
                <c:pt idx="641">
                  <c:v>3.31</c:v>
                </c:pt>
                <c:pt idx="642">
                  <c:v>3.49</c:v>
                </c:pt>
                <c:pt idx="643">
                  <c:v>3.46</c:v>
                </c:pt>
                <c:pt idx="644">
                  <c:v>3.5</c:v>
                </c:pt>
                <c:pt idx="645">
                  <c:v>3.49</c:v>
                </c:pt>
                <c:pt idx="646">
                  <c:v>3.48</c:v>
                </c:pt>
                <c:pt idx="647">
                  <c:v>3.46</c:v>
                </c:pt>
                <c:pt idx="648">
                  <c:v>3.38</c:v>
                </c:pt>
                <c:pt idx="649">
                  <c:v>3.4</c:v>
                </c:pt>
                <c:pt idx="650">
                  <c:v>3.41</c:v>
                </c:pt>
                <c:pt idx="651">
                  <c:v>3.09</c:v>
                </c:pt>
                <c:pt idx="652">
                  <c:v>3.1</c:v>
                </c:pt>
                <c:pt idx="653">
                  <c:v>3.16</c:v>
                </c:pt>
                <c:pt idx="654">
                  <c:v>3.19</c:v>
                </c:pt>
                <c:pt idx="655">
                  <c:v>3.06</c:v>
                </c:pt>
                <c:pt idx="656">
                  <c:v>3</c:v>
                </c:pt>
                <c:pt idx="657">
                  <c:v>2.97</c:v>
                </c:pt>
                <c:pt idx="658">
                  <c:v>2.91</c:v>
                </c:pt>
                <c:pt idx="659">
                  <c:v>2.87</c:v>
                </c:pt>
                <c:pt idx="660">
                  <c:v>2.79</c:v>
                </c:pt>
                <c:pt idx="661">
                  <c:v>2.87</c:v>
                </c:pt>
                <c:pt idx="662">
                  <c:v>2.86</c:v>
                </c:pt>
                <c:pt idx="663">
                  <c:v>2.86</c:v>
                </c:pt>
                <c:pt idx="664">
                  <c:v>2.8</c:v>
                </c:pt>
                <c:pt idx="665">
                  <c:v>3.14</c:v>
                </c:pt>
                <c:pt idx="666">
                  <c:v>3.31</c:v>
                </c:pt>
                <c:pt idx="667">
                  <c:v>3.19</c:v>
                </c:pt>
                <c:pt idx="668">
                  <c:v>3.2</c:v>
                </c:pt>
                <c:pt idx="669">
                  <c:v>3.11</c:v>
                </c:pt>
                <c:pt idx="670">
                  <c:v>3.07</c:v>
                </c:pt>
                <c:pt idx="671">
                  <c:v>2.99</c:v>
                </c:pt>
                <c:pt idx="672">
                  <c:v>2.92</c:v>
                </c:pt>
                <c:pt idx="673">
                  <c:v>2.83</c:v>
                </c:pt>
                <c:pt idx="674">
                  <c:v>2.9</c:v>
                </c:pt>
                <c:pt idx="675">
                  <c:v>2.82</c:v>
                </c:pt>
                <c:pt idx="676">
                  <c:v>2.5299999999999998</c:v>
                </c:pt>
                <c:pt idx="677">
                  <c:v>2.62</c:v>
                </c:pt>
                <c:pt idx="678">
                  <c:v>2.71</c:v>
                </c:pt>
                <c:pt idx="679">
                  <c:v>2.79</c:v>
                </c:pt>
                <c:pt idx="680">
                  <c:v>2.74</c:v>
                </c:pt>
                <c:pt idx="681">
                  <c:v>2.92</c:v>
                </c:pt>
                <c:pt idx="682">
                  <c:v>3.2</c:v>
                </c:pt>
                <c:pt idx="683">
                  <c:v>3.24</c:v>
                </c:pt>
                <c:pt idx="684">
                  <c:v>3.21</c:v>
                </c:pt>
                <c:pt idx="685">
                  <c:v>3.19</c:v>
                </c:pt>
                <c:pt idx="686">
                  <c:v>3.03</c:v>
                </c:pt>
                <c:pt idx="687">
                  <c:v>2.99</c:v>
                </c:pt>
                <c:pt idx="688">
                  <c:v>3</c:v>
                </c:pt>
                <c:pt idx="689">
                  <c:v>2.81</c:v>
                </c:pt>
                <c:pt idx="690">
                  <c:v>2.78</c:v>
                </c:pt>
                <c:pt idx="691">
                  <c:v>2.83</c:v>
                </c:pt>
                <c:pt idx="692">
                  <c:v>2.98</c:v>
                </c:pt>
                <c:pt idx="693">
                  <c:v>2.92</c:v>
                </c:pt>
                <c:pt idx="694">
                  <c:v>2.99</c:v>
                </c:pt>
                <c:pt idx="695">
                  <c:v>2.99</c:v>
                </c:pt>
                <c:pt idx="696">
                  <c:v>2.82</c:v>
                </c:pt>
                <c:pt idx="697">
                  <c:v>2.78</c:v>
                </c:pt>
                <c:pt idx="698">
                  <c:v>2.79</c:v>
                </c:pt>
                <c:pt idx="699">
                  <c:v>2.79</c:v>
                </c:pt>
                <c:pt idx="700">
                  <c:v>2.94</c:v>
                </c:pt>
                <c:pt idx="701">
                  <c:v>2.88</c:v>
                </c:pt>
                <c:pt idx="702">
                  <c:v>2.84</c:v>
                </c:pt>
                <c:pt idx="703">
                  <c:v>2.79</c:v>
                </c:pt>
                <c:pt idx="704">
                  <c:v>2.91</c:v>
                </c:pt>
                <c:pt idx="705">
                  <c:v>2.85</c:v>
                </c:pt>
                <c:pt idx="706">
                  <c:v>2.75</c:v>
                </c:pt>
                <c:pt idx="707">
                  <c:v>2.83</c:v>
                </c:pt>
                <c:pt idx="708">
                  <c:v>2.83</c:v>
                </c:pt>
                <c:pt idx="709">
                  <c:v>2.85</c:v>
                </c:pt>
                <c:pt idx="710">
                  <c:v>2.9</c:v>
                </c:pt>
                <c:pt idx="711">
                  <c:v>2.91</c:v>
                </c:pt>
                <c:pt idx="712">
                  <c:v>2.64</c:v>
                </c:pt>
                <c:pt idx="713">
                  <c:v>2.63</c:v>
                </c:pt>
                <c:pt idx="714">
                  <c:v>2.54</c:v>
                </c:pt>
                <c:pt idx="715">
                  <c:v>2.4300000000000002</c:v>
                </c:pt>
                <c:pt idx="716">
                  <c:v>2.44</c:v>
                </c:pt>
                <c:pt idx="717">
                  <c:v>2.4</c:v>
                </c:pt>
                <c:pt idx="718">
                  <c:v>2.54</c:v>
                </c:pt>
                <c:pt idx="719">
                  <c:v>2.58</c:v>
                </c:pt>
                <c:pt idx="720">
                  <c:v>2.5099999999999998</c:v>
                </c:pt>
                <c:pt idx="721">
                  <c:v>2.48</c:v>
                </c:pt>
                <c:pt idx="722">
                  <c:v>2.48</c:v>
                </c:pt>
                <c:pt idx="723">
                  <c:v>2.56</c:v>
                </c:pt>
                <c:pt idx="724">
                  <c:v>2.5299999999999998</c:v>
                </c:pt>
                <c:pt idx="725">
                  <c:v>2.6</c:v>
                </c:pt>
                <c:pt idx="726">
                  <c:v>2.83</c:v>
                </c:pt>
                <c:pt idx="727">
                  <c:v>2.96</c:v>
                </c:pt>
                <c:pt idx="728">
                  <c:v>2.92</c:v>
                </c:pt>
                <c:pt idx="729">
                  <c:v>2.92</c:v>
                </c:pt>
                <c:pt idx="730">
                  <c:v>2.87</c:v>
                </c:pt>
                <c:pt idx="731">
                  <c:v>2.77</c:v>
                </c:pt>
                <c:pt idx="732">
                  <c:v>2.76</c:v>
                </c:pt>
                <c:pt idx="733">
                  <c:v>2.91</c:v>
                </c:pt>
                <c:pt idx="734">
                  <c:v>3.11</c:v>
                </c:pt>
                <c:pt idx="735">
                  <c:v>3.11</c:v>
                </c:pt>
                <c:pt idx="736">
                  <c:v>2.99</c:v>
                </c:pt>
                <c:pt idx="737">
                  <c:v>3.13</c:v>
                </c:pt>
                <c:pt idx="738">
                  <c:v>3.35</c:v>
                </c:pt>
                <c:pt idx="739">
                  <c:v>3.38</c:v>
                </c:pt>
                <c:pt idx="740">
                  <c:v>3.37</c:v>
                </c:pt>
                <c:pt idx="741">
                  <c:v>3.45</c:v>
                </c:pt>
                <c:pt idx="742">
                  <c:v>3.28</c:v>
                </c:pt>
                <c:pt idx="743">
                  <c:v>3.38</c:v>
                </c:pt>
                <c:pt idx="744">
                  <c:v>3.45</c:v>
                </c:pt>
                <c:pt idx="745">
                  <c:v>3.09</c:v>
                </c:pt>
                <c:pt idx="746">
                  <c:v>3.25</c:v>
                </c:pt>
                <c:pt idx="747">
                  <c:v>3.35</c:v>
                </c:pt>
                <c:pt idx="748">
                  <c:v>3.07</c:v>
                </c:pt>
                <c:pt idx="749">
                  <c:v>3.14</c:v>
                </c:pt>
                <c:pt idx="750">
                  <c:v>3.03</c:v>
                </c:pt>
                <c:pt idx="751">
                  <c:v>2.92</c:v>
                </c:pt>
                <c:pt idx="752">
                  <c:v>2.87</c:v>
                </c:pt>
                <c:pt idx="753">
                  <c:v>2.74</c:v>
                </c:pt>
                <c:pt idx="754">
                  <c:v>2.81</c:v>
                </c:pt>
                <c:pt idx="755">
                  <c:v>2.92</c:v>
                </c:pt>
                <c:pt idx="756">
                  <c:v>2.76</c:v>
                </c:pt>
                <c:pt idx="757">
                  <c:v>2.78</c:v>
                </c:pt>
                <c:pt idx="758">
                  <c:v>2.88</c:v>
                </c:pt>
                <c:pt idx="759">
                  <c:v>2.79</c:v>
                </c:pt>
                <c:pt idx="760">
                  <c:v>2.91</c:v>
                </c:pt>
                <c:pt idx="761">
                  <c:v>2.96</c:v>
                </c:pt>
                <c:pt idx="762">
                  <c:v>2.97</c:v>
                </c:pt>
                <c:pt idx="763">
                  <c:v>2.91</c:v>
                </c:pt>
                <c:pt idx="764">
                  <c:v>2.9</c:v>
                </c:pt>
                <c:pt idx="765">
                  <c:v>2.92</c:v>
                </c:pt>
                <c:pt idx="766">
                  <c:v>2.75</c:v>
                </c:pt>
                <c:pt idx="767">
                  <c:v>2.75</c:v>
                </c:pt>
                <c:pt idx="768">
                  <c:v>2.67</c:v>
                </c:pt>
                <c:pt idx="769">
                  <c:v>2.65</c:v>
                </c:pt>
                <c:pt idx="770">
                  <c:v>2.72</c:v>
                </c:pt>
                <c:pt idx="771">
                  <c:v>2.67</c:v>
                </c:pt>
                <c:pt idx="772">
                  <c:v>2.67</c:v>
                </c:pt>
                <c:pt idx="773">
                  <c:v>2.59</c:v>
                </c:pt>
                <c:pt idx="774">
                  <c:v>2.57</c:v>
                </c:pt>
                <c:pt idx="775">
                  <c:v>2.52</c:v>
                </c:pt>
                <c:pt idx="776">
                  <c:v>2.59</c:v>
                </c:pt>
                <c:pt idx="777">
                  <c:v>2.76</c:v>
                </c:pt>
                <c:pt idx="778">
                  <c:v>2.76</c:v>
                </c:pt>
                <c:pt idx="779">
                  <c:v>2.81</c:v>
                </c:pt>
                <c:pt idx="780">
                  <c:v>3</c:v>
                </c:pt>
                <c:pt idx="781">
                  <c:v>3.02</c:v>
                </c:pt>
                <c:pt idx="782">
                  <c:v>3</c:v>
                </c:pt>
                <c:pt idx="783">
                  <c:v>3.05</c:v>
                </c:pt>
                <c:pt idx="784">
                  <c:v>3.15</c:v>
                </c:pt>
                <c:pt idx="785">
                  <c:v>3.15</c:v>
                </c:pt>
                <c:pt idx="786">
                  <c:v>3.17</c:v>
                </c:pt>
                <c:pt idx="787">
                  <c:v>3.25</c:v>
                </c:pt>
                <c:pt idx="788">
                  <c:v>3.23</c:v>
                </c:pt>
                <c:pt idx="789">
                  <c:v>3.17</c:v>
                </c:pt>
                <c:pt idx="790">
                  <c:v>3.97</c:v>
                </c:pt>
                <c:pt idx="791">
                  <c:v>4.1900000000000004</c:v>
                </c:pt>
                <c:pt idx="792">
                  <c:v>4.18</c:v>
                </c:pt>
                <c:pt idx="793">
                  <c:v>4.29</c:v>
                </c:pt>
                <c:pt idx="794">
                  <c:v>4.5599999999999996</c:v>
                </c:pt>
                <c:pt idx="795">
                  <c:v>4.54</c:v>
                </c:pt>
                <c:pt idx="796">
                  <c:v>4.68</c:v>
                </c:pt>
                <c:pt idx="797">
                  <c:v>4.66</c:v>
                </c:pt>
                <c:pt idx="798">
                  <c:v>4.8600000000000003</c:v>
                </c:pt>
                <c:pt idx="799">
                  <c:v>4.63</c:v>
                </c:pt>
                <c:pt idx="800">
                  <c:v>4.54</c:v>
                </c:pt>
                <c:pt idx="801">
                  <c:v>4.59</c:v>
                </c:pt>
                <c:pt idx="802">
                  <c:v>4.66</c:v>
                </c:pt>
                <c:pt idx="803">
                  <c:v>4.6900000000000004</c:v>
                </c:pt>
                <c:pt idx="804">
                  <c:v>4.6900000000000004</c:v>
                </c:pt>
                <c:pt idx="805">
                  <c:v>4.79</c:v>
                </c:pt>
                <c:pt idx="806">
                  <c:v>4.79</c:v>
                </c:pt>
                <c:pt idx="807">
                  <c:v>4.83</c:v>
                </c:pt>
                <c:pt idx="808">
                  <c:v>4.54</c:v>
                </c:pt>
                <c:pt idx="809">
                  <c:v>4.66</c:v>
                </c:pt>
                <c:pt idx="810">
                  <c:v>3.99</c:v>
                </c:pt>
                <c:pt idx="811">
                  <c:v>4.01</c:v>
                </c:pt>
                <c:pt idx="812">
                  <c:v>3.9</c:v>
                </c:pt>
                <c:pt idx="813">
                  <c:v>3.85</c:v>
                </c:pt>
                <c:pt idx="814">
                  <c:v>3.82</c:v>
                </c:pt>
                <c:pt idx="815">
                  <c:v>3.98</c:v>
                </c:pt>
                <c:pt idx="816">
                  <c:v>3.99</c:v>
                </c:pt>
                <c:pt idx="817">
                  <c:v>4.0199999999999996</c:v>
                </c:pt>
                <c:pt idx="818">
                  <c:v>4.1500000000000004</c:v>
                </c:pt>
                <c:pt idx="819">
                  <c:v>4.1399999999999997</c:v>
                </c:pt>
                <c:pt idx="820">
                  <c:v>4.28</c:v>
                </c:pt>
                <c:pt idx="821">
                  <c:v>4.33</c:v>
                </c:pt>
                <c:pt idx="822">
                  <c:v>4.0599999999999996</c:v>
                </c:pt>
                <c:pt idx="823">
                  <c:v>4.0599999999999996</c:v>
                </c:pt>
                <c:pt idx="824">
                  <c:v>4.0999999999999996</c:v>
                </c:pt>
                <c:pt idx="825">
                  <c:v>4.1500000000000004</c:v>
                </c:pt>
                <c:pt idx="826">
                  <c:v>4.05</c:v>
                </c:pt>
                <c:pt idx="827">
                  <c:v>3.41</c:v>
                </c:pt>
                <c:pt idx="828">
                  <c:v>3.37</c:v>
                </c:pt>
                <c:pt idx="829">
                  <c:v>3.28</c:v>
                </c:pt>
                <c:pt idx="830">
                  <c:v>3.27</c:v>
                </c:pt>
                <c:pt idx="831">
                  <c:v>3.31</c:v>
                </c:pt>
                <c:pt idx="832">
                  <c:v>3.38</c:v>
                </c:pt>
                <c:pt idx="833">
                  <c:v>3.44</c:v>
                </c:pt>
                <c:pt idx="834">
                  <c:v>3.35</c:v>
                </c:pt>
                <c:pt idx="835">
                  <c:v>3.12</c:v>
                </c:pt>
                <c:pt idx="836">
                  <c:v>3.15</c:v>
                </c:pt>
                <c:pt idx="837">
                  <c:v>3.01</c:v>
                </c:pt>
                <c:pt idx="838">
                  <c:v>3.06</c:v>
                </c:pt>
                <c:pt idx="839">
                  <c:v>3.2</c:v>
                </c:pt>
                <c:pt idx="840">
                  <c:v>3.09</c:v>
                </c:pt>
                <c:pt idx="841">
                  <c:v>2.9</c:v>
                </c:pt>
                <c:pt idx="842">
                  <c:v>3.05</c:v>
                </c:pt>
                <c:pt idx="843">
                  <c:v>3.01</c:v>
                </c:pt>
                <c:pt idx="844">
                  <c:v>2.89</c:v>
                </c:pt>
                <c:pt idx="845">
                  <c:v>3.02</c:v>
                </c:pt>
                <c:pt idx="846">
                  <c:v>2.99</c:v>
                </c:pt>
                <c:pt idx="847">
                  <c:v>2.94</c:v>
                </c:pt>
                <c:pt idx="848">
                  <c:v>2.94</c:v>
                </c:pt>
                <c:pt idx="849">
                  <c:v>3.01</c:v>
                </c:pt>
                <c:pt idx="850">
                  <c:v>2.97</c:v>
                </c:pt>
                <c:pt idx="851">
                  <c:v>3.17</c:v>
                </c:pt>
                <c:pt idx="852">
                  <c:v>3.2</c:v>
                </c:pt>
                <c:pt idx="853">
                  <c:v>3.19</c:v>
                </c:pt>
                <c:pt idx="854">
                  <c:v>3.08</c:v>
                </c:pt>
                <c:pt idx="855">
                  <c:v>3.05</c:v>
                </c:pt>
                <c:pt idx="856">
                  <c:v>3.03</c:v>
                </c:pt>
                <c:pt idx="857">
                  <c:v>2.93</c:v>
                </c:pt>
                <c:pt idx="858">
                  <c:v>2.9</c:v>
                </c:pt>
                <c:pt idx="859">
                  <c:v>2.7</c:v>
                </c:pt>
                <c:pt idx="860">
                  <c:v>2.59</c:v>
                </c:pt>
                <c:pt idx="861">
                  <c:v>2.4900000000000002</c:v>
                </c:pt>
                <c:pt idx="862">
                  <c:v>2.4</c:v>
                </c:pt>
                <c:pt idx="863">
                  <c:v>2.44</c:v>
                </c:pt>
                <c:pt idx="864">
                  <c:v>2.38</c:v>
                </c:pt>
                <c:pt idx="865">
                  <c:v>2.62</c:v>
                </c:pt>
                <c:pt idx="866">
                  <c:v>2.4300000000000002</c:v>
                </c:pt>
                <c:pt idx="867">
                  <c:v>2.29</c:v>
                </c:pt>
                <c:pt idx="868">
                  <c:v>2.2200000000000002</c:v>
                </c:pt>
                <c:pt idx="869">
                  <c:v>2.33</c:v>
                </c:pt>
                <c:pt idx="870">
                  <c:v>2.31</c:v>
                </c:pt>
                <c:pt idx="871">
                  <c:v>2.23</c:v>
                </c:pt>
                <c:pt idx="872">
                  <c:v>2.2999999999999998</c:v>
                </c:pt>
                <c:pt idx="873">
                  <c:v>2.2599999999999998</c:v>
                </c:pt>
                <c:pt idx="874">
                  <c:v>2.36</c:v>
                </c:pt>
                <c:pt idx="875">
                  <c:v>2.3199999999999998</c:v>
                </c:pt>
                <c:pt idx="876">
                  <c:v>2.2799999999999998</c:v>
                </c:pt>
                <c:pt idx="877">
                  <c:v>2.2999999999999998</c:v>
                </c:pt>
                <c:pt idx="878">
                  <c:v>2.2799999999999998</c:v>
                </c:pt>
                <c:pt idx="879">
                  <c:v>2.2799999999999998</c:v>
                </c:pt>
                <c:pt idx="880">
                  <c:v>2.25</c:v>
                </c:pt>
                <c:pt idx="881">
                  <c:v>2.2200000000000002</c:v>
                </c:pt>
                <c:pt idx="882">
                  <c:v>2.23</c:v>
                </c:pt>
                <c:pt idx="883">
                  <c:v>2.2400000000000002</c:v>
                </c:pt>
                <c:pt idx="884">
                  <c:v>1.135</c:v>
                </c:pt>
                <c:pt idx="885">
                  <c:v>1.115</c:v>
                </c:pt>
                <c:pt idx="886">
                  <c:v>1.0549999999999999</c:v>
                </c:pt>
                <c:pt idx="887">
                  <c:v>1.105</c:v>
                </c:pt>
                <c:pt idx="888">
                  <c:v>1.17</c:v>
                </c:pt>
                <c:pt idx="889">
                  <c:v>1.2649999999999999</c:v>
                </c:pt>
                <c:pt idx="890">
                  <c:v>1.2150000000000001</c:v>
                </c:pt>
                <c:pt idx="891">
                  <c:v>1.365</c:v>
                </c:pt>
                <c:pt idx="892">
                  <c:v>1.3</c:v>
                </c:pt>
                <c:pt idx="893">
                  <c:v>1.31</c:v>
                </c:pt>
                <c:pt idx="894">
                  <c:v>1.26</c:v>
                </c:pt>
                <c:pt idx="895">
                  <c:v>1.24</c:v>
                </c:pt>
                <c:pt idx="896">
                  <c:v>1.2050000000000001</c:v>
                </c:pt>
                <c:pt idx="897">
                  <c:v>1.42</c:v>
                </c:pt>
                <c:pt idx="898">
                  <c:v>1.425</c:v>
                </c:pt>
                <c:pt idx="899">
                  <c:v>1.385</c:v>
                </c:pt>
              </c:numCache>
            </c:numRef>
          </c:val>
          <c:smooth val="0"/>
          <c:extLst>
            <c:ext xmlns:c16="http://schemas.microsoft.com/office/drawing/2014/chart" uri="{C3380CC4-5D6E-409C-BE32-E72D297353CC}">
              <c16:uniqueId val="{00000000-F0FB-47CC-ADD4-5577765F24F6}"/>
            </c:ext>
          </c:extLst>
        </c:ser>
        <c:dLbls>
          <c:showLegendKey val="0"/>
          <c:showVal val="0"/>
          <c:showCatName val="0"/>
          <c:showSerName val="0"/>
          <c:showPercent val="0"/>
          <c:showBubbleSize val="0"/>
        </c:dLbls>
        <c:smooth val="0"/>
        <c:axId val="921788559"/>
        <c:axId val="921796239"/>
      </c:lineChart>
      <c:dateAx>
        <c:axId val="921788559"/>
        <c:scaling>
          <c:orientation val="minMax"/>
        </c:scaling>
        <c:delete val="0"/>
        <c:axPos val="b"/>
        <c:numFmt formatCode="[$-409]mmm\-d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796239"/>
        <c:crosses val="autoZero"/>
        <c:auto val="1"/>
        <c:lblOffset val="100"/>
        <c:baseTimeUnit val="days"/>
      </c:dateAx>
      <c:valAx>
        <c:axId val="921796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788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Cettire - YoY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'Tracking Pack - Quarterly'!$A$23:$B$23</c:f>
              <c:strCache>
                <c:ptCount val="2"/>
                <c:pt idx="0">
                  <c:v>CTT - Gross Revenue (USD, M)</c:v>
                </c:pt>
              </c:strCache>
            </c:strRef>
          </c:tx>
          <c:spPr>
            <a:ln w="28575" cap="rnd">
              <a:solidFill>
                <a:sysClr val="windowText" lastClr="000000"/>
              </a:solidFill>
              <a:round/>
            </a:ln>
            <a:effectLst/>
          </c:spPr>
          <c:marker>
            <c:symbol val="none"/>
          </c:marker>
          <c:cat>
            <c:strRef>
              <c:f>'Tracking Pack - Quarterly'!$C$5:$R$5</c:f>
              <c:strCache>
                <c:ptCount val="12"/>
                <c:pt idx="0">
                  <c:v>Q1 FY21</c:v>
                </c:pt>
                <c:pt idx="1">
                  <c:v>Q2 FY21</c:v>
                </c:pt>
                <c:pt idx="2">
                  <c:v>Q3 FY21</c:v>
                </c:pt>
                <c:pt idx="3">
                  <c:v>Q4 FY21</c:v>
                </c:pt>
                <c:pt idx="4">
                  <c:v>Q1 FY22</c:v>
                </c:pt>
                <c:pt idx="5">
                  <c:v>Q2 FY22</c:v>
                </c:pt>
                <c:pt idx="6">
                  <c:v>Q3 FY22</c:v>
                </c:pt>
                <c:pt idx="7">
                  <c:v>Q4 FY22</c:v>
                </c:pt>
                <c:pt idx="8">
                  <c:v>Q1 FY23</c:v>
                </c:pt>
                <c:pt idx="9">
                  <c:v>Q2 FY23</c:v>
                </c:pt>
                <c:pt idx="10">
                  <c:v>Q3 FY23</c:v>
                </c:pt>
                <c:pt idx="11">
                  <c:v>Q4 FY23</c:v>
                </c:pt>
              </c:strCache>
            </c:strRef>
          </c:cat>
          <c:val>
            <c:numRef>
              <c:f>'Tracking Pack - Quarterly'!$C$23:$R$23</c:f>
              <c:numCache>
                <c:formatCode>_(* #,##0.0%_);_(* \(#,##0.0%\);_(* "-"?_);_(* @_)</c:formatCode>
                <c:ptCount val="12"/>
                <c:pt idx="0">
                  <c:v>4.4941459897803364</c:v>
                </c:pt>
                <c:pt idx="1">
                  <c:v>2.8487402132644712</c:v>
                </c:pt>
                <c:pt idx="2">
                  <c:v>1.9111047792863931</c:v>
                </c:pt>
                <c:pt idx="3">
                  <c:v>1.9818008967190188</c:v>
                </c:pt>
                <c:pt idx="4">
                  <c:v>1.6235775947322391</c:v>
                </c:pt>
                <c:pt idx="5">
                  <c:v>0.25588850061026491</c:v>
                </c:pt>
                <c:pt idx="6">
                  <c:v>0.50699308975297486</c:v>
                </c:pt>
                <c:pt idx="7">
                  <c:v>0.39658437735190266</c:v>
                </c:pt>
                <c:pt idx="8">
                  <c:v>0.75640056743143869</c:v>
                </c:pt>
                <c:pt idx="9">
                  <c:v>1.4521639818070931</c:v>
                </c:pt>
                <c:pt idx="10">
                  <c:v>0.89959942709919893</c:v>
                </c:pt>
                <c:pt idx="11">
                  <c:v>0.8358718076324636</c:v>
                </c:pt>
              </c:numCache>
            </c:numRef>
          </c:val>
          <c:smooth val="0"/>
          <c:extLst>
            <c:ext xmlns:c16="http://schemas.microsoft.com/office/drawing/2014/chart" uri="{C3380CC4-5D6E-409C-BE32-E72D297353CC}">
              <c16:uniqueId val="{00000000-AD5E-46C6-A90F-070F63B14723}"/>
            </c:ext>
          </c:extLst>
        </c:ser>
        <c:ser>
          <c:idx val="1"/>
          <c:order val="1"/>
          <c:tx>
            <c:strRef>
              <c:f>'Tracking Pack - Quarterly'!$A$25:$B$25</c:f>
              <c:strCache>
                <c:ptCount val="2"/>
                <c:pt idx="0">
                  <c:v>Google Trends - WW - Cettire</c:v>
                </c:pt>
              </c:strCache>
            </c:strRef>
          </c:tx>
          <c:spPr>
            <a:ln w="28575" cap="rnd">
              <a:solidFill>
                <a:schemeClr val="accent1"/>
              </a:solidFill>
              <a:round/>
            </a:ln>
            <a:effectLst/>
          </c:spPr>
          <c:marker>
            <c:symbol val="none"/>
          </c:marker>
          <c:cat>
            <c:strRef>
              <c:f>'Tracking Pack - Quarterly'!$C$5:$R$5</c:f>
              <c:strCache>
                <c:ptCount val="12"/>
                <c:pt idx="0">
                  <c:v>Q1 FY21</c:v>
                </c:pt>
                <c:pt idx="1">
                  <c:v>Q2 FY21</c:v>
                </c:pt>
                <c:pt idx="2">
                  <c:v>Q3 FY21</c:v>
                </c:pt>
                <c:pt idx="3">
                  <c:v>Q4 FY21</c:v>
                </c:pt>
                <c:pt idx="4">
                  <c:v>Q1 FY22</c:v>
                </c:pt>
                <c:pt idx="5">
                  <c:v>Q2 FY22</c:v>
                </c:pt>
                <c:pt idx="6">
                  <c:v>Q3 FY22</c:v>
                </c:pt>
                <c:pt idx="7">
                  <c:v>Q4 FY22</c:v>
                </c:pt>
                <c:pt idx="8">
                  <c:v>Q1 FY23</c:v>
                </c:pt>
                <c:pt idx="9">
                  <c:v>Q2 FY23</c:v>
                </c:pt>
                <c:pt idx="10">
                  <c:v>Q3 FY23</c:v>
                </c:pt>
                <c:pt idx="11">
                  <c:v>Q4 FY23</c:v>
                </c:pt>
              </c:strCache>
            </c:strRef>
          </c:cat>
          <c:val>
            <c:numRef>
              <c:f>'Tracking Pack - Quarterly'!$C$25:$R$25</c:f>
              <c:numCache>
                <c:formatCode>_(* #,##0.0%_);_(* \(#,##0.0%\);_(* "-"?_);_(* @_)</c:formatCode>
                <c:ptCount val="12"/>
                <c:pt idx="0">
                  <c:v>1.8985507246376812</c:v>
                </c:pt>
                <c:pt idx="1">
                  <c:v>1.3953488372093021</c:v>
                </c:pt>
                <c:pt idx="2">
                  <c:v>1.6164383561643834</c:v>
                </c:pt>
                <c:pt idx="3">
                  <c:v>2.5951417004048585</c:v>
                </c:pt>
                <c:pt idx="4">
                  <c:v>2.77</c:v>
                </c:pt>
                <c:pt idx="5">
                  <c:v>0.7055016181229774</c:v>
                </c:pt>
                <c:pt idx="6">
                  <c:v>0.54712041884816753</c:v>
                </c:pt>
                <c:pt idx="7">
                  <c:v>1.3513513513513598E-2</c:v>
                </c:pt>
                <c:pt idx="8">
                  <c:v>0.14456233421750664</c:v>
                </c:pt>
                <c:pt idx="9">
                  <c:v>0.82542694497153701</c:v>
                </c:pt>
                <c:pt idx="10">
                  <c:v>0.71065989847715727</c:v>
                </c:pt>
                <c:pt idx="11">
                  <c:v>0.46774193548387077</c:v>
                </c:pt>
              </c:numCache>
            </c:numRef>
          </c:val>
          <c:smooth val="0"/>
          <c:extLst>
            <c:ext xmlns:c16="http://schemas.microsoft.com/office/drawing/2014/chart" uri="{C3380CC4-5D6E-409C-BE32-E72D297353CC}">
              <c16:uniqueId val="{00000001-AD5E-46C6-A90F-070F63B14723}"/>
            </c:ext>
          </c:extLst>
        </c:ser>
        <c:ser>
          <c:idx val="2"/>
          <c:order val="2"/>
          <c:tx>
            <c:strRef>
              <c:f>'Tracking Pack - Quarterly'!$A$27:$B$27</c:f>
              <c:strCache>
                <c:ptCount val="2"/>
                <c:pt idx="0">
                  <c:v>SEM Rush - WW Visits - Cettire </c:v>
                </c:pt>
              </c:strCache>
            </c:strRef>
          </c:tx>
          <c:spPr>
            <a:ln w="28575" cap="rnd">
              <a:solidFill>
                <a:srgbClr val="00B050"/>
              </a:solidFill>
              <a:round/>
            </a:ln>
            <a:effectLst/>
          </c:spPr>
          <c:marker>
            <c:symbol val="none"/>
          </c:marker>
          <c:cat>
            <c:strRef>
              <c:f>'Tracking Pack - Quarterly'!$C$5:$R$5</c:f>
              <c:strCache>
                <c:ptCount val="12"/>
                <c:pt idx="0">
                  <c:v>Q1 FY21</c:v>
                </c:pt>
                <c:pt idx="1">
                  <c:v>Q2 FY21</c:v>
                </c:pt>
                <c:pt idx="2">
                  <c:v>Q3 FY21</c:v>
                </c:pt>
                <c:pt idx="3">
                  <c:v>Q4 FY21</c:v>
                </c:pt>
                <c:pt idx="4">
                  <c:v>Q1 FY22</c:v>
                </c:pt>
                <c:pt idx="5">
                  <c:v>Q2 FY22</c:v>
                </c:pt>
                <c:pt idx="6">
                  <c:v>Q3 FY22</c:v>
                </c:pt>
                <c:pt idx="7">
                  <c:v>Q4 FY22</c:v>
                </c:pt>
                <c:pt idx="8">
                  <c:v>Q1 FY23</c:v>
                </c:pt>
                <c:pt idx="9">
                  <c:v>Q2 FY23</c:v>
                </c:pt>
                <c:pt idx="10">
                  <c:v>Q3 FY23</c:v>
                </c:pt>
                <c:pt idx="11">
                  <c:v>Q4 FY23</c:v>
                </c:pt>
              </c:strCache>
            </c:strRef>
          </c:cat>
          <c:val>
            <c:numRef>
              <c:f>'Tracking Pack - Quarterly'!$C$27:$R$27</c:f>
              <c:numCache>
                <c:formatCode>_(* #,##0.0%_);_(* \(#,##0.0%\);_(* "-"?_);_(* @_)</c:formatCode>
                <c:ptCount val="12"/>
                <c:pt idx="0">
                  <c:v>1.8965089314273063</c:v>
                </c:pt>
                <c:pt idx="1">
                  <c:v>3.5695095816380409</c:v>
                </c:pt>
                <c:pt idx="2">
                  <c:v>2.1652244021753915</c:v>
                </c:pt>
                <c:pt idx="3">
                  <c:v>3.0484764873126124</c:v>
                </c:pt>
                <c:pt idx="4">
                  <c:v>1.1942502647904374</c:v>
                </c:pt>
                <c:pt idx="5">
                  <c:v>-0.22196271760416408</c:v>
                </c:pt>
                <c:pt idx="6">
                  <c:v>-0.10503764822932216</c:v>
                </c:pt>
                <c:pt idx="7">
                  <c:v>-0.40012230287845729</c:v>
                </c:pt>
                <c:pt idx="8">
                  <c:v>0.11973419875524227</c:v>
                </c:pt>
                <c:pt idx="9">
                  <c:v>0.77936292095530613</c:v>
                </c:pt>
                <c:pt idx="10">
                  <c:v>0.18284476539338956</c:v>
                </c:pt>
                <c:pt idx="11">
                  <c:v>0.24732074474770793</c:v>
                </c:pt>
              </c:numCache>
            </c:numRef>
          </c:val>
          <c:smooth val="0"/>
          <c:extLst>
            <c:ext xmlns:c16="http://schemas.microsoft.com/office/drawing/2014/chart" uri="{C3380CC4-5D6E-409C-BE32-E72D297353CC}">
              <c16:uniqueId val="{00000002-AD5E-46C6-A90F-070F63B14723}"/>
            </c:ext>
          </c:extLst>
        </c:ser>
        <c:ser>
          <c:idx val="3"/>
          <c:order val="3"/>
          <c:tx>
            <c:strRef>
              <c:f>'Tracking Pack - Quarterly'!$A$29:$B$29</c:f>
              <c:strCache>
                <c:ptCount val="2"/>
                <c:pt idx="0">
                  <c:v>CE - US Spend</c:v>
                </c:pt>
              </c:strCache>
            </c:strRef>
          </c:tx>
          <c:spPr>
            <a:ln w="28575" cap="rnd">
              <a:solidFill>
                <a:srgbClr val="FF0000"/>
              </a:solidFill>
              <a:round/>
            </a:ln>
            <a:effectLst/>
          </c:spPr>
          <c:marker>
            <c:symbol val="none"/>
          </c:marker>
          <c:cat>
            <c:strRef>
              <c:f>'Tracking Pack - Quarterly'!$C$5:$R$5</c:f>
              <c:strCache>
                <c:ptCount val="12"/>
                <c:pt idx="0">
                  <c:v>Q1 FY21</c:v>
                </c:pt>
                <c:pt idx="1">
                  <c:v>Q2 FY21</c:v>
                </c:pt>
                <c:pt idx="2">
                  <c:v>Q3 FY21</c:v>
                </c:pt>
                <c:pt idx="3">
                  <c:v>Q4 FY21</c:v>
                </c:pt>
                <c:pt idx="4">
                  <c:v>Q1 FY22</c:v>
                </c:pt>
                <c:pt idx="5">
                  <c:v>Q2 FY22</c:v>
                </c:pt>
                <c:pt idx="6">
                  <c:v>Q3 FY22</c:v>
                </c:pt>
                <c:pt idx="7">
                  <c:v>Q4 FY22</c:v>
                </c:pt>
                <c:pt idx="8">
                  <c:v>Q1 FY23</c:v>
                </c:pt>
                <c:pt idx="9">
                  <c:v>Q2 FY23</c:v>
                </c:pt>
                <c:pt idx="10">
                  <c:v>Q3 FY23</c:v>
                </c:pt>
                <c:pt idx="11">
                  <c:v>Q4 FY23</c:v>
                </c:pt>
              </c:strCache>
            </c:strRef>
          </c:cat>
          <c:val>
            <c:numRef>
              <c:f>'Tracking Pack - Quarterly'!$C$29:$R$29</c:f>
              <c:numCache>
                <c:formatCode>_(* #,##0.0%_);_(* \(#,##0.0%\);_(* "-"?_);_(* @_)</c:formatCode>
                <c:ptCount val="12"/>
                <c:pt idx="0">
                  <c:v>2.6289371449259211</c:v>
                </c:pt>
                <c:pt idx="1">
                  <c:v>1.983582101669596</c:v>
                </c:pt>
                <c:pt idx="2">
                  <c:v>1.04103882343734</c:v>
                </c:pt>
                <c:pt idx="3">
                  <c:v>1.3422153115663429</c:v>
                </c:pt>
                <c:pt idx="4">
                  <c:v>1.1472196135498334</c:v>
                </c:pt>
                <c:pt idx="5">
                  <c:v>0.18887572934020769</c:v>
                </c:pt>
                <c:pt idx="6">
                  <c:v>0.43931819053265264</c:v>
                </c:pt>
                <c:pt idx="7">
                  <c:v>0.46020166610112079</c:v>
                </c:pt>
                <c:pt idx="8">
                  <c:v>0.58305340830960728</c:v>
                </c:pt>
                <c:pt idx="9">
                  <c:v>0.99508021965634774</c:v>
                </c:pt>
                <c:pt idx="10">
                  <c:v>0.62543110956279402</c:v>
                </c:pt>
                <c:pt idx="11">
                  <c:v>0.52185199999999998</c:v>
                </c:pt>
              </c:numCache>
            </c:numRef>
          </c:val>
          <c:smooth val="0"/>
          <c:extLst>
            <c:ext xmlns:c16="http://schemas.microsoft.com/office/drawing/2014/chart" uri="{C3380CC4-5D6E-409C-BE32-E72D297353CC}">
              <c16:uniqueId val="{00000003-AD5E-46C6-A90F-070F63B14723}"/>
            </c:ext>
          </c:extLst>
        </c:ser>
        <c:dLbls>
          <c:showLegendKey val="0"/>
          <c:showVal val="0"/>
          <c:showCatName val="0"/>
          <c:showSerName val="0"/>
          <c:showPercent val="0"/>
          <c:showBubbleSize val="0"/>
        </c:dLbls>
        <c:smooth val="0"/>
        <c:axId val="761781919"/>
        <c:axId val="1673304623"/>
      </c:lineChart>
      <c:catAx>
        <c:axId val="7617819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304623"/>
        <c:crosses val="autoZero"/>
        <c:auto val="1"/>
        <c:lblAlgn val="ctr"/>
        <c:lblOffset val="100"/>
        <c:noMultiLvlLbl val="0"/>
      </c:catAx>
      <c:valAx>
        <c:axId val="1673304623"/>
        <c:scaling>
          <c:orientation val="minMax"/>
          <c:max val="3"/>
          <c:min val="-0.5"/>
        </c:scaling>
        <c:delete val="0"/>
        <c:axPos val="l"/>
        <c:majorGridlines>
          <c:spPr>
            <a:ln w="9525" cap="flat" cmpd="sng" algn="ctr">
              <a:solidFill>
                <a:schemeClr val="tx1">
                  <a:lumMod val="15000"/>
                  <a:lumOff val="85000"/>
                </a:schemeClr>
              </a:solidFill>
              <a:round/>
            </a:ln>
            <a:effectLst/>
          </c:spPr>
        </c:majorGridlines>
        <c:numFmt formatCode="_(* #,##0.0%_);_(* \(#,##0.0%\);_(* &quot;-&quot;?_);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8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Cettire US - YoY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'Tracking Pack - Quarterly'!$A$79:$B$79</c:f>
              <c:strCache>
                <c:ptCount val="2"/>
                <c:pt idx="0">
                  <c:v>CE - US Spend</c:v>
                </c:pt>
              </c:strCache>
            </c:strRef>
          </c:tx>
          <c:spPr>
            <a:ln w="28575" cap="rnd">
              <a:solidFill>
                <a:srgbClr val="FF0000"/>
              </a:solidFill>
              <a:round/>
            </a:ln>
            <a:effectLst/>
          </c:spPr>
          <c:marker>
            <c:symbol val="none"/>
          </c:marker>
          <c:cat>
            <c:strRef>
              <c:f>'Tracking Pack - Quarterly'!$K$71:$R$71</c:f>
              <c:strCache>
                <c:ptCount val="8"/>
                <c:pt idx="0">
                  <c:v>H1 FY20</c:v>
                </c:pt>
                <c:pt idx="1">
                  <c:v>H2 FY20</c:v>
                </c:pt>
                <c:pt idx="2">
                  <c:v>H1 FY21</c:v>
                </c:pt>
                <c:pt idx="3">
                  <c:v>H2 FY21</c:v>
                </c:pt>
                <c:pt idx="4">
                  <c:v>H1 FY22</c:v>
                </c:pt>
                <c:pt idx="5">
                  <c:v>H2 FY22</c:v>
                </c:pt>
                <c:pt idx="6">
                  <c:v>H1 FY23</c:v>
                </c:pt>
                <c:pt idx="7">
                  <c:v>H2 FY23</c:v>
                </c:pt>
              </c:strCache>
            </c:strRef>
          </c:cat>
          <c:val>
            <c:numRef>
              <c:f>'Tracking Pack - Quarterly'!$K$79:$R$79</c:f>
              <c:numCache>
                <c:formatCode>_(* #,##0.0%_);_(* \(#,##0.0%\);_(* "-"?_);_(* @_)</c:formatCode>
                <c:ptCount val="8"/>
                <c:pt idx="2">
                  <c:v>2.2212708889453023</c:v>
                </c:pt>
                <c:pt idx="3">
                  <c:v>1.2231045116118722</c:v>
                </c:pt>
                <c:pt idx="4">
                  <c:v>0.58650977370349944</c:v>
                </c:pt>
                <c:pt idx="5">
                  <c:v>0.45261895969862409</c:v>
                </c:pt>
                <c:pt idx="6">
                  <c:v>0.76370258572677208</c:v>
                </c:pt>
                <c:pt idx="7">
                  <c:v>0.55911679540988435</c:v>
                </c:pt>
              </c:numCache>
            </c:numRef>
          </c:val>
          <c:smooth val="0"/>
          <c:extLst>
            <c:ext xmlns:c16="http://schemas.microsoft.com/office/drawing/2014/chart" uri="{C3380CC4-5D6E-409C-BE32-E72D297353CC}">
              <c16:uniqueId val="{00000000-AD5E-46C6-A90F-070F63B14723}"/>
            </c:ext>
          </c:extLst>
        </c:ser>
        <c:ser>
          <c:idx val="1"/>
          <c:order val="1"/>
          <c:tx>
            <c:strRef>
              <c:f>'Tracking Pack - Quarterly'!$A$78:$B$78</c:f>
              <c:strCache>
                <c:ptCount val="2"/>
                <c:pt idx="0">
                  <c:v>CTT - US Net Revenue (USD, M)</c:v>
                </c:pt>
              </c:strCache>
            </c:strRef>
          </c:tx>
          <c:spPr>
            <a:ln w="28575" cap="rnd">
              <a:solidFill>
                <a:sysClr val="windowText" lastClr="000000"/>
              </a:solidFill>
              <a:round/>
            </a:ln>
            <a:effectLst/>
          </c:spPr>
          <c:marker>
            <c:symbol val="none"/>
          </c:marker>
          <c:cat>
            <c:strRef>
              <c:f>'Tracking Pack - Quarterly'!$K$71:$R$71</c:f>
              <c:strCache>
                <c:ptCount val="8"/>
                <c:pt idx="0">
                  <c:v>H1 FY20</c:v>
                </c:pt>
                <c:pt idx="1">
                  <c:v>H2 FY20</c:v>
                </c:pt>
                <c:pt idx="2">
                  <c:v>H1 FY21</c:v>
                </c:pt>
                <c:pt idx="3">
                  <c:v>H2 FY21</c:v>
                </c:pt>
                <c:pt idx="4">
                  <c:v>H1 FY22</c:v>
                </c:pt>
                <c:pt idx="5">
                  <c:v>H2 FY22</c:v>
                </c:pt>
                <c:pt idx="6">
                  <c:v>H1 FY23</c:v>
                </c:pt>
                <c:pt idx="7">
                  <c:v>H2 FY23</c:v>
                </c:pt>
              </c:strCache>
            </c:strRef>
          </c:cat>
          <c:val>
            <c:numRef>
              <c:f>'Tracking Pack - Quarterly'!$K$78:$R$78</c:f>
              <c:numCache>
                <c:formatCode>_(* #,##0.0%_);_(* \(#,##0.0%\);_(* "-"?_);_(* @_)</c:formatCode>
                <c:ptCount val="8"/>
                <c:pt idx="1">
                  <c:v>6.0443116563802546</c:v>
                </c:pt>
                <c:pt idx="2">
                  <c:v>2.7773644591899469</c:v>
                </c:pt>
                <c:pt idx="3">
                  <c:v>1.5891691917366964</c:v>
                </c:pt>
                <c:pt idx="4">
                  <c:v>0.39447524671750478</c:v>
                </c:pt>
                <c:pt idx="5">
                  <c:v>0.54950197835554171</c:v>
                </c:pt>
                <c:pt idx="6">
                  <c:v>1.3222725841505629</c:v>
                </c:pt>
                <c:pt idx="7">
                  <c:v>0.62067693941499491</c:v>
                </c:pt>
              </c:numCache>
            </c:numRef>
          </c:val>
          <c:smooth val="0"/>
          <c:extLst>
            <c:ext xmlns:c16="http://schemas.microsoft.com/office/drawing/2014/chart" uri="{C3380CC4-5D6E-409C-BE32-E72D297353CC}">
              <c16:uniqueId val="{00000001-AD5E-46C6-A90F-070F63B14723}"/>
            </c:ext>
          </c:extLst>
        </c:ser>
        <c:dLbls>
          <c:showLegendKey val="0"/>
          <c:showVal val="0"/>
          <c:showCatName val="0"/>
          <c:showSerName val="0"/>
          <c:showPercent val="0"/>
          <c:showBubbleSize val="0"/>
        </c:dLbls>
        <c:smooth val="0"/>
        <c:axId val="761781919"/>
        <c:axId val="1673304623"/>
      </c:lineChart>
      <c:catAx>
        <c:axId val="7617819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304623"/>
        <c:crosses val="autoZero"/>
        <c:auto val="1"/>
        <c:lblAlgn val="ctr"/>
        <c:lblOffset val="100"/>
        <c:noMultiLvlLbl val="0"/>
      </c:catAx>
      <c:valAx>
        <c:axId val="1673304623"/>
        <c:scaling>
          <c:orientation val="minMax"/>
          <c:max val="3"/>
          <c:min val="-0.5"/>
        </c:scaling>
        <c:delete val="0"/>
        <c:axPos val="l"/>
        <c:majorGridlines>
          <c:spPr>
            <a:ln w="9525" cap="flat" cmpd="sng" algn="ctr">
              <a:solidFill>
                <a:schemeClr val="tx1">
                  <a:lumMod val="15000"/>
                  <a:lumOff val="85000"/>
                </a:schemeClr>
              </a:solidFill>
              <a:round/>
            </a:ln>
            <a:effectLst/>
          </c:spPr>
        </c:majorGridlines>
        <c:numFmt formatCode="_(* #,##0.0%_);_(* \(#,##0.0%\);_(* &quot;-&quot;?_);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8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Cettire US - HoH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'Tracking Pack - Quarterly'!$A$85:$B$85</c:f>
              <c:strCache>
                <c:ptCount val="2"/>
                <c:pt idx="0">
                  <c:v>CE - US Spend</c:v>
                </c:pt>
              </c:strCache>
            </c:strRef>
          </c:tx>
          <c:spPr>
            <a:ln w="28575" cap="rnd">
              <a:solidFill>
                <a:srgbClr val="FF0000"/>
              </a:solidFill>
              <a:round/>
            </a:ln>
            <a:effectLst/>
          </c:spPr>
          <c:marker>
            <c:symbol val="none"/>
          </c:marker>
          <c:cat>
            <c:strRef>
              <c:f>'Tracking Pack - Quarterly'!$K$71:$R$71</c:f>
              <c:strCache>
                <c:ptCount val="8"/>
                <c:pt idx="0">
                  <c:v>H1 FY20</c:v>
                </c:pt>
                <c:pt idx="1">
                  <c:v>H2 FY20</c:v>
                </c:pt>
                <c:pt idx="2">
                  <c:v>H1 FY21</c:v>
                </c:pt>
                <c:pt idx="3">
                  <c:v>H2 FY21</c:v>
                </c:pt>
                <c:pt idx="4">
                  <c:v>H1 FY22</c:v>
                </c:pt>
                <c:pt idx="5">
                  <c:v>H2 FY22</c:v>
                </c:pt>
                <c:pt idx="6">
                  <c:v>H1 FY23</c:v>
                </c:pt>
                <c:pt idx="7">
                  <c:v>H2 FY23</c:v>
                </c:pt>
              </c:strCache>
            </c:strRef>
          </c:cat>
          <c:val>
            <c:numRef>
              <c:f>'Tracking Pack - Quarterly'!$K$85:$R$85</c:f>
              <c:numCache>
                <c:formatCode>_(* #,##0.0%_);_(* \(#,##0.0%\);_(* "-"?_);_(* @_)</c:formatCode>
                <c:ptCount val="8"/>
                <c:pt idx="1">
                  <c:v>1.6925706255977886</c:v>
                </c:pt>
                <c:pt idx="2">
                  <c:v>0.19635520729568046</c:v>
                </c:pt>
                <c:pt idx="3">
                  <c:v>0.85823114912261134</c:v>
                </c:pt>
                <c:pt idx="4">
                  <c:v>-0.14622582101662041</c:v>
                </c:pt>
                <c:pt idx="5">
                  <c:v>0.70140886835944283</c:v>
                </c:pt>
                <c:pt idx="6">
                  <c:v>3.6613020259730567E-2</c:v>
                </c:pt>
                <c:pt idx="7">
                  <c:v>0.50404901823366743</c:v>
                </c:pt>
              </c:numCache>
            </c:numRef>
          </c:val>
          <c:smooth val="0"/>
          <c:extLst>
            <c:ext xmlns:c16="http://schemas.microsoft.com/office/drawing/2014/chart" uri="{C3380CC4-5D6E-409C-BE32-E72D297353CC}">
              <c16:uniqueId val="{00000000-AD5E-46C6-A90F-070F63B14723}"/>
            </c:ext>
          </c:extLst>
        </c:ser>
        <c:ser>
          <c:idx val="1"/>
          <c:order val="1"/>
          <c:tx>
            <c:strRef>
              <c:f>'Tracking Pack - Quarterly'!$A$84:$B$84</c:f>
              <c:strCache>
                <c:ptCount val="2"/>
                <c:pt idx="0">
                  <c:v>CTT - US Net Revenue (USD, M)</c:v>
                </c:pt>
              </c:strCache>
            </c:strRef>
          </c:tx>
          <c:spPr>
            <a:ln w="28575" cap="rnd">
              <a:solidFill>
                <a:sysClr val="windowText" lastClr="000000"/>
              </a:solidFill>
              <a:round/>
            </a:ln>
            <a:effectLst/>
          </c:spPr>
          <c:marker>
            <c:symbol val="none"/>
          </c:marker>
          <c:cat>
            <c:strRef>
              <c:f>'Tracking Pack - Quarterly'!$K$71:$R$71</c:f>
              <c:strCache>
                <c:ptCount val="8"/>
                <c:pt idx="0">
                  <c:v>H1 FY20</c:v>
                </c:pt>
                <c:pt idx="1">
                  <c:v>H2 FY20</c:v>
                </c:pt>
                <c:pt idx="2">
                  <c:v>H1 FY21</c:v>
                </c:pt>
                <c:pt idx="3">
                  <c:v>H2 FY21</c:v>
                </c:pt>
                <c:pt idx="4">
                  <c:v>H1 FY22</c:v>
                </c:pt>
                <c:pt idx="5">
                  <c:v>H2 FY22</c:v>
                </c:pt>
                <c:pt idx="6">
                  <c:v>H1 FY23</c:v>
                </c:pt>
                <c:pt idx="7">
                  <c:v>H2 FY23</c:v>
                </c:pt>
              </c:strCache>
            </c:strRef>
          </c:cat>
          <c:val>
            <c:numRef>
              <c:f>'Tracking Pack - Quarterly'!$K$84:$R$84</c:f>
              <c:numCache>
                <c:formatCode>_(* #,##0.0%_);_(* \(#,##0.0%\);_(* "-"?_);_(* @_)</c:formatCode>
                <c:ptCount val="8"/>
                <c:pt idx="0">
                  <c:v>1.6539844185109858</c:v>
                </c:pt>
                <c:pt idx="1">
                  <c:v>1.6542400201175469</c:v>
                </c:pt>
                <c:pt idx="2">
                  <c:v>0.42314351021753516</c:v>
                </c:pt>
                <c:pt idx="3">
                  <c:v>0.81933106053438554</c:v>
                </c:pt>
                <c:pt idx="4">
                  <c:v>-0.23352309155437034</c:v>
                </c:pt>
                <c:pt idx="5">
                  <c:v>1.0215899021639685</c:v>
                </c:pt>
                <c:pt idx="6">
                  <c:v>0.14873574589224781</c:v>
                </c:pt>
                <c:pt idx="7">
                  <c:v>0.4108352989017332</c:v>
                </c:pt>
              </c:numCache>
            </c:numRef>
          </c:val>
          <c:smooth val="0"/>
          <c:extLst>
            <c:ext xmlns:c16="http://schemas.microsoft.com/office/drawing/2014/chart" uri="{C3380CC4-5D6E-409C-BE32-E72D297353CC}">
              <c16:uniqueId val="{00000001-AD5E-46C6-A90F-070F63B14723}"/>
            </c:ext>
          </c:extLst>
        </c:ser>
        <c:dLbls>
          <c:showLegendKey val="0"/>
          <c:showVal val="0"/>
          <c:showCatName val="0"/>
          <c:showSerName val="0"/>
          <c:showPercent val="0"/>
          <c:showBubbleSize val="0"/>
        </c:dLbls>
        <c:smooth val="0"/>
        <c:axId val="761781919"/>
        <c:axId val="1673304623"/>
      </c:lineChart>
      <c:catAx>
        <c:axId val="76178191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304623"/>
        <c:crosses val="autoZero"/>
        <c:auto val="1"/>
        <c:lblAlgn val="ctr"/>
        <c:lblOffset val="100"/>
        <c:noMultiLvlLbl val="0"/>
      </c:catAx>
      <c:valAx>
        <c:axId val="1673304623"/>
        <c:scaling>
          <c:orientation val="minMax"/>
          <c:max val="3"/>
          <c:min val="-0.5"/>
        </c:scaling>
        <c:delete val="0"/>
        <c:axPos val="l"/>
        <c:majorGridlines>
          <c:spPr>
            <a:ln w="9525" cap="flat" cmpd="sng" algn="ctr">
              <a:solidFill>
                <a:schemeClr val="tx1">
                  <a:lumMod val="15000"/>
                  <a:lumOff val="85000"/>
                </a:schemeClr>
              </a:solidFill>
              <a:round/>
            </a:ln>
            <a:effectLst/>
          </c:spPr>
        </c:majorGridlines>
        <c:numFmt formatCode="_(* #,##0.0%_);_(* \(#,##0.0%\);_(* &quot;-&quot;?_);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78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GMV YoY Growth % (USD)</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'Webinar Charts'!$A$13</c:f>
              <c:strCache>
                <c:ptCount val="1"/>
                <c:pt idx="0">
                  <c:v>Cettire</c:v>
                </c:pt>
              </c:strCache>
            </c:strRef>
          </c:tx>
          <c:spPr>
            <a:ln w="28575" cap="rnd">
              <a:solidFill>
                <a:schemeClr val="accent1"/>
              </a:solidFill>
              <a:round/>
            </a:ln>
            <a:effectLst/>
          </c:spPr>
          <c:marker>
            <c:symbol val="none"/>
          </c:marker>
          <c:cat>
            <c:strRef>
              <c:f>'Webinar Charts'!$B$12:$O$12</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Charts'!$B$13:$O$13</c:f>
              <c:numCache>
                <c:formatCode>0%</c:formatCode>
                <c:ptCount val="9"/>
                <c:pt idx="0">
                  <c:v>4.070614393137741</c:v>
                </c:pt>
                <c:pt idx="1">
                  <c:v>2.386876593873434</c:v>
                </c:pt>
                <c:pt idx="2">
                  <c:v>1.7181435311970761</c:v>
                </c:pt>
                <c:pt idx="3">
                  <c:v>2.3586332652951012</c:v>
                </c:pt>
                <c:pt idx="4">
                  <c:v>1.4730293491832431</c:v>
                </c:pt>
                <c:pt idx="5">
                  <c:v>0.31639216658770675</c:v>
                </c:pt>
                <c:pt idx="6">
                  <c:v>0.6000173545525409</c:v>
                </c:pt>
                <c:pt idx="7">
                  <c:v>0.45391557255952497</c:v>
                </c:pt>
                <c:pt idx="8">
                  <c:v>0.96240045736147128</c:v>
                </c:pt>
              </c:numCache>
            </c:numRef>
          </c:val>
          <c:smooth val="0"/>
          <c:extLst>
            <c:ext xmlns:c16="http://schemas.microsoft.com/office/drawing/2014/chart" uri="{C3380CC4-5D6E-409C-BE32-E72D297353CC}">
              <c16:uniqueId val="{00000000-57CE-43FE-AE86-5A7319C02872}"/>
            </c:ext>
          </c:extLst>
        </c:ser>
        <c:ser>
          <c:idx val="1"/>
          <c:order val="1"/>
          <c:tx>
            <c:strRef>
              <c:f>'Webinar Charts'!$A$14</c:f>
              <c:strCache>
                <c:ptCount val="1"/>
                <c:pt idx="0">
                  <c:v>Farfetch</c:v>
                </c:pt>
              </c:strCache>
            </c:strRef>
          </c:tx>
          <c:spPr>
            <a:ln w="28575" cap="rnd">
              <a:solidFill>
                <a:schemeClr val="accent2"/>
              </a:solidFill>
              <a:round/>
            </a:ln>
            <a:effectLst/>
          </c:spPr>
          <c:marker>
            <c:symbol val="none"/>
          </c:marker>
          <c:cat>
            <c:strRef>
              <c:f>'Webinar Charts'!$B$12:$O$12</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Charts'!$B$14:$O$14</c:f>
              <c:numCache>
                <c:formatCode>0%</c:formatCode>
                <c:ptCount val="9"/>
                <c:pt idx="0">
                  <c:v>0.49884264185413052</c:v>
                </c:pt>
                <c:pt idx="1">
                  <c:v>0.39719538062691506</c:v>
                </c:pt>
                <c:pt idx="2">
                  <c:v>0.27508523012132757</c:v>
                </c:pt>
                <c:pt idx="3">
                  <c:v>0.2196378395254448</c:v>
                </c:pt>
                <c:pt idx="4">
                  <c:v>1.6544270230361535E-2</c:v>
                </c:pt>
                <c:pt idx="5">
                  <c:v>1.2539057422473077E-2</c:v>
                </c:pt>
                <c:pt idx="6">
                  <c:v>-4.9092020752687926E-2</c:v>
                </c:pt>
                <c:pt idx="7">
                  <c:v>-0.11574803455003113</c:v>
                </c:pt>
                <c:pt idx="8">
                  <c:v>9.7340644983856528E-4</c:v>
                </c:pt>
              </c:numCache>
            </c:numRef>
          </c:val>
          <c:smooth val="0"/>
          <c:extLst>
            <c:ext xmlns:c16="http://schemas.microsoft.com/office/drawing/2014/chart" uri="{C3380CC4-5D6E-409C-BE32-E72D297353CC}">
              <c16:uniqueId val="{00000001-57CE-43FE-AE86-5A7319C02872}"/>
            </c:ext>
          </c:extLst>
        </c:ser>
        <c:ser>
          <c:idx val="2"/>
          <c:order val="2"/>
          <c:tx>
            <c:strRef>
              <c:f>'Webinar Charts'!$A$15</c:f>
              <c:strCache>
                <c:ptCount val="1"/>
                <c:pt idx="0">
                  <c:v>MyTheresa</c:v>
                </c:pt>
              </c:strCache>
            </c:strRef>
          </c:tx>
          <c:spPr>
            <a:ln w="28575" cap="rnd">
              <a:solidFill>
                <a:schemeClr val="accent3"/>
              </a:solidFill>
              <a:round/>
            </a:ln>
            <a:effectLst/>
          </c:spPr>
          <c:marker>
            <c:symbol val="none"/>
          </c:marker>
          <c:cat>
            <c:strRef>
              <c:f>'Webinar Charts'!$B$12:$O$12</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Charts'!$B$15:$O$15</c:f>
              <c:numCache>
                <c:formatCode>0%</c:formatCode>
                <c:ptCount val="9"/>
                <c:pt idx="0">
                  <c:v>0.47514262428687859</c:v>
                </c:pt>
                <c:pt idx="1">
                  <c:v>0.36106870229007648</c:v>
                </c:pt>
                <c:pt idx="2">
                  <c:v>0.24855907780979836</c:v>
                </c:pt>
                <c:pt idx="3">
                  <c:v>0.18254879448909311</c:v>
                </c:pt>
                <c:pt idx="4">
                  <c:v>2.8729281767955639E-2</c:v>
                </c:pt>
                <c:pt idx="5">
                  <c:v>7.6836791923724057E-2</c:v>
                </c:pt>
                <c:pt idx="6">
                  <c:v>0.1148297749567222</c:v>
                </c:pt>
                <c:pt idx="7">
                  <c:v>1.3592233009708687E-2</c:v>
                </c:pt>
                <c:pt idx="8">
                  <c:v>0.17293233082706783</c:v>
                </c:pt>
              </c:numCache>
            </c:numRef>
          </c:val>
          <c:smooth val="0"/>
          <c:extLst>
            <c:ext xmlns:c16="http://schemas.microsoft.com/office/drawing/2014/chart" uri="{C3380CC4-5D6E-409C-BE32-E72D297353CC}">
              <c16:uniqueId val="{00000002-57CE-43FE-AE86-5A7319C02872}"/>
            </c:ext>
          </c:extLst>
        </c:ser>
        <c:ser>
          <c:idx val="3"/>
          <c:order val="3"/>
          <c:tx>
            <c:strRef>
              <c:f>'Webinar Charts'!$A$16</c:f>
              <c:strCache>
                <c:ptCount val="1"/>
                <c:pt idx="0">
                  <c:v>Revolve</c:v>
                </c:pt>
              </c:strCache>
            </c:strRef>
          </c:tx>
          <c:spPr>
            <a:ln w="28575" cap="rnd">
              <a:solidFill>
                <a:schemeClr val="accent4"/>
              </a:solidFill>
              <a:round/>
            </a:ln>
            <a:effectLst/>
          </c:spPr>
          <c:marker>
            <c:symbol val="none"/>
          </c:marker>
          <c:cat>
            <c:strRef>
              <c:f>'Webinar Charts'!$B$12:$O$12</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Charts'!$B$16:$O$16</c:f>
            </c:numRef>
          </c:val>
          <c:smooth val="0"/>
          <c:extLst>
            <c:ext xmlns:c16="http://schemas.microsoft.com/office/drawing/2014/chart" uri="{C3380CC4-5D6E-409C-BE32-E72D297353CC}">
              <c16:uniqueId val="{00000003-57CE-43FE-AE86-5A7319C02872}"/>
            </c:ext>
          </c:extLst>
        </c:ser>
        <c:dLbls>
          <c:showLegendKey val="0"/>
          <c:showVal val="0"/>
          <c:showCatName val="0"/>
          <c:showSerName val="0"/>
          <c:showPercent val="0"/>
          <c:showBubbleSize val="0"/>
        </c:dLbls>
        <c:smooth val="0"/>
        <c:axId val="1385536751"/>
        <c:axId val="1269007871"/>
      </c:lineChart>
      <c:catAx>
        <c:axId val="138553675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69007871"/>
        <c:crosses val="autoZero"/>
        <c:auto val="1"/>
        <c:lblAlgn val="ctr"/>
        <c:lblOffset val="100"/>
        <c:noMultiLvlLbl val="0"/>
      </c:catAx>
      <c:valAx>
        <c:axId val="1269007871"/>
        <c:scaling>
          <c:orientation val="minMax"/>
          <c:max val="4.5"/>
          <c:min val="-4.5"/>
        </c:scaling>
        <c:delete val="0"/>
        <c:axPos val="l"/>
        <c:numFmt formatCode="_(* #,##0%_);_(* \(#,##0%\);_(* &quot;-&quot;_);_(@_)"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85536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GMV Added YoY (USD)</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'Webinar Charts'!$A$19</c:f>
              <c:strCache>
                <c:ptCount val="1"/>
                <c:pt idx="0">
                  <c:v>Cettire</c:v>
                </c:pt>
              </c:strCache>
            </c:strRef>
          </c:tx>
          <c:spPr>
            <a:solidFill>
              <a:schemeClr val="accent1"/>
            </a:solidFill>
            <a:ln>
              <a:noFill/>
            </a:ln>
            <a:effectLst/>
          </c:spPr>
          <c:invertIfNegative val="0"/>
          <c:cat>
            <c:strRef>
              <c:f>'Webinar Charts'!$B$18:$O$18</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Charts'!$B$19:$O$19</c:f>
              <c:numCache>
                <c:formatCode>_(* #,##0_);_(* \(#,##0\);_(* "-"??_);_(@_)</c:formatCode>
                <c:ptCount val="9"/>
                <c:pt idx="0">
                  <c:v>11.471264067657152</c:v>
                </c:pt>
                <c:pt idx="1">
                  <c:v>18.106889863013578</c:v>
                </c:pt>
                <c:pt idx="2">
                  <c:v>17.92695479367098</c:v>
                </c:pt>
                <c:pt idx="3">
                  <c:v>38.494339680813013</c:v>
                </c:pt>
                <c:pt idx="4">
                  <c:v>21.048604034398274</c:v>
                </c:pt>
                <c:pt idx="5">
                  <c:v>8.1290349249749845</c:v>
                </c:pt>
                <c:pt idx="6">
                  <c:v>17.017011004186255</c:v>
                </c:pt>
                <c:pt idx="7">
                  <c:v>24.881360428672103</c:v>
                </c:pt>
                <c:pt idx="8">
                  <c:v>34.009244898903006</c:v>
                </c:pt>
              </c:numCache>
            </c:numRef>
          </c:val>
          <c:extLst>
            <c:ext xmlns:c16="http://schemas.microsoft.com/office/drawing/2014/chart" uri="{C3380CC4-5D6E-409C-BE32-E72D297353CC}">
              <c16:uniqueId val="{00000000-FF89-4C6C-9B08-837F870DD2DF}"/>
            </c:ext>
          </c:extLst>
        </c:ser>
        <c:ser>
          <c:idx val="1"/>
          <c:order val="1"/>
          <c:tx>
            <c:strRef>
              <c:f>'Webinar Charts'!$A$20</c:f>
              <c:strCache>
                <c:ptCount val="1"/>
                <c:pt idx="0">
                  <c:v>Farfetch</c:v>
                </c:pt>
              </c:strCache>
            </c:strRef>
          </c:tx>
          <c:spPr>
            <a:solidFill>
              <a:schemeClr val="accent2"/>
            </a:solidFill>
            <a:ln>
              <a:noFill/>
            </a:ln>
            <a:effectLst/>
          </c:spPr>
          <c:invertIfNegative val="0"/>
          <c:cat>
            <c:strRef>
              <c:f>'Webinar Charts'!$B$18:$O$18</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Charts'!$B$20:$O$20</c:f>
              <c:numCache>
                <c:formatCode>_(* #,##0_);_(* \(#,##0\);_(* "-"??_);_(@_)</c:formatCode>
                <c:ptCount val="9"/>
                <c:pt idx="0">
                  <c:v>304.73000000000013</c:v>
                </c:pt>
                <c:pt idx="1">
                  <c:v>286.50100000000009</c:v>
                </c:pt>
                <c:pt idx="2">
                  <c:v>219.47399999999993</c:v>
                </c:pt>
                <c:pt idx="3">
                  <c:v>232.15499999999997</c:v>
                </c:pt>
                <c:pt idx="4">
                  <c:v>15.147999999999911</c:v>
                </c:pt>
                <c:pt idx="5">
                  <c:v>12.636999999999944</c:v>
                </c:pt>
                <c:pt idx="6">
                  <c:v>-49.942000000000007</c:v>
                </c:pt>
                <c:pt idx="7">
                  <c:v>-149.21599999999989</c:v>
                </c:pt>
                <c:pt idx="8">
                  <c:v>0.90600000000006276</c:v>
                </c:pt>
              </c:numCache>
            </c:numRef>
          </c:val>
          <c:extLst>
            <c:ext xmlns:c16="http://schemas.microsoft.com/office/drawing/2014/chart" uri="{C3380CC4-5D6E-409C-BE32-E72D297353CC}">
              <c16:uniqueId val="{00000001-FF89-4C6C-9B08-837F870DD2DF}"/>
            </c:ext>
          </c:extLst>
        </c:ser>
        <c:ser>
          <c:idx val="2"/>
          <c:order val="2"/>
          <c:tx>
            <c:strRef>
              <c:f>'Webinar Charts'!$A$21</c:f>
              <c:strCache>
                <c:ptCount val="1"/>
                <c:pt idx="0">
                  <c:v>MyTheresa</c:v>
                </c:pt>
              </c:strCache>
            </c:strRef>
          </c:tx>
          <c:spPr>
            <a:solidFill>
              <a:schemeClr val="accent3"/>
            </a:solidFill>
            <a:ln>
              <a:noFill/>
            </a:ln>
            <a:effectLst/>
          </c:spPr>
          <c:invertIfNegative val="0"/>
          <c:cat>
            <c:strRef>
              <c:f>'Webinar Charts'!$B$18:$O$18</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Charts'!$B$21:$O$21</c:f>
              <c:numCache>
                <c:formatCode>_(* #,##0_);_(* \(#,##0\);_(* "-"??_);_(@_)</c:formatCode>
                <c:ptCount val="9"/>
                <c:pt idx="0">
                  <c:v>58.3</c:v>
                </c:pt>
                <c:pt idx="1">
                  <c:v>47.300000000000011</c:v>
                </c:pt>
                <c:pt idx="2">
                  <c:v>34.5</c:v>
                </c:pt>
                <c:pt idx="3">
                  <c:v>31.800000000000011</c:v>
                </c:pt>
                <c:pt idx="4">
                  <c:v>5.1999999999999886</c:v>
                </c:pt>
                <c:pt idx="5">
                  <c:v>13.699999999999989</c:v>
                </c:pt>
                <c:pt idx="6">
                  <c:v>19.899999999999977</c:v>
                </c:pt>
                <c:pt idx="7">
                  <c:v>2.8000000000000114</c:v>
                </c:pt>
                <c:pt idx="8">
                  <c:v>32.200000000000017</c:v>
                </c:pt>
              </c:numCache>
            </c:numRef>
          </c:val>
          <c:extLst>
            <c:ext xmlns:c16="http://schemas.microsoft.com/office/drawing/2014/chart" uri="{C3380CC4-5D6E-409C-BE32-E72D297353CC}">
              <c16:uniqueId val="{00000002-FF89-4C6C-9B08-837F870DD2DF}"/>
            </c:ext>
          </c:extLst>
        </c:ser>
        <c:ser>
          <c:idx val="3"/>
          <c:order val="3"/>
          <c:tx>
            <c:strRef>
              <c:f>'Webinar Charts'!$A$22</c:f>
              <c:strCache>
                <c:ptCount val="1"/>
                <c:pt idx="0">
                  <c:v>Revolve</c:v>
                </c:pt>
              </c:strCache>
            </c:strRef>
          </c:tx>
          <c:spPr>
            <a:solidFill>
              <a:schemeClr val="accent4"/>
            </a:solidFill>
            <a:ln>
              <a:noFill/>
            </a:ln>
            <a:effectLst/>
          </c:spPr>
          <c:invertIfNegative val="0"/>
          <c:cat>
            <c:strRef>
              <c:f>'Webinar Charts'!$B$18:$O$18</c:f>
              <c:strCache>
                <c:ptCount val="9"/>
                <c:pt idx="0">
                  <c:v>1CQ21</c:v>
                </c:pt>
                <c:pt idx="1">
                  <c:v>2CQ21</c:v>
                </c:pt>
                <c:pt idx="2">
                  <c:v>3CQ21</c:v>
                </c:pt>
                <c:pt idx="3">
                  <c:v>4CQ21</c:v>
                </c:pt>
                <c:pt idx="4">
                  <c:v>1CQ22</c:v>
                </c:pt>
                <c:pt idx="5">
                  <c:v>2CQ22</c:v>
                </c:pt>
                <c:pt idx="6">
                  <c:v>3CQ22</c:v>
                </c:pt>
                <c:pt idx="7">
                  <c:v>4CQ22</c:v>
                </c:pt>
                <c:pt idx="8">
                  <c:v>1CQ23</c:v>
                </c:pt>
              </c:strCache>
            </c:strRef>
          </c:cat>
          <c:val>
            <c:numRef>
              <c:f>'Webinar Charts'!$B$22:$O$22</c:f>
            </c:numRef>
          </c:val>
          <c:extLst>
            <c:ext xmlns:c16="http://schemas.microsoft.com/office/drawing/2014/chart" uri="{C3380CC4-5D6E-409C-BE32-E72D297353CC}">
              <c16:uniqueId val="{00000003-FF89-4C6C-9B08-837F870DD2DF}"/>
            </c:ext>
          </c:extLst>
        </c:ser>
        <c:dLbls>
          <c:showLegendKey val="0"/>
          <c:showVal val="0"/>
          <c:showCatName val="0"/>
          <c:showSerName val="0"/>
          <c:showPercent val="0"/>
          <c:showBubbleSize val="0"/>
        </c:dLbls>
        <c:gapWidth val="219"/>
        <c:overlap val="-27"/>
        <c:axId val="1304814096"/>
        <c:axId val="1304815056"/>
      </c:barChart>
      <c:catAx>
        <c:axId val="13048140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04815056"/>
        <c:crosses val="autoZero"/>
        <c:auto val="1"/>
        <c:lblAlgn val="ctr"/>
        <c:lblOffset val="100"/>
        <c:noMultiLvlLbl val="0"/>
      </c:catAx>
      <c:valAx>
        <c:axId val="1304815056"/>
        <c:scaling>
          <c:orientation val="minMax"/>
          <c:max val="300"/>
          <c:min val="-300"/>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0481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2022 Global Luxury Goods Market Landscape</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'Webinar Charts'!$H$26</c:f>
              <c:strCache>
                <c:ptCount val="1"/>
                <c:pt idx="0">
                  <c:v>CY2022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'Webinar Charts'!$A$27:$G$29</c:f>
              <c:strCache>
                <c:ptCount val="3"/>
                <c:pt idx="0">
                  <c:v>Cettire GMV</c:v>
                </c:pt>
                <c:pt idx="1">
                  <c:v>Online Luxury Goods Market</c:v>
                </c:pt>
                <c:pt idx="2">
                  <c:v>Global Luxury Goods Market</c:v>
                </c:pt>
              </c:strCache>
            </c:strRef>
          </c:cat>
          <c:val>
            <c:numRef>
              <c:f>'Webinar Charts'!$H$27:$H$29</c:f>
              <c:numCache>
                <c:formatCode>_(* #,##0.0_);_(* \(#,##0.0\);_(* "-"??_);_(@_)</c:formatCode>
                <c:ptCount val="3"/>
                <c:pt idx="0">
                  <c:v>0.19423406668579968</c:v>
                </c:pt>
                <c:pt idx="1">
                  <c:v>82</c:v>
                </c:pt>
                <c:pt idx="2">
                  <c:v>389</c:v>
                </c:pt>
              </c:numCache>
            </c:numRef>
          </c:val>
          <c:extLst>
            <c:ext xmlns:c16="http://schemas.microsoft.com/office/drawing/2014/chart" uri="{C3380CC4-5D6E-409C-BE32-E72D297353CC}">
              <c16:uniqueId val="{00000000-E0E7-4ADA-962E-5C14C165B67F}"/>
            </c:ext>
          </c:extLst>
        </c:ser>
        <c:dLbls>
          <c:showLegendKey val="0"/>
          <c:showVal val="0"/>
          <c:showCatName val="0"/>
          <c:showSerName val="0"/>
          <c:showPercent val="0"/>
          <c:showBubbleSize val="0"/>
        </c:dLbls>
        <c:gapWidth val="219"/>
        <c:overlap val="-27"/>
        <c:axId val="1446144271"/>
        <c:axId val="1446146671"/>
      </c:barChart>
      <c:catAx>
        <c:axId val="144614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46146671"/>
        <c:crosses val="autoZero"/>
        <c:auto val="1"/>
        <c:lblAlgn val="ctr"/>
        <c:lblOffset val="100"/>
        <c:noMultiLvlLbl val="0"/>
      </c:catAx>
      <c:valAx>
        <c:axId val="1446146671"/>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4614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1977252843393"/>
          <c:y val="5.0925925925925923E-2"/>
          <c:w val="0.86595800524934385"/>
          <c:h val="0.74569663167104117"/>
        </c:manualLayout>
      </c:layout>
      <c:barChart>
        <c:barDir val="col"/>
        <c:grouping val="percentStacked"/>
        <c:varyColors val="0"/>
        <c:ser>
          <c:idx val="1"/>
          <c:order val="0"/>
          <c:tx>
            <c:strRef>
              <c:f>'Cohort Analysis'!$A$13</c:f>
              <c:strCache>
                <c:ptCount val="1"/>
                <c:pt idx="0">
                  <c:v>Repeat orders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Analysis'!$H$13:$J$13</c:f>
              <c:numCache>
                <c:formatCode>_(* #,##0%_);_(* \(#,##0%\);_(* "-"?_);_(* @_)</c:formatCode>
                <c:ptCount val="3"/>
                <c:pt idx="0">
                  <c:v>0.17000000000000004</c:v>
                </c:pt>
                <c:pt idx="1">
                  <c:v>0.26</c:v>
                </c:pt>
                <c:pt idx="2">
                  <c:v>0.4</c:v>
                </c:pt>
              </c:numCache>
            </c:numRef>
          </c:val>
          <c:extLst>
            <c:ext xmlns:c16="http://schemas.microsoft.com/office/drawing/2014/chart" uri="{C3380CC4-5D6E-409C-BE32-E72D297353CC}">
              <c16:uniqueId val="{00000001-E26F-4DB4-937D-E2F673932137}"/>
            </c:ext>
          </c:extLst>
        </c:ser>
        <c:ser>
          <c:idx val="0"/>
          <c:order val="1"/>
          <c:tx>
            <c:strRef>
              <c:f>'Cohort Analysis'!$A$12</c:f>
              <c:strCache>
                <c:ptCount val="1"/>
                <c:pt idx="0">
                  <c:v>First time order</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Analysis'!$H$12:$J$12</c:f>
              <c:numCache>
                <c:formatCode>_(* #,##0%_);_(* \(#,##0%\);_(* "-"?_);_(* @_)</c:formatCode>
                <c:ptCount val="3"/>
                <c:pt idx="0">
                  <c:v>0.83</c:v>
                </c:pt>
                <c:pt idx="1">
                  <c:v>0.74</c:v>
                </c:pt>
                <c:pt idx="2">
                  <c:v>0.6</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'Cohort Analysis'!$A$8</c:f>
              <c:strCache>
                <c:ptCount val="1"/>
                <c:pt idx="0">
                  <c:v>Repeat orders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Analysis'!$H$8:$J$8</c:f>
              <c:numCache>
                <c:formatCode>_(* #,##0_);_(* \(#,##0\);_(* "-"??_);_(@_)</c:formatCode>
                <c:ptCount val="3"/>
                <c:pt idx="0">
                  <c:v>1.2362400000000002</c:v>
                </c:pt>
                <c:pt idx="1">
                  <c:v>7.4695400000000003</c:v>
                </c:pt>
                <c:pt idx="2">
                  <c:v>49.782000000000004</c:v>
                </c:pt>
              </c:numCache>
            </c:numRef>
          </c:val>
          <c:extLst>
            <c:ext xmlns:c16="http://schemas.microsoft.com/office/drawing/2014/chart" uri="{C3380CC4-5D6E-409C-BE32-E72D297353CC}">
              <c16:uniqueId val="{00000001-E26F-4DB4-937D-E2F673932137}"/>
            </c:ext>
          </c:extLst>
        </c:ser>
        <c:ser>
          <c:idx val="0"/>
          <c:order val="1"/>
          <c:tx>
            <c:strRef>
              <c:f>'Cohort Analysis'!$A$7</c:f>
              <c:strCache>
                <c:ptCount val="1"/>
                <c:pt idx="0">
                  <c:v>First time order</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Analysis'!$H$7:$J$7</c:f>
              <c:numCache>
                <c:formatCode>_(* #,##0_);_(* \(#,##0\);_(* "-"??_);_(@_)</c:formatCode>
                <c:ptCount val="3"/>
                <c:pt idx="0">
                  <c:v>6.0357599999999998</c:v>
                </c:pt>
                <c:pt idx="1">
                  <c:v>21.259460000000001</c:v>
                </c:pt>
                <c:pt idx="2">
                  <c:v>74.673000000000002</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'Cohort Analysis'!$A$23</c:f>
              <c:strCache>
                <c:ptCount val="1"/>
                <c:pt idx="0">
                  <c:v>Repeat orders</c:v>
                </c:pt>
              </c:strCache>
            </c:strRef>
          </c:tx>
          <c:spPr>
            <a:solidFill>
              <a:schemeClr val="accent2"/>
            </a:solidFill>
            <a:ln>
              <a:noFill/>
            </a:ln>
            <a:effectLst/>
          </c:spPr>
          <c:invertIfNegative val="0"/>
          <c:dLbls>
            <c:dLbl>
              <c:idx val="0"/>
              <c:layout>
                <c:manualLayout>
                  <c:x val="0.11944444444444439"/>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9C-4422-A098-203790D124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Analysis'!$H$23:$J$23</c:f>
              <c:numCache>
                <c:formatCode>_(* #,##0_);_(* \(#,##0\);_(* "-"??_);_(@_)</c:formatCode>
                <c:ptCount val="3"/>
                <c:pt idx="0">
                  <c:v>1765.4857142857145</c:v>
                </c:pt>
                <c:pt idx="1">
                  <c:v>8644.6439290586641</c:v>
                </c:pt>
                <c:pt idx="2">
                  <c:v>60894.819012373118</c:v>
                </c:pt>
              </c:numCache>
            </c:numRef>
          </c:val>
          <c:extLst>
            <c:ext xmlns:c16="http://schemas.microsoft.com/office/drawing/2014/chart" uri="{C3380CC4-5D6E-409C-BE32-E72D297353CC}">
              <c16:uniqueId val="{00000001-E26F-4DB4-937D-E2F673932137}"/>
            </c:ext>
          </c:extLst>
        </c:ser>
        <c:ser>
          <c:idx val="0"/>
          <c:order val="1"/>
          <c:tx>
            <c:strRef>
              <c:f>'Cohort Analysis'!$A$22</c:f>
              <c:strCache>
                <c:ptCount val="1"/>
                <c:pt idx="0">
                  <c:v>First time order</c:v>
                </c:pt>
              </c:strCache>
            </c:strRef>
          </c:tx>
          <c:spPr>
            <a:solidFill>
              <a:schemeClr val="accent1">
                <a:lumMod val="60000"/>
                <a:lumOff val="40000"/>
              </a:schemeClr>
            </a:solidFill>
            <a:ln>
              <a:noFill/>
            </a:ln>
            <a:effectLst/>
          </c:spPr>
          <c:invertIfNegative val="0"/>
          <c:dLbls>
            <c:dLbl>
              <c:idx val="0"/>
              <c:layout>
                <c:manualLayout>
                  <c:x val="-8.3333333333333835E-3"/>
                  <c:y val="-5.0142423146058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9C-4422-A098-203790D124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Analysis'!$H$22:$J$22</c:f>
              <c:numCache>
                <c:formatCode>_(* #,##0_);_(* \(#,##0\);_(* "-"??_);_(@_)</c:formatCode>
                <c:ptCount val="3"/>
                <c:pt idx="0">
                  <c:v>8622.5142857142855</c:v>
                </c:pt>
                <c:pt idx="1">
                  <c:v>29003.356070941336</c:v>
                </c:pt>
                <c:pt idx="2">
                  <c:v>109494.18098762688</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1"/>
          <c:order val="0"/>
          <c:tx>
            <c:strRef>
              <c:f>'Cohort Analysis'!$A$28</c:f>
              <c:strCache>
                <c:ptCount val="1"/>
                <c:pt idx="0">
                  <c:v>Repeat orders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Analysis'!$H$28:$J$28</c:f>
              <c:numCache>
                <c:formatCode>_(* #,##0%_);_(* \(#,##0%\);_(* "-"?_);_(* @_)</c:formatCode>
                <c:ptCount val="3"/>
                <c:pt idx="0">
                  <c:v>0.16995434292315312</c:v>
                </c:pt>
                <c:pt idx="1">
                  <c:v>0.22961761392527263</c:v>
                </c:pt>
                <c:pt idx="2">
                  <c:v>0.3573870320993322</c:v>
                </c:pt>
              </c:numCache>
            </c:numRef>
          </c:val>
          <c:extLst>
            <c:ext xmlns:c16="http://schemas.microsoft.com/office/drawing/2014/chart" uri="{C3380CC4-5D6E-409C-BE32-E72D297353CC}">
              <c16:uniqueId val="{00000001-E26F-4DB4-937D-E2F673932137}"/>
            </c:ext>
          </c:extLst>
        </c:ser>
        <c:ser>
          <c:idx val="0"/>
          <c:order val="1"/>
          <c:tx>
            <c:strRef>
              <c:f>'Cohort Analysis'!$A$27</c:f>
              <c:strCache>
                <c:ptCount val="1"/>
                <c:pt idx="0">
                  <c:v>First time order</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Analysis'!$H$27:$J$27</c:f>
              <c:numCache>
                <c:formatCode>_(* #,##0%_);_(* \(#,##0%\);_(* "-"?_);_(* @_)</c:formatCode>
                <c:ptCount val="3"/>
                <c:pt idx="0">
                  <c:v>0.83004565707684685</c:v>
                </c:pt>
                <c:pt idx="1">
                  <c:v>0.77038238607472742</c:v>
                </c:pt>
                <c:pt idx="2">
                  <c:v>0.6426129679006678</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1"/>
          <c:order val="0"/>
          <c:tx>
            <c:strRef>
              <c:f>'Cohort Analysis'!$A$43</c:f>
              <c:strCache>
                <c:ptCount val="1"/>
                <c:pt idx="0">
                  <c:v>Repeat customers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Analysis'!$H$43:$J$43</c:f>
              <c:numCache>
                <c:formatCode>_(* #,##0%_);_(* \(#,##0%\);_(* "-"?_);_(* @_)</c:formatCode>
                <c:ptCount val="3"/>
                <c:pt idx="0">
                  <c:v>0.12668181818181817</c:v>
                </c:pt>
                <c:pt idx="1">
                  <c:v>0.24666613043769697</c:v>
                </c:pt>
                <c:pt idx="2">
                  <c:v>0.34666550522648082</c:v>
                </c:pt>
              </c:numCache>
            </c:numRef>
          </c:val>
          <c:extLst>
            <c:ext xmlns:c16="http://schemas.microsoft.com/office/drawing/2014/chart" uri="{C3380CC4-5D6E-409C-BE32-E72D297353CC}">
              <c16:uniqueId val="{00000001-E26F-4DB4-937D-E2F673932137}"/>
            </c:ext>
          </c:extLst>
        </c:ser>
        <c:ser>
          <c:idx val="0"/>
          <c:order val="1"/>
          <c:tx>
            <c:strRef>
              <c:f>'Cohort Analysis'!$A$42</c:f>
              <c:strCache>
                <c:ptCount val="1"/>
                <c:pt idx="0">
                  <c:v>One-time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Analysis'!$H$42:$J$42</c:f>
              <c:numCache>
                <c:formatCode>_(* #,##0%_);_(* \(#,##0%\);_(* "-"?_);_(* @_)</c:formatCode>
                <c:ptCount val="3"/>
                <c:pt idx="0">
                  <c:v>0.87329545454545454</c:v>
                </c:pt>
                <c:pt idx="1">
                  <c:v>0.75333467390575781</c:v>
                </c:pt>
                <c:pt idx="2">
                  <c:v>0.65333623693379794</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'Cohort Analysis'!$A$38</c:f>
              <c:strCache>
                <c:ptCount val="1"/>
                <c:pt idx="0">
                  <c:v>Repeat customers</c:v>
                </c:pt>
              </c:strCache>
            </c:strRef>
          </c:tx>
          <c:spPr>
            <a:solidFill>
              <a:schemeClr val="accent2"/>
            </a:solidFill>
            <a:ln>
              <a:noFill/>
            </a:ln>
            <a:effectLst/>
          </c:spPr>
          <c:invertIfNegative val="0"/>
          <c:dLbls>
            <c:dLbl>
              <c:idx val="0"/>
              <c:layout>
                <c:manualLayout>
                  <c:x val="0.10277777777777777"/>
                  <c:y val="-9.11680420837425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9C-4422-A098-203790D124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Analysis'!$H$38:$J$38</c:f>
              <c:numCache>
                <c:formatCode>_(* #,##0_);_(* \(#,##0\);_(* "-"??_);_(@_)</c:formatCode>
                <c:ptCount val="3"/>
                <c:pt idx="0">
                  <c:v>1114.8</c:v>
                </c:pt>
                <c:pt idx="1">
                  <c:v>7360.0240000000022</c:v>
                </c:pt>
                <c:pt idx="2">
                  <c:v>39797.199999999997</c:v>
                </c:pt>
              </c:numCache>
            </c:numRef>
          </c:val>
          <c:extLst>
            <c:ext xmlns:c16="http://schemas.microsoft.com/office/drawing/2014/chart" uri="{C3380CC4-5D6E-409C-BE32-E72D297353CC}">
              <c16:uniqueId val="{00000001-E26F-4DB4-937D-E2F673932137}"/>
            </c:ext>
          </c:extLst>
        </c:ser>
        <c:ser>
          <c:idx val="0"/>
          <c:order val="1"/>
          <c:tx>
            <c:strRef>
              <c:f>'Cohort Analysis'!$A$37</c:f>
              <c:strCache>
                <c:ptCount val="1"/>
                <c:pt idx="0">
                  <c:v>One-time customers</c:v>
                </c:pt>
              </c:strCache>
            </c:strRef>
          </c:tx>
          <c:spPr>
            <a:solidFill>
              <a:schemeClr val="accent1">
                <a:lumMod val="60000"/>
                <a:lumOff val="40000"/>
              </a:schemeClr>
            </a:solidFill>
            <a:ln>
              <a:noFill/>
            </a:ln>
            <a:effectLst/>
          </c:spPr>
          <c:invertIfNegative val="0"/>
          <c:dLbls>
            <c:dLbl>
              <c:idx val="0"/>
              <c:layout>
                <c:manualLayout>
                  <c:x val="3.888888888888889E-2"/>
                  <c:y val="-5.0142423146058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49C-4422-A098-203790D124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Analysis'!$H$37:$J$37</c:f>
              <c:numCache>
                <c:formatCode>_(* #,##0_);_(* \(#,##0\);_(* "-"??_);_(@_)</c:formatCode>
                <c:ptCount val="3"/>
                <c:pt idx="0">
                  <c:v>7685</c:v>
                </c:pt>
                <c:pt idx="1">
                  <c:v>22478</c:v>
                </c:pt>
                <c:pt idx="2">
                  <c:v>75003</c:v>
                </c:pt>
              </c:numCache>
            </c:numRef>
          </c:val>
          <c:extLst>
            <c:ext xmlns:c16="http://schemas.microsoft.com/office/drawing/2014/chart" uri="{C3380CC4-5D6E-409C-BE32-E72D297353CC}">
              <c16:uniqueId val="{00000000-E26F-4DB4-937D-E2F673932137}"/>
            </c:ext>
          </c:extLst>
        </c:ser>
        <c:dLbls>
          <c:showLegendKey val="0"/>
          <c:showVal val="0"/>
          <c:showCatName val="0"/>
          <c:showSerName val="0"/>
          <c:showPercent val="0"/>
          <c:showBubbleSize val="0"/>
        </c:dLbls>
        <c:gapWidth val="150"/>
        <c:overlap val="100"/>
        <c:axId val="11943616"/>
        <c:axId val="11935712"/>
      </c:barChart>
      <c:catAx>
        <c:axId val="1194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5712"/>
        <c:crosses val="autoZero"/>
        <c:auto val="1"/>
        <c:lblAlgn val="ctr"/>
        <c:lblOffset val="100"/>
        <c:noMultiLvlLbl val="0"/>
      </c:catAx>
      <c:valAx>
        <c:axId val="1193571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4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'Cohort Analysis'!$A$17</c:f>
              <c:strCache>
                <c:ptCount val="1"/>
                <c:pt idx="0">
                  <c:v>First time order</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Analysis'!$H$17:$J$17</c:f>
              <c:numCache>
                <c:formatCode>_(* #,##0_);_(* \(#,##0\);_(* "-"??_);_(@_)</c:formatCode>
                <c:ptCount val="3"/>
                <c:pt idx="0">
                  <c:v>700</c:v>
                </c:pt>
                <c:pt idx="1">
                  <c:v>733</c:v>
                </c:pt>
                <c:pt idx="2">
                  <c:v>681.98144710939698</c:v>
                </c:pt>
              </c:numCache>
            </c:numRef>
          </c:val>
          <c:extLst>
            <c:ext xmlns:c16="http://schemas.microsoft.com/office/drawing/2014/chart" uri="{C3380CC4-5D6E-409C-BE32-E72D297353CC}">
              <c16:uniqueId val="{00000000-A871-4429-95E6-E30027C6EF13}"/>
            </c:ext>
          </c:extLst>
        </c:ser>
        <c:ser>
          <c:idx val="1"/>
          <c:order val="1"/>
          <c:tx>
            <c:strRef>
              <c:f>'Cohort Analysis'!$A$18</c:f>
              <c:strCache>
                <c:ptCount val="1"/>
                <c:pt idx="0">
                  <c:v>Repeat orders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Analysis'!$H$18:$J$18</c:f>
              <c:numCache>
                <c:formatCode>_(* #,##0_);_(* \(#,##0\);_(* "-"??_);_(@_)</c:formatCode>
                <c:ptCount val="3"/>
                <c:pt idx="0">
                  <c:v>700.22656654583125</c:v>
                </c:pt>
                <c:pt idx="1">
                  <c:v>864.0656643926543</c:v>
                </c:pt>
                <c:pt idx="2">
                  <c:v>817.5079720638447</c:v>
                </c:pt>
              </c:numCache>
            </c:numRef>
          </c:val>
          <c:extLst>
            <c:ext xmlns:c16="http://schemas.microsoft.com/office/drawing/2014/chart" uri="{C3380CC4-5D6E-409C-BE32-E72D297353CC}">
              <c16:uniqueId val="{00000001-A871-4429-95E6-E30027C6EF13}"/>
            </c:ext>
          </c:extLst>
        </c:ser>
        <c:dLbls>
          <c:showLegendKey val="0"/>
          <c:showVal val="0"/>
          <c:showCatName val="0"/>
          <c:showSerName val="0"/>
          <c:showPercent val="0"/>
          <c:showBubbleSize val="0"/>
        </c:dLbls>
        <c:gapWidth val="219"/>
        <c:overlap val="-27"/>
        <c:axId val="11931136"/>
        <c:axId val="11932384"/>
      </c:barChart>
      <c:catAx>
        <c:axId val="119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2384"/>
        <c:crosses val="autoZero"/>
        <c:auto val="1"/>
        <c:lblAlgn val="ctr"/>
        <c:lblOffset val="100"/>
        <c:noMultiLvlLbl val="0"/>
      </c:catAx>
      <c:valAx>
        <c:axId val="1193238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1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'Cohort Analysis'!$A$32</c:f>
              <c:strCache>
                <c:ptCount val="1"/>
                <c:pt idx="0">
                  <c:v>One-time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Analysis'!$H$32:$J$32</c:f>
              <c:numCache>
                <c:formatCode>_(* #,##0.00_);_(* \(#,##0.00\);_(* "-"??_);_(@_)</c:formatCode>
                <c:ptCount val="3"/>
                <c:pt idx="0">
                  <c:v>1</c:v>
                </c:pt>
                <c:pt idx="1">
                  <c:v>1</c:v>
                </c:pt>
                <c:pt idx="2">
                  <c:v>1</c:v>
                </c:pt>
              </c:numCache>
            </c:numRef>
          </c:val>
          <c:extLst>
            <c:ext xmlns:c16="http://schemas.microsoft.com/office/drawing/2014/chart" uri="{C3380CC4-5D6E-409C-BE32-E72D297353CC}">
              <c16:uniqueId val="{00000000-A871-4429-95E6-E30027C6EF13}"/>
            </c:ext>
          </c:extLst>
        </c:ser>
        <c:ser>
          <c:idx val="1"/>
          <c:order val="1"/>
          <c:tx>
            <c:strRef>
              <c:f>'Cohort Analysis'!$A$33</c:f>
              <c:strCache>
                <c:ptCount val="1"/>
                <c:pt idx="0">
                  <c:v>Repeat customers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'Cohort Analysis'!$H$5:$J$5</c:f>
              <c:strCache>
                <c:ptCount val="3"/>
                <c:pt idx="0">
                  <c:v>FY19</c:v>
                </c:pt>
                <c:pt idx="1">
                  <c:v>FY20</c:v>
                </c:pt>
                <c:pt idx="2">
                  <c:v>FY21</c:v>
                </c:pt>
              </c:strCache>
            </c:strRef>
          </c:cat>
          <c:val>
            <c:numRef>
              <c:f>'Cohort Analysis'!$H$33:$J$33</c:f>
              <c:numCache>
                <c:formatCode>_(* #,##0.00_);_(* \(#,##0.00\);_(* "-"??_);_(@_)</c:formatCode>
                <c:ptCount val="3"/>
                <c:pt idx="0">
                  <c:v>1.25</c:v>
                </c:pt>
                <c:pt idx="1">
                  <c:v>1.5</c:v>
                </c:pt>
                <c:pt idx="2">
                  <c:v>2.5</c:v>
                </c:pt>
              </c:numCache>
            </c:numRef>
          </c:val>
          <c:extLst>
            <c:ext xmlns:c16="http://schemas.microsoft.com/office/drawing/2014/chart" uri="{C3380CC4-5D6E-409C-BE32-E72D297353CC}">
              <c16:uniqueId val="{00000001-A871-4429-95E6-E30027C6EF13}"/>
            </c:ext>
          </c:extLst>
        </c:ser>
        <c:dLbls>
          <c:showLegendKey val="0"/>
          <c:showVal val="0"/>
          <c:showCatName val="0"/>
          <c:showSerName val="0"/>
          <c:showPercent val="0"/>
          <c:showBubbleSize val="0"/>
        </c:dLbls>
        <c:gapWidth val="219"/>
        <c:overlap val="-27"/>
        <c:axId val="11931136"/>
        <c:axId val="11932384"/>
      </c:barChart>
      <c:catAx>
        <c:axId val="119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2384"/>
        <c:crosses val="autoZero"/>
        <c:auto val="1"/>
        <c:lblAlgn val="ctr"/>
        <c:lblOffset val="100"/>
        <c:noMultiLvlLbl val="0"/>
      </c:catAx>
      <c:valAx>
        <c:axId val="1193238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931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15.gif"/><Relationship Id="rId4" Type="http://schemas.openxmlformats.org/officeDocument/2006/relationships/chart" Target="../charts/chart10.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8</xdr:col>
      <xdr:colOff>806748</xdr:colOff>
      <xdr:row>4</xdr:row>
      <xdr:rowOff>36286</xdr:rowOff>
    </xdr:from>
    <xdr:to>
      <xdr:col>8</xdr:col>
      <xdr:colOff>806748</xdr:colOff>
      <xdr:row>73</xdr:row>
      <xdr:rowOff>0</xdr:rowOff>
    </xdr:to>
    <xdr:cxnSp macro="">
      <xdr:nvCxnSpPr>
        <xdr:cNvPr id="2" name="Straight Connector 1">
          <a:extLst>
            <a:ext uri="{FF2B5EF4-FFF2-40B4-BE49-F238E27FC236}">
              <a16:creationId xmlns:a16="http://schemas.microsoft.com/office/drawing/2014/main" id="{4860357D-EEE8-4C08-B091-B64602953D1B}"/>
            </a:ext>
          </a:extLst>
        </xdr:cNvPr>
        <xdr:cNvCxnSpPr/>
      </xdr:nvCxnSpPr>
      <xdr:spPr>
        <a:xfrm>
          <a:off x="7329105" y="671286"/>
          <a:ext cx="0" cy="988785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795106</xdr:colOff>
      <xdr:row>4</xdr:row>
      <xdr:rowOff>36286</xdr:rowOff>
    </xdr:from>
    <xdr:to>
      <xdr:col>9</xdr:col>
      <xdr:colOff>795106</xdr:colOff>
      <xdr:row>73</xdr:row>
      <xdr:rowOff>0</xdr:rowOff>
    </xdr:to>
    <xdr:cxnSp macro="">
      <xdr:nvCxnSpPr>
        <xdr:cNvPr id="3" name="Straight Connector 2">
          <a:extLst>
            <a:ext uri="{FF2B5EF4-FFF2-40B4-BE49-F238E27FC236}">
              <a16:creationId xmlns:a16="http://schemas.microsoft.com/office/drawing/2014/main" id="{AEAC8978-F196-4BAD-A368-322499B70E6B}"/>
            </a:ext>
          </a:extLst>
        </xdr:cNvPr>
        <xdr:cNvCxnSpPr/>
      </xdr:nvCxnSpPr>
      <xdr:spPr>
        <a:xfrm>
          <a:off x="8124820" y="671286"/>
          <a:ext cx="0" cy="988785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444500</xdr:colOff>
      <xdr:row>5</xdr:row>
      <xdr:rowOff>0</xdr:rowOff>
    </xdr:from>
    <xdr:to>
      <xdr:col>30</xdr:col>
      <xdr:colOff>470449</xdr:colOff>
      <xdr:row>26</xdr:row>
      <xdr:rowOff>0</xdr:rowOff>
    </xdr:to>
    <xdr:pic>
      <xdr:nvPicPr>
        <xdr:cNvPr id="4" name="Picture 3">
          <a:extLst>
            <a:ext uri="{FF2B5EF4-FFF2-40B4-BE49-F238E27FC236}">
              <a16:creationId xmlns:a16="http://schemas.microsoft.com/office/drawing/2014/main" id="{B42E71C3-8C0B-441D-9136-515D0BF0FAD5}"/>
            </a:ext>
          </a:extLst>
        </xdr:cNvPr>
        <xdr:cNvPicPr>
          <a:picLocks noChangeAspect="1"/>
        </xdr:cNvPicPr>
      </xdr:nvPicPr>
      <xdr:blipFill>
        <a:blip xmlns:r="http://schemas.openxmlformats.org/officeDocument/2006/relationships" r:embed="rId1"/>
        <a:stretch>
          <a:fillRect/>
        </a:stretch>
      </xdr:blipFill>
      <xdr:spPr>
        <a:xfrm>
          <a:off x="19208750" y="800100"/>
          <a:ext cx="4553499" cy="3981450"/>
        </a:xfrm>
        <a:prstGeom prst="rect">
          <a:avLst/>
        </a:prstGeom>
      </xdr:spPr>
    </xdr:pic>
    <xdr:clientData/>
  </xdr:twoCellAnchor>
  <xdr:twoCellAnchor editAs="oneCell">
    <xdr:from>
      <xdr:col>28</xdr:col>
      <xdr:colOff>10583</xdr:colOff>
      <xdr:row>56</xdr:row>
      <xdr:rowOff>0</xdr:rowOff>
    </xdr:from>
    <xdr:to>
      <xdr:col>33</xdr:col>
      <xdr:colOff>14203</xdr:colOff>
      <xdr:row>93</xdr:row>
      <xdr:rowOff>38093</xdr:rowOff>
    </xdr:to>
    <xdr:pic>
      <xdr:nvPicPr>
        <xdr:cNvPr id="5" name="Picture 4">
          <a:extLst>
            <a:ext uri="{FF2B5EF4-FFF2-40B4-BE49-F238E27FC236}">
              <a16:creationId xmlns:a16="http://schemas.microsoft.com/office/drawing/2014/main" id="{813FA94C-9137-4D11-8AC7-DFFE3D0E9753}"/>
            </a:ext>
          </a:extLst>
        </xdr:cNvPr>
        <xdr:cNvPicPr>
          <a:picLocks noChangeAspect="1"/>
        </xdr:cNvPicPr>
      </xdr:nvPicPr>
      <xdr:blipFill>
        <a:blip xmlns:r="http://schemas.openxmlformats.org/officeDocument/2006/relationships" r:embed="rId2"/>
        <a:stretch>
          <a:fillRect/>
        </a:stretch>
      </xdr:blipFill>
      <xdr:spPr>
        <a:xfrm>
          <a:off x="19384433" y="6781800"/>
          <a:ext cx="5585272" cy="63173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7104</xdr:colOff>
      <xdr:row>4</xdr:row>
      <xdr:rowOff>36286</xdr:rowOff>
    </xdr:from>
    <xdr:to>
      <xdr:col>9</xdr:col>
      <xdr:colOff>7104</xdr:colOff>
      <xdr:row>73</xdr:row>
      <xdr:rowOff>0</xdr:rowOff>
    </xdr:to>
    <xdr:cxnSp macro="">
      <xdr:nvCxnSpPr>
        <xdr:cNvPr id="2" name="Straight Connector 1">
          <a:extLst>
            <a:ext uri="{FF2B5EF4-FFF2-40B4-BE49-F238E27FC236}">
              <a16:creationId xmlns:a16="http://schemas.microsoft.com/office/drawing/2014/main" id="{3A3AD605-3E0D-4BF2-9996-CB3AF7558388}"/>
            </a:ext>
          </a:extLst>
        </xdr:cNvPr>
        <xdr:cNvCxnSpPr/>
      </xdr:nvCxnSpPr>
      <xdr:spPr>
        <a:xfrm>
          <a:off x="7400318" y="671286"/>
          <a:ext cx="0" cy="988785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9372</xdr:colOff>
      <xdr:row>4</xdr:row>
      <xdr:rowOff>36286</xdr:rowOff>
    </xdr:from>
    <xdr:to>
      <xdr:col>10</xdr:col>
      <xdr:colOff>9372</xdr:colOff>
      <xdr:row>73</xdr:row>
      <xdr:rowOff>0</xdr:rowOff>
    </xdr:to>
    <xdr:cxnSp macro="">
      <xdr:nvCxnSpPr>
        <xdr:cNvPr id="3" name="Straight Connector 2">
          <a:extLst>
            <a:ext uri="{FF2B5EF4-FFF2-40B4-BE49-F238E27FC236}">
              <a16:creationId xmlns:a16="http://schemas.microsoft.com/office/drawing/2014/main" id="{B13E8012-9298-4996-B553-BFA002E2FEEF}"/>
            </a:ext>
          </a:extLst>
        </xdr:cNvPr>
        <xdr:cNvCxnSpPr/>
      </xdr:nvCxnSpPr>
      <xdr:spPr>
        <a:xfrm>
          <a:off x="8219015" y="671286"/>
          <a:ext cx="0" cy="988785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444500</xdr:colOff>
      <xdr:row>5</xdr:row>
      <xdr:rowOff>0</xdr:rowOff>
    </xdr:from>
    <xdr:to>
      <xdr:col>28</xdr:col>
      <xdr:colOff>578399</xdr:colOff>
      <xdr:row>21</xdr:row>
      <xdr:rowOff>120650</xdr:rowOff>
    </xdr:to>
    <xdr:pic>
      <xdr:nvPicPr>
        <xdr:cNvPr id="4" name="Picture 3">
          <a:extLst>
            <a:ext uri="{FF2B5EF4-FFF2-40B4-BE49-F238E27FC236}">
              <a16:creationId xmlns:a16="http://schemas.microsoft.com/office/drawing/2014/main" id="{94BADFD8-F213-4121-98C4-C460A06E0352}"/>
            </a:ext>
          </a:extLst>
        </xdr:cNvPr>
        <xdr:cNvPicPr>
          <a:picLocks noChangeAspect="1"/>
        </xdr:cNvPicPr>
      </xdr:nvPicPr>
      <xdr:blipFill>
        <a:blip xmlns:r="http://schemas.openxmlformats.org/officeDocument/2006/relationships" r:embed="rId1"/>
        <a:stretch>
          <a:fillRect/>
        </a:stretch>
      </xdr:blipFill>
      <xdr:spPr>
        <a:xfrm>
          <a:off x="20675600" y="800100"/>
          <a:ext cx="1854749" cy="3067050"/>
        </a:xfrm>
        <a:prstGeom prst="rect">
          <a:avLst/>
        </a:prstGeom>
      </xdr:spPr>
    </xdr:pic>
    <xdr:clientData/>
  </xdr:twoCellAnchor>
  <xdr:twoCellAnchor editAs="oneCell">
    <xdr:from>
      <xdr:col>28</xdr:col>
      <xdr:colOff>10583</xdr:colOff>
      <xdr:row>56</xdr:row>
      <xdr:rowOff>0</xdr:rowOff>
    </xdr:from>
    <xdr:to>
      <xdr:col>29</xdr:col>
      <xdr:colOff>382504</xdr:colOff>
      <xdr:row>84</xdr:row>
      <xdr:rowOff>3321</xdr:rowOff>
    </xdr:to>
    <xdr:pic>
      <xdr:nvPicPr>
        <xdr:cNvPr id="5" name="Picture 4">
          <a:extLst>
            <a:ext uri="{FF2B5EF4-FFF2-40B4-BE49-F238E27FC236}">
              <a16:creationId xmlns:a16="http://schemas.microsoft.com/office/drawing/2014/main" id="{DDFBD56A-F761-4E89-8D11-15FAD41080A9}"/>
            </a:ext>
          </a:extLst>
        </xdr:cNvPr>
        <xdr:cNvPicPr>
          <a:picLocks noChangeAspect="1"/>
        </xdr:cNvPicPr>
      </xdr:nvPicPr>
      <xdr:blipFill>
        <a:blip xmlns:r="http://schemas.openxmlformats.org/officeDocument/2006/relationships" r:embed="rId2"/>
        <a:stretch>
          <a:fillRect/>
        </a:stretch>
      </xdr:blipFill>
      <xdr:spPr>
        <a:xfrm>
          <a:off x="20851283" y="8153400"/>
          <a:ext cx="2327721" cy="51235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797678</xdr:colOff>
      <xdr:row>4</xdr:row>
      <xdr:rowOff>36286</xdr:rowOff>
    </xdr:from>
    <xdr:to>
      <xdr:col>8</xdr:col>
      <xdr:colOff>797678</xdr:colOff>
      <xdr:row>73</xdr:row>
      <xdr:rowOff>0</xdr:rowOff>
    </xdr:to>
    <xdr:cxnSp macro="">
      <xdr:nvCxnSpPr>
        <xdr:cNvPr id="2" name="Straight Connector 1">
          <a:extLst>
            <a:ext uri="{FF2B5EF4-FFF2-40B4-BE49-F238E27FC236}">
              <a16:creationId xmlns:a16="http://schemas.microsoft.com/office/drawing/2014/main" id="{25A0C3BD-F357-4C48-900C-9ACB4A7EDA56}"/>
            </a:ext>
          </a:extLst>
        </xdr:cNvPr>
        <xdr:cNvCxnSpPr/>
      </xdr:nvCxnSpPr>
      <xdr:spPr>
        <a:xfrm>
          <a:off x="7374464" y="671286"/>
          <a:ext cx="0" cy="988785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6348</xdr:colOff>
      <xdr:row>4</xdr:row>
      <xdr:rowOff>36286</xdr:rowOff>
    </xdr:from>
    <xdr:to>
      <xdr:col>10</xdr:col>
      <xdr:colOff>6348</xdr:colOff>
      <xdr:row>73</xdr:row>
      <xdr:rowOff>0</xdr:rowOff>
    </xdr:to>
    <xdr:cxnSp macro="">
      <xdr:nvCxnSpPr>
        <xdr:cNvPr id="3" name="Straight Connector 2">
          <a:extLst>
            <a:ext uri="{FF2B5EF4-FFF2-40B4-BE49-F238E27FC236}">
              <a16:creationId xmlns:a16="http://schemas.microsoft.com/office/drawing/2014/main" id="{A2639B83-1A90-45A5-89F1-15AA74D58E4B}"/>
            </a:ext>
          </a:extLst>
        </xdr:cNvPr>
        <xdr:cNvCxnSpPr/>
      </xdr:nvCxnSpPr>
      <xdr:spPr>
        <a:xfrm>
          <a:off x="8215991" y="671286"/>
          <a:ext cx="0" cy="988785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444500</xdr:colOff>
      <xdr:row>5</xdr:row>
      <xdr:rowOff>0</xdr:rowOff>
    </xdr:from>
    <xdr:to>
      <xdr:col>29</xdr:col>
      <xdr:colOff>3725</xdr:colOff>
      <xdr:row>21</xdr:row>
      <xdr:rowOff>28575</xdr:rowOff>
    </xdr:to>
    <xdr:pic>
      <xdr:nvPicPr>
        <xdr:cNvPr id="4" name="Picture 3">
          <a:extLst>
            <a:ext uri="{FF2B5EF4-FFF2-40B4-BE49-F238E27FC236}">
              <a16:creationId xmlns:a16="http://schemas.microsoft.com/office/drawing/2014/main" id="{40B27875-50AB-4D51-A20F-9D145F7450F7}"/>
            </a:ext>
          </a:extLst>
        </xdr:cNvPr>
        <xdr:cNvPicPr>
          <a:picLocks noChangeAspect="1"/>
        </xdr:cNvPicPr>
      </xdr:nvPicPr>
      <xdr:blipFill>
        <a:blip xmlns:r="http://schemas.openxmlformats.org/officeDocument/2006/relationships" r:embed="rId1"/>
        <a:stretch>
          <a:fillRect/>
        </a:stretch>
      </xdr:blipFill>
      <xdr:spPr>
        <a:xfrm>
          <a:off x="19570700" y="819150"/>
          <a:ext cx="1769024" cy="3076575"/>
        </a:xfrm>
        <a:prstGeom prst="rect">
          <a:avLst/>
        </a:prstGeom>
      </xdr:spPr>
    </xdr:pic>
    <xdr:clientData/>
  </xdr:twoCellAnchor>
  <xdr:twoCellAnchor editAs="oneCell">
    <xdr:from>
      <xdr:col>28</xdr:col>
      <xdr:colOff>10583</xdr:colOff>
      <xdr:row>56</xdr:row>
      <xdr:rowOff>0</xdr:rowOff>
    </xdr:from>
    <xdr:to>
      <xdr:col>29</xdr:col>
      <xdr:colOff>376155</xdr:colOff>
      <xdr:row>83</xdr:row>
      <xdr:rowOff>2715</xdr:rowOff>
    </xdr:to>
    <xdr:pic>
      <xdr:nvPicPr>
        <xdr:cNvPr id="5" name="Picture 4">
          <a:extLst>
            <a:ext uri="{FF2B5EF4-FFF2-40B4-BE49-F238E27FC236}">
              <a16:creationId xmlns:a16="http://schemas.microsoft.com/office/drawing/2014/main" id="{78E4949E-56F7-481C-B1B9-91F8A8B98E57}"/>
            </a:ext>
          </a:extLst>
        </xdr:cNvPr>
        <xdr:cNvPicPr>
          <a:picLocks noChangeAspect="1"/>
        </xdr:cNvPicPr>
      </xdr:nvPicPr>
      <xdr:blipFill>
        <a:blip xmlns:r="http://schemas.openxmlformats.org/officeDocument/2006/relationships" r:embed="rId2"/>
        <a:stretch>
          <a:fillRect/>
        </a:stretch>
      </xdr:blipFill>
      <xdr:spPr>
        <a:xfrm>
          <a:off x="19717808" y="8191500"/>
          <a:ext cx="2222946" cy="5133968"/>
        </a:xfrm>
        <a:prstGeom prst="rect">
          <a:avLst/>
        </a:prstGeom>
      </xdr:spPr>
    </xdr:pic>
    <xdr:clientData/>
  </xdr:twoCellAnchor>
  <xdr:twoCellAnchor editAs="oneCell">
    <xdr:from>
      <xdr:col>27</xdr:col>
      <xdr:colOff>444500</xdr:colOff>
      <xdr:row>5</xdr:row>
      <xdr:rowOff>0</xdr:rowOff>
    </xdr:from>
    <xdr:to>
      <xdr:col>28</xdr:col>
      <xdr:colOff>578399</xdr:colOff>
      <xdr:row>21</xdr:row>
      <xdr:rowOff>120650</xdr:rowOff>
    </xdr:to>
    <xdr:pic>
      <xdr:nvPicPr>
        <xdr:cNvPr id="8" name="Picture 7">
          <a:extLst>
            <a:ext uri="{FF2B5EF4-FFF2-40B4-BE49-F238E27FC236}">
              <a16:creationId xmlns:a16="http://schemas.microsoft.com/office/drawing/2014/main" id="{3EFE9393-EC42-4DC8-B4A6-781B1ED0FFC2}"/>
            </a:ext>
          </a:extLst>
        </xdr:cNvPr>
        <xdr:cNvPicPr>
          <a:picLocks noChangeAspect="1"/>
        </xdr:cNvPicPr>
      </xdr:nvPicPr>
      <xdr:blipFill>
        <a:blip xmlns:r="http://schemas.openxmlformats.org/officeDocument/2006/relationships" r:embed="rId1"/>
        <a:stretch>
          <a:fillRect/>
        </a:stretch>
      </xdr:blipFill>
      <xdr:spPr>
        <a:xfrm>
          <a:off x="19742150" y="819150"/>
          <a:ext cx="714924" cy="2435225"/>
        </a:xfrm>
        <a:prstGeom prst="rect">
          <a:avLst/>
        </a:prstGeom>
      </xdr:spPr>
    </xdr:pic>
    <xdr:clientData/>
  </xdr:twoCellAnchor>
  <xdr:twoCellAnchor editAs="oneCell">
    <xdr:from>
      <xdr:col>28</xdr:col>
      <xdr:colOff>10583</xdr:colOff>
      <xdr:row>56</xdr:row>
      <xdr:rowOff>0</xdr:rowOff>
    </xdr:from>
    <xdr:to>
      <xdr:col>29</xdr:col>
      <xdr:colOff>382505</xdr:colOff>
      <xdr:row>84</xdr:row>
      <xdr:rowOff>146196</xdr:rowOff>
    </xdr:to>
    <xdr:pic>
      <xdr:nvPicPr>
        <xdr:cNvPr id="9" name="Picture 8">
          <a:extLst>
            <a:ext uri="{FF2B5EF4-FFF2-40B4-BE49-F238E27FC236}">
              <a16:creationId xmlns:a16="http://schemas.microsoft.com/office/drawing/2014/main" id="{7A437FC0-55B5-4060-89A4-16E8FA70C93A}"/>
            </a:ext>
          </a:extLst>
        </xdr:cNvPr>
        <xdr:cNvPicPr>
          <a:picLocks noChangeAspect="1"/>
        </xdr:cNvPicPr>
      </xdr:nvPicPr>
      <xdr:blipFill>
        <a:blip xmlns:r="http://schemas.openxmlformats.org/officeDocument/2006/relationships" r:embed="rId2"/>
        <a:stretch>
          <a:fillRect/>
        </a:stretch>
      </xdr:blipFill>
      <xdr:spPr>
        <a:xfrm>
          <a:off x="19889258" y="8191500"/>
          <a:ext cx="952946" cy="38418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4536</xdr:colOff>
      <xdr:row>4</xdr:row>
      <xdr:rowOff>39309</xdr:rowOff>
    </xdr:from>
    <xdr:to>
      <xdr:col>4</xdr:col>
      <xdr:colOff>4536</xdr:colOff>
      <xdr:row>158</xdr:row>
      <xdr:rowOff>18142</xdr:rowOff>
    </xdr:to>
    <xdr:cxnSp macro="">
      <xdr:nvCxnSpPr>
        <xdr:cNvPr id="4" name="Straight Connector 3">
          <a:extLst>
            <a:ext uri="{FF2B5EF4-FFF2-40B4-BE49-F238E27FC236}">
              <a16:creationId xmlns:a16="http://schemas.microsoft.com/office/drawing/2014/main" id="{33B685A9-342E-41A8-9C57-5C6765571854}"/>
            </a:ext>
          </a:extLst>
        </xdr:cNvPr>
        <xdr:cNvCxnSpPr/>
      </xdr:nvCxnSpPr>
      <xdr:spPr>
        <a:xfrm>
          <a:off x="4535715" y="828523"/>
          <a:ext cx="0" cy="1432076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970643</xdr:colOff>
      <xdr:row>4</xdr:row>
      <xdr:rowOff>21167</xdr:rowOff>
    </xdr:from>
    <xdr:to>
      <xdr:col>5</xdr:col>
      <xdr:colOff>970643</xdr:colOff>
      <xdr:row>157</xdr:row>
      <xdr:rowOff>0</xdr:rowOff>
    </xdr:to>
    <xdr:cxnSp macro="">
      <xdr:nvCxnSpPr>
        <xdr:cNvPr id="3" name="Straight Connector 2">
          <a:extLst>
            <a:ext uri="{FF2B5EF4-FFF2-40B4-BE49-F238E27FC236}">
              <a16:creationId xmlns:a16="http://schemas.microsoft.com/office/drawing/2014/main" id="{8A284EE2-D227-4520-9B09-C10F355D42DF}"/>
            </a:ext>
          </a:extLst>
        </xdr:cNvPr>
        <xdr:cNvCxnSpPr/>
      </xdr:nvCxnSpPr>
      <xdr:spPr>
        <a:xfrm>
          <a:off x="6676572" y="765024"/>
          <a:ext cx="0" cy="1253369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7256</xdr:colOff>
      <xdr:row>4</xdr:row>
      <xdr:rowOff>21167</xdr:rowOff>
    </xdr:from>
    <xdr:to>
      <xdr:col>23</xdr:col>
      <xdr:colOff>7256</xdr:colOff>
      <xdr:row>157</xdr:row>
      <xdr:rowOff>0</xdr:rowOff>
    </xdr:to>
    <xdr:cxnSp macro="">
      <xdr:nvCxnSpPr>
        <xdr:cNvPr id="5" name="Straight Connector 4">
          <a:extLst>
            <a:ext uri="{FF2B5EF4-FFF2-40B4-BE49-F238E27FC236}">
              <a16:creationId xmlns:a16="http://schemas.microsoft.com/office/drawing/2014/main" id="{B0341390-8E11-4828-8BD8-2365B97B09DE}"/>
            </a:ext>
          </a:extLst>
        </xdr:cNvPr>
        <xdr:cNvCxnSpPr/>
      </xdr:nvCxnSpPr>
      <xdr:spPr>
        <a:xfrm>
          <a:off x="21897438" y="869758"/>
          <a:ext cx="0" cy="24397469"/>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7257</xdr:colOff>
      <xdr:row>4</xdr:row>
      <xdr:rowOff>21167</xdr:rowOff>
    </xdr:from>
    <xdr:to>
      <xdr:col>8</xdr:col>
      <xdr:colOff>7257</xdr:colOff>
      <xdr:row>157</xdr:row>
      <xdr:rowOff>0</xdr:rowOff>
    </xdr:to>
    <xdr:cxnSp macro="">
      <xdr:nvCxnSpPr>
        <xdr:cNvPr id="7" name="Straight Connector 6">
          <a:extLst>
            <a:ext uri="{FF2B5EF4-FFF2-40B4-BE49-F238E27FC236}">
              <a16:creationId xmlns:a16="http://schemas.microsoft.com/office/drawing/2014/main" id="{BE3F2F10-388F-A666-B517-9A873C6231C9}"/>
            </a:ext>
          </a:extLst>
        </xdr:cNvPr>
        <xdr:cNvCxnSpPr/>
      </xdr:nvCxnSpPr>
      <xdr:spPr>
        <a:xfrm>
          <a:off x="8294007" y="810381"/>
          <a:ext cx="0" cy="13749262"/>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950685</xdr:colOff>
      <xdr:row>4</xdr:row>
      <xdr:rowOff>21167</xdr:rowOff>
    </xdr:from>
    <xdr:to>
      <xdr:col>9</xdr:col>
      <xdr:colOff>950685</xdr:colOff>
      <xdr:row>157</xdr:row>
      <xdr:rowOff>0</xdr:rowOff>
    </xdr:to>
    <xdr:cxnSp macro="">
      <xdr:nvCxnSpPr>
        <xdr:cNvPr id="6" name="Straight Connector 5">
          <a:extLst>
            <a:ext uri="{FF2B5EF4-FFF2-40B4-BE49-F238E27FC236}">
              <a16:creationId xmlns:a16="http://schemas.microsoft.com/office/drawing/2014/main" id="{E3687A21-09FE-FF5C-62D9-6E2F18B217C3}"/>
            </a:ext>
          </a:extLst>
        </xdr:cNvPr>
        <xdr:cNvCxnSpPr/>
      </xdr:nvCxnSpPr>
      <xdr:spPr>
        <a:xfrm>
          <a:off x="10575471" y="765024"/>
          <a:ext cx="0" cy="19681976"/>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923675</xdr:colOff>
      <xdr:row>4</xdr:row>
      <xdr:rowOff>21167</xdr:rowOff>
    </xdr:from>
    <xdr:to>
      <xdr:col>11</xdr:col>
      <xdr:colOff>923675</xdr:colOff>
      <xdr:row>157</xdr:row>
      <xdr:rowOff>0</xdr:rowOff>
    </xdr:to>
    <xdr:cxnSp macro="">
      <xdr:nvCxnSpPr>
        <xdr:cNvPr id="2" name="Straight Connector 1">
          <a:extLst>
            <a:ext uri="{FF2B5EF4-FFF2-40B4-BE49-F238E27FC236}">
              <a16:creationId xmlns:a16="http://schemas.microsoft.com/office/drawing/2014/main" id="{501031E5-9BD7-8590-8813-D5E16BB65560}"/>
            </a:ext>
          </a:extLst>
        </xdr:cNvPr>
        <xdr:cNvCxnSpPr/>
      </xdr:nvCxnSpPr>
      <xdr:spPr>
        <a:xfrm>
          <a:off x="12480675" y="840894"/>
          <a:ext cx="0" cy="2339301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209550</xdr:rowOff>
    </xdr:from>
    <xdr:to>
      <xdr:col>7</xdr:col>
      <xdr:colOff>0</xdr:colOff>
      <xdr:row>132</xdr:row>
      <xdr:rowOff>165100</xdr:rowOff>
    </xdr:to>
    <xdr:cxnSp macro="">
      <xdr:nvCxnSpPr>
        <xdr:cNvPr id="10" name="Straight Connector 9">
          <a:extLst>
            <a:ext uri="{FF2B5EF4-FFF2-40B4-BE49-F238E27FC236}">
              <a16:creationId xmlns:a16="http://schemas.microsoft.com/office/drawing/2014/main" id="{152EAB60-C6F3-4FA9-A74F-4C53925638C2}"/>
            </a:ext>
          </a:extLst>
        </xdr:cNvPr>
        <xdr:cNvCxnSpPr/>
      </xdr:nvCxnSpPr>
      <xdr:spPr>
        <a:xfrm>
          <a:off x="5067300" y="781050"/>
          <a:ext cx="0" cy="115379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777226</xdr:colOff>
      <xdr:row>4</xdr:row>
      <xdr:rowOff>0</xdr:rowOff>
    </xdr:from>
    <xdr:to>
      <xdr:col>14</xdr:col>
      <xdr:colOff>777226</xdr:colOff>
      <xdr:row>132</xdr:row>
      <xdr:rowOff>165100</xdr:rowOff>
    </xdr:to>
    <xdr:cxnSp macro="">
      <xdr:nvCxnSpPr>
        <xdr:cNvPr id="11" name="Straight Connector 10">
          <a:extLst>
            <a:ext uri="{FF2B5EF4-FFF2-40B4-BE49-F238E27FC236}">
              <a16:creationId xmlns:a16="http://schemas.microsoft.com/office/drawing/2014/main" id="{9C5B6827-370E-4000-B71D-0C69AAA8A229}"/>
            </a:ext>
          </a:extLst>
        </xdr:cNvPr>
        <xdr:cNvCxnSpPr/>
      </xdr:nvCxnSpPr>
      <xdr:spPr>
        <a:xfrm>
          <a:off x="6846012" y="743857"/>
          <a:ext cx="0" cy="14624957"/>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829732</xdr:colOff>
      <xdr:row>4</xdr:row>
      <xdr:rowOff>0</xdr:rowOff>
    </xdr:from>
    <xdr:to>
      <xdr:col>35</xdr:col>
      <xdr:colOff>829732</xdr:colOff>
      <xdr:row>132</xdr:row>
      <xdr:rowOff>165100</xdr:rowOff>
    </xdr:to>
    <xdr:cxnSp macro="">
      <xdr:nvCxnSpPr>
        <xdr:cNvPr id="12" name="Straight Connector 11">
          <a:extLst>
            <a:ext uri="{FF2B5EF4-FFF2-40B4-BE49-F238E27FC236}">
              <a16:creationId xmlns:a16="http://schemas.microsoft.com/office/drawing/2014/main" id="{9455073F-E997-4E4E-84E2-E3E781EE74A5}"/>
            </a:ext>
          </a:extLst>
        </xdr:cNvPr>
        <xdr:cNvCxnSpPr/>
      </xdr:nvCxnSpPr>
      <xdr:spPr>
        <a:xfrm>
          <a:off x="18482732" y="762000"/>
          <a:ext cx="0" cy="1123950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777225</xdr:colOff>
      <xdr:row>4</xdr:row>
      <xdr:rowOff>0</xdr:rowOff>
    </xdr:from>
    <xdr:to>
      <xdr:col>18</xdr:col>
      <xdr:colOff>777225</xdr:colOff>
      <xdr:row>132</xdr:row>
      <xdr:rowOff>165100</xdr:rowOff>
    </xdr:to>
    <xdr:cxnSp macro="">
      <xdr:nvCxnSpPr>
        <xdr:cNvPr id="2" name="Straight Connector 1">
          <a:extLst>
            <a:ext uri="{FF2B5EF4-FFF2-40B4-BE49-F238E27FC236}">
              <a16:creationId xmlns:a16="http://schemas.microsoft.com/office/drawing/2014/main" id="{9BCD32BD-8E3E-E0E2-A899-4E0C48F37E16}"/>
            </a:ext>
          </a:extLst>
        </xdr:cNvPr>
        <xdr:cNvCxnSpPr/>
      </xdr:nvCxnSpPr>
      <xdr:spPr>
        <a:xfrm>
          <a:off x="10013589" y="762000"/>
          <a:ext cx="0" cy="1325764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2418</xdr:colOff>
      <xdr:row>4</xdr:row>
      <xdr:rowOff>0</xdr:rowOff>
    </xdr:from>
    <xdr:to>
      <xdr:col>38</xdr:col>
      <xdr:colOff>2418</xdr:colOff>
      <xdr:row>132</xdr:row>
      <xdr:rowOff>165100</xdr:rowOff>
    </xdr:to>
    <xdr:cxnSp macro="">
      <xdr:nvCxnSpPr>
        <xdr:cNvPr id="3" name="Straight Connector 2">
          <a:extLst>
            <a:ext uri="{FF2B5EF4-FFF2-40B4-BE49-F238E27FC236}">
              <a16:creationId xmlns:a16="http://schemas.microsoft.com/office/drawing/2014/main" id="{E4BE1D89-3742-BF68-AD36-0004CB54F156}"/>
            </a:ext>
          </a:extLst>
        </xdr:cNvPr>
        <xdr:cNvCxnSpPr/>
      </xdr:nvCxnSpPr>
      <xdr:spPr>
        <a:xfrm>
          <a:off x="16303775" y="789214"/>
          <a:ext cx="0" cy="13690600"/>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849797</xdr:colOff>
      <xdr:row>4</xdr:row>
      <xdr:rowOff>0</xdr:rowOff>
    </xdr:from>
    <xdr:to>
      <xdr:col>51</xdr:col>
      <xdr:colOff>849797</xdr:colOff>
      <xdr:row>132</xdr:row>
      <xdr:rowOff>165100</xdr:rowOff>
    </xdr:to>
    <xdr:cxnSp macro="">
      <xdr:nvCxnSpPr>
        <xdr:cNvPr id="8" name="Straight Connector 7">
          <a:extLst>
            <a:ext uri="{FF2B5EF4-FFF2-40B4-BE49-F238E27FC236}">
              <a16:creationId xmlns:a16="http://schemas.microsoft.com/office/drawing/2014/main" id="{C1812DA6-2CF3-586D-CA8C-827CE438CB22}"/>
            </a:ext>
          </a:extLst>
        </xdr:cNvPr>
        <xdr:cNvCxnSpPr/>
      </xdr:nvCxnSpPr>
      <xdr:spPr>
        <a:xfrm>
          <a:off x="29355524" y="819727"/>
          <a:ext cx="0" cy="1851082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773760</xdr:colOff>
      <xdr:row>4</xdr:row>
      <xdr:rowOff>0</xdr:rowOff>
    </xdr:from>
    <xdr:to>
      <xdr:col>22</xdr:col>
      <xdr:colOff>773760</xdr:colOff>
      <xdr:row>132</xdr:row>
      <xdr:rowOff>165100</xdr:rowOff>
    </xdr:to>
    <xdr:cxnSp macro="">
      <xdr:nvCxnSpPr>
        <xdr:cNvPr id="9" name="Straight Connector 8">
          <a:extLst>
            <a:ext uri="{FF2B5EF4-FFF2-40B4-BE49-F238E27FC236}">
              <a16:creationId xmlns:a16="http://schemas.microsoft.com/office/drawing/2014/main" id="{BFB53392-AAB5-0ACD-4D61-D27FABC7C4F2}"/>
            </a:ext>
          </a:extLst>
        </xdr:cNvPr>
        <xdr:cNvCxnSpPr/>
      </xdr:nvCxnSpPr>
      <xdr:spPr>
        <a:xfrm>
          <a:off x="11580305" y="762000"/>
          <a:ext cx="0" cy="17968191"/>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2418</xdr:colOff>
      <xdr:row>4</xdr:row>
      <xdr:rowOff>0</xdr:rowOff>
    </xdr:from>
    <xdr:to>
      <xdr:col>40</xdr:col>
      <xdr:colOff>2418</xdr:colOff>
      <xdr:row>132</xdr:row>
      <xdr:rowOff>165100</xdr:rowOff>
    </xdr:to>
    <xdr:cxnSp macro="">
      <xdr:nvCxnSpPr>
        <xdr:cNvPr id="13" name="Straight Connector 12">
          <a:extLst>
            <a:ext uri="{FF2B5EF4-FFF2-40B4-BE49-F238E27FC236}">
              <a16:creationId xmlns:a16="http://schemas.microsoft.com/office/drawing/2014/main" id="{78A19438-2E5B-4490-739B-CF5D8EFFD226}"/>
            </a:ext>
          </a:extLst>
        </xdr:cNvPr>
        <xdr:cNvCxnSpPr/>
      </xdr:nvCxnSpPr>
      <xdr:spPr>
        <a:xfrm>
          <a:off x="22372561" y="789214"/>
          <a:ext cx="0" cy="1619431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5988</xdr:colOff>
      <xdr:row>4</xdr:row>
      <xdr:rowOff>0</xdr:rowOff>
    </xdr:from>
    <xdr:to>
      <xdr:col>27</xdr:col>
      <xdr:colOff>5988</xdr:colOff>
      <xdr:row>132</xdr:row>
      <xdr:rowOff>165100</xdr:rowOff>
    </xdr:to>
    <xdr:cxnSp macro="">
      <xdr:nvCxnSpPr>
        <xdr:cNvPr id="4" name="Straight Connector 3">
          <a:extLst>
            <a:ext uri="{FF2B5EF4-FFF2-40B4-BE49-F238E27FC236}">
              <a16:creationId xmlns:a16="http://schemas.microsoft.com/office/drawing/2014/main" id="{A02C819C-8F9F-17F0-DC0C-1713F32C767A}"/>
            </a:ext>
          </a:extLst>
        </xdr:cNvPr>
        <xdr:cNvCxnSpPr/>
      </xdr:nvCxnSpPr>
      <xdr:spPr>
        <a:xfrm>
          <a:off x="13964443" y="796636"/>
          <a:ext cx="0" cy="17985509"/>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816371</xdr:colOff>
      <xdr:row>4</xdr:row>
      <xdr:rowOff>0</xdr:rowOff>
    </xdr:from>
    <xdr:to>
      <xdr:col>41</xdr:col>
      <xdr:colOff>816371</xdr:colOff>
      <xdr:row>132</xdr:row>
      <xdr:rowOff>165100</xdr:rowOff>
    </xdr:to>
    <xdr:cxnSp macro="">
      <xdr:nvCxnSpPr>
        <xdr:cNvPr id="5" name="Straight Connector 4">
          <a:extLst>
            <a:ext uri="{FF2B5EF4-FFF2-40B4-BE49-F238E27FC236}">
              <a16:creationId xmlns:a16="http://schemas.microsoft.com/office/drawing/2014/main" id="{7EA0553A-83EB-A309-ED4D-5FC349D3D0CC}"/>
            </a:ext>
          </a:extLst>
        </xdr:cNvPr>
        <xdr:cNvCxnSpPr/>
      </xdr:nvCxnSpPr>
      <xdr:spPr>
        <a:xfrm>
          <a:off x="21944553" y="819727"/>
          <a:ext cx="0" cy="18510828"/>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899578</xdr:colOff>
      <xdr:row>4</xdr:row>
      <xdr:rowOff>31751</xdr:rowOff>
    </xdr:from>
    <xdr:to>
      <xdr:col>24</xdr:col>
      <xdr:colOff>899578</xdr:colOff>
      <xdr:row>334</xdr:row>
      <xdr:rowOff>10585</xdr:rowOff>
    </xdr:to>
    <xdr:cxnSp macro="">
      <xdr:nvCxnSpPr>
        <xdr:cNvPr id="5" name="Straight Connector 4">
          <a:extLst>
            <a:ext uri="{FF2B5EF4-FFF2-40B4-BE49-F238E27FC236}">
              <a16:creationId xmlns:a16="http://schemas.microsoft.com/office/drawing/2014/main" id="{FA370294-8EB7-4EA9-8F91-219E559FED34}"/>
            </a:ext>
          </a:extLst>
        </xdr:cNvPr>
        <xdr:cNvCxnSpPr/>
      </xdr:nvCxnSpPr>
      <xdr:spPr>
        <a:xfrm>
          <a:off x="10128245" y="772584"/>
          <a:ext cx="0" cy="2936875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791228</xdr:colOff>
      <xdr:row>4</xdr:row>
      <xdr:rowOff>31751</xdr:rowOff>
    </xdr:from>
    <xdr:to>
      <xdr:col>4</xdr:col>
      <xdr:colOff>791228</xdr:colOff>
      <xdr:row>334</xdr:row>
      <xdr:rowOff>10585</xdr:rowOff>
    </xdr:to>
    <xdr:cxnSp macro="">
      <xdr:nvCxnSpPr>
        <xdr:cNvPr id="6" name="Straight Connector 5">
          <a:extLst>
            <a:ext uri="{FF2B5EF4-FFF2-40B4-BE49-F238E27FC236}">
              <a16:creationId xmlns:a16="http://schemas.microsoft.com/office/drawing/2014/main" id="{129DF3D0-78D8-4A34-9C4E-3564C4025680}"/>
            </a:ext>
          </a:extLst>
        </xdr:cNvPr>
        <xdr:cNvCxnSpPr/>
      </xdr:nvCxnSpPr>
      <xdr:spPr>
        <a:xfrm>
          <a:off x="4289501" y="793751"/>
          <a:ext cx="0" cy="5583574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3166</xdr:colOff>
      <xdr:row>4</xdr:row>
      <xdr:rowOff>31751</xdr:rowOff>
    </xdr:from>
    <xdr:to>
      <xdr:col>9</xdr:col>
      <xdr:colOff>3166</xdr:colOff>
      <xdr:row>334</xdr:row>
      <xdr:rowOff>10585</xdr:rowOff>
    </xdr:to>
    <xdr:cxnSp macro="">
      <xdr:nvCxnSpPr>
        <xdr:cNvPr id="4" name="Straight Connector 3">
          <a:extLst>
            <a:ext uri="{FF2B5EF4-FFF2-40B4-BE49-F238E27FC236}">
              <a16:creationId xmlns:a16="http://schemas.microsoft.com/office/drawing/2014/main" id="{0591A6D6-56CF-4069-BA41-0D5F0C12C97C}"/>
            </a:ext>
          </a:extLst>
        </xdr:cNvPr>
        <xdr:cNvCxnSpPr/>
      </xdr:nvCxnSpPr>
      <xdr:spPr>
        <a:xfrm>
          <a:off x="7541523" y="775608"/>
          <a:ext cx="0" cy="33996691"/>
        </a:xfrm>
        <a:prstGeom prst="line">
          <a:avLst/>
        </a:prstGeom>
        <a:ln>
          <a:solidFill>
            <a:sysClr val="windowText" lastClr="00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803267</xdr:colOff>
      <xdr:row>4</xdr:row>
      <xdr:rowOff>31751</xdr:rowOff>
    </xdr:from>
    <xdr:to>
      <xdr:col>26</xdr:col>
      <xdr:colOff>803267</xdr:colOff>
      <xdr:row>334</xdr:row>
      <xdr:rowOff>10585</xdr:rowOff>
    </xdr:to>
    <xdr:cxnSp macro="">
      <xdr:nvCxnSpPr>
        <xdr:cNvPr id="7" name="Straight Connector 6">
          <a:extLst>
            <a:ext uri="{FF2B5EF4-FFF2-40B4-BE49-F238E27FC236}">
              <a16:creationId xmlns:a16="http://schemas.microsoft.com/office/drawing/2014/main" id="{E314A9C0-D076-4BCD-9F95-E65EABE382F6}"/>
            </a:ext>
          </a:extLst>
        </xdr:cNvPr>
        <xdr:cNvCxnSpPr/>
      </xdr:nvCxnSpPr>
      <xdr:spPr>
        <a:xfrm>
          <a:off x="14492053" y="775608"/>
          <a:ext cx="0" cy="33996691"/>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3165</xdr:colOff>
      <xdr:row>4</xdr:row>
      <xdr:rowOff>31751</xdr:rowOff>
    </xdr:from>
    <xdr:to>
      <xdr:col>13</xdr:col>
      <xdr:colOff>3165</xdr:colOff>
      <xdr:row>334</xdr:row>
      <xdr:rowOff>10585</xdr:rowOff>
    </xdr:to>
    <xdr:cxnSp macro="">
      <xdr:nvCxnSpPr>
        <xdr:cNvPr id="2" name="Straight Connector 1">
          <a:extLst>
            <a:ext uri="{FF2B5EF4-FFF2-40B4-BE49-F238E27FC236}">
              <a16:creationId xmlns:a16="http://schemas.microsoft.com/office/drawing/2014/main" id="{1EE91332-BC08-F141-CC89-C60D05D20ACD}"/>
            </a:ext>
          </a:extLst>
        </xdr:cNvPr>
        <xdr:cNvCxnSpPr/>
      </xdr:nvCxnSpPr>
      <xdr:spPr>
        <a:xfrm>
          <a:off x="10770951" y="775608"/>
          <a:ext cx="0" cy="33996691"/>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790360</xdr:colOff>
      <xdr:row>4</xdr:row>
      <xdr:rowOff>104319</xdr:rowOff>
    </xdr:from>
    <xdr:to>
      <xdr:col>28</xdr:col>
      <xdr:colOff>790360</xdr:colOff>
      <xdr:row>334</xdr:row>
      <xdr:rowOff>83153</xdr:rowOff>
    </xdr:to>
    <xdr:cxnSp macro="">
      <xdr:nvCxnSpPr>
        <xdr:cNvPr id="3" name="Straight Connector 2">
          <a:extLst>
            <a:ext uri="{FF2B5EF4-FFF2-40B4-BE49-F238E27FC236}">
              <a16:creationId xmlns:a16="http://schemas.microsoft.com/office/drawing/2014/main" id="{6F6EC955-0E98-3418-490F-06F43A4A67D6}"/>
            </a:ext>
          </a:extLst>
        </xdr:cNvPr>
        <xdr:cNvCxnSpPr/>
      </xdr:nvCxnSpPr>
      <xdr:spPr>
        <a:xfrm>
          <a:off x="20948724" y="866319"/>
          <a:ext cx="0" cy="49647379"/>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3165</xdr:colOff>
      <xdr:row>4</xdr:row>
      <xdr:rowOff>31751</xdr:rowOff>
    </xdr:from>
    <xdr:to>
      <xdr:col>17</xdr:col>
      <xdr:colOff>3165</xdr:colOff>
      <xdr:row>334</xdr:row>
      <xdr:rowOff>10585</xdr:rowOff>
    </xdr:to>
    <xdr:cxnSp macro="">
      <xdr:nvCxnSpPr>
        <xdr:cNvPr id="8" name="Straight Connector 7">
          <a:extLst>
            <a:ext uri="{FF2B5EF4-FFF2-40B4-BE49-F238E27FC236}">
              <a16:creationId xmlns:a16="http://schemas.microsoft.com/office/drawing/2014/main" id="{556A8B69-61F2-9838-6634-271AC3D9D976}"/>
            </a:ext>
          </a:extLst>
        </xdr:cNvPr>
        <xdr:cNvCxnSpPr/>
      </xdr:nvCxnSpPr>
      <xdr:spPr>
        <a:xfrm>
          <a:off x="13476710" y="828387"/>
          <a:ext cx="0" cy="47136243"/>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6630</xdr:colOff>
      <xdr:row>4</xdr:row>
      <xdr:rowOff>31751</xdr:rowOff>
    </xdr:from>
    <xdr:to>
      <xdr:col>31</xdr:col>
      <xdr:colOff>6630</xdr:colOff>
      <xdr:row>334</xdr:row>
      <xdr:rowOff>10585</xdr:rowOff>
    </xdr:to>
    <xdr:cxnSp macro="">
      <xdr:nvCxnSpPr>
        <xdr:cNvPr id="9" name="Straight Connector 8">
          <a:extLst>
            <a:ext uri="{FF2B5EF4-FFF2-40B4-BE49-F238E27FC236}">
              <a16:creationId xmlns:a16="http://schemas.microsoft.com/office/drawing/2014/main" id="{733CEC5B-390E-62AC-C1A2-472AAFF298E1}"/>
            </a:ext>
          </a:extLst>
        </xdr:cNvPr>
        <xdr:cNvCxnSpPr/>
      </xdr:nvCxnSpPr>
      <xdr:spPr>
        <a:xfrm>
          <a:off x="22589539" y="793751"/>
          <a:ext cx="0" cy="49647379"/>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3165</xdr:colOff>
      <xdr:row>4</xdr:row>
      <xdr:rowOff>31751</xdr:rowOff>
    </xdr:from>
    <xdr:to>
      <xdr:col>21</xdr:col>
      <xdr:colOff>3165</xdr:colOff>
      <xdr:row>334</xdr:row>
      <xdr:rowOff>10585</xdr:rowOff>
    </xdr:to>
    <xdr:cxnSp macro="">
      <xdr:nvCxnSpPr>
        <xdr:cNvPr id="13" name="Straight Connector 12">
          <a:extLst>
            <a:ext uri="{FF2B5EF4-FFF2-40B4-BE49-F238E27FC236}">
              <a16:creationId xmlns:a16="http://schemas.microsoft.com/office/drawing/2014/main" id="{03A3B367-E5B9-9F1B-614F-2CB276F9CF79}"/>
            </a:ext>
          </a:extLst>
        </xdr:cNvPr>
        <xdr:cNvCxnSpPr/>
      </xdr:nvCxnSpPr>
      <xdr:spPr>
        <a:xfrm>
          <a:off x="16593983" y="828387"/>
          <a:ext cx="0" cy="57353971"/>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969819</xdr:colOff>
      <xdr:row>4</xdr:row>
      <xdr:rowOff>21167</xdr:rowOff>
    </xdr:from>
    <xdr:to>
      <xdr:col>3</xdr:col>
      <xdr:colOff>969819</xdr:colOff>
      <xdr:row>157</xdr:row>
      <xdr:rowOff>0</xdr:rowOff>
    </xdr:to>
    <xdr:cxnSp macro="">
      <xdr:nvCxnSpPr>
        <xdr:cNvPr id="7" name="Straight Connector 6">
          <a:extLst>
            <a:ext uri="{FF2B5EF4-FFF2-40B4-BE49-F238E27FC236}">
              <a16:creationId xmlns:a16="http://schemas.microsoft.com/office/drawing/2014/main" id="{3296A47D-4B01-4F8D-A76B-9A3C1A0DF8B8}"/>
            </a:ext>
          </a:extLst>
        </xdr:cNvPr>
        <xdr:cNvCxnSpPr/>
      </xdr:nvCxnSpPr>
      <xdr:spPr>
        <a:xfrm>
          <a:off x="4733637" y="840894"/>
          <a:ext cx="0" cy="2347383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xdr:colOff>
      <xdr:row>4</xdr:row>
      <xdr:rowOff>21167</xdr:rowOff>
    </xdr:from>
    <xdr:to>
      <xdr:col>6</xdr:col>
      <xdr:colOff>1</xdr:colOff>
      <xdr:row>157</xdr:row>
      <xdr:rowOff>0</xdr:rowOff>
    </xdr:to>
    <xdr:cxnSp macro="">
      <xdr:nvCxnSpPr>
        <xdr:cNvPr id="3" name="Straight Connector 2">
          <a:extLst>
            <a:ext uri="{FF2B5EF4-FFF2-40B4-BE49-F238E27FC236}">
              <a16:creationId xmlns:a16="http://schemas.microsoft.com/office/drawing/2014/main" id="{D580264E-919F-47D1-BE03-37898D0033AC}"/>
            </a:ext>
          </a:extLst>
        </xdr:cNvPr>
        <xdr:cNvCxnSpPr/>
      </xdr:nvCxnSpPr>
      <xdr:spPr>
        <a:xfrm>
          <a:off x="6742546" y="783167"/>
          <a:ext cx="0" cy="12840469"/>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9073</xdr:colOff>
      <xdr:row>4</xdr:row>
      <xdr:rowOff>21167</xdr:rowOff>
    </xdr:from>
    <xdr:to>
      <xdr:col>8</xdr:col>
      <xdr:colOff>9073</xdr:colOff>
      <xdr:row>157</xdr:row>
      <xdr:rowOff>0</xdr:rowOff>
    </xdr:to>
    <xdr:cxnSp macro="">
      <xdr:nvCxnSpPr>
        <xdr:cNvPr id="5" name="Straight Connector 4">
          <a:extLst>
            <a:ext uri="{FF2B5EF4-FFF2-40B4-BE49-F238E27FC236}">
              <a16:creationId xmlns:a16="http://schemas.microsoft.com/office/drawing/2014/main" id="{7390D180-C5B6-4927-9A41-1128270020DC}"/>
            </a:ext>
          </a:extLst>
        </xdr:cNvPr>
        <xdr:cNvCxnSpPr/>
      </xdr:nvCxnSpPr>
      <xdr:spPr>
        <a:xfrm>
          <a:off x="8269846" y="817803"/>
          <a:ext cx="0" cy="1443951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984662</xdr:colOff>
      <xdr:row>4</xdr:row>
      <xdr:rowOff>21167</xdr:rowOff>
    </xdr:from>
    <xdr:to>
      <xdr:col>9</xdr:col>
      <xdr:colOff>984662</xdr:colOff>
      <xdr:row>157</xdr:row>
      <xdr:rowOff>0</xdr:rowOff>
    </xdr:to>
    <xdr:cxnSp macro="">
      <xdr:nvCxnSpPr>
        <xdr:cNvPr id="4" name="Straight Connector 3">
          <a:extLst>
            <a:ext uri="{FF2B5EF4-FFF2-40B4-BE49-F238E27FC236}">
              <a16:creationId xmlns:a16="http://schemas.microsoft.com/office/drawing/2014/main" id="{54C5110D-6A6C-B213-EFDE-C0B8A977772F}"/>
            </a:ext>
          </a:extLst>
        </xdr:cNvPr>
        <xdr:cNvCxnSpPr/>
      </xdr:nvCxnSpPr>
      <xdr:spPr>
        <a:xfrm>
          <a:off x="10705935" y="783167"/>
          <a:ext cx="0" cy="20552833"/>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969652</xdr:colOff>
      <xdr:row>4</xdr:row>
      <xdr:rowOff>21167</xdr:rowOff>
    </xdr:from>
    <xdr:to>
      <xdr:col>22</xdr:col>
      <xdr:colOff>969652</xdr:colOff>
      <xdr:row>157</xdr:row>
      <xdr:rowOff>0</xdr:rowOff>
    </xdr:to>
    <xdr:cxnSp macro="">
      <xdr:nvCxnSpPr>
        <xdr:cNvPr id="9" name="Straight Connector 8">
          <a:extLst>
            <a:ext uri="{FF2B5EF4-FFF2-40B4-BE49-F238E27FC236}">
              <a16:creationId xmlns:a16="http://schemas.microsoft.com/office/drawing/2014/main" id="{F763F70D-0F97-5E20-4ECD-536F11B9CF9B}"/>
            </a:ext>
          </a:extLst>
        </xdr:cNvPr>
        <xdr:cNvCxnSpPr/>
      </xdr:nvCxnSpPr>
      <xdr:spPr>
        <a:xfrm>
          <a:off x="22444197" y="840894"/>
          <a:ext cx="0" cy="2347383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11380</xdr:colOff>
      <xdr:row>4</xdr:row>
      <xdr:rowOff>21167</xdr:rowOff>
    </xdr:from>
    <xdr:to>
      <xdr:col>12</xdr:col>
      <xdr:colOff>11380</xdr:colOff>
      <xdr:row>157</xdr:row>
      <xdr:rowOff>0</xdr:rowOff>
    </xdr:to>
    <xdr:cxnSp macro="">
      <xdr:nvCxnSpPr>
        <xdr:cNvPr id="2" name="Straight Connector 1">
          <a:extLst>
            <a:ext uri="{FF2B5EF4-FFF2-40B4-BE49-F238E27FC236}">
              <a16:creationId xmlns:a16="http://schemas.microsoft.com/office/drawing/2014/main" id="{EB7BCF3F-CF5D-167B-D8FE-D79436B63C98}"/>
            </a:ext>
          </a:extLst>
        </xdr:cNvPr>
        <xdr:cNvCxnSpPr/>
      </xdr:nvCxnSpPr>
      <xdr:spPr>
        <a:xfrm>
          <a:off x="12012880" y="869758"/>
          <a:ext cx="0" cy="24466742"/>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42</xdr:col>
      <xdr:colOff>436642</xdr:colOff>
      <xdr:row>28</xdr:row>
      <xdr:rowOff>186039</xdr:rowOff>
    </xdr:from>
    <xdr:to>
      <xdr:col>54</xdr:col>
      <xdr:colOff>428190</xdr:colOff>
      <xdr:row>44</xdr:row>
      <xdr:rowOff>107954</xdr:rowOff>
    </xdr:to>
    <xdr:pic>
      <xdr:nvPicPr>
        <xdr:cNvPr id="15" name="Picture 5">
          <a:extLst>
            <a:ext uri="{FF2B5EF4-FFF2-40B4-BE49-F238E27FC236}">
              <a16:creationId xmlns:a16="http://schemas.microsoft.com/office/drawing/2014/main" id="{445FD844-6D7B-403D-ADCC-AA3D26B6F429}"/>
            </a:ext>
          </a:extLst>
        </xdr:cNvPr>
        <xdr:cNvPicPr>
          <a:picLocks noChangeAspect="1"/>
        </xdr:cNvPicPr>
      </xdr:nvPicPr>
      <xdr:blipFill>
        <a:blip xmlns:r="http://schemas.openxmlformats.org/officeDocument/2006/relationships" r:embed="rId1"/>
        <a:stretch>
          <a:fillRect/>
        </a:stretch>
      </xdr:blipFill>
      <xdr:spPr>
        <a:xfrm>
          <a:off x="31418869" y="5468084"/>
          <a:ext cx="7713149" cy="2465379"/>
        </a:xfrm>
        <a:prstGeom prst="rect">
          <a:avLst/>
        </a:prstGeom>
      </xdr:spPr>
    </xdr:pic>
    <xdr:clientData/>
  </xdr:twoCellAnchor>
  <xdr:twoCellAnchor>
    <xdr:from>
      <xdr:col>24</xdr:col>
      <xdr:colOff>800874</xdr:colOff>
      <xdr:row>4</xdr:row>
      <xdr:rowOff>31751</xdr:rowOff>
    </xdr:from>
    <xdr:to>
      <xdr:col>24</xdr:col>
      <xdr:colOff>800874</xdr:colOff>
      <xdr:row>291</xdr:row>
      <xdr:rowOff>10585</xdr:rowOff>
    </xdr:to>
    <xdr:cxnSp macro="">
      <xdr:nvCxnSpPr>
        <xdr:cNvPr id="3" name="Straight Connector 2">
          <a:extLst>
            <a:ext uri="{FF2B5EF4-FFF2-40B4-BE49-F238E27FC236}">
              <a16:creationId xmlns:a16="http://schemas.microsoft.com/office/drawing/2014/main" id="{C31CF469-4E69-4F54-BE76-86464E83FB0D}"/>
            </a:ext>
          </a:extLst>
        </xdr:cNvPr>
        <xdr:cNvCxnSpPr/>
      </xdr:nvCxnSpPr>
      <xdr:spPr>
        <a:xfrm>
          <a:off x="18511601" y="793751"/>
          <a:ext cx="0" cy="4842356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4</xdr:row>
      <xdr:rowOff>54841</xdr:rowOff>
    </xdr:from>
    <xdr:to>
      <xdr:col>3</xdr:col>
      <xdr:colOff>0</xdr:colOff>
      <xdr:row>291</xdr:row>
      <xdr:rowOff>33675</xdr:rowOff>
    </xdr:to>
    <xdr:cxnSp macro="">
      <xdr:nvCxnSpPr>
        <xdr:cNvPr id="8" name="Straight Connector 7">
          <a:extLst>
            <a:ext uri="{FF2B5EF4-FFF2-40B4-BE49-F238E27FC236}">
              <a16:creationId xmlns:a16="http://schemas.microsoft.com/office/drawing/2014/main" id="{D81D6CAF-FF47-4D41-B21A-B35060384DC9}"/>
            </a:ext>
          </a:extLst>
        </xdr:cNvPr>
        <xdr:cNvCxnSpPr/>
      </xdr:nvCxnSpPr>
      <xdr:spPr>
        <a:xfrm>
          <a:off x="2690091" y="816841"/>
          <a:ext cx="0" cy="4842356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3931</xdr:colOff>
      <xdr:row>4</xdr:row>
      <xdr:rowOff>31751</xdr:rowOff>
    </xdr:from>
    <xdr:to>
      <xdr:col>9</xdr:col>
      <xdr:colOff>3931</xdr:colOff>
      <xdr:row>291</xdr:row>
      <xdr:rowOff>10585</xdr:rowOff>
    </xdr:to>
    <xdr:cxnSp macro="">
      <xdr:nvCxnSpPr>
        <xdr:cNvPr id="7" name="Straight Connector 6">
          <a:extLst>
            <a:ext uri="{FF2B5EF4-FFF2-40B4-BE49-F238E27FC236}">
              <a16:creationId xmlns:a16="http://schemas.microsoft.com/office/drawing/2014/main" id="{F7E04528-80E1-4067-BACD-083E88F8B93D}"/>
            </a:ext>
          </a:extLst>
        </xdr:cNvPr>
        <xdr:cNvCxnSpPr/>
      </xdr:nvCxnSpPr>
      <xdr:spPr>
        <a:xfrm>
          <a:off x="7542288" y="775608"/>
          <a:ext cx="0" cy="27338263"/>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13662</xdr:colOff>
      <xdr:row>4</xdr:row>
      <xdr:rowOff>31751</xdr:rowOff>
    </xdr:from>
    <xdr:to>
      <xdr:col>27</xdr:col>
      <xdr:colOff>13662</xdr:colOff>
      <xdr:row>291</xdr:row>
      <xdr:rowOff>10585</xdr:rowOff>
    </xdr:to>
    <xdr:cxnSp macro="">
      <xdr:nvCxnSpPr>
        <xdr:cNvPr id="10" name="Straight Connector 9">
          <a:extLst>
            <a:ext uri="{FF2B5EF4-FFF2-40B4-BE49-F238E27FC236}">
              <a16:creationId xmlns:a16="http://schemas.microsoft.com/office/drawing/2014/main" id="{FAC64D42-7BA3-4F7F-AA9E-4990C243A9AE}"/>
            </a:ext>
          </a:extLst>
        </xdr:cNvPr>
        <xdr:cNvCxnSpPr/>
      </xdr:nvCxnSpPr>
      <xdr:spPr>
        <a:xfrm>
          <a:off x="19340753" y="793751"/>
          <a:ext cx="0" cy="43020289"/>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3931</xdr:colOff>
      <xdr:row>4</xdr:row>
      <xdr:rowOff>31751</xdr:rowOff>
    </xdr:from>
    <xdr:to>
      <xdr:col>13</xdr:col>
      <xdr:colOff>3931</xdr:colOff>
      <xdr:row>291</xdr:row>
      <xdr:rowOff>10585</xdr:rowOff>
    </xdr:to>
    <xdr:cxnSp macro="">
      <xdr:nvCxnSpPr>
        <xdr:cNvPr id="2" name="Straight Connector 1">
          <a:extLst>
            <a:ext uri="{FF2B5EF4-FFF2-40B4-BE49-F238E27FC236}">
              <a16:creationId xmlns:a16="http://schemas.microsoft.com/office/drawing/2014/main" id="{9A0C9AE1-6852-2AE7-D126-832BB605B0C6}"/>
            </a:ext>
          </a:extLst>
        </xdr:cNvPr>
        <xdr:cNvCxnSpPr/>
      </xdr:nvCxnSpPr>
      <xdr:spPr>
        <a:xfrm>
          <a:off x="10771717" y="775608"/>
          <a:ext cx="0" cy="27338263"/>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8716</xdr:colOff>
      <xdr:row>4</xdr:row>
      <xdr:rowOff>31751</xdr:rowOff>
    </xdr:from>
    <xdr:to>
      <xdr:col>29</xdr:col>
      <xdr:colOff>8716</xdr:colOff>
      <xdr:row>291</xdr:row>
      <xdr:rowOff>10585</xdr:rowOff>
    </xdr:to>
    <xdr:cxnSp macro="">
      <xdr:nvCxnSpPr>
        <xdr:cNvPr id="4" name="Straight Connector 3">
          <a:extLst>
            <a:ext uri="{FF2B5EF4-FFF2-40B4-BE49-F238E27FC236}">
              <a16:creationId xmlns:a16="http://schemas.microsoft.com/office/drawing/2014/main" id="{67839D7C-BABC-20AB-4D27-7D6D82DD85CC}"/>
            </a:ext>
          </a:extLst>
        </xdr:cNvPr>
        <xdr:cNvCxnSpPr/>
      </xdr:nvCxnSpPr>
      <xdr:spPr>
        <a:xfrm>
          <a:off x="21760352" y="793751"/>
          <a:ext cx="0" cy="47823198"/>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136070</xdr:colOff>
      <xdr:row>43</xdr:row>
      <xdr:rowOff>163286</xdr:rowOff>
    </xdr:from>
    <xdr:to>
      <xdr:col>52</xdr:col>
      <xdr:colOff>447639</xdr:colOff>
      <xdr:row>70</xdr:row>
      <xdr:rowOff>4973</xdr:rowOff>
    </xdr:to>
    <xdr:pic>
      <xdr:nvPicPr>
        <xdr:cNvPr id="11" name="Picture 10">
          <a:extLst>
            <a:ext uri="{FF2B5EF4-FFF2-40B4-BE49-F238E27FC236}">
              <a16:creationId xmlns:a16="http://schemas.microsoft.com/office/drawing/2014/main" id="{B92513FE-61F4-6540-8F38-0AE20A7CD607}"/>
            </a:ext>
          </a:extLst>
        </xdr:cNvPr>
        <xdr:cNvPicPr>
          <a:picLocks noChangeAspect="1"/>
        </xdr:cNvPicPr>
      </xdr:nvPicPr>
      <xdr:blipFill>
        <a:blip xmlns:r="http://schemas.openxmlformats.org/officeDocument/2006/relationships" r:embed="rId2"/>
        <a:stretch>
          <a:fillRect/>
        </a:stretch>
      </xdr:blipFill>
      <xdr:spPr>
        <a:xfrm>
          <a:off x="25472570" y="6150429"/>
          <a:ext cx="6533333" cy="5400000"/>
        </a:xfrm>
        <a:prstGeom prst="rect">
          <a:avLst/>
        </a:prstGeom>
      </xdr:spPr>
    </xdr:pic>
    <xdr:clientData/>
  </xdr:twoCellAnchor>
  <xdr:twoCellAnchor editAs="oneCell">
    <xdr:from>
      <xdr:col>52</xdr:col>
      <xdr:colOff>314029</xdr:colOff>
      <xdr:row>43</xdr:row>
      <xdr:rowOff>96411</xdr:rowOff>
    </xdr:from>
    <xdr:to>
      <xdr:col>63</xdr:col>
      <xdr:colOff>499366</xdr:colOff>
      <xdr:row>75</xdr:row>
      <xdr:rowOff>96866</xdr:rowOff>
    </xdr:to>
    <xdr:pic>
      <xdr:nvPicPr>
        <xdr:cNvPr id="13" name="Picture 12">
          <a:extLst>
            <a:ext uri="{FF2B5EF4-FFF2-40B4-BE49-F238E27FC236}">
              <a16:creationId xmlns:a16="http://schemas.microsoft.com/office/drawing/2014/main" id="{044E45DA-F7DA-409F-BB15-3B80DA4FDC38}"/>
            </a:ext>
          </a:extLst>
        </xdr:cNvPr>
        <xdr:cNvPicPr>
          <a:picLocks noChangeAspect="1"/>
        </xdr:cNvPicPr>
      </xdr:nvPicPr>
      <xdr:blipFill>
        <a:blip xmlns:r="http://schemas.openxmlformats.org/officeDocument/2006/relationships" r:embed="rId3"/>
        <a:stretch>
          <a:fillRect/>
        </a:stretch>
      </xdr:blipFill>
      <xdr:spPr>
        <a:xfrm>
          <a:off x="31610458" y="5702554"/>
          <a:ext cx="6621515" cy="6615755"/>
        </a:xfrm>
        <a:prstGeom prst="rect">
          <a:avLst/>
        </a:prstGeom>
      </xdr:spPr>
    </xdr:pic>
    <xdr:clientData/>
  </xdr:twoCellAnchor>
  <xdr:twoCellAnchor>
    <xdr:from>
      <xdr:col>17</xdr:col>
      <xdr:colOff>3931</xdr:colOff>
      <xdr:row>4</xdr:row>
      <xdr:rowOff>31751</xdr:rowOff>
    </xdr:from>
    <xdr:to>
      <xdr:col>17</xdr:col>
      <xdr:colOff>3931</xdr:colOff>
      <xdr:row>291</xdr:row>
      <xdr:rowOff>10585</xdr:rowOff>
    </xdr:to>
    <xdr:cxnSp macro="">
      <xdr:nvCxnSpPr>
        <xdr:cNvPr id="5" name="Straight Connector 4">
          <a:extLst>
            <a:ext uri="{FF2B5EF4-FFF2-40B4-BE49-F238E27FC236}">
              <a16:creationId xmlns:a16="http://schemas.microsoft.com/office/drawing/2014/main" id="{F06E572B-DC3F-386E-849C-4AAB4124B0F6}"/>
            </a:ext>
          </a:extLst>
        </xdr:cNvPr>
        <xdr:cNvCxnSpPr/>
      </xdr:nvCxnSpPr>
      <xdr:spPr>
        <a:xfrm>
          <a:off x="13477476" y="828387"/>
          <a:ext cx="0" cy="4026092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863079</xdr:colOff>
      <xdr:row>4</xdr:row>
      <xdr:rowOff>31751</xdr:rowOff>
    </xdr:from>
    <xdr:to>
      <xdr:col>30</xdr:col>
      <xdr:colOff>863079</xdr:colOff>
      <xdr:row>291</xdr:row>
      <xdr:rowOff>10585</xdr:rowOff>
    </xdr:to>
    <xdr:cxnSp macro="">
      <xdr:nvCxnSpPr>
        <xdr:cNvPr id="14" name="Straight Connector 13">
          <a:extLst>
            <a:ext uri="{FF2B5EF4-FFF2-40B4-BE49-F238E27FC236}">
              <a16:creationId xmlns:a16="http://schemas.microsoft.com/office/drawing/2014/main" id="{B8A931E8-3D55-EB9F-A53A-F3B877FE2116}"/>
            </a:ext>
          </a:extLst>
        </xdr:cNvPr>
        <xdr:cNvCxnSpPr/>
      </xdr:nvCxnSpPr>
      <xdr:spPr>
        <a:xfrm>
          <a:off x="24288806" y="793751"/>
          <a:ext cx="0" cy="47823198"/>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3926</xdr:colOff>
      <xdr:row>4</xdr:row>
      <xdr:rowOff>31751</xdr:rowOff>
    </xdr:from>
    <xdr:to>
      <xdr:col>21</xdr:col>
      <xdr:colOff>3926</xdr:colOff>
      <xdr:row>291</xdr:row>
      <xdr:rowOff>10585</xdr:rowOff>
    </xdr:to>
    <xdr:cxnSp macro="">
      <xdr:nvCxnSpPr>
        <xdr:cNvPr id="16" name="Straight Connector 15">
          <a:extLst>
            <a:ext uri="{FF2B5EF4-FFF2-40B4-BE49-F238E27FC236}">
              <a16:creationId xmlns:a16="http://schemas.microsoft.com/office/drawing/2014/main" id="{6D8FE777-B8A2-059A-8AA8-8FA179BF86CA}"/>
            </a:ext>
          </a:extLst>
        </xdr:cNvPr>
        <xdr:cNvCxnSpPr/>
      </xdr:nvCxnSpPr>
      <xdr:spPr>
        <a:xfrm>
          <a:off x="16594744" y="828387"/>
          <a:ext cx="0" cy="5018424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640772</xdr:colOff>
      <xdr:row>16</xdr:row>
      <xdr:rowOff>103909</xdr:rowOff>
    </xdr:from>
    <xdr:to>
      <xdr:col>54</xdr:col>
      <xdr:colOff>584504</xdr:colOff>
      <xdr:row>24</xdr:row>
      <xdr:rowOff>154041</xdr:rowOff>
    </xdr:to>
    <xdr:pic>
      <xdr:nvPicPr>
        <xdr:cNvPr id="17" name="Picture 14">
          <a:extLst>
            <a:ext uri="{FF2B5EF4-FFF2-40B4-BE49-F238E27FC236}">
              <a16:creationId xmlns:a16="http://schemas.microsoft.com/office/drawing/2014/main" id="{607BBC7D-B4BA-DA97-5BA2-B7C40711B6BA}"/>
            </a:ext>
          </a:extLst>
        </xdr:cNvPr>
        <xdr:cNvPicPr>
          <a:picLocks noChangeAspect="1"/>
        </xdr:cNvPicPr>
      </xdr:nvPicPr>
      <xdr:blipFill>
        <a:blip xmlns:r="http://schemas.openxmlformats.org/officeDocument/2006/relationships" r:embed="rId4"/>
        <a:stretch>
          <a:fillRect/>
        </a:stretch>
      </xdr:blipFill>
      <xdr:spPr>
        <a:xfrm>
          <a:off x="32904545" y="3255818"/>
          <a:ext cx="6335009" cy="14194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9</xdr:col>
      <xdr:colOff>2568</xdr:colOff>
      <xdr:row>4</xdr:row>
      <xdr:rowOff>36286</xdr:rowOff>
    </xdr:from>
    <xdr:to>
      <xdr:col>9</xdr:col>
      <xdr:colOff>2568</xdr:colOff>
      <xdr:row>73</xdr:row>
      <xdr:rowOff>0</xdr:rowOff>
    </xdr:to>
    <xdr:cxnSp macro="">
      <xdr:nvCxnSpPr>
        <xdr:cNvPr id="2" name="Straight Connector 1">
          <a:extLst>
            <a:ext uri="{FF2B5EF4-FFF2-40B4-BE49-F238E27FC236}">
              <a16:creationId xmlns:a16="http://schemas.microsoft.com/office/drawing/2014/main" id="{70DE939D-DB54-416E-A516-D59C538627DF}"/>
            </a:ext>
          </a:extLst>
        </xdr:cNvPr>
        <xdr:cNvCxnSpPr/>
      </xdr:nvCxnSpPr>
      <xdr:spPr>
        <a:xfrm>
          <a:off x="7023854" y="662215"/>
          <a:ext cx="0" cy="962478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4836</xdr:colOff>
      <xdr:row>4</xdr:row>
      <xdr:rowOff>36286</xdr:rowOff>
    </xdr:from>
    <xdr:to>
      <xdr:col>10</xdr:col>
      <xdr:colOff>4836</xdr:colOff>
      <xdr:row>73</xdr:row>
      <xdr:rowOff>0</xdr:rowOff>
    </xdr:to>
    <xdr:cxnSp macro="">
      <xdr:nvCxnSpPr>
        <xdr:cNvPr id="3" name="Straight Connector 2">
          <a:extLst>
            <a:ext uri="{FF2B5EF4-FFF2-40B4-BE49-F238E27FC236}">
              <a16:creationId xmlns:a16="http://schemas.microsoft.com/office/drawing/2014/main" id="{FD99017D-B267-471A-8042-E40FF9820545}"/>
            </a:ext>
          </a:extLst>
        </xdr:cNvPr>
        <xdr:cNvCxnSpPr/>
      </xdr:nvCxnSpPr>
      <xdr:spPr>
        <a:xfrm>
          <a:off x="7801729" y="662215"/>
          <a:ext cx="0" cy="962478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444500</xdr:colOff>
      <xdr:row>5</xdr:row>
      <xdr:rowOff>0</xdr:rowOff>
    </xdr:from>
    <xdr:to>
      <xdr:col>30</xdr:col>
      <xdr:colOff>470449</xdr:colOff>
      <xdr:row>26</xdr:row>
      <xdr:rowOff>0</xdr:rowOff>
    </xdr:to>
    <xdr:pic>
      <xdr:nvPicPr>
        <xdr:cNvPr id="4" name="Picture 3">
          <a:extLst>
            <a:ext uri="{FF2B5EF4-FFF2-40B4-BE49-F238E27FC236}">
              <a16:creationId xmlns:a16="http://schemas.microsoft.com/office/drawing/2014/main" id="{0D03FEAF-CB1A-46DA-BA9A-EAABC88E5AA9}"/>
            </a:ext>
          </a:extLst>
        </xdr:cNvPr>
        <xdr:cNvPicPr>
          <a:picLocks noChangeAspect="1"/>
        </xdr:cNvPicPr>
      </xdr:nvPicPr>
      <xdr:blipFill>
        <a:blip xmlns:r="http://schemas.openxmlformats.org/officeDocument/2006/relationships" r:embed="rId1"/>
        <a:stretch>
          <a:fillRect/>
        </a:stretch>
      </xdr:blipFill>
      <xdr:spPr>
        <a:xfrm>
          <a:off x="19208750" y="800100"/>
          <a:ext cx="4553499" cy="3981450"/>
        </a:xfrm>
        <a:prstGeom prst="rect">
          <a:avLst/>
        </a:prstGeom>
      </xdr:spPr>
    </xdr:pic>
    <xdr:clientData/>
  </xdr:twoCellAnchor>
  <xdr:twoCellAnchor editAs="oneCell">
    <xdr:from>
      <xdr:col>28</xdr:col>
      <xdr:colOff>10583</xdr:colOff>
      <xdr:row>56</xdr:row>
      <xdr:rowOff>0</xdr:rowOff>
    </xdr:from>
    <xdr:to>
      <xdr:col>33</xdr:col>
      <xdr:colOff>14203</xdr:colOff>
      <xdr:row>92</xdr:row>
      <xdr:rowOff>56237</xdr:rowOff>
    </xdr:to>
    <xdr:pic>
      <xdr:nvPicPr>
        <xdr:cNvPr id="5" name="Picture 4">
          <a:extLst>
            <a:ext uri="{FF2B5EF4-FFF2-40B4-BE49-F238E27FC236}">
              <a16:creationId xmlns:a16="http://schemas.microsoft.com/office/drawing/2014/main" id="{A9EC8A81-9500-40F5-BAD9-A840B4CF924E}"/>
            </a:ext>
          </a:extLst>
        </xdr:cNvPr>
        <xdr:cNvPicPr>
          <a:picLocks noChangeAspect="1"/>
        </xdr:cNvPicPr>
      </xdr:nvPicPr>
      <xdr:blipFill>
        <a:blip xmlns:r="http://schemas.openxmlformats.org/officeDocument/2006/relationships" r:embed="rId2"/>
        <a:stretch>
          <a:fillRect/>
        </a:stretch>
      </xdr:blipFill>
      <xdr:spPr>
        <a:xfrm>
          <a:off x="19384433" y="6781800"/>
          <a:ext cx="5585272" cy="63173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770468</xdr:colOff>
      <xdr:row>4</xdr:row>
      <xdr:rowOff>36286</xdr:rowOff>
    </xdr:from>
    <xdr:to>
      <xdr:col>8</xdr:col>
      <xdr:colOff>770468</xdr:colOff>
      <xdr:row>73</xdr:row>
      <xdr:rowOff>0</xdr:rowOff>
    </xdr:to>
    <xdr:cxnSp macro="">
      <xdr:nvCxnSpPr>
        <xdr:cNvPr id="2" name="Straight Connector 1">
          <a:extLst>
            <a:ext uri="{FF2B5EF4-FFF2-40B4-BE49-F238E27FC236}">
              <a16:creationId xmlns:a16="http://schemas.microsoft.com/office/drawing/2014/main" id="{DE5750C4-68AE-428A-8794-A909224B583C}"/>
            </a:ext>
          </a:extLst>
        </xdr:cNvPr>
        <xdr:cNvCxnSpPr/>
      </xdr:nvCxnSpPr>
      <xdr:spPr>
        <a:xfrm>
          <a:off x="7016147" y="662215"/>
          <a:ext cx="0" cy="962478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769081</xdr:colOff>
      <xdr:row>4</xdr:row>
      <xdr:rowOff>36286</xdr:rowOff>
    </xdr:from>
    <xdr:to>
      <xdr:col>9</xdr:col>
      <xdr:colOff>769081</xdr:colOff>
      <xdr:row>73</xdr:row>
      <xdr:rowOff>0</xdr:rowOff>
    </xdr:to>
    <xdr:cxnSp macro="">
      <xdr:nvCxnSpPr>
        <xdr:cNvPr id="3" name="Straight Connector 2">
          <a:extLst>
            <a:ext uri="{FF2B5EF4-FFF2-40B4-BE49-F238E27FC236}">
              <a16:creationId xmlns:a16="http://schemas.microsoft.com/office/drawing/2014/main" id="{03B6EDCE-8D3D-46E3-A8DD-C111E5A07BCE}"/>
            </a:ext>
          </a:extLst>
        </xdr:cNvPr>
        <xdr:cNvCxnSpPr/>
      </xdr:nvCxnSpPr>
      <xdr:spPr>
        <a:xfrm>
          <a:off x="7790367" y="662215"/>
          <a:ext cx="0" cy="9624785"/>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444500</xdr:colOff>
      <xdr:row>5</xdr:row>
      <xdr:rowOff>0</xdr:rowOff>
    </xdr:from>
    <xdr:to>
      <xdr:col>49</xdr:col>
      <xdr:colOff>63499</xdr:colOff>
      <xdr:row>45</xdr:row>
      <xdr:rowOff>43909</xdr:rowOff>
    </xdr:to>
    <xdr:pic>
      <xdr:nvPicPr>
        <xdr:cNvPr id="4" name="Picture 3">
          <a:extLst>
            <a:ext uri="{FF2B5EF4-FFF2-40B4-BE49-F238E27FC236}">
              <a16:creationId xmlns:a16="http://schemas.microsoft.com/office/drawing/2014/main" id="{6AF91274-9B14-486D-948B-41CF7943D135}"/>
            </a:ext>
          </a:extLst>
        </xdr:cNvPr>
        <xdr:cNvPicPr>
          <a:picLocks noChangeAspect="1"/>
        </xdr:cNvPicPr>
      </xdr:nvPicPr>
      <xdr:blipFill>
        <a:blip xmlns:r="http://schemas.openxmlformats.org/officeDocument/2006/relationships" r:embed="rId1"/>
        <a:stretch>
          <a:fillRect/>
        </a:stretch>
      </xdr:blipFill>
      <xdr:spPr>
        <a:xfrm>
          <a:off x="18399125" y="825500"/>
          <a:ext cx="6254750" cy="5931267"/>
        </a:xfrm>
        <a:prstGeom prst="rect">
          <a:avLst/>
        </a:prstGeom>
      </xdr:spPr>
    </xdr:pic>
    <xdr:clientData/>
  </xdr:twoCellAnchor>
  <xdr:twoCellAnchor editAs="oneCell">
    <xdr:from>
      <xdr:col>28</xdr:col>
      <xdr:colOff>10583</xdr:colOff>
      <xdr:row>56</xdr:row>
      <xdr:rowOff>0</xdr:rowOff>
    </xdr:from>
    <xdr:to>
      <xdr:col>46</xdr:col>
      <xdr:colOff>52304</xdr:colOff>
      <xdr:row>100</xdr:row>
      <xdr:rowOff>30837</xdr:rowOff>
    </xdr:to>
    <xdr:pic>
      <xdr:nvPicPr>
        <xdr:cNvPr id="5" name="Picture 4">
          <a:extLst>
            <a:ext uri="{FF2B5EF4-FFF2-40B4-BE49-F238E27FC236}">
              <a16:creationId xmlns:a16="http://schemas.microsoft.com/office/drawing/2014/main" id="{ACD1EE83-6365-4C67-8C52-576295BCF656}"/>
            </a:ext>
          </a:extLst>
        </xdr:cNvPr>
        <xdr:cNvPicPr>
          <a:picLocks noChangeAspect="1"/>
        </xdr:cNvPicPr>
      </xdr:nvPicPr>
      <xdr:blipFill>
        <a:blip xmlns:r="http://schemas.openxmlformats.org/officeDocument/2006/relationships" r:embed="rId2"/>
        <a:stretch>
          <a:fillRect/>
        </a:stretch>
      </xdr:blipFill>
      <xdr:spPr>
        <a:xfrm>
          <a:off x="18597940" y="6858000"/>
          <a:ext cx="5539008" cy="63899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0</xdr:colOff>
      <xdr:row>14</xdr:row>
      <xdr:rowOff>0</xdr:rowOff>
    </xdr:from>
    <xdr:to>
      <xdr:col>23</xdr:col>
      <xdr:colOff>29826</xdr:colOff>
      <xdr:row>39</xdr:row>
      <xdr:rowOff>95928</xdr:rowOff>
    </xdr:to>
    <xdr:pic>
      <xdr:nvPicPr>
        <xdr:cNvPr id="2" name="Picture 1">
          <a:extLst>
            <a:ext uri="{FF2B5EF4-FFF2-40B4-BE49-F238E27FC236}">
              <a16:creationId xmlns:a16="http://schemas.microsoft.com/office/drawing/2014/main" id="{DF5415F5-C439-81EC-5396-D597292AF5C6}"/>
            </a:ext>
          </a:extLst>
        </xdr:cNvPr>
        <xdr:cNvPicPr>
          <a:picLocks noChangeAspect="1"/>
        </xdr:cNvPicPr>
      </xdr:nvPicPr>
      <xdr:blipFill>
        <a:blip xmlns:r="http://schemas.openxmlformats.org/officeDocument/2006/relationships" r:embed="rId1"/>
        <a:stretch>
          <a:fillRect/>
        </a:stretch>
      </xdr:blipFill>
      <xdr:spPr>
        <a:xfrm>
          <a:off x="4876800" y="2476500"/>
          <a:ext cx="8964276" cy="485842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14</xdr:col>
      <xdr:colOff>104775</xdr:colOff>
      <xdr:row>15</xdr:row>
      <xdr:rowOff>76200</xdr:rowOff>
    </xdr:to>
    <xdr:graphicFrame macro="">
      <xdr:nvGraphicFramePr>
        <xdr:cNvPr id="6" name="Chart 5">
          <a:extLst>
            <a:ext uri="{FF2B5EF4-FFF2-40B4-BE49-F238E27FC236}">
              <a16:creationId xmlns:a16="http://schemas.microsoft.com/office/drawing/2014/main" id="{60B0A7CD-5527-49C0-BE5D-3EB04271A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xdr:row>
      <xdr:rowOff>0</xdr:rowOff>
    </xdr:from>
    <xdr:to>
      <xdr:col>22</xdr:col>
      <xdr:colOff>304800</xdr:colOff>
      <xdr:row>15</xdr:row>
      <xdr:rowOff>76200</xdr:rowOff>
    </xdr:to>
    <xdr:graphicFrame macro="">
      <xdr:nvGraphicFramePr>
        <xdr:cNvPr id="9" name="Chart 8">
          <a:extLst>
            <a:ext uri="{FF2B5EF4-FFF2-40B4-BE49-F238E27FC236}">
              <a16:creationId xmlns:a16="http://schemas.microsoft.com/office/drawing/2014/main" id="{3BD1E31E-E54F-4AE6-9BB5-254DC6045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1</xdr:row>
      <xdr:rowOff>0</xdr:rowOff>
    </xdr:from>
    <xdr:to>
      <xdr:col>30</xdr:col>
      <xdr:colOff>304800</xdr:colOff>
      <xdr:row>15</xdr:row>
      <xdr:rowOff>76200</xdr:rowOff>
    </xdr:to>
    <xdr:graphicFrame macro="">
      <xdr:nvGraphicFramePr>
        <xdr:cNvPr id="11" name="Chart 10">
          <a:extLst>
            <a:ext uri="{FF2B5EF4-FFF2-40B4-BE49-F238E27FC236}">
              <a16:creationId xmlns:a16="http://schemas.microsoft.com/office/drawing/2014/main" id="{BB1A6B8C-5CB6-4165-8262-3EFDF489B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571500</xdr:colOff>
      <xdr:row>3</xdr:row>
      <xdr:rowOff>57150</xdr:rowOff>
    </xdr:from>
    <xdr:to>
      <xdr:col>26</xdr:col>
      <xdr:colOff>266700</xdr:colOff>
      <xdr:row>4</xdr:row>
      <xdr:rowOff>57150</xdr:rowOff>
    </xdr:to>
    <xdr:sp macro="" textlink="">
      <xdr:nvSpPr>
        <xdr:cNvPr id="12" name="Left Brace 11">
          <a:extLst>
            <a:ext uri="{FF2B5EF4-FFF2-40B4-BE49-F238E27FC236}">
              <a16:creationId xmlns:a16="http://schemas.microsoft.com/office/drawing/2014/main" id="{22121CF3-11A2-817B-5DC3-76B6DFEA11C3}"/>
            </a:ext>
          </a:extLst>
        </xdr:cNvPr>
        <xdr:cNvSpPr/>
      </xdr:nvSpPr>
      <xdr:spPr>
        <a:xfrm rot="5400000">
          <a:off x="11363325" y="-38100"/>
          <a:ext cx="190500" cy="1524000"/>
        </a:xfrm>
        <a:prstGeom prst="leftBrac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24</xdr:col>
      <xdr:colOff>171450</xdr:colOff>
      <xdr:row>2</xdr:row>
      <xdr:rowOff>57150</xdr:rowOff>
    </xdr:from>
    <xdr:ext cx="1076128" cy="233205"/>
    <xdr:sp macro="" textlink="">
      <xdr:nvSpPr>
        <xdr:cNvPr id="13" name="TextBox 12">
          <a:extLst>
            <a:ext uri="{FF2B5EF4-FFF2-40B4-BE49-F238E27FC236}">
              <a16:creationId xmlns:a16="http://schemas.microsoft.com/office/drawing/2014/main" id="{7BA53847-3613-7B36-59EB-1FC562B5514C}"/>
            </a:ext>
          </a:extLst>
        </xdr:cNvPr>
        <xdr:cNvSpPr txBox="1"/>
      </xdr:nvSpPr>
      <xdr:spPr>
        <a:xfrm>
          <a:off x="10906125" y="438150"/>
          <a:ext cx="107612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i="1"/>
            <a:t>Growth &gt;200% YoY</a:t>
          </a:r>
        </a:p>
      </xdr:txBody>
    </xdr:sp>
    <xdr:clientData/>
  </xdr:oneCellAnchor>
  <xdr:twoCellAnchor>
    <xdr:from>
      <xdr:col>25</xdr:col>
      <xdr:colOff>533402</xdr:colOff>
      <xdr:row>9</xdr:row>
      <xdr:rowOff>38100</xdr:rowOff>
    </xdr:from>
    <xdr:to>
      <xdr:col>27</xdr:col>
      <xdr:colOff>161925</xdr:colOff>
      <xdr:row>9</xdr:row>
      <xdr:rowOff>171450</xdr:rowOff>
    </xdr:to>
    <xdr:sp macro="" textlink="">
      <xdr:nvSpPr>
        <xdr:cNvPr id="16" name="Left Brace 15">
          <a:extLst>
            <a:ext uri="{FF2B5EF4-FFF2-40B4-BE49-F238E27FC236}">
              <a16:creationId xmlns:a16="http://schemas.microsoft.com/office/drawing/2014/main" id="{68564C74-FAAE-DA42-400F-E9D554534C26}"/>
            </a:ext>
          </a:extLst>
        </xdr:cNvPr>
        <xdr:cNvSpPr/>
      </xdr:nvSpPr>
      <xdr:spPr>
        <a:xfrm rot="5400000" flipH="1" flipV="1">
          <a:off x="12234864" y="1395413"/>
          <a:ext cx="133350" cy="847723"/>
        </a:xfrm>
        <a:prstGeom prst="leftBrace">
          <a:avLst/>
        </a:prstGeom>
        <a:ln>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25</xdr:col>
      <xdr:colOff>342901</xdr:colOff>
      <xdr:row>9</xdr:row>
      <xdr:rowOff>161925</xdr:rowOff>
    </xdr:from>
    <xdr:ext cx="1287212" cy="374077"/>
    <xdr:sp macro="" textlink="">
      <xdr:nvSpPr>
        <xdr:cNvPr id="17" name="TextBox 16">
          <a:extLst>
            <a:ext uri="{FF2B5EF4-FFF2-40B4-BE49-F238E27FC236}">
              <a16:creationId xmlns:a16="http://schemas.microsoft.com/office/drawing/2014/main" id="{5053A5F5-A1FA-CF86-5BF3-91E570DB6CDD}"/>
            </a:ext>
          </a:extLst>
        </xdr:cNvPr>
        <xdr:cNvSpPr txBox="1"/>
      </xdr:nvSpPr>
      <xdr:spPr>
        <a:xfrm>
          <a:off x="11687176" y="1876425"/>
          <a:ext cx="128721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900" i="1"/>
            <a:t>Free Returns</a:t>
          </a:r>
        </a:p>
        <a:p>
          <a:pPr algn="ctr"/>
          <a:r>
            <a:rPr lang="en-US" sz="900" i="1"/>
            <a:t>Spike in Fulfiment</a:t>
          </a:r>
          <a:r>
            <a:rPr lang="en-US" sz="900" i="1" baseline="0"/>
            <a:t> Costs</a:t>
          </a:r>
          <a:endParaRPr lang="en-US" sz="900" i="1"/>
        </a:p>
      </xdr:txBody>
    </xdr:sp>
    <xdr:clientData/>
  </xdr:oneCellAnchor>
  <xdr:twoCellAnchor>
    <xdr:from>
      <xdr:col>29</xdr:col>
      <xdr:colOff>276225</xdr:colOff>
      <xdr:row>4</xdr:row>
      <xdr:rowOff>66675</xdr:rowOff>
    </xdr:from>
    <xdr:to>
      <xdr:col>29</xdr:col>
      <xdr:colOff>276225</xdr:colOff>
      <xdr:row>6</xdr:row>
      <xdr:rowOff>180975</xdr:rowOff>
    </xdr:to>
    <xdr:cxnSp macro="">
      <xdr:nvCxnSpPr>
        <xdr:cNvPr id="20" name="Straight Arrow Connector 19">
          <a:extLst>
            <a:ext uri="{FF2B5EF4-FFF2-40B4-BE49-F238E27FC236}">
              <a16:creationId xmlns:a16="http://schemas.microsoft.com/office/drawing/2014/main" id="{A429E1F8-3612-BC89-7D02-A59769B642E3}"/>
            </a:ext>
          </a:extLst>
        </xdr:cNvPr>
        <xdr:cNvCxnSpPr/>
      </xdr:nvCxnSpPr>
      <xdr:spPr>
        <a:xfrm>
          <a:off x="14058900" y="828675"/>
          <a:ext cx="0"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466725</xdr:colOff>
      <xdr:row>2</xdr:row>
      <xdr:rowOff>104775</xdr:rowOff>
    </xdr:from>
    <xdr:ext cx="789255" cy="374077"/>
    <xdr:sp macro="" textlink="">
      <xdr:nvSpPr>
        <xdr:cNvPr id="21" name="TextBox 20">
          <a:extLst>
            <a:ext uri="{FF2B5EF4-FFF2-40B4-BE49-F238E27FC236}">
              <a16:creationId xmlns:a16="http://schemas.microsoft.com/office/drawing/2014/main" id="{CF6B0980-5E9B-6A35-45DE-FDC9CBF8C30F}"/>
            </a:ext>
          </a:extLst>
        </xdr:cNvPr>
        <xdr:cNvSpPr txBox="1"/>
      </xdr:nvSpPr>
      <xdr:spPr>
        <a:xfrm>
          <a:off x="13639800" y="485775"/>
          <a:ext cx="78925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i="1"/>
            <a:t>Promotional </a:t>
          </a:r>
        </a:p>
        <a:p>
          <a:r>
            <a:rPr lang="en-US" sz="900" i="1"/>
            <a:t>environment</a:t>
          </a:r>
        </a:p>
      </xdr:txBody>
    </xdr:sp>
    <xdr:clientData/>
  </xdr:oneCellAnchor>
  <xdr:twoCellAnchor>
    <xdr:from>
      <xdr:col>1</xdr:col>
      <xdr:colOff>66675</xdr:colOff>
      <xdr:row>16</xdr:row>
      <xdr:rowOff>28575</xdr:rowOff>
    </xdr:from>
    <xdr:to>
      <xdr:col>14</xdr:col>
      <xdr:colOff>171450</xdr:colOff>
      <xdr:row>30</xdr:row>
      <xdr:rowOff>104775</xdr:rowOff>
    </xdr:to>
    <xdr:graphicFrame macro="">
      <xdr:nvGraphicFramePr>
        <xdr:cNvPr id="24" name="Chart 23">
          <a:extLst>
            <a:ext uri="{FF2B5EF4-FFF2-40B4-BE49-F238E27FC236}">
              <a16:creationId xmlns:a16="http://schemas.microsoft.com/office/drawing/2014/main" id="{FE9C1909-DEB6-43B9-9B1D-524B93BDF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816421</xdr:colOff>
      <xdr:row>4</xdr:row>
      <xdr:rowOff>36286</xdr:rowOff>
    </xdr:from>
    <xdr:to>
      <xdr:col>6</xdr:col>
      <xdr:colOff>816421</xdr:colOff>
      <xdr:row>63</xdr:row>
      <xdr:rowOff>0</xdr:rowOff>
    </xdr:to>
    <xdr:cxnSp macro="">
      <xdr:nvCxnSpPr>
        <xdr:cNvPr id="3" name="Straight Connector 2">
          <a:extLst>
            <a:ext uri="{FF2B5EF4-FFF2-40B4-BE49-F238E27FC236}">
              <a16:creationId xmlns:a16="http://schemas.microsoft.com/office/drawing/2014/main" id="{76191E06-D011-423E-A659-A20C984F48C4}"/>
            </a:ext>
          </a:extLst>
        </xdr:cNvPr>
        <xdr:cNvCxnSpPr/>
      </xdr:nvCxnSpPr>
      <xdr:spPr>
        <a:xfrm>
          <a:off x="5569850" y="671286"/>
          <a:ext cx="0" cy="865414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810066</xdr:colOff>
      <xdr:row>4</xdr:row>
      <xdr:rowOff>36286</xdr:rowOff>
    </xdr:from>
    <xdr:to>
      <xdr:col>7</xdr:col>
      <xdr:colOff>810066</xdr:colOff>
      <xdr:row>63</xdr:row>
      <xdr:rowOff>0</xdr:rowOff>
    </xdr:to>
    <xdr:cxnSp macro="">
      <xdr:nvCxnSpPr>
        <xdr:cNvPr id="5" name="Straight Connector 4">
          <a:extLst>
            <a:ext uri="{FF2B5EF4-FFF2-40B4-BE49-F238E27FC236}">
              <a16:creationId xmlns:a16="http://schemas.microsoft.com/office/drawing/2014/main" id="{05B9A349-A7C8-4CD6-8EC6-A81B2FA3EA15}"/>
            </a:ext>
          </a:extLst>
        </xdr:cNvPr>
        <xdr:cNvCxnSpPr/>
      </xdr:nvCxnSpPr>
      <xdr:spPr>
        <a:xfrm>
          <a:off x="6379923" y="671286"/>
          <a:ext cx="0" cy="865414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444500</xdr:colOff>
      <xdr:row>5</xdr:row>
      <xdr:rowOff>0</xdr:rowOff>
    </xdr:from>
    <xdr:to>
      <xdr:col>66</xdr:col>
      <xdr:colOff>76751</xdr:colOff>
      <xdr:row>41</xdr:row>
      <xdr:rowOff>107163</xdr:rowOff>
    </xdr:to>
    <xdr:pic>
      <xdr:nvPicPr>
        <xdr:cNvPr id="6" name="Picture 5">
          <a:extLst>
            <a:ext uri="{FF2B5EF4-FFF2-40B4-BE49-F238E27FC236}">
              <a16:creationId xmlns:a16="http://schemas.microsoft.com/office/drawing/2014/main" id="{938663E0-97AB-4179-A5E5-976DA28EFFE4}"/>
            </a:ext>
          </a:extLst>
        </xdr:cNvPr>
        <xdr:cNvPicPr>
          <a:picLocks noChangeAspect="1"/>
        </xdr:cNvPicPr>
      </xdr:nvPicPr>
      <xdr:blipFill>
        <a:blip xmlns:r="http://schemas.openxmlformats.org/officeDocument/2006/relationships" r:embed="rId1"/>
        <a:stretch>
          <a:fillRect/>
        </a:stretch>
      </xdr:blipFill>
      <xdr:spPr>
        <a:xfrm>
          <a:off x="17606818" y="813955"/>
          <a:ext cx="10958341" cy="5262208"/>
        </a:xfrm>
        <a:prstGeom prst="rect">
          <a:avLst/>
        </a:prstGeom>
      </xdr:spPr>
    </xdr:pic>
    <xdr:clientData/>
  </xdr:twoCellAnchor>
  <xdr:twoCellAnchor editAs="oneCell">
    <xdr:from>
      <xdr:col>26</xdr:col>
      <xdr:colOff>10583</xdr:colOff>
      <xdr:row>47</xdr:row>
      <xdr:rowOff>0</xdr:rowOff>
    </xdr:from>
    <xdr:to>
      <xdr:col>76</xdr:col>
      <xdr:colOff>90404</xdr:colOff>
      <xdr:row>96</xdr:row>
      <xdr:rowOff>119739</xdr:rowOff>
    </xdr:to>
    <xdr:pic>
      <xdr:nvPicPr>
        <xdr:cNvPr id="7" name="Picture 6">
          <a:extLst>
            <a:ext uri="{FF2B5EF4-FFF2-40B4-BE49-F238E27FC236}">
              <a16:creationId xmlns:a16="http://schemas.microsoft.com/office/drawing/2014/main" id="{CDB0C7CB-3F23-4983-900B-58BF2BE9C349}"/>
            </a:ext>
          </a:extLst>
        </xdr:cNvPr>
        <xdr:cNvPicPr>
          <a:picLocks noChangeAspect="1"/>
        </xdr:cNvPicPr>
      </xdr:nvPicPr>
      <xdr:blipFill>
        <a:blip xmlns:r="http://schemas.openxmlformats.org/officeDocument/2006/relationships" r:embed="rId2"/>
        <a:stretch>
          <a:fillRect/>
        </a:stretch>
      </xdr:blipFill>
      <xdr:spPr>
        <a:xfrm>
          <a:off x="18691128" y="6696364"/>
          <a:ext cx="13310912" cy="7393375"/>
        </a:xfrm>
        <a:prstGeom prst="rect">
          <a:avLst/>
        </a:prstGeom>
      </xdr:spPr>
    </xdr:pic>
    <xdr:clientData/>
  </xdr:twoCellAnchor>
  <xdr:twoCellAnchor editAs="oneCell">
    <xdr:from>
      <xdr:col>2</xdr:col>
      <xdr:colOff>45357</xdr:colOff>
      <xdr:row>88</xdr:row>
      <xdr:rowOff>36286</xdr:rowOff>
    </xdr:from>
    <xdr:to>
      <xdr:col>14</xdr:col>
      <xdr:colOff>481229</xdr:colOff>
      <xdr:row>118</xdr:row>
      <xdr:rowOff>334</xdr:rowOff>
    </xdr:to>
    <xdr:pic>
      <xdr:nvPicPr>
        <xdr:cNvPr id="2" name="Picture 1">
          <a:extLst>
            <a:ext uri="{FF2B5EF4-FFF2-40B4-BE49-F238E27FC236}">
              <a16:creationId xmlns:a16="http://schemas.microsoft.com/office/drawing/2014/main" id="{A968D017-E856-4BDE-A0A1-99727ABC93B6}"/>
            </a:ext>
          </a:extLst>
        </xdr:cNvPr>
        <xdr:cNvPicPr>
          <a:picLocks noChangeAspect="1"/>
        </xdr:cNvPicPr>
      </xdr:nvPicPr>
      <xdr:blipFill>
        <a:blip xmlns:r="http://schemas.openxmlformats.org/officeDocument/2006/relationships" r:embed="rId3"/>
        <a:stretch>
          <a:fillRect/>
        </a:stretch>
      </xdr:blipFill>
      <xdr:spPr>
        <a:xfrm>
          <a:off x="1534721" y="12805559"/>
          <a:ext cx="10272599" cy="44667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28</xdr:col>
      <xdr:colOff>38100</xdr:colOff>
      <xdr:row>4</xdr:row>
      <xdr:rowOff>38100</xdr:rowOff>
    </xdr:from>
    <xdr:to>
      <xdr:col>39</xdr:col>
      <xdr:colOff>106533</xdr:colOff>
      <xdr:row>24</xdr:row>
      <xdr:rowOff>88160</xdr:rowOff>
    </xdr:to>
    <xdr:pic>
      <xdr:nvPicPr>
        <xdr:cNvPr id="2" name="Picture 1">
          <a:extLst>
            <a:ext uri="{FF2B5EF4-FFF2-40B4-BE49-F238E27FC236}">
              <a16:creationId xmlns:a16="http://schemas.microsoft.com/office/drawing/2014/main" id="{5938C5C2-11BF-57FD-BE58-7C40B2DE6538}"/>
            </a:ext>
          </a:extLst>
        </xdr:cNvPr>
        <xdr:cNvPicPr>
          <a:picLocks noChangeAspect="1"/>
        </xdr:cNvPicPr>
      </xdr:nvPicPr>
      <xdr:blipFill>
        <a:blip xmlns:r="http://schemas.openxmlformats.org/officeDocument/2006/relationships" r:embed="rId1"/>
        <a:stretch>
          <a:fillRect/>
        </a:stretch>
      </xdr:blipFill>
      <xdr:spPr>
        <a:xfrm>
          <a:off x="11010900" y="800100"/>
          <a:ext cx="6774033" cy="3960913"/>
        </a:xfrm>
        <a:prstGeom prst="rect">
          <a:avLst/>
        </a:prstGeom>
      </xdr:spPr>
    </xdr:pic>
    <xdr:clientData/>
  </xdr:twoCellAnchor>
  <xdr:twoCellAnchor editAs="oneCell">
    <xdr:from>
      <xdr:col>16</xdr:col>
      <xdr:colOff>30255</xdr:colOff>
      <xdr:row>35</xdr:row>
      <xdr:rowOff>66675</xdr:rowOff>
    </xdr:from>
    <xdr:to>
      <xdr:col>27</xdr:col>
      <xdr:colOff>218198</xdr:colOff>
      <xdr:row>55</xdr:row>
      <xdr:rowOff>153487</xdr:rowOff>
    </xdr:to>
    <xdr:pic>
      <xdr:nvPicPr>
        <xdr:cNvPr id="3" name="Picture 2">
          <a:extLst>
            <a:ext uri="{FF2B5EF4-FFF2-40B4-BE49-F238E27FC236}">
              <a16:creationId xmlns:a16="http://schemas.microsoft.com/office/drawing/2014/main" id="{D5BAF0C4-A3EC-FD01-3492-E3934C6A0ECB}"/>
            </a:ext>
          </a:extLst>
        </xdr:cNvPr>
        <xdr:cNvPicPr>
          <a:picLocks noChangeAspect="1"/>
        </xdr:cNvPicPr>
      </xdr:nvPicPr>
      <xdr:blipFill>
        <a:blip xmlns:r="http://schemas.openxmlformats.org/officeDocument/2006/relationships" r:embed="rId2"/>
        <a:stretch>
          <a:fillRect/>
        </a:stretch>
      </xdr:blipFill>
      <xdr:spPr>
        <a:xfrm>
          <a:off x="9207873" y="6835028"/>
          <a:ext cx="6844237" cy="3896812"/>
        </a:xfrm>
        <a:prstGeom prst="rect">
          <a:avLst/>
        </a:prstGeom>
      </xdr:spPr>
    </xdr:pic>
    <xdr:clientData/>
  </xdr:twoCellAnchor>
  <xdr:twoCellAnchor editAs="oneCell">
    <xdr:from>
      <xdr:col>16</xdr:col>
      <xdr:colOff>238721</xdr:colOff>
      <xdr:row>4</xdr:row>
      <xdr:rowOff>38100</xdr:rowOff>
    </xdr:from>
    <xdr:to>
      <xdr:col>27</xdr:col>
      <xdr:colOff>241270</xdr:colOff>
      <xdr:row>22</xdr:row>
      <xdr:rowOff>119287</xdr:rowOff>
    </xdr:to>
    <xdr:pic>
      <xdr:nvPicPr>
        <xdr:cNvPr id="4" name="Picture 3">
          <a:extLst>
            <a:ext uri="{FF2B5EF4-FFF2-40B4-BE49-F238E27FC236}">
              <a16:creationId xmlns:a16="http://schemas.microsoft.com/office/drawing/2014/main" id="{AAE2BF1E-C87C-90A9-3D30-AC3452DBAF19}"/>
            </a:ext>
          </a:extLst>
        </xdr:cNvPr>
        <xdr:cNvPicPr>
          <a:picLocks noChangeAspect="1"/>
        </xdr:cNvPicPr>
      </xdr:nvPicPr>
      <xdr:blipFill>
        <a:blip xmlns:r="http://schemas.openxmlformats.org/officeDocument/2006/relationships" r:embed="rId3"/>
        <a:stretch>
          <a:fillRect/>
        </a:stretch>
      </xdr:blipFill>
      <xdr:spPr>
        <a:xfrm>
          <a:off x="3912650" y="800100"/>
          <a:ext cx="6738084" cy="3611040"/>
        </a:xfrm>
        <a:prstGeom prst="rect">
          <a:avLst/>
        </a:prstGeom>
      </xdr:spPr>
    </xdr:pic>
    <xdr:clientData/>
  </xdr:twoCellAnchor>
  <xdr:twoCellAnchor editAs="oneCell">
    <xdr:from>
      <xdr:col>28</xdr:col>
      <xdr:colOff>1</xdr:colOff>
      <xdr:row>59</xdr:row>
      <xdr:rowOff>18446</xdr:rowOff>
    </xdr:from>
    <xdr:to>
      <xdr:col>39</xdr:col>
      <xdr:colOff>272144</xdr:colOff>
      <xdr:row>80</xdr:row>
      <xdr:rowOff>122465</xdr:rowOff>
    </xdr:to>
    <xdr:pic>
      <xdr:nvPicPr>
        <xdr:cNvPr id="5" name="Picture 4">
          <a:extLst>
            <a:ext uri="{FF2B5EF4-FFF2-40B4-BE49-F238E27FC236}">
              <a16:creationId xmlns:a16="http://schemas.microsoft.com/office/drawing/2014/main" id="{F8080008-E718-4F47-F21F-EBF3FAE80D00}"/>
            </a:ext>
          </a:extLst>
        </xdr:cNvPr>
        <xdr:cNvPicPr>
          <a:picLocks noChangeAspect="1"/>
        </xdr:cNvPicPr>
      </xdr:nvPicPr>
      <xdr:blipFill>
        <a:blip xmlns:r="http://schemas.openxmlformats.org/officeDocument/2006/relationships" r:embed="rId4"/>
        <a:stretch>
          <a:fillRect/>
        </a:stretch>
      </xdr:blipFill>
      <xdr:spPr>
        <a:xfrm>
          <a:off x="11021787" y="8971946"/>
          <a:ext cx="7007678" cy="4104519"/>
        </a:xfrm>
        <a:prstGeom prst="rect">
          <a:avLst/>
        </a:prstGeom>
      </xdr:spPr>
    </xdr:pic>
    <xdr:clientData/>
  </xdr:twoCellAnchor>
  <xdr:twoCellAnchor editAs="oneCell">
    <xdr:from>
      <xdr:col>28</xdr:col>
      <xdr:colOff>1</xdr:colOff>
      <xdr:row>37</xdr:row>
      <xdr:rowOff>41679</xdr:rowOff>
    </xdr:from>
    <xdr:to>
      <xdr:col>39</xdr:col>
      <xdr:colOff>408216</xdr:colOff>
      <xdr:row>59</xdr:row>
      <xdr:rowOff>37897</xdr:rowOff>
    </xdr:to>
    <xdr:pic>
      <xdr:nvPicPr>
        <xdr:cNvPr id="6" name="Picture 5">
          <a:extLst>
            <a:ext uri="{FF2B5EF4-FFF2-40B4-BE49-F238E27FC236}">
              <a16:creationId xmlns:a16="http://schemas.microsoft.com/office/drawing/2014/main" id="{66C1D74A-69C4-DAEC-0571-6EB72DD0C658}"/>
            </a:ext>
          </a:extLst>
        </xdr:cNvPr>
        <xdr:cNvPicPr>
          <a:picLocks noChangeAspect="1"/>
        </xdr:cNvPicPr>
      </xdr:nvPicPr>
      <xdr:blipFill>
        <a:blip xmlns:r="http://schemas.openxmlformats.org/officeDocument/2006/relationships" r:embed="rId5"/>
        <a:stretch>
          <a:fillRect/>
        </a:stretch>
      </xdr:blipFill>
      <xdr:spPr>
        <a:xfrm>
          <a:off x="11021787" y="4804179"/>
          <a:ext cx="7143750" cy="418721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200025</xdr:colOff>
      <xdr:row>5</xdr:row>
      <xdr:rowOff>162123</xdr:rowOff>
    </xdr:from>
    <xdr:to>
      <xdr:col>23</xdr:col>
      <xdr:colOff>27758</xdr:colOff>
      <xdr:row>34</xdr:row>
      <xdr:rowOff>47148</xdr:rowOff>
    </xdr:to>
    <xdr:pic>
      <xdr:nvPicPr>
        <xdr:cNvPr id="2" name="Picture 1">
          <a:extLst>
            <a:ext uri="{FF2B5EF4-FFF2-40B4-BE49-F238E27FC236}">
              <a16:creationId xmlns:a16="http://schemas.microsoft.com/office/drawing/2014/main" id="{4DAE575E-F274-4EC6-89E5-6E97C43260C7}"/>
            </a:ext>
          </a:extLst>
        </xdr:cNvPr>
        <xdr:cNvPicPr>
          <a:picLocks noChangeAspect="1"/>
        </xdr:cNvPicPr>
      </xdr:nvPicPr>
      <xdr:blipFill>
        <a:blip xmlns:r="http://schemas.openxmlformats.org/officeDocument/2006/relationships" r:embed="rId1"/>
        <a:stretch>
          <a:fillRect/>
        </a:stretch>
      </xdr:blipFill>
      <xdr:spPr>
        <a:xfrm>
          <a:off x="9086850" y="1038423"/>
          <a:ext cx="6533333" cy="5400000"/>
        </a:xfrm>
        <a:prstGeom prst="rect">
          <a:avLst/>
        </a:prstGeom>
      </xdr:spPr>
    </xdr:pic>
    <xdr:clientData/>
  </xdr:twoCellAnchor>
  <xdr:twoCellAnchor editAs="oneCell">
    <xdr:from>
      <xdr:col>22</xdr:col>
      <xdr:colOff>522222</xdr:colOff>
      <xdr:row>5</xdr:row>
      <xdr:rowOff>152400</xdr:rowOff>
    </xdr:from>
    <xdr:to>
      <xdr:col>33</xdr:col>
      <xdr:colOff>438137</xdr:colOff>
      <xdr:row>40</xdr:row>
      <xdr:rowOff>110180</xdr:rowOff>
    </xdr:to>
    <xdr:pic>
      <xdr:nvPicPr>
        <xdr:cNvPr id="3" name="Picture 2">
          <a:extLst>
            <a:ext uri="{FF2B5EF4-FFF2-40B4-BE49-F238E27FC236}">
              <a16:creationId xmlns:a16="http://schemas.microsoft.com/office/drawing/2014/main" id="{ABF2E85B-BADA-403A-AF9F-B9ADB0B26598}"/>
            </a:ext>
          </a:extLst>
        </xdr:cNvPr>
        <xdr:cNvPicPr>
          <a:picLocks noChangeAspect="1"/>
        </xdr:cNvPicPr>
      </xdr:nvPicPr>
      <xdr:blipFill>
        <a:blip xmlns:r="http://schemas.openxmlformats.org/officeDocument/2006/relationships" r:embed="rId2"/>
        <a:stretch>
          <a:fillRect/>
        </a:stretch>
      </xdr:blipFill>
      <xdr:spPr>
        <a:xfrm>
          <a:off x="15505047" y="1028700"/>
          <a:ext cx="6621515" cy="6615755"/>
        </a:xfrm>
        <a:prstGeom prst="rect">
          <a:avLst/>
        </a:prstGeom>
      </xdr:spPr>
    </xdr:pic>
    <xdr:clientData/>
  </xdr:twoCellAnchor>
  <xdr:twoCellAnchor editAs="oneCell">
    <xdr:from>
      <xdr:col>13</xdr:col>
      <xdr:colOff>561975</xdr:colOff>
      <xdr:row>35</xdr:row>
      <xdr:rowOff>142875</xdr:rowOff>
    </xdr:from>
    <xdr:to>
      <xdr:col>25</xdr:col>
      <xdr:colOff>46774</xdr:colOff>
      <xdr:row>61</xdr:row>
      <xdr:rowOff>27970</xdr:rowOff>
    </xdr:to>
    <xdr:pic>
      <xdr:nvPicPr>
        <xdr:cNvPr id="4" name="Picture 3">
          <a:extLst>
            <a:ext uri="{FF2B5EF4-FFF2-40B4-BE49-F238E27FC236}">
              <a16:creationId xmlns:a16="http://schemas.microsoft.com/office/drawing/2014/main" id="{D5A1B56B-5C08-A1BF-FBC1-7754DE854805}"/>
            </a:ext>
          </a:extLst>
        </xdr:cNvPr>
        <xdr:cNvPicPr>
          <a:picLocks noChangeAspect="1"/>
        </xdr:cNvPicPr>
      </xdr:nvPicPr>
      <xdr:blipFill>
        <a:blip xmlns:r="http://schemas.openxmlformats.org/officeDocument/2006/relationships" r:embed="rId3"/>
        <a:stretch>
          <a:fillRect/>
        </a:stretch>
      </xdr:blipFill>
      <xdr:spPr>
        <a:xfrm>
          <a:off x="10058400" y="6343650"/>
          <a:ext cx="6800000" cy="48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2116044</xdr:colOff>
      <xdr:row>51</xdr:row>
      <xdr:rowOff>73027</xdr:rowOff>
    </xdr:from>
    <xdr:to>
      <xdr:col>17</xdr:col>
      <xdr:colOff>719667</xdr:colOff>
      <xdr:row>67</xdr:row>
      <xdr:rowOff>134470</xdr:rowOff>
    </xdr:to>
    <xdr:graphicFrame macro="">
      <xdr:nvGraphicFramePr>
        <xdr:cNvPr id="2" name="Chart 1">
          <a:extLst>
            <a:ext uri="{FF2B5EF4-FFF2-40B4-BE49-F238E27FC236}">
              <a16:creationId xmlns:a16="http://schemas.microsoft.com/office/drawing/2014/main" id="{6DD51A1B-81F4-BB16-3451-77E60A7AB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2116044</xdr:colOff>
      <xdr:row>86</xdr:row>
      <xdr:rowOff>84232</xdr:rowOff>
    </xdr:from>
    <xdr:to>
      <xdr:col>17</xdr:col>
      <xdr:colOff>719667</xdr:colOff>
      <xdr:row>103</xdr:row>
      <xdr:rowOff>128682</xdr:rowOff>
    </xdr:to>
    <xdr:graphicFrame macro="">
      <xdr:nvGraphicFramePr>
        <xdr:cNvPr id="4" name="Chart 3">
          <a:extLst>
            <a:ext uri="{FF2B5EF4-FFF2-40B4-BE49-F238E27FC236}">
              <a16:creationId xmlns:a16="http://schemas.microsoft.com/office/drawing/2014/main" id="{9431A833-843F-419F-8E87-EB4C99576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2116044</xdr:colOff>
      <xdr:row>103</xdr:row>
      <xdr:rowOff>151468</xdr:rowOff>
    </xdr:from>
    <xdr:to>
      <xdr:col>17</xdr:col>
      <xdr:colOff>719667</xdr:colOff>
      <xdr:row>121</xdr:row>
      <xdr:rowOff>39036</xdr:rowOff>
    </xdr:to>
    <xdr:graphicFrame macro="">
      <xdr:nvGraphicFramePr>
        <xdr:cNvPr id="5" name="Chart 4">
          <a:extLst>
            <a:ext uri="{FF2B5EF4-FFF2-40B4-BE49-F238E27FC236}">
              <a16:creationId xmlns:a16="http://schemas.microsoft.com/office/drawing/2014/main" id="{DAED10E9-84F7-199F-1CDA-B6A16874B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10</xdr:row>
      <xdr:rowOff>0</xdr:rowOff>
    </xdr:from>
    <xdr:to>
      <xdr:col>6</xdr:col>
      <xdr:colOff>9525</xdr:colOff>
      <xdr:row>10</xdr:row>
      <xdr:rowOff>9525</xdr:rowOff>
    </xdr:to>
    <xdr:pic>
      <xdr:nvPicPr>
        <xdr:cNvPr id="14" name="Picture 13">
          <a:extLst>
            <a:ext uri="{FF2B5EF4-FFF2-40B4-BE49-F238E27FC236}">
              <a16:creationId xmlns:a16="http://schemas.microsoft.com/office/drawing/2014/main" id="{840D3AB3-CE99-73F0-54F7-184DDF136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6</xdr:col>
      <xdr:colOff>9525</xdr:colOff>
      <xdr:row>10</xdr:row>
      <xdr:rowOff>9525</xdr:rowOff>
    </xdr:to>
    <xdr:pic>
      <xdr:nvPicPr>
        <xdr:cNvPr id="15" name="Picture 14">
          <a:extLst>
            <a:ext uri="{FF2B5EF4-FFF2-40B4-BE49-F238E27FC236}">
              <a16:creationId xmlns:a16="http://schemas.microsoft.com/office/drawing/2014/main" id="{EE5F84F9-4977-8DE3-5987-477910A56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xdr:row>
      <xdr:rowOff>0</xdr:rowOff>
    </xdr:from>
    <xdr:to>
      <xdr:col>6</xdr:col>
      <xdr:colOff>9525</xdr:colOff>
      <xdr:row>10</xdr:row>
      <xdr:rowOff>9525</xdr:rowOff>
    </xdr:to>
    <xdr:pic>
      <xdr:nvPicPr>
        <xdr:cNvPr id="16" name="Picture 15">
          <a:extLst>
            <a:ext uri="{FF2B5EF4-FFF2-40B4-BE49-F238E27FC236}">
              <a16:creationId xmlns:a16="http://schemas.microsoft.com/office/drawing/2014/main" id="{27E1E285-FFC3-326A-7AC4-784C81EB6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9525</xdr:colOff>
      <xdr:row>10</xdr:row>
      <xdr:rowOff>9525</xdr:rowOff>
    </xdr:to>
    <xdr:pic>
      <xdr:nvPicPr>
        <xdr:cNvPr id="17" name="Picture 16">
          <a:extLst>
            <a:ext uri="{FF2B5EF4-FFF2-40B4-BE49-F238E27FC236}">
              <a16:creationId xmlns:a16="http://schemas.microsoft.com/office/drawing/2014/main" id="{52F13D59-D812-9CD4-C2BA-78370370A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9525</xdr:colOff>
      <xdr:row>10</xdr:row>
      <xdr:rowOff>9525</xdr:rowOff>
    </xdr:to>
    <xdr:pic>
      <xdr:nvPicPr>
        <xdr:cNvPr id="18" name="Picture 17">
          <a:extLst>
            <a:ext uri="{FF2B5EF4-FFF2-40B4-BE49-F238E27FC236}">
              <a16:creationId xmlns:a16="http://schemas.microsoft.com/office/drawing/2014/main" id="{BC0715A1-EEED-525F-6061-55860779C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xdr:row>
      <xdr:rowOff>0</xdr:rowOff>
    </xdr:from>
    <xdr:to>
      <xdr:col>8</xdr:col>
      <xdr:colOff>9525</xdr:colOff>
      <xdr:row>10</xdr:row>
      <xdr:rowOff>9525</xdr:rowOff>
    </xdr:to>
    <xdr:pic>
      <xdr:nvPicPr>
        <xdr:cNvPr id="19" name="Picture 18">
          <a:extLst>
            <a:ext uri="{FF2B5EF4-FFF2-40B4-BE49-F238E27FC236}">
              <a16:creationId xmlns:a16="http://schemas.microsoft.com/office/drawing/2014/main" id="{AC1D8FB4-F76F-EAC8-8D02-0DA902703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10</xdr:row>
      <xdr:rowOff>0</xdr:rowOff>
    </xdr:from>
    <xdr:to>
      <xdr:col>9</xdr:col>
      <xdr:colOff>9525</xdr:colOff>
      <xdr:row>10</xdr:row>
      <xdr:rowOff>9525</xdr:rowOff>
    </xdr:to>
    <xdr:pic>
      <xdr:nvPicPr>
        <xdr:cNvPr id="20" name="Picture 19">
          <a:extLst>
            <a:ext uri="{FF2B5EF4-FFF2-40B4-BE49-F238E27FC236}">
              <a16:creationId xmlns:a16="http://schemas.microsoft.com/office/drawing/2014/main" id="{24BE63AA-D2D3-77C5-607D-4A6278EEC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xdr:row>
      <xdr:rowOff>0</xdr:rowOff>
    </xdr:from>
    <xdr:to>
      <xdr:col>10</xdr:col>
      <xdr:colOff>9525</xdr:colOff>
      <xdr:row>10</xdr:row>
      <xdr:rowOff>9525</xdr:rowOff>
    </xdr:to>
    <xdr:pic>
      <xdr:nvPicPr>
        <xdr:cNvPr id="21" name="Picture 20">
          <a:extLst>
            <a:ext uri="{FF2B5EF4-FFF2-40B4-BE49-F238E27FC236}">
              <a16:creationId xmlns:a16="http://schemas.microsoft.com/office/drawing/2014/main" id="{1058B9FC-4F83-54D9-8DC4-54AD22F36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10</xdr:row>
      <xdr:rowOff>0</xdr:rowOff>
    </xdr:from>
    <xdr:to>
      <xdr:col>11</xdr:col>
      <xdr:colOff>9525</xdr:colOff>
      <xdr:row>10</xdr:row>
      <xdr:rowOff>9525</xdr:rowOff>
    </xdr:to>
    <xdr:pic>
      <xdr:nvPicPr>
        <xdr:cNvPr id="22" name="Picture 21">
          <a:extLst>
            <a:ext uri="{FF2B5EF4-FFF2-40B4-BE49-F238E27FC236}">
              <a16:creationId xmlns:a16="http://schemas.microsoft.com/office/drawing/2014/main" id="{D99F1389-04AD-D652-9B9A-848867B0C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10</xdr:row>
      <xdr:rowOff>0</xdr:rowOff>
    </xdr:from>
    <xdr:to>
      <xdr:col>12</xdr:col>
      <xdr:colOff>9525</xdr:colOff>
      <xdr:row>10</xdr:row>
      <xdr:rowOff>9525</xdr:rowOff>
    </xdr:to>
    <xdr:pic>
      <xdr:nvPicPr>
        <xdr:cNvPr id="23" name="Picture 22">
          <a:extLst>
            <a:ext uri="{FF2B5EF4-FFF2-40B4-BE49-F238E27FC236}">
              <a16:creationId xmlns:a16="http://schemas.microsoft.com/office/drawing/2014/main" id="{08BA3759-B3E5-91E1-E13F-DF13C8202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10</xdr:row>
      <xdr:rowOff>0</xdr:rowOff>
    </xdr:from>
    <xdr:to>
      <xdr:col>13</xdr:col>
      <xdr:colOff>9525</xdr:colOff>
      <xdr:row>10</xdr:row>
      <xdr:rowOff>9525</xdr:rowOff>
    </xdr:to>
    <xdr:pic>
      <xdr:nvPicPr>
        <xdr:cNvPr id="24" name="Picture 23">
          <a:extLst>
            <a:ext uri="{FF2B5EF4-FFF2-40B4-BE49-F238E27FC236}">
              <a16:creationId xmlns:a16="http://schemas.microsoft.com/office/drawing/2014/main" id="{F97BA86D-353F-F148-1E8F-6176CC532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10</xdr:row>
      <xdr:rowOff>0</xdr:rowOff>
    </xdr:from>
    <xdr:to>
      <xdr:col>14</xdr:col>
      <xdr:colOff>9525</xdr:colOff>
      <xdr:row>10</xdr:row>
      <xdr:rowOff>9525</xdr:rowOff>
    </xdr:to>
    <xdr:pic>
      <xdr:nvPicPr>
        <xdr:cNvPr id="25" name="Picture 24">
          <a:extLst>
            <a:ext uri="{FF2B5EF4-FFF2-40B4-BE49-F238E27FC236}">
              <a16:creationId xmlns:a16="http://schemas.microsoft.com/office/drawing/2014/main" id="{E1F26562-34DE-8039-5BD8-AECE3EF91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34400" y="180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6</xdr:col>
      <xdr:colOff>9525</xdr:colOff>
      <xdr:row>11</xdr:row>
      <xdr:rowOff>9525</xdr:rowOff>
    </xdr:to>
    <xdr:pic>
      <xdr:nvPicPr>
        <xdr:cNvPr id="26" name="Picture 25">
          <a:extLst>
            <a:ext uri="{FF2B5EF4-FFF2-40B4-BE49-F238E27FC236}">
              <a16:creationId xmlns:a16="http://schemas.microsoft.com/office/drawing/2014/main" id="{83CC98B0-9E01-FEFB-ED83-A01864C8B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6</xdr:col>
      <xdr:colOff>9525</xdr:colOff>
      <xdr:row>11</xdr:row>
      <xdr:rowOff>9525</xdr:rowOff>
    </xdr:to>
    <xdr:pic>
      <xdr:nvPicPr>
        <xdr:cNvPr id="27" name="Picture 26">
          <a:extLst>
            <a:ext uri="{FF2B5EF4-FFF2-40B4-BE49-F238E27FC236}">
              <a16:creationId xmlns:a16="http://schemas.microsoft.com/office/drawing/2014/main" id="{82A213B4-A464-5C9C-715C-721DFE421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6</xdr:col>
      <xdr:colOff>9525</xdr:colOff>
      <xdr:row>11</xdr:row>
      <xdr:rowOff>9525</xdr:rowOff>
    </xdr:to>
    <xdr:pic>
      <xdr:nvPicPr>
        <xdr:cNvPr id="28" name="Picture 27">
          <a:extLst>
            <a:ext uri="{FF2B5EF4-FFF2-40B4-BE49-F238E27FC236}">
              <a16:creationId xmlns:a16="http://schemas.microsoft.com/office/drawing/2014/main" id="{E0B72698-46A7-BA36-BDE2-E2B8E1D3F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9525</xdr:colOff>
      <xdr:row>11</xdr:row>
      <xdr:rowOff>9525</xdr:rowOff>
    </xdr:to>
    <xdr:pic>
      <xdr:nvPicPr>
        <xdr:cNvPr id="29" name="Picture 28">
          <a:extLst>
            <a:ext uri="{FF2B5EF4-FFF2-40B4-BE49-F238E27FC236}">
              <a16:creationId xmlns:a16="http://schemas.microsoft.com/office/drawing/2014/main" id="{F0913248-4B4C-441C-5370-50EEFA695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9525</xdr:colOff>
      <xdr:row>11</xdr:row>
      <xdr:rowOff>9525</xdr:rowOff>
    </xdr:to>
    <xdr:pic>
      <xdr:nvPicPr>
        <xdr:cNvPr id="30" name="Picture 29">
          <a:extLst>
            <a:ext uri="{FF2B5EF4-FFF2-40B4-BE49-F238E27FC236}">
              <a16:creationId xmlns:a16="http://schemas.microsoft.com/office/drawing/2014/main" id="{D874D826-4BDB-AA77-9C4D-7AAF068BE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9525</xdr:colOff>
      <xdr:row>11</xdr:row>
      <xdr:rowOff>9525</xdr:rowOff>
    </xdr:to>
    <xdr:pic>
      <xdr:nvPicPr>
        <xdr:cNvPr id="31" name="Picture 30">
          <a:extLst>
            <a:ext uri="{FF2B5EF4-FFF2-40B4-BE49-F238E27FC236}">
              <a16:creationId xmlns:a16="http://schemas.microsoft.com/office/drawing/2014/main" id="{70ECC5AB-BDCF-CD5A-F2AD-CE44D7250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9525</xdr:colOff>
      <xdr:row>11</xdr:row>
      <xdr:rowOff>9525</xdr:rowOff>
    </xdr:to>
    <xdr:pic>
      <xdr:nvPicPr>
        <xdr:cNvPr id="32" name="Picture 31">
          <a:extLst>
            <a:ext uri="{FF2B5EF4-FFF2-40B4-BE49-F238E27FC236}">
              <a16:creationId xmlns:a16="http://schemas.microsoft.com/office/drawing/2014/main" id="{F9FC535C-FCA9-97D1-CB6A-B3EBA7C5C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9525</xdr:colOff>
      <xdr:row>11</xdr:row>
      <xdr:rowOff>9525</xdr:rowOff>
    </xdr:to>
    <xdr:pic>
      <xdr:nvPicPr>
        <xdr:cNvPr id="33" name="Picture 32">
          <a:extLst>
            <a:ext uri="{FF2B5EF4-FFF2-40B4-BE49-F238E27FC236}">
              <a16:creationId xmlns:a16="http://schemas.microsoft.com/office/drawing/2014/main" id="{1148ED32-7D32-D132-D1E7-93CE5846D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9525</xdr:colOff>
      <xdr:row>11</xdr:row>
      <xdr:rowOff>9525</xdr:rowOff>
    </xdr:to>
    <xdr:pic>
      <xdr:nvPicPr>
        <xdr:cNvPr id="34" name="Picture 33">
          <a:extLst>
            <a:ext uri="{FF2B5EF4-FFF2-40B4-BE49-F238E27FC236}">
              <a16:creationId xmlns:a16="http://schemas.microsoft.com/office/drawing/2014/main" id="{26E3C2A8-D89C-1366-3B0D-9AE69DF92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9525</xdr:colOff>
      <xdr:row>11</xdr:row>
      <xdr:rowOff>9525</xdr:rowOff>
    </xdr:to>
    <xdr:pic>
      <xdr:nvPicPr>
        <xdr:cNvPr id="35" name="Picture 34">
          <a:extLst>
            <a:ext uri="{FF2B5EF4-FFF2-40B4-BE49-F238E27FC236}">
              <a16:creationId xmlns:a16="http://schemas.microsoft.com/office/drawing/2014/main" id="{7E8F63C8-D2F5-CFED-EB5C-B69670461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199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6</xdr:col>
      <xdr:colOff>9525</xdr:colOff>
      <xdr:row>11</xdr:row>
      <xdr:rowOff>9525</xdr:rowOff>
    </xdr:to>
    <xdr:pic>
      <xdr:nvPicPr>
        <xdr:cNvPr id="36" name="Picture 35">
          <a:extLst>
            <a:ext uri="{FF2B5EF4-FFF2-40B4-BE49-F238E27FC236}">
              <a16:creationId xmlns:a16="http://schemas.microsoft.com/office/drawing/2014/main" id="{284820BB-847E-C38A-4C65-351059D8F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6</xdr:col>
      <xdr:colOff>9525</xdr:colOff>
      <xdr:row>11</xdr:row>
      <xdr:rowOff>9525</xdr:rowOff>
    </xdr:to>
    <xdr:pic>
      <xdr:nvPicPr>
        <xdr:cNvPr id="37" name="Picture 36">
          <a:extLst>
            <a:ext uri="{FF2B5EF4-FFF2-40B4-BE49-F238E27FC236}">
              <a16:creationId xmlns:a16="http://schemas.microsoft.com/office/drawing/2014/main" id="{CE122439-E600-C3F2-8FF5-7778EE4E8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xdr:row>
      <xdr:rowOff>0</xdr:rowOff>
    </xdr:from>
    <xdr:to>
      <xdr:col>6</xdr:col>
      <xdr:colOff>9525</xdr:colOff>
      <xdr:row>11</xdr:row>
      <xdr:rowOff>9525</xdr:rowOff>
    </xdr:to>
    <xdr:pic>
      <xdr:nvPicPr>
        <xdr:cNvPr id="38" name="Picture 37">
          <a:extLst>
            <a:ext uri="{FF2B5EF4-FFF2-40B4-BE49-F238E27FC236}">
              <a16:creationId xmlns:a16="http://schemas.microsoft.com/office/drawing/2014/main" id="{B74EC72F-D685-35C1-1492-CB4635758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9525</xdr:colOff>
      <xdr:row>11</xdr:row>
      <xdr:rowOff>9525</xdr:rowOff>
    </xdr:to>
    <xdr:pic>
      <xdr:nvPicPr>
        <xdr:cNvPr id="39" name="Picture 38">
          <a:extLst>
            <a:ext uri="{FF2B5EF4-FFF2-40B4-BE49-F238E27FC236}">
              <a16:creationId xmlns:a16="http://schemas.microsoft.com/office/drawing/2014/main" id="{5FBC853D-87CF-8564-2E98-BD10A0868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9525</xdr:colOff>
      <xdr:row>11</xdr:row>
      <xdr:rowOff>9525</xdr:rowOff>
    </xdr:to>
    <xdr:pic>
      <xdr:nvPicPr>
        <xdr:cNvPr id="40" name="Picture 39">
          <a:extLst>
            <a:ext uri="{FF2B5EF4-FFF2-40B4-BE49-F238E27FC236}">
              <a16:creationId xmlns:a16="http://schemas.microsoft.com/office/drawing/2014/main" id="{45667109-BEDD-002C-A4EF-641E31E8D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xdr:row>
      <xdr:rowOff>0</xdr:rowOff>
    </xdr:from>
    <xdr:to>
      <xdr:col>8</xdr:col>
      <xdr:colOff>9525</xdr:colOff>
      <xdr:row>11</xdr:row>
      <xdr:rowOff>9525</xdr:rowOff>
    </xdr:to>
    <xdr:pic>
      <xdr:nvPicPr>
        <xdr:cNvPr id="41" name="Picture 40">
          <a:extLst>
            <a:ext uri="{FF2B5EF4-FFF2-40B4-BE49-F238E27FC236}">
              <a16:creationId xmlns:a16="http://schemas.microsoft.com/office/drawing/2014/main" id="{04279C95-F0D0-7BB8-E367-EFAB48615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xdr:row>
      <xdr:rowOff>0</xdr:rowOff>
    </xdr:from>
    <xdr:to>
      <xdr:col>9</xdr:col>
      <xdr:colOff>9525</xdr:colOff>
      <xdr:row>11</xdr:row>
      <xdr:rowOff>9525</xdr:rowOff>
    </xdr:to>
    <xdr:pic>
      <xdr:nvPicPr>
        <xdr:cNvPr id="42" name="Picture 41">
          <a:extLst>
            <a:ext uri="{FF2B5EF4-FFF2-40B4-BE49-F238E27FC236}">
              <a16:creationId xmlns:a16="http://schemas.microsoft.com/office/drawing/2014/main" id="{DB433FE9-84B4-8726-A5F3-0E18334BF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xdr:row>
      <xdr:rowOff>0</xdr:rowOff>
    </xdr:from>
    <xdr:to>
      <xdr:col>10</xdr:col>
      <xdr:colOff>9525</xdr:colOff>
      <xdr:row>11</xdr:row>
      <xdr:rowOff>9525</xdr:rowOff>
    </xdr:to>
    <xdr:pic>
      <xdr:nvPicPr>
        <xdr:cNvPr id="43" name="Picture 42">
          <a:extLst>
            <a:ext uri="{FF2B5EF4-FFF2-40B4-BE49-F238E27FC236}">
              <a16:creationId xmlns:a16="http://schemas.microsoft.com/office/drawing/2014/main" id="{3A9AFA1A-7A18-5617-B602-04803A096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9525</xdr:colOff>
      <xdr:row>11</xdr:row>
      <xdr:rowOff>9525</xdr:rowOff>
    </xdr:to>
    <xdr:pic>
      <xdr:nvPicPr>
        <xdr:cNvPr id="44" name="Picture 43">
          <a:extLst>
            <a:ext uri="{FF2B5EF4-FFF2-40B4-BE49-F238E27FC236}">
              <a16:creationId xmlns:a16="http://schemas.microsoft.com/office/drawing/2014/main" id="{D50A715B-E2C2-A0D5-484D-45DEDAF6B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xdr:row>
      <xdr:rowOff>0</xdr:rowOff>
    </xdr:from>
    <xdr:to>
      <xdr:col>12</xdr:col>
      <xdr:colOff>9525</xdr:colOff>
      <xdr:row>11</xdr:row>
      <xdr:rowOff>9525</xdr:rowOff>
    </xdr:to>
    <xdr:pic>
      <xdr:nvPicPr>
        <xdr:cNvPr id="45" name="Picture 44">
          <a:extLst>
            <a:ext uri="{FF2B5EF4-FFF2-40B4-BE49-F238E27FC236}">
              <a16:creationId xmlns:a16="http://schemas.microsoft.com/office/drawing/2014/main" id="{B38210FB-D1B7-7E5C-475D-1B81AC9A9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xdr:row>
      <xdr:rowOff>0</xdr:rowOff>
    </xdr:from>
    <xdr:to>
      <xdr:col>13</xdr:col>
      <xdr:colOff>9525</xdr:colOff>
      <xdr:row>11</xdr:row>
      <xdr:rowOff>9525</xdr:rowOff>
    </xdr:to>
    <xdr:pic>
      <xdr:nvPicPr>
        <xdr:cNvPr id="46" name="Picture 45">
          <a:extLst>
            <a:ext uri="{FF2B5EF4-FFF2-40B4-BE49-F238E27FC236}">
              <a16:creationId xmlns:a16="http://schemas.microsoft.com/office/drawing/2014/main" id="{07E63A93-2746-888E-8BEC-98495A474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xdr:row>
      <xdr:rowOff>0</xdr:rowOff>
    </xdr:from>
    <xdr:to>
      <xdr:col>14</xdr:col>
      <xdr:colOff>9525</xdr:colOff>
      <xdr:row>11</xdr:row>
      <xdr:rowOff>9525</xdr:rowOff>
    </xdr:to>
    <xdr:pic>
      <xdr:nvPicPr>
        <xdr:cNvPr id="47" name="Picture 46">
          <a:extLst>
            <a:ext uri="{FF2B5EF4-FFF2-40B4-BE49-F238E27FC236}">
              <a16:creationId xmlns:a16="http://schemas.microsoft.com/office/drawing/2014/main" id="{C96006C0-A8F1-B26D-FE92-542093BB9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34400" y="29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352425</xdr:colOff>
      <xdr:row>0</xdr:row>
      <xdr:rowOff>123825</xdr:rowOff>
    </xdr:from>
    <xdr:to>
      <xdr:col>23</xdr:col>
      <xdr:colOff>47625</xdr:colOff>
      <xdr:row>13</xdr:row>
      <xdr:rowOff>123825</xdr:rowOff>
    </xdr:to>
    <xdr:graphicFrame macro="">
      <xdr:nvGraphicFramePr>
        <xdr:cNvPr id="48" name="Chart 47">
          <a:extLst>
            <a:ext uri="{FF2B5EF4-FFF2-40B4-BE49-F238E27FC236}">
              <a16:creationId xmlns:a16="http://schemas.microsoft.com/office/drawing/2014/main" id="{4622A3E9-08DA-0C54-2B4C-EA7446B62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0</xdr:colOff>
      <xdr:row>17</xdr:row>
      <xdr:rowOff>0</xdr:rowOff>
    </xdr:from>
    <xdr:ext cx="9525" cy="9525"/>
    <xdr:pic>
      <xdr:nvPicPr>
        <xdr:cNvPr id="49" name="Picture 48">
          <a:extLst>
            <a:ext uri="{FF2B5EF4-FFF2-40B4-BE49-F238E27FC236}">
              <a16:creationId xmlns:a16="http://schemas.microsoft.com/office/drawing/2014/main" id="{FF6584BF-8FA3-4BE9-B5A9-7F1019586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17</xdr:row>
      <xdr:rowOff>0</xdr:rowOff>
    </xdr:from>
    <xdr:ext cx="9525" cy="9525"/>
    <xdr:pic>
      <xdr:nvPicPr>
        <xdr:cNvPr id="50" name="Picture 49">
          <a:extLst>
            <a:ext uri="{FF2B5EF4-FFF2-40B4-BE49-F238E27FC236}">
              <a16:creationId xmlns:a16="http://schemas.microsoft.com/office/drawing/2014/main" id="{0290EDD3-4779-4AE1-8A15-1CFA21ABA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xdr:row>
      <xdr:rowOff>0</xdr:rowOff>
    </xdr:from>
    <xdr:ext cx="9525" cy="9525"/>
    <xdr:pic>
      <xdr:nvPicPr>
        <xdr:cNvPr id="51" name="Picture 50">
          <a:extLst>
            <a:ext uri="{FF2B5EF4-FFF2-40B4-BE49-F238E27FC236}">
              <a16:creationId xmlns:a16="http://schemas.microsoft.com/office/drawing/2014/main" id="{4CA877C1-3EA7-419C-BCC7-D8924B5A2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17</xdr:row>
      <xdr:rowOff>0</xdr:rowOff>
    </xdr:from>
    <xdr:ext cx="9525" cy="9525"/>
    <xdr:pic>
      <xdr:nvPicPr>
        <xdr:cNvPr id="52" name="Picture 51">
          <a:extLst>
            <a:ext uri="{FF2B5EF4-FFF2-40B4-BE49-F238E27FC236}">
              <a16:creationId xmlns:a16="http://schemas.microsoft.com/office/drawing/2014/main" id="{82D48360-43A0-4050-BC4E-3AD9F12F5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17</xdr:row>
      <xdr:rowOff>0</xdr:rowOff>
    </xdr:from>
    <xdr:ext cx="9525" cy="9525"/>
    <xdr:pic>
      <xdr:nvPicPr>
        <xdr:cNvPr id="53" name="Picture 52">
          <a:extLst>
            <a:ext uri="{FF2B5EF4-FFF2-40B4-BE49-F238E27FC236}">
              <a16:creationId xmlns:a16="http://schemas.microsoft.com/office/drawing/2014/main" id="{C35309B9-35CE-4A89-B13C-05CF67C2F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17</xdr:row>
      <xdr:rowOff>0</xdr:rowOff>
    </xdr:from>
    <xdr:ext cx="9525" cy="9525"/>
    <xdr:pic>
      <xdr:nvPicPr>
        <xdr:cNvPr id="54" name="Picture 53">
          <a:extLst>
            <a:ext uri="{FF2B5EF4-FFF2-40B4-BE49-F238E27FC236}">
              <a16:creationId xmlns:a16="http://schemas.microsoft.com/office/drawing/2014/main" id="{817B47C9-1843-4996-8005-B5EC33A95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17</xdr:row>
      <xdr:rowOff>0</xdr:rowOff>
    </xdr:from>
    <xdr:ext cx="9525" cy="9525"/>
    <xdr:pic>
      <xdr:nvPicPr>
        <xdr:cNvPr id="55" name="Picture 54">
          <a:extLst>
            <a:ext uri="{FF2B5EF4-FFF2-40B4-BE49-F238E27FC236}">
              <a16:creationId xmlns:a16="http://schemas.microsoft.com/office/drawing/2014/main" id="{C1F74EB5-2955-4C39-8132-248C6A1C4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59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17</xdr:row>
      <xdr:rowOff>0</xdr:rowOff>
    </xdr:from>
    <xdr:ext cx="9525" cy="9525"/>
    <xdr:pic>
      <xdr:nvPicPr>
        <xdr:cNvPr id="56" name="Picture 55">
          <a:extLst>
            <a:ext uri="{FF2B5EF4-FFF2-40B4-BE49-F238E27FC236}">
              <a16:creationId xmlns:a16="http://schemas.microsoft.com/office/drawing/2014/main" id="{B9C61A14-D01D-46A4-902B-279FB016B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9525" cy="9525"/>
    <xdr:pic>
      <xdr:nvPicPr>
        <xdr:cNvPr id="57" name="Picture 56">
          <a:extLst>
            <a:ext uri="{FF2B5EF4-FFF2-40B4-BE49-F238E27FC236}">
              <a16:creationId xmlns:a16="http://schemas.microsoft.com/office/drawing/2014/main" id="{7AA409C3-B9F7-4716-8DBB-5352BA976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0</xdr:colOff>
      <xdr:row>17</xdr:row>
      <xdr:rowOff>0</xdr:rowOff>
    </xdr:from>
    <xdr:ext cx="9525" cy="9525"/>
    <xdr:pic>
      <xdr:nvPicPr>
        <xdr:cNvPr id="58" name="Picture 57">
          <a:extLst>
            <a:ext uri="{FF2B5EF4-FFF2-40B4-BE49-F238E27FC236}">
              <a16:creationId xmlns:a16="http://schemas.microsoft.com/office/drawing/2014/main" id="{3F234ABA-05C5-4004-B2F0-B342968B7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8142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xdr:row>
      <xdr:rowOff>0</xdr:rowOff>
    </xdr:from>
    <xdr:ext cx="9525" cy="9525"/>
    <xdr:pic>
      <xdr:nvPicPr>
        <xdr:cNvPr id="59" name="Picture 58">
          <a:extLst>
            <a:ext uri="{FF2B5EF4-FFF2-40B4-BE49-F238E27FC236}">
              <a16:creationId xmlns:a16="http://schemas.microsoft.com/office/drawing/2014/main" id="{77740567-DC1A-4A9F-8A51-C83C72C3B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17</xdr:row>
      <xdr:rowOff>0</xdr:rowOff>
    </xdr:from>
    <xdr:ext cx="9525" cy="9525"/>
    <xdr:pic>
      <xdr:nvPicPr>
        <xdr:cNvPr id="60" name="Picture 59">
          <a:extLst>
            <a:ext uri="{FF2B5EF4-FFF2-40B4-BE49-F238E27FC236}">
              <a16:creationId xmlns:a16="http://schemas.microsoft.com/office/drawing/2014/main" id="{BEF1FF1F-4BF4-4E32-B5EA-C85067D73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xdr:row>
      <xdr:rowOff>0</xdr:rowOff>
    </xdr:from>
    <xdr:ext cx="9525" cy="9525"/>
    <xdr:pic>
      <xdr:nvPicPr>
        <xdr:cNvPr id="61" name="Picture 60">
          <a:extLst>
            <a:ext uri="{FF2B5EF4-FFF2-40B4-BE49-F238E27FC236}">
              <a16:creationId xmlns:a16="http://schemas.microsoft.com/office/drawing/2014/main" id="{18730785-BE8D-4DE2-B3E9-E27C644A2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17</xdr:row>
      <xdr:rowOff>0</xdr:rowOff>
    </xdr:from>
    <xdr:ext cx="9525" cy="9525"/>
    <xdr:pic>
      <xdr:nvPicPr>
        <xdr:cNvPr id="62" name="Picture 61">
          <a:extLst>
            <a:ext uri="{FF2B5EF4-FFF2-40B4-BE49-F238E27FC236}">
              <a16:creationId xmlns:a16="http://schemas.microsoft.com/office/drawing/2014/main" id="{DD6DAA92-5D32-45B4-88A6-549E666F1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17</xdr:row>
      <xdr:rowOff>0</xdr:rowOff>
    </xdr:from>
    <xdr:ext cx="9525" cy="9525"/>
    <xdr:pic>
      <xdr:nvPicPr>
        <xdr:cNvPr id="63" name="Picture 62">
          <a:extLst>
            <a:ext uri="{FF2B5EF4-FFF2-40B4-BE49-F238E27FC236}">
              <a16:creationId xmlns:a16="http://schemas.microsoft.com/office/drawing/2014/main" id="{95A84C90-88E3-4AE3-B18C-7FDAFBF42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17</xdr:row>
      <xdr:rowOff>0</xdr:rowOff>
    </xdr:from>
    <xdr:ext cx="9525" cy="9525"/>
    <xdr:pic>
      <xdr:nvPicPr>
        <xdr:cNvPr id="64" name="Picture 63">
          <a:extLst>
            <a:ext uri="{FF2B5EF4-FFF2-40B4-BE49-F238E27FC236}">
              <a16:creationId xmlns:a16="http://schemas.microsoft.com/office/drawing/2014/main" id="{E7A16E90-8EB4-412A-991A-18F1C6C4F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0</xdr:colOff>
      <xdr:row>17</xdr:row>
      <xdr:rowOff>0</xdr:rowOff>
    </xdr:from>
    <xdr:ext cx="9525" cy="9525"/>
    <xdr:pic>
      <xdr:nvPicPr>
        <xdr:cNvPr id="65" name="Picture 64">
          <a:extLst>
            <a:ext uri="{FF2B5EF4-FFF2-40B4-BE49-F238E27FC236}">
              <a16:creationId xmlns:a16="http://schemas.microsoft.com/office/drawing/2014/main" id="{2ACAF9D1-BCDE-45A4-A54F-E9CCD6C8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59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17</xdr:row>
      <xdr:rowOff>0</xdr:rowOff>
    </xdr:from>
    <xdr:ext cx="9525" cy="9525"/>
    <xdr:pic>
      <xdr:nvPicPr>
        <xdr:cNvPr id="66" name="Picture 65">
          <a:extLst>
            <a:ext uri="{FF2B5EF4-FFF2-40B4-BE49-F238E27FC236}">
              <a16:creationId xmlns:a16="http://schemas.microsoft.com/office/drawing/2014/main" id="{53EB0FAC-0770-47B3-AEDC-664423E50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9525" cy="9525"/>
    <xdr:pic>
      <xdr:nvPicPr>
        <xdr:cNvPr id="67" name="Picture 66">
          <a:extLst>
            <a:ext uri="{FF2B5EF4-FFF2-40B4-BE49-F238E27FC236}">
              <a16:creationId xmlns:a16="http://schemas.microsoft.com/office/drawing/2014/main" id="{A745930C-C974-47A9-AA33-83B1D07C1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0</xdr:colOff>
      <xdr:row>17</xdr:row>
      <xdr:rowOff>0</xdr:rowOff>
    </xdr:from>
    <xdr:ext cx="9525" cy="9525"/>
    <xdr:pic>
      <xdr:nvPicPr>
        <xdr:cNvPr id="68" name="Picture 67">
          <a:extLst>
            <a:ext uri="{FF2B5EF4-FFF2-40B4-BE49-F238E27FC236}">
              <a16:creationId xmlns:a16="http://schemas.microsoft.com/office/drawing/2014/main" id="{E26FFACC-001C-4E4E-BF29-35206C992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8142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0</xdr:colOff>
      <xdr:row>17</xdr:row>
      <xdr:rowOff>0</xdr:rowOff>
    </xdr:from>
    <xdr:ext cx="9525" cy="9525"/>
    <xdr:pic>
      <xdr:nvPicPr>
        <xdr:cNvPr id="69" name="Picture 68">
          <a:extLst>
            <a:ext uri="{FF2B5EF4-FFF2-40B4-BE49-F238E27FC236}">
              <a16:creationId xmlns:a16="http://schemas.microsoft.com/office/drawing/2014/main" id="{2BA25DA7-5E00-48B9-866D-ABA801080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05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17</xdr:row>
      <xdr:rowOff>0</xdr:rowOff>
    </xdr:from>
    <xdr:ext cx="9525" cy="9525"/>
    <xdr:pic>
      <xdr:nvPicPr>
        <xdr:cNvPr id="70" name="Picture 69">
          <a:extLst>
            <a:ext uri="{FF2B5EF4-FFF2-40B4-BE49-F238E27FC236}">
              <a16:creationId xmlns:a16="http://schemas.microsoft.com/office/drawing/2014/main" id="{88ADEB3F-B3FC-459B-8AEF-A41A7A246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38725"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17</xdr:row>
      <xdr:rowOff>0</xdr:rowOff>
    </xdr:from>
    <xdr:ext cx="9525" cy="9525"/>
    <xdr:pic>
      <xdr:nvPicPr>
        <xdr:cNvPr id="71" name="Picture 70">
          <a:extLst>
            <a:ext uri="{FF2B5EF4-FFF2-40B4-BE49-F238E27FC236}">
              <a16:creationId xmlns:a16="http://schemas.microsoft.com/office/drawing/2014/main" id="{43E46804-7F44-4A45-84BD-892C9B5C3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17</xdr:row>
      <xdr:rowOff>0</xdr:rowOff>
    </xdr:from>
    <xdr:ext cx="9525" cy="9525"/>
    <xdr:pic>
      <xdr:nvPicPr>
        <xdr:cNvPr id="72" name="Picture 71">
          <a:extLst>
            <a:ext uri="{FF2B5EF4-FFF2-40B4-BE49-F238E27FC236}">
              <a16:creationId xmlns:a16="http://schemas.microsoft.com/office/drawing/2014/main" id="{6D53754E-271A-4FB3-A117-3137F6766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0" y="198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314325</xdr:colOff>
      <xdr:row>13</xdr:row>
      <xdr:rowOff>152400</xdr:rowOff>
    </xdr:from>
    <xdr:to>
      <xdr:col>23</xdr:col>
      <xdr:colOff>9525</xdr:colOff>
      <xdr:row>32</xdr:row>
      <xdr:rowOff>38100</xdr:rowOff>
    </xdr:to>
    <xdr:graphicFrame macro="">
      <xdr:nvGraphicFramePr>
        <xdr:cNvPr id="73" name="Chart 72">
          <a:extLst>
            <a:ext uri="{FF2B5EF4-FFF2-40B4-BE49-F238E27FC236}">
              <a16:creationId xmlns:a16="http://schemas.microsoft.com/office/drawing/2014/main" id="{F614329A-67FA-850C-D376-2B1612341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276225</xdr:colOff>
      <xdr:row>32</xdr:row>
      <xdr:rowOff>85725</xdr:rowOff>
    </xdr:from>
    <xdr:to>
      <xdr:col>22</xdr:col>
      <xdr:colOff>581025</xdr:colOff>
      <xdr:row>46</xdr:row>
      <xdr:rowOff>161925</xdr:rowOff>
    </xdr:to>
    <xdr:graphicFrame macro="">
      <xdr:nvGraphicFramePr>
        <xdr:cNvPr id="74" name="Chart 73">
          <a:extLst>
            <a:ext uri="{FF2B5EF4-FFF2-40B4-BE49-F238E27FC236}">
              <a16:creationId xmlns:a16="http://schemas.microsoft.com/office/drawing/2014/main" id="{1BBE5CA3-B411-0C25-39C7-3D6CA7241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30</xdr:col>
      <xdr:colOff>0</xdr:colOff>
      <xdr:row>1</xdr:row>
      <xdr:rowOff>28574</xdr:rowOff>
    </xdr:from>
    <xdr:to>
      <xdr:col>39</xdr:col>
      <xdr:colOff>51254</xdr:colOff>
      <xdr:row>21</xdr:row>
      <xdr:rowOff>114299</xdr:rowOff>
    </xdr:to>
    <xdr:pic>
      <xdr:nvPicPr>
        <xdr:cNvPr id="2" name="Picture 1">
          <a:extLst>
            <a:ext uri="{FF2B5EF4-FFF2-40B4-BE49-F238E27FC236}">
              <a16:creationId xmlns:a16="http://schemas.microsoft.com/office/drawing/2014/main" id="{DD453024-D3C0-40E7-8CB6-30ADFB784BA4}"/>
            </a:ext>
          </a:extLst>
        </xdr:cNvPr>
        <xdr:cNvPicPr>
          <a:picLocks noChangeAspect="1"/>
        </xdr:cNvPicPr>
      </xdr:nvPicPr>
      <xdr:blipFill>
        <a:blip xmlns:r="http://schemas.openxmlformats.org/officeDocument/2006/relationships" r:embed="rId1"/>
        <a:stretch>
          <a:fillRect/>
        </a:stretch>
      </xdr:blipFill>
      <xdr:spPr>
        <a:xfrm>
          <a:off x="16154400" y="219074"/>
          <a:ext cx="5537655" cy="4010025"/>
        </a:xfrm>
        <a:prstGeom prst="rect">
          <a:avLst/>
        </a:prstGeom>
      </xdr:spPr>
    </xdr:pic>
    <xdr:clientData/>
  </xdr:twoCellAnchor>
  <xdr:twoCellAnchor editAs="oneCell">
    <xdr:from>
      <xdr:col>29</xdr:col>
      <xdr:colOff>72572</xdr:colOff>
      <xdr:row>18</xdr:row>
      <xdr:rowOff>126328</xdr:rowOff>
    </xdr:from>
    <xdr:to>
      <xdr:col>43</xdr:col>
      <xdr:colOff>564654</xdr:colOff>
      <xdr:row>53</xdr:row>
      <xdr:rowOff>20859</xdr:rowOff>
    </xdr:to>
    <xdr:pic>
      <xdr:nvPicPr>
        <xdr:cNvPr id="3" name="Picture 2">
          <a:extLst>
            <a:ext uri="{FF2B5EF4-FFF2-40B4-BE49-F238E27FC236}">
              <a16:creationId xmlns:a16="http://schemas.microsoft.com/office/drawing/2014/main" id="{AABA5A23-DBD3-49C9-989E-6E803A210DF7}"/>
            </a:ext>
          </a:extLst>
        </xdr:cNvPr>
        <xdr:cNvPicPr>
          <a:picLocks noChangeAspect="1"/>
        </xdr:cNvPicPr>
      </xdr:nvPicPr>
      <xdr:blipFill>
        <a:blip xmlns:r="http://schemas.openxmlformats.org/officeDocument/2006/relationships" r:embed="rId2"/>
        <a:stretch>
          <a:fillRect/>
        </a:stretch>
      </xdr:blipFill>
      <xdr:spPr>
        <a:xfrm>
          <a:off x="16818429" y="3464614"/>
          <a:ext cx="9509082" cy="6335245"/>
        </a:xfrm>
        <a:prstGeom prst="rect">
          <a:avLst/>
        </a:prstGeom>
      </xdr:spPr>
    </xdr:pic>
    <xdr:clientData/>
  </xdr:twoCellAnchor>
  <xdr:twoCellAnchor>
    <xdr:from>
      <xdr:col>12</xdr:col>
      <xdr:colOff>276225</xdr:colOff>
      <xdr:row>5</xdr:row>
      <xdr:rowOff>122237</xdr:rowOff>
    </xdr:from>
    <xdr:to>
      <xdr:col>19</xdr:col>
      <xdr:colOff>581025</xdr:colOff>
      <xdr:row>19</xdr:row>
      <xdr:rowOff>122237</xdr:rowOff>
    </xdr:to>
    <xdr:graphicFrame macro="">
      <xdr:nvGraphicFramePr>
        <xdr:cNvPr id="4" name="Chart 3">
          <a:extLst>
            <a:ext uri="{FF2B5EF4-FFF2-40B4-BE49-F238E27FC236}">
              <a16:creationId xmlns:a16="http://schemas.microsoft.com/office/drawing/2014/main" id="{DD36FE22-3EC5-4AFE-99CA-743440BCB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104775</xdr:colOff>
      <xdr:row>5</xdr:row>
      <xdr:rowOff>93662</xdr:rowOff>
    </xdr:from>
    <xdr:to>
      <xdr:col>27</xdr:col>
      <xdr:colOff>409575</xdr:colOff>
      <xdr:row>19</xdr:row>
      <xdr:rowOff>93662</xdr:rowOff>
    </xdr:to>
    <xdr:graphicFrame macro="">
      <xdr:nvGraphicFramePr>
        <xdr:cNvPr id="6" name="Chart 5">
          <a:extLst>
            <a:ext uri="{FF2B5EF4-FFF2-40B4-BE49-F238E27FC236}">
              <a16:creationId xmlns:a16="http://schemas.microsoft.com/office/drawing/2014/main" id="{08ECE3EA-5124-402C-AEE4-560092DE7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114300</xdr:colOff>
      <xdr:row>19</xdr:row>
      <xdr:rowOff>169861</xdr:rowOff>
    </xdr:from>
    <xdr:to>
      <xdr:col>27</xdr:col>
      <xdr:colOff>419100</xdr:colOff>
      <xdr:row>34</xdr:row>
      <xdr:rowOff>69850</xdr:rowOff>
    </xdr:to>
    <xdr:graphicFrame macro="">
      <xdr:nvGraphicFramePr>
        <xdr:cNvPr id="7" name="Chart 6">
          <a:extLst>
            <a:ext uri="{FF2B5EF4-FFF2-40B4-BE49-F238E27FC236}">
              <a16:creationId xmlns:a16="http://schemas.microsoft.com/office/drawing/2014/main" id="{8778188F-D622-445E-B4DC-6F6F84428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276225</xdr:colOff>
      <xdr:row>20</xdr:row>
      <xdr:rowOff>26987</xdr:rowOff>
    </xdr:from>
    <xdr:to>
      <xdr:col>19</xdr:col>
      <xdr:colOff>581025</xdr:colOff>
      <xdr:row>34</xdr:row>
      <xdr:rowOff>74612</xdr:rowOff>
    </xdr:to>
    <xdr:graphicFrame macro="">
      <xdr:nvGraphicFramePr>
        <xdr:cNvPr id="9" name="Chart 8">
          <a:extLst>
            <a:ext uri="{FF2B5EF4-FFF2-40B4-BE49-F238E27FC236}">
              <a16:creationId xmlns:a16="http://schemas.microsoft.com/office/drawing/2014/main" id="{804281C0-9708-44B5-A7CD-151F7E8CC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276225</xdr:colOff>
      <xdr:row>35</xdr:row>
      <xdr:rowOff>36512</xdr:rowOff>
    </xdr:from>
    <xdr:to>
      <xdr:col>19</xdr:col>
      <xdr:colOff>581025</xdr:colOff>
      <xdr:row>50</xdr:row>
      <xdr:rowOff>84137</xdr:rowOff>
    </xdr:to>
    <xdr:graphicFrame macro="">
      <xdr:nvGraphicFramePr>
        <xdr:cNvPr id="10" name="Chart 9">
          <a:extLst>
            <a:ext uri="{FF2B5EF4-FFF2-40B4-BE49-F238E27FC236}">
              <a16:creationId xmlns:a16="http://schemas.microsoft.com/office/drawing/2014/main" id="{1056363D-4098-4408-8CCD-9804BE2F8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114300</xdr:colOff>
      <xdr:row>35</xdr:row>
      <xdr:rowOff>46036</xdr:rowOff>
    </xdr:from>
    <xdr:to>
      <xdr:col>27</xdr:col>
      <xdr:colOff>419100</xdr:colOff>
      <xdr:row>50</xdr:row>
      <xdr:rowOff>136525</xdr:rowOff>
    </xdr:to>
    <xdr:graphicFrame macro="">
      <xdr:nvGraphicFramePr>
        <xdr:cNvPr id="11" name="Chart 10">
          <a:extLst>
            <a:ext uri="{FF2B5EF4-FFF2-40B4-BE49-F238E27FC236}">
              <a16:creationId xmlns:a16="http://schemas.microsoft.com/office/drawing/2014/main" id="{271EC4EE-CDF5-48BF-8A35-57F0425FB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166687</xdr:colOff>
      <xdr:row>51</xdr:row>
      <xdr:rowOff>4762</xdr:rowOff>
    </xdr:from>
    <xdr:to>
      <xdr:col>19</xdr:col>
      <xdr:colOff>471487</xdr:colOff>
      <xdr:row>69</xdr:row>
      <xdr:rowOff>74612</xdr:rowOff>
    </xdr:to>
    <xdr:graphicFrame macro="">
      <xdr:nvGraphicFramePr>
        <xdr:cNvPr id="12" name="Chart 11">
          <a:extLst>
            <a:ext uri="{FF2B5EF4-FFF2-40B4-BE49-F238E27FC236}">
              <a16:creationId xmlns:a16="http://schemas.microsoft.com/office/drawing/2014/main" id="{C547334F-9AEF-4F7A-83EC-44D7A2E2A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166687</xdr:colOff>
      <xdr:row>69</xdr:row>
      <xdr:rowOff>160337</xdr:rowOff>
    </xdr:from>
    <xdr:to>
      <xdr:col>19</xdr:col>
      <xdr:colOff>471487</xdr:colOff>
      <xdr:row>86</xdr:row>
      <xdr:rowOff>46037</xdr:rowOff>
    </xdr:to>
    <xdr:graphicFrame macro="">
      <xdr:nvGraphicFramePr>
        <xdr:cNvPr id="13" name="Chart 12">
          <a:extLst>
            <a:ext uri="{FF2B5EF4-FFF2-40B4-BE49-F238E27FC236}">
              <a16:creationId xmlns:a16="http://schemas.microsoft.com/office/drawing/2014/main" id="{0AF30643-5A28-466B-99E5-2032AAB59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Dan Berring" id="{DBBF47AC-0FCD-474D-85AD-2F275070BAF1}" userId="S::dberring@catrockcap.com::0657c977-a13c-4668-bf06-1540a84f18b4"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47" dT="2022-02-03T12:01:20.48" personId="{DBBF47AC-0FCD-474D-85AD-2F275070BAF1}" id="{4D7AC64F-7FEA-40D5-81B0-D32F0C0AA9ED}">
    <text>USD5.5M of brand investment</text>
  </threadedComment>
  <threadedComment ref="G54" dT="2022-02-03T03:25:16.40" personId="{DBBF47AC-0FCD-474D-85AD-2F275070BAF1}" id="{ECC3B24A-0A8A-4A2C-8306-39419631CB6D}">
    <text>16.1% margin excl. brand investment</text>
  </threadedComment>
  <threadedComment ref="L120" dT="2024-04-12T14:56:55.83" personId="{DBBF47AC-0FCD-474D-85AD-2F275070BAF1}" id="{20FE19FE-D11D-4C04-828D-5AF25AAB4AEC}">
    <text>Barrenjoey feedback of capex being &lt;A$4m in Q3 with lower expectations for Q4</text>
  </threadedComment>
  <threadedComment ref="L120" dT="2024-06-28T12:31:39.41" personId="{DBBF47AC-0FCD-474D-85AD-2F275070BAF1}" id="{8B20119B-0482-4190-8D60-614FCD944A4B}" parentId="{20FE19FE-D11D-4C04-828D-5AF25AAB4AEC}">
    <text>CFO A$7-8M 27 June 2024</text>
  </threadedComment>
</ThreadedComments>
</file>

<file path=xl/threadedComments/threadedComment2.xml><?xml version="1.0" encoding="utf-8"?>
<ThreadedComments xmlns="http://schemas.microsoft.com/office/spreadsheetml/2018/threadedcomments" xmlns:x="http://schemas.openxmlformats.org/spreadsheetml/2006/main">
  <threadedComment ref="X78" dT="2024-06-28T14:38:53.22" personId="{DBBF47AC-0FCD-474D-85AD-2F275070BAF1}" id="{794FDB4D-39EA-4CCA-AB02-EA9A50654308}">
    <text>CFO: "The delivered margin was lower YoY – a couple of percentage points lower"</text>
  </threadedComment>
  <threadedComment ref="Z78" dT="2024-06-28T14:37:20.27" personId="{DBBF47AC-0FCD-474D-85AD-2F275070BAF1}" id="{985BF077-658A-435E-ABFF-5FF9C8950DE4}">
    <text>"greater than 20%"</text>
  </threadedComment>
  <threadedComment ref="Z78" dT="2024-06-28T14:55:31.56" personId="{DBBF47AC-0FCD-474D-85AD-2F275070BAF1}" id="{42D97B28-C617-4DE9-82AC-6C216E60AAC4}" parentId="{985BF077-658A-435E-ABFF-5FF9C8950DE4}">
    <text>CFO: "Last year we were probably high teens in delivered margins and this
quarter was slightly above 20%"</text>
  </threadedComment>
  <threadedComment ref="AA78" dT="2024-06-27T14:10:04.13" personId="{DBBF47AC-0FCD-474D-85AD-2F275070BAF1}" id="{FE65CE34-C44A-4503-8CD2-A24C32B6F91F}">
    <text>Barrenjoey call feedback; 11% marketing spend</text>
  </threadedComment>
  <threadedComment ref="U86" dT="2024-06-28T14:45:55.84" personId="{DBBF47AC-0FCD-474D-85AD-2F275070BAF1}" id="{E838C4F6-D63B-480B-95F5-E60DA8E7DC33}">
    <text>CFO: I don’t know that margins will be higher this year vs. last year because
marketng last year (Q2 23) was ~8% and we probably underinvested
1Q24: "but we
were probably inves􀆟ng in the 7%s…so pre􀆩y skinny…so if we’re inves􀆟ng in the top of the
8-10% range than it’s reasonable we can invest at a higher rate"</text>
  </threadedComment>
  <threadedComment ref="X86" dT="2024-06-28T14:45:55.84" personId="{DBBF47AC-0FCD-474D-85AD-2F275070BAF1}" id="{21ECD603-6925-433B-8360-AB5565295CB3}">
    <text xml:space="preserve">
1Q24: "but we
were probably inves􀆟ng in the 7%s…so pre􀆩y skinny…so if we’re inves􀆟ng in the top of the
8-10% range than it’s reasonable we can invest at a higher rate"</text>
  </threadedComment>
  <threadedComment ref="Y86" dT="2024-06-28T19:26:09.95" personId="{DBBF47AC-0FCD-474D-85AD-2F275070BAF1}" id="{E155BAD5-72D1-469C-A3C0-0EBB3F0743A4}">
    <text>(Oct 20223): In 2Q last year, the business had to demonstrate to external stakeholders that they could generate profits, so there
was some optimization and they may have been too conservative on marketing optimization. In the period-to-date
this year, they’ve been investing high single digits in marketing, and probably trending towards the top end</text>
  </threadedComment>
  <threadedComment ref="Z86" dT="2024-06-28T14:45:55.84" personId="{DBBF47AC-0FCD-474D-85AD-2F275070BAF1}" id="{1336BB9C-F2F3-4691-8256-A7C72F15A04E}">
    <text>CFO: But it’s lower marketing spend last year; In Q3 we nudged LDD but you could round it down to 10%..</text>
  </threadedComment>
</ThreadedComments>
</file>

<file path=xl/threadedComments/threadedComment3.xml><?xml version="1.0" encoding="utf-8"?>
<ThreadedComments xmlns="http://schemas.microsoft.com/office/spreadsheetml/2018/threadedcomments" xmlns:x="http://schemas.openxmlformats.org/spreadsheetml/2006/main">
  <threadedComment ref="AJ5" dT="2022-01-03T18:07:17.60" personId="{DBBF47AC-0FCD-474D-85AD-2F275070BAF1}" id="{25E1110D-7384-4D3F-B21B-D5B449777904}">
    <text>PF from prospectus</text>
  </threadedComment>
  <threadedComment ref="AK5" dT="2022-01-03T18:07:17.60" personId="{DBBF47AC-0FCD-474D-85AD-2F275070BAF1}" id="{3BEC0A79-E428-4025-A761-98EA78D48783}">
    <text>PF from prospectus</text>
  </threadedComment>
  <threadedComment ref="AL5" dT="2022-01-03T18:07:17.60" personId="{DBBF47AC-0FCD-474D-85AD-2F275070BAF1}" id="{4F4434B3-6228-4C59-904E-2DD0940A7A8A}">
    <text>PF from prospectus</text>
  </threadedComment>
  <threadedComment ref="AD14" dT="2023-02-06T22:46:32.42" personId="{DBBF47AC-0FCD-474D-85AD-2F275070BAF1}" id="{7796E023-1597-48CF-8D33-94B808115D78}">
    <text>Won't sum to 1H given different FX conversions</text>
  </threadedComment>
  <threadedComment ref="AE14" dT="2023-02-06T22:46:32.42" personId="{DBBF47AC-0FCD-474D-85AD-2F275070BAF1}" id="{C1047E09-1E00-4EB6-8AC2-092816AC1363}">
    <text>Won't sum to 1H given different FX conversions</text>
  </threadedComment>
  <threadedComment ref="AF14" dT="2023-02-06T22:46:32.42" personId="{DBBF47AC-0FCD-474D-85AD-2F275070BAF1}" id="{5C813560-F04E-44CC-9132-CB26290622DA}">
    <text>Won't sum to 1H given different FX conversions</text>
  </threadedComment>
  <threadedComment ref="AG14" dT="2023-02-06T22:46:32.42" personId="{DBBF47AC-0FCD-474D-85AD-2F275070BAF1}" id="{28FC65CE-94C2-4AD9-85E3-766A7B42A105}">
    <text>Won't sum to 1H given different FX conversions</text>
  </threadedComment>
  <threadedComment ref="AD16" dT="2023-02-06T22:46:32.42" personId="{DBBF47AC-0FCD-474D-85AD-2F275070BAF1}" id="{3C4767A2-F7A8-49AB-99FA-75CB7B12C831}">
    <text>Won't sum to 1H given different FX conversions</text>
  </threadedComment>
  <threadedComment ref="AE16" dT="2023-02-06T22:46:32.42" personId="{DBBF47AC-0FCD-474D-85AD-2F275070BAF1}" id="{A0854156-CE1A-4BD0-B450-EC404A2282DF}">
    <text>Won't sum to 1H given different FX conversions</text>
  </threadedComment>
  <threadedComment ref="AF16" dT="2023-02-06T22:46:32.42" personId="{DBBF47AC-0FCD-474D-85AD-2F275070BAF1}" id="{97AA680C-D1C3-4B09-B6A1-026CF302B73E}">
    <text>Won't sum to 1H given different FX conversions</text>
  </threadedComment>
  <threadedComment ref="AG16" dT="2023-02-06T22:46:32.42" personId="{DBBF47AC-0FCD-474D-85AD-2F275070BAF1}" id="{14905FE1-C44F-405A-9C0A-D4A5085B34EC}">
    <text>Won't sum to 1H given different FX conversions</text>
  </threadedComment>
  <threadedComment ref="AD17" dT="2023-02-06T22:46:32.42" personId="{DBBF47AC-0FCD-474D-85AD-2F275070BAF1}" id="{AEE8D4D8-7BBA-49AF-A7E2-D62D9ADD5BA6}">
    <text>Won't sum to 1H given different FX conversions</text>
  </threadedComment>
  <threadedComment ref="AF17" dT="2023-02-06T22:46:32.42" personId="{DBBF47AC-0FCD-474D-85AD-2F275070BAF1}" id="{1F3B845C-49C1-45C9-A67C-6B6B3D7E1F41}">
    <text>Won't sum to 1H given different FX conversions</text>
  </threadedComment>
  <threadedComment ref="O37" dT="2023-02-06T22:46:32.42" personId="{DBBF47AC-0FCD-474D-85AD-2F275070BAF1}" id="{7C58C51C-F20C-4ED0-AAAA-C880C6545621}">
    <text>Won't sum to 1H given different FX conversions</text>
  </threadedComment>
  <threadedComment ref="N67" dT="2023-02-06T22:46:32.42" personId="{DBBF47AC-0FCD-474D-85AD-2F275070BAF1}" id="{04BF9E58-340D-430B-9ACE-ACD38B69CC9D}">
    <text>Won't sum to 1H given different FX conversions</text>
  </threadedComment>
  <threadedComment ref="O67" dT="2023-02-06T22:46:32.42" personId="{DBBF47AC-0FCD-474D-85AD-2F275070BAF1}" id="{3BDB9676-1D7C-4297-86C0-C1D51F255E79}">
    <text>Won't sum to 1H given different FX conversions</text>
  </threadedComment>
  <threadedComment ref="R67" dT="2023-02-06T22:46:32.42" personId="{DBBF47AC-0FCD-474D-85AD-2F275070BAF1}" id="{BB003559-961A-4E22-9685-AD481C0D2D51}">
    <text>Won't sum to 1H given different FX conversions</text>
  </threadedComment>
  <threadedComment ref="AD67" dT="2023-02-06T22:46:32.42" personId="{DBBF47AC-0FCD-474D-85AD-2F275070BAF1}" id="{605089CF-ADE1-4529-9816-D108E8E1FB90}">
    <text>Won't sum to 1H given different FX conversions</text>
  </threadedComment>
  <threadedComment ref="AF67" dT="2023-02-06T22:46:32.42" personId="{DBBF47AC-0FCD-474D-85AD-2F275070BAF1}" id="{65C9DD23-F02F-4B2C-AF85-5B86B76D434B}">
    <text>Won't sum to 1H given different FX conversions</text>
  </threadedComment>
  <threadedComment ref="AG67" dT="2023-02-06T22:46:32.42" personId="{DBBF47AC-0FCD-474D-85AD-2F275070BAF1}" id="{D1938C11-95D9-4BD9-A9B0-650DF553F05F}">
    <text>Won't sum to 2H given different FX conversions</text>
  </threadedComment>
  <threadedComment ref="P69" dT="2024-04-12T18:05:19.48" personId="{DBBF47AC-0FCD-474D-85AD-2F275070BAF1}" id="{A0F2DFD3-D9C0-4E76-B9DB-5ECAE3BB13D8}">
    <text xml:space="preserve">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ext>
  </threadedComment>
  <threadedComment ref="Q69" dT="2024-04-12T18:05:19.48" personId="{DBBF47AC-0FCD-474D-85AD-2F275070BAF1}" id="{16139596-A823-4ACB-9E67-E6FD09E83508}">
    <text xml:space="preserve">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ext>
  </threadedComment>
  <threadedComment ref="O116" dT="2023-02-06T22:46:32.42" personId="{DBBF47AC-0FCD-474D-85AD-2F275070BAF1}" id="{EF8ADE41-E5EC-42E5-9A2B-93B48CCB2AAE}">
    <text>Won't sum to 1H given different FX conversions</text>
  </threadedComment>
  <threadedComment ref="AD116" dT="2023-02-06T22:46:32.42" personId="{DBBF47AC-0FCD-474D-85AD-2F275070BAF1}" id="{E10E3BCD-75BE-45E2-B7E8-C8836E1138AF}">
    <text>Won't sum to 1H given different FX conversions</text>
  </threadedComment>
  <threadedComment ref="O142" dT="2023-02-07T20:12:18.65" personId="{DBBF47AC-0FCD-474D-85AD-2F275070BAF1}" id="{12E0939E-BC0F-42B9-87D6-896DF581E2D9}">
    <text>Looks like a typo (too low) in the presentation as the bar goes up but value is the same</text>
  </threadedComment>
  <threadedComment ref="AD142" dT="2023-02-07T20:12:18.65" personId="{DBBF47AC-0FCD-474D-85AD-2F275070BAF1}" id="{F8CDB34B-2D33-413A-BED7-A05DBAF36831}">
    <text>Looks like a typo (too low) in the presentation as the bar goes up but value is the same</text>
  </threadedComment>
  <threadedComment ref="AJ228" dT="2024-04-03T13:54:00.47" personId="{DBBF47AC-0FCD-474D-85AD-2F275070BAF1}" id="{6620D10C-A506-45CF-B592-3477E8599EC4}">
    <text>Pro Forma from prospectus</text>
  </threadedComment>
  <threadedComment ref="AK228" dT="2024-04-03T13:54:00.47" personId="{DBBF47AC-0FCD-474D-85AD-2F275070BAF1}" id="{0E351B15-C5E0-4D3D-9BF3-3387258F34EF}">
    <text>Pro Forma from prospectus</text>
  </threadedComment>
  <threadedComment ref="AJ232" dT="2024-04-03T13:54:00.47" personId="{DBBF47AC-0FCD-474D-85AD-2F275070BAF1}" id="{F513DAB4-3A41-45E2-80AF-082D942A5AE6}">
    <text>Pro Forma from prospectus</text>
  </threadedComment>
  <threadedComment ref="AK232" dT="2024-04-03T13:54:00.47" personId="{DBBF47AC-0FCD-474D-85AD-2F275070BAF1}" id="{CA970B0A-45A9-4D07-8D56-9767D98ABD07}">
    <text>Pro Forma from prospectus</text>
  </threadedComment>
  <threadedComment ref="AJ240" dT="2024-04-03T13:54:00.47" personId="{DBBF47AC-0FCD-474D-85AD-2F275070BAF1}" id="{4D28925A-41F4-4EB0-83B4-E0195EEA3BA0}">
    <text>Pro Forma from prospectus</text>
  </threadedComment>
  <threadedComment ref="AK240" dT="2024-04-03T13:54:00.47" personId="{DBBF47AC-0FCD-474D-85AD-2F275070BAF1}" id="{76999EEB-9B55-4FF2-9FA7-3C8096555B33}">
    <text>Pro Forma from prospectus</text>
  </threadedComment>
  <threadedComment ref="AL266" dT="2024-04-03T14:14:17.95" personId="{DBBF47AC-0FCD-474D-85AD-2F275070BAF1}" id="{649BEA1C-96E0-4D4B-BB0E-ECDFD469B622}">
    <text>FX conversion to tie with summing the half yearly converted values</text>
  </threadedComment>
  <threadedComment ref="AM266" dT="2024-04-03T14:14:17.95" personId="{DBBF47AC-0FCD-474D-85AD-2F275070BAF1}" id="{0111485D-957A-4F07-9506-4741CE1DCE4E}">
    <text>FX conversion to tie with summing the half yearly converted values</text>
  </threadedComment>
  <threadedComment ref="AN266" dT="2024-04-03T14:14:17.95" personId="{DBBF47AC-0FCD-474D-85AD-2F275070BAF1}" id="{CF03CF51-568A-4434-B8ED-73E52F687DA7}">
    <text>FX conversion to tie with summing the half yearly converted values</text>
  </threadedComment>
  <threadedComment ref="AO266" dT="2024-04-03T14:14:17.95" personId="{DBBF47AC-0FCD-474D-85AD-2F275070BAF1}" id="{43FB4081-06E4-4AFD-B6D8-67DAE03090F0}">
    <text>FX conversion to tie with summing the half yearly converted values</text>
  </threadedComment>
</ThreadedComments>
</file>

<file path=xl/threadedComments/threadedComment4.xml><?xml version="1.0" encoding="utf-8"?>
<ThreadedComments xmlns="http://schemas.microsoft.com/office/spreadsheetml/2018/threadedcomments" xmlns:x="http://schemas.openxmlformats.org/spreadsheetml/2006/main">
  <threadedComment ref="G47" dT="2022-02-03T12:00:15.48" personId="{DBBF47AC-0FCD-474D-85AD-2F275070BAF1}" id="{113A1009-DD06-406A-822C-ADB0C4E774D1}">
    <text>7.5M of brand investment</text>
  </threadedComment>
  <threadedComment ref="G54" dT="2022-02-03T03:25:16.40" personId="{DBBF47AC-0FCD-474D-85AD-2F275070BAF1}" id="{8925B5B0-AC0F-43B0-9D2F-1C03159C73B3}">
    <text>16.1% margin excl. brand investment</text>
  </threadedComment>
  <threadedComment ref="A60" dT="2024-02-07T19:17:11.57" personId="{DBBF47AC-0FCD-474D-85AD-2F275070BAF1}" id="{97279F00-BEDD-4EF9-9555-B223C10DD364}">
    <text>Excludes FX gains / losses from G&amp;A</text>
  </threadedComment>
  <threadedComment ref="L120" dT="2024-04-12T14:56:55.83" personId="{DBBF47AC-0FCD-474D-85AD-2F275070BAF1}" id="{7E5D5377-AF52-4127-914F-84475CDFCC84}">
    <text>Barrenjoey feedback of capex being &lt;A$4m in Q3 with lower expectations for Q4</text>
  </threadedComment>
  <threadedComment ref="L120" dT="2024-06-27T15:14:22.29" personId="{DBBF47AC-0FCD-474D-85AD-2F275070BAF1}" id="{DE341511-C833-4C36-A60E-92A457BFB3AC}" parentId="{7E5D5377-AF52-4127-914F-84475CDFCC84}">
    <text>June 27 Barrenjoey feeback of less than A$9m for 2H</text>
  </threadedComment>
</ThreadedComments>
</file>

<file path=xl/threadedComments/threadedComment5.xml><?xml version="1.0" encoding="utf-8"?>
<ThreadedComments xmlns="http://schemas.microsoft.com/office/spreadsheetml/2018/threadedcomments" xmlns:x="http://schemas.openxmlformats.org/spreadsheetml/2006/main">
  <threadedComment ref="P69" dT="2024-04-12T18:05:19.48" personId="{DBBF47AC-0FCD-474D-85AD-2F275070BAF1}" id="{0A26B707-3056-4E74-A59A-21610AAE8BCB}">
    <text xml:space="preserve">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ext>
  </threadedComment>
  <threadedComment ref="Q69" dT="2024-04-12T18:05:19.48" personId="{DBBF47AC-0FCD-474D-85AD-2F275070BAF1}" id="{0ECDD771-0C94-49E2-B912-71D70AC45764}">
    <text xml:space="preserve">BP analyst - 4/11/24 - It is on the basis of discussions with management post today’s update. Management confirmed that margins are up on pcp for 3Q.
As per management, although the first 4 months of 2H23 (Jan-Apr) was a ~5% margin, the 3Q24 margins of 3.1% which are up on pcp imply that last year April alone was close to $4m in EBITDA at a ~10% margin.
They are aiming for mid-7% margins for 4Q24 (vs 7.5% in the pcp) and reiterating 6-7% for FY24e.
Happy to chat further including some other feedback if keen.
</text>
  </threadedComment>
  <threadedComment ref="O142" dT="2023-02-07T20:12:18.65" personId="{DBBF47AC-0FCD-474D-85AD-2F275070BAF1}" id="{03276EB4-6EBC-4FBF-BA11-8C9E728CDFBA}">
    <text>Looks like a typo (too low) in the presentation as the bar goes up but value is the same</text>
  </threadedComment>
  <threadedComment ref="AD142" dT="2023-02-07T20:12:18.65" personId="{DBBF47AC-0FCD-474D-85AD-2F275070BAF1}" id="{B582B6C9-66DD-4D63-A7EE-F3B8131415BD}">
    <text>Looks like a typo (too low) in the presentation as the bar goes up but value is the same</text>
  </threadedComment>
  <threadedComment ref="AJ228" dT="2024-04-03T13:54:00.47" personId="{DBBF47AC-0FCD-474D-85AD-2F275070BAF1}" id="{47F1D9A5-0427-4AED-9D5B-E16AEE994C90}">
    <text>Pro Forma from prospectus</text>
  </threadedComment>
  <threadedComment ref="AK228" dT="2024-04-03T13:54:00.47" personId="{DBBF47AC-0FCD-474D-85AD-2F275070BAF1}" id="{F37EFB92-2EA7-4D61-91B9-AFED966A4527}">
    <text>Pro Forma from prospectus</text>
  </threadedComment>
  <threadedComment ref="AJ232" dT="2024-04-03T13:54:00.47" personId="{DBBF47AC-0FCD-474D-85AD-2F275070BAF1}" id="{993206F3-7DAD-44BD-8A9E-006D1F18F586}">
    <text>Pro Forma from prospectus</text>
  </threadedComment>
  <threadedComment ref="AK232" dT="2024-04-03T13:54:00.47" personId="{DBBF47AC-0FCD-474D-85AD-2F275070BAF1}" id="{B9F8947D-03E3-4DB5-9CB4-7004EB630BE1}">
    <text>Pro Forma from prospectus</text>
  </threadedComment>
  <threadedComment ref="AJ240" dT="2024-04-03T13:54:00.47" personId="{DBBF47AC-0FCD-474D-85AD-2F275070BAF1}" id="{C1C03BB8-68D4-4248-AC4F-8BE7663A52DE}">
    <text>Pro Forma from prospectus</text>
  </threadedComment>
  <threadedComment ref="AK240" dT="2024-04-03T13:54:00.47" personId="{DBBF47AC-0FCD-474D-85AD-2F275070BAF1}" id="{6163AC40-7826-460E-958F-054DF624A378}">
    <text>Pro Forma from prospectus</text>
  </threadedComment>
</ThreadedComments>
</file>

<file path=xl/threadedComments/threadedComment6.xml><?xml version="1.0" encoding="utf-8"?>
<ThreadedComments xmlns="http://schemas.microsoft.com/office/spreadsheetml/2018/threadedcomments" xmlns:x="http://schemas.openxmlformats.org/spreadsheetml/2006/main">
  <threadedComment ref="E21" dT="2023-06-21T15:53:26.14" personId="{DBBF47AC-0FCD-474D-85AD-2F275070BAF1}" id="{ACD92859-F76F-4730-90F7-A06388E3AFA8}">
    <text>"Similar zip code"</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5-21T19:58:53.60" personId="{DBBF47AC-0FCD-474D-85AD-2F275070BAF1}" id="{BD87DBA6-B5A0-45EC-A535-A9441E384AEB}">
    <text>Fees for payment services</text>
  </threadedComment>
</ThreadedComments>
</file>

<file path=xl/threadedComments/threadedComment8.xml><?xml version="1.0" encoding="utf-8"?>
<ThreadedComments xmlns="http://schemas.microsoft.com/office/spreadsheetml/2018/threadedcomments" xmlns:x="http://schemas.openxmlformats.org/spreadsheetml/2006/main">
  <threadedComment ref="C20" dT="2024-10-07T19:39:15.33" personId="{DBBF47AC-0FCD-474D-85AD-2F275070BAF1}" id="{7EB5ECB1-00A3-4CBD-92DF-4F2F267617BB}">
    <text>Done to tie CFR FY22 disclosure to FTCH USD conversion</text>
  </threadedComment>
  <threadedComment ref="E20" dT="2024-10-07T19:39:31.53" personId="{DBBF47AC-0FCD-474D-85AD-2F275070BAF1}" id="{3C70DAE0-B077-4B7A-8AEA-6580AB057529}">
    <text>As of 7 October 2024 MYTE deal date</text>
  </threadedComment>
</ThreadedComments>
</file>

<file path=xl/threadedComments/threadedComment9.xml><?xml version="1.0" encoding="utf-8"?>
<ThreadedComments xmlns="http://schemas.microsoft.com/office/spreadsheetml/2018/threadedcomments" xmlns:x="http://schemas.openxmlformats.org/spreadsheetml/2006/main">
  <threadedComment ref="A19" dT="2021-12-01T14:27:39.76" personId="{DBBF47AC-0FCD-474D-85AD-2F275070BAF1}" id="{E00DBF61-B11A-4C4F-8686-64B1F4C972C6}">
    <text>"unique website visits"</text>
  </threadedComment>
  <threadedComment ref="A27" dT="2021-12-01T14:27:39.76" personId="{DBBF47AC-0FCD-474D-85AD-2F275070BAF1}" id="{7EB7265F-2848-4171-A262-5B0FE453FAA8}">
    <text>"unique website visits"</text>
  </threadedComment>
  <threadedComment ref="A30" dT="2021-12-01T14:27:39.76" personId="{DBBF47AC-0FCD-474D-85AD-2F275070BAF1}" id="{B8EA6133-8E50-415C-BC45-D78D4FEA71C4}">
    <text>"unique website visits"</text>
  </threadedComment>
  <threadedComment ref="A33" dT="2021-12-01T14:27:39.76" personId="{DBBF47AC-0FCD-474D-85AD-2F275070BAF1}" id="{07556A2A-41D8-48EF-B08A-D83CB612C157}">
    <text>"unique website visits"</text>
  </threadedComment>
  <threadedComment ref="A36" dT="2021-12-01T14:27:39.76" personId="{DBBF47AC-0FCD-474D-85AD-2F275070BAF1}" id="{3F84442E-833B-43C7-B47F-145AABD09890}">
    <text>"unique website visits"</text>
  </threadedComment>
  <threadedComment ref="A39" dT="2021-12-01T14:27:39.76" personId="{DBBF47AC-0FCD-474D-85AD-2F275070BAF1}" id="{26E9C692-010D-4F81-8ACF-9834D6E3840F}">
    <text>"unique website visits"</text>
  </threadedComment>
  <threadedComment ref="A48" dT="2021-12-01T14:27:39.76" personId="{DBBF47AC-0FCD-474D-85AD-2F275070BAF1}" id="{13F15FE2-C561-4C6C-8D1B-9CB1E0DC37BA}">
    <text>"unique website visits"</text>
  </threadedComment>
  <threadedComment ref="A51" dT="2021-12-01T14:27:39.76" personId="{DBBF47AC-0FCD-474D-85AD-2F275070BAF1}" id="{95B2330A-EFBD-4438-B49D-E952F6BD2ECE}">
    <text>"unique website visits"</text>
  </threadedComment>
  <threadedComment ref="A54" dT="2021-12-01T14:27:39.76" personId="{DBBF47AC-0FCD-474D-85AD-2F275070BAF1}" id="{79815362-197D-4F23-9597-9B253F05DB0C}">
    <text>"unique website visits"</text>
  </threadedComment>
  <threadedComment ref="A57" dT="2021-12-01T14:27:39.76" personId="{DBBF47AC-0FCD-474D-85AD-2F275070BAF1}" id="{6CDF47B9-B196-4C63-B9C7-C4AFC5F4458A}">
    <text>"unique website visits"</text>
  </threadedComment>
  <threadedComment ref="A60" dT="2021-12-01T14:27:39.76" personId="{DBBF47AC-0FCD-474D-85AD-2F275070BAF1}" id="{9CA8448B-E8DE-4C0C-A9BA-6788F82D3D5A}">
    <text>"unique website visits"</text>
  </threadedComment>
  <threadedComment ref="A91" dT="2021-12-01T14:27:39.76" personId="{DBBF47AC-0FCD-474D-85AD-2F275070BAF1}" id="{9607157B-A58D-44EA-A79F-7EBFB16924B0}">
    <text>"unique website visits"</text>
  </threadedComment>
  <threadedComment ref="N136" dT="2021-10-25T13:55:38.79" personId="{DBBF47AC-0FCD-474D-85AD-2F275070BAF1}" id="{75462F50-C01E-4862-B1A0-7A9CC9CC7BD1}">
    <text>1 item</text>
  </threadedComment>
  <threadedComment ref="L141" dT="2021-10-18T13:15:56.64" personId="{DBBF47AC-0FCD-474D-85AD-2F275070BAF1}" id="{368D3679-6180-4E91-922B-82282F6BC7EA}">
    <text>Add (41)</text>
  </threadedComment>
  <threadedComment ref="L176" dT="2021-10-18T13:16:07.81" personId="{DBBF47AC-0FCD-474D-85AD-2F275070BAF1}" id="{59E35930-4A98-460B-ACEC-1BB2D706292A}">
    <text>Add (44)</text>
  </threadedComment>
  <threadedComment ref="L193" dT="2021-10-18T13:16:22.93" personId="{DBBF47AC-0FCD-474D-85AD-2F275070BAF1}" id="{2CAF6454-1651-4651-B7CC-F8AC0DD851FC}">
    <text>Add (31)</text>
  </threadedComment>
  <threadedComment ref="N309" dT="2021-10-25T13:55:18.27" personId="{DBBF47AC-0FCD-474D-85AD-2F275070BAF1}" id="{79AF0F1F-54D6-4A74-AC15-F211D87D8193}">
    <text>7 items</text>
  </threadedComment>
  <threadedComment ref="L351" dT="2021-10-18T13:16:42.20" personId="{DBBF47AC-0FCD-474D-85AD-2F275070BAF1}" id="{29384258-299C-4C50-A67B-8BF8A0173176}">
    <text>Add (18)</text>
  </threadedComment>
  <threadedComment ref="N452" dT="2021-10-25T13:54:53.30" personId="{DBBF47AC-0FCD-474D-85AD-2F275070BAF1}" id="{A22A3302-194D-4263-8D47-210599C440C2}">
    <text>1 item</text>
  </threadedComment>
  <threadedComment ref="N467" dT="2021-10-25T13:54:30.60" personId="{DBBF47AC-0FCD-474D-85AD-2F275070BAF1}" id="{6EB6A159-9C6A-4E58-9075-C5407B56F3B8}">
    <text>3 pages of new items</text>
  </threadedComment>
  <threadedComment ref="N470" dT="2021-10-25T13:53:59.22" personId="{DBBF47AC-0FCD-474D-85AD-2F275070BAF1}" id="{C8EB5136-4A2D-4160-8599-914E7FAF0E01}">
    <text>7 items</text>
  </threadedComment>
  <threadedComment ref="L500" dT="2021-10-18T13:16:58.62" personId="{DBBF47AC-0FCD-474D-85AD-2F275070BAF1}" id="{0FD4F14C-0EF9-45DE-B994-76C37C6CA166}">
    <text>Add (93)</text>
  </threadedComment>
  <threadedComment ref="N523" dT="2021-10-25T13:53:27.95" personId="{DBBF47AC-0FCD-474D-85AD-2F275070BAF1}" id="{942368B5-B4C6-4B65-8CBF-97FCD0F2E33D}">
    <text>1 new item</text>
  </threadedComment>
  <threadedComment ref="N576" dT="2021-10-25T13:52:07.08" personId="{DBBF47AC-0FCD-474D-85AD-2F275070BAF1}" id="{41B491F3-E223-42D6-A387-C8A0EC3A84AE}">
    <text>1 new item</text>
  </threadedComment>
  <threadedComment ref="N580" dT="2021-10-25T13:53:16.05" personId="{DBBF47AC-0FCD-474D-85AD-2F275070BAF1}" id="{9BBF869A-80EA-4322-B460-C6E51B656FF0}">
    <text>5 pages of new items</text>
  </threadedComment>
  <threadedComment ref="L766" dT="2021-10-18T13:17:13.41" personId="{DBBF47AC-0FCD-474D-85AD-2F275070BAF1}" id="{A5757D7D-0E9C-4621-8CB2-F0EBBAFBA5F9}">
    <text>Add (10)</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8.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3"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drawing" Target="../drawings/drawing16.xm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printerSettings" Target="../printerSettings/printerSettings20.bin"/><Relationship Id="rId10"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827" Type="http://schemas.openxmlformats.org/officeDocument/2006/relationships/hyperlink" Target="https://www.cettire.com/collections/a-p-c" TargetMode="External"/><Relationship Id="rId3182" Type="http://schemas.openxmlformats.org/officeDocument/2006/relationships/hyperlink" Target="https://www.cettire.com/collections/diane-von-furstenberg" TargetMode="External"/><Relationship Id="rId4233" Type="http://schemas.openxmlformats.org/officeDocument/2006/relationships/hyperlink" Target="https://www.cettire.com/collections/agolde" TargetMode="External"/><Relationship Id="rId3999" Type="http://schemas.openxmlformats.org/officeDocument/2006/relationships/hyperlink" Target="https://www.cettire.com/collections/natasha-zinko" TargetMode="External"/><Relationship Id="rId4300" Type="http://schemas.openxmlformats.org/officeDocument/2006/relationships/hyperlink" Target="https://www.cettire.com/collections/botter" TargetMode="External"/><Relationship Id="rId170" Type="http://schemas.openxmlformats.org/officeDocument/2006/relationships/hyperlink" Target="https://www.cettire.com/collections/diesel-kids" TargetMode="External"/><Relationship Id="rId987" Type="http://schemas.openxmlformats.org/officeDocument/2006/relationships/hyperlink" Target="https://www.cettire.com/collections/moncler-genius" TargetMode="External"/><Relationship Id="rId2668" Type="http://schemas.openxmlformats.org/officeDocument/2006/relationships/hyperlink" Target="https://www.cettire.com/collections/gucci-eyewear" TargetMode="External"/><Relationship Id="rId3719" Type="http://schemas.openxmlformats.org/officeDocument/2006/relationships/hyperlink" Target="https://www.cettire.com/collections/chanel" TargetMode="External"/><Relationship Id="rId4090" Type="http://schemas.openxmlformats.org/officeDocument/2006/relationships/hyperlink" Target="https://www.cettire.com/collections/roger-vivier" TargetMode="External"/><Relationship Id="rId1684" Type="http://schemas.openxmlformats.org/officeDocument/2006/relationships/hyperlink" Target="https://www.cettire.com/collections/red-valentino" TargetMode="External"/><Relationship Id="rId2735" Type="http://schemas.openxmlformats.org/officeDocument/2006/relationships/hyperlink" Target="https://www.cettire.com/collections/le-bebe-enfant" TargetMode="External"/><Relationship Id="rId707" Type="http://schemas.openxmlformats.org/officeDocument/2006/relationships/hyperlink" Target="https://www.cettire.com/collections/burberry-kids" TargetMode="External"/><Relationship Id="rId1337" Type="http://schemas.openxmlformats.org/officeDocument/2006/relationships/hyperlink" Target="https://www.cettire.com/collections/chiara-ferragni" TargetMode="External"/><Relationship Id="rId1751" Type="http://schemas.openxmlformats.org/officeDocument/2006/relationships/hyperlink" Target="https://www.cettire.com/collections/telfar" TargetMode="External"/><Relationship Id="rId2802" Type="http://schemas.openxmlformats.org/officeDocument/2006/relationships/hyperlink" Target="https://www.cettire.com/collections/moncler-rick-owens" TargetMode="External"/><Relationship Id="rId43" Type="http://schemas.openxmlformats.org/officeDocument/2006/relationships/hyperlink" Target="https://www.cettire.com/collections/amina-muaddi" TargetMode="External"/><Relationship Id="rId1404" Type="http://schemas.openxmlformats.org/officeDocument/2006/relationships/hyperlink" Target="https://www.cettire.com/collections/emile-et-ida" TargetMode="External"/><Relationship Id="rId3576" Type="http://schemas.openxmlformats.org/officeDocument/2006/relationships/hyperlink" Target="https://www.cettire.com/collections/vivienne-westwood" TargetMode="External"/><Relationship Id="rId4627" Type="http://schemas.openxmlformats.org/officeDocument/2006/relationships/hyperlink" Target="https://www.cettire.com/collections/oakley" TargetMode="External"/><Relationship Id="rId497" Type="http://schemas.openxmlformats.org/officeDocument/2006/relationships/hyperlink" Target="https://www.cettire.com/collections/ruslan-baginskiy" TargetMode="External"/><Relationship Id="rId2178" Type="http://schemas.openxmlformats.org/officeDocument/2006/relationships/hyperlink" Target="https://www.cettire.com/collections/michael-kors" TargetMode="External"/><Relationship Id="rId3229" Type="http://schemas.openxmlformats.org/officeDocument/2006/relationships/hyperlink" Target="https://www.cettire.com/collections/fendi-eyewear" TargetMode="External"/><Relationship Id="rId3990" Type="http://schemas.openxmlformats.org/officeDocument/2006/relationships/hyperlink" Target="https://www.cettire.com/collections/msgm" TargetMode="External"/><Relationship Id="rId1194" Type="http://schemas.openxmlformats.org/officeDocument/2006/relationships/hyperlink" Target="https://www.cettire.com/collections/we11done" TargetMode="External"/><Relationship Id="rId2592" Type="http://schemas.openxmlformats.org/officeDocument/2006/relationships/hyperlink" Target="https://www.cettire.com/collections/diesel-kids" TargetMode="External"/><Relationship Id="rId3643" Type="http://schemas.openxmlformats.org/officeDocument/2006/relationships/hyperlink" Target="https://www.cettire.com/collections/ann-demeulemeester" TargetMode="External"/><Relationship Id="rId217" Type="http://schemas.openxmlformats.org/officeDocument/2006/relationships/hyperlink" Target="https://www.cettire.com/collections/feng-chen-wang" TargetMode="External"/><Relationship Id="rId564" Type="http://schemas.openxmlformats.org/officeDocument/2006/relationships/hyperlink" Target="https://www.cettire.com/collections/ugg" TargetMode="External"/><Relationship Id="rId2245" Type="http://schemas.openxmlformats.org/officeDocument/2006/relationships/hyperlink" Target="https://www.cettire.com/collections/palm-angels-kids" TargetMode="External"/><Relationship Id="rId3710" Type="http://schemas.openxmlformats.org/officeDocument/2006/relationships/hyperlink" Target="https://www.cettire.com/collections/carhartt" TargetMode="External"/><Relationship Id="rId631" Type="http://schemas.openxmlformats.org/officeDocument/2006/relationships/hyperlink" Target="https://www.cettire.com/collections/agnona" TargetMode="External"/><Relationship Id="rId1261" Type="http://schemas.openxmlformats.org/officeDocument/2006/relationships/hyperlink" Target="https://www.cettire.com/collections/antonino-valenti" TargetMode="External"/><Relationship Id="rId2312" Type="http://schemas.openxmlformats.org/officeDocument/2006/relationships/hyperlink" Target="https://www.cettire.com/collections/sacai" TargetMode="External"/><Relationship Id="rId4484" Type="http://schemas.openxmlformats.org/officeDocument/2006/relationships/hyperlink" Target="https://www.cettire.com/collections/issey-miyake-men" TargetMode="External"/><Relationship Id="rId3086" Type="http://schemas.openxmlformats.org/officeDocument/2006/relationships/hyperlink" Target="https://www.cettire.com/collections/arizona-love" TargetMode="External"/><Relationship Id="rId4137" Type="http://schemas.openxmlformats.org/officeDocument/2006/relationships/hyperlink" Target="https://www.cettire.com/collections/tagliatore" TargetMode="External"/><Relationship Id="rId4551" Type="http://schemas.openxmlformats.org/officeDocument/2006/relationships/hyperlink" Target="https://www.cettire.com/collections/marc-jacobs" TargetMode="External"/><Relationship Id="rId3153" Type="http://schemas.openxmlformats.org/officeDocument/2006/relationships/hyperlink" Target="https://www.cettire.com/collections/christian-louboutin" TargetMode="External"/><Relationship Id="rId4204" Type="http://schemas.openxmlformats.org/officeDocument/2006/relationships/hyperlink" Target="https://www.cettire.com/collections/zadig-voltaire" TargetMode="External"/><Relationship Id="rId141" Type="http://schemas.openxmlformats.org/officeDocument/2006/relationships/hyperlink" Target="https://www.cettire.com/collections/collina-strada" TargetMode="External"/><Relationship Id="rId3220" Type="http://schemas.openxmlformats.org/officeDocument/2006/relationships/hyperlink" Target="https://www.cettire.com/collections/eyevan-7285" TargetMode="External"/><Relationship Id="rId7" Type="http://schemas.openxmlformats.org/officeDocument/2006/relationships/hyperlink" Target="https://www.cettire.com/collections/mm-ilfig-r-kids" TargetMode="External"/><Relationship Id="rId2986" Type="http://schemas.openxmlformats.org/officeDocument/2006/relationships/hyperlink" Target="https://www.cettire.com/collections/twinset" TargetMode="External"/><Relationship Id="rId958" Type="http://schemas.openxmlformats.org/officeDocument/2006/relationships/hyperlink" Target="https://www.cettire.com/collections/mauna-kea" TargetMode="External"/><Relationship Id="rId1588" Type="http://schemas.openxmlformats.org/officeDocument/2006/relationships/hyperlink" Target="https://www.cettire.com/collections/moncler" TargetMode="External"/><Relationship Id="rId2639" Type="http://schemas.openxmlformats.org/officeDocument/2006/relationships/hyperlink" Target="https://www.cettire.com/collections/fendi-kids" TargetMode="External"/><Relationship Id="rId1655" Type="http://schemas.openxmlformats.org/officeDocument/2006/relationships/hyperlink" Target="https://www.cettire.com/collections/pierre-louis-mascia" TargetMode="External"/><Relationship Id="rId2706" Type="http://schemas.openxmlformats.org/officeDocument/2006/relationships/hyperlink" Target="https://www.cettire.com/collections/john-lobb" TargetMode="External"/><Relationship Id="rId4061" Type="http://schemas.openxmlformats.org/officeDocument/2006/relationships/hyperlink" Target="https://www.cettire.com/collections/r13" TargetMode="External"/><Relationship Id="rId1308" Type="http://schemas.openxmlformats.org/officeDocument/2006/relationships/hyperlink" Target="https://www.cettire.com/collections/brunello-cucinelli" TargetMode="External"/><Relationship Id="rId1722" Type="http://schemas.openxmlformats.org/officeDocument/2006/relationships/hyperlink" Target="https://www.cettire.com/collections/self-portrait" TargetMode="External"/><Relationship Id="rId14" Type="http://schemas.openxmlformats.org/officeDocument/2006/relationships/hyperlink" Target="https://www.cettire.com/collections/adidas-by-danielle-cathari" TargetMode="External"/><Relationship Id="rId3894" Type="http://schemas.openxmlformats.org/officeDocument/2006/relationships/hyperlink" Target="https://www.cettire.com/collections/kenzo-kids" TargetMode="External"/><Relationship Id="rId2496" Type="http://schemas.openxmlformats.org/officeDocument/2006/relationships/hyperlink" Target="https://www.cettire.com/collections/bao-bao-issey-miyake" TargetMode="External"/><Relationship Id="rId3547" Type="http://schemas.openxmlformats.org/officeDocument/2006/relationships/hyperlink" Target="https://www.cettire.com/collections/tory-burch" TargetMode="External"/><Relationship Id="rId3961" Type="http://schemas.openxmlformats.org/officeDocument/2006/relationships/hyperlink" Target="https://www.cettire.com/collections/michael-kors" TargetMode="External"/><Relationship Id="rId468" Type="http://schemas.openxmlformats.org/officeDocument/2006/relationships/hyperlink" Target="https://www.cettire.com/collections/ralph-lauren-kids" TargetMode="External"/><Relationship Id="rId882" Type="http://schemas.openxmlformats.org/officeDocument/2006/relationships/hyperlink" Target="https://www.cettire.com/collections/jacquemus" TargetMode="External"/><Relationship Id="rId1098" Type="http://schemas.openxmlformats.org/officeDocument/2006/relationships/hyperlink" Target="https://www.cettire.com/collections/rombaut" TargetMode="External"/><Relationship Id="rId2149" Type="http://schemas.openxmlformats.org/officeDocument/2006/relationships/hyperlink" Target="https://www.cettire.com/collections/malone-souliers" TargetMode="External"/><Relationship Id="rId2563" Type="http://schemas.openxmlformats.org/officeDocument/2006/relationships/hyperlink" Target="https://www.cettire.com/collections/comme-des-garcons" TargetMode="External"/><Relationship Id="rId3614" Type="http://schemas.openxmlformats.org/officeDocument/2006/relationships/hyperlink" Target="https://www.cettire.com/collections/adidas-kids" TargetMode="External"/><Relationship Id="rId535" Type="http://schemas.openxmlformats.org/officeDocument/2006/relationships/hyperlink" Target="https://www.cettire.com/collections/suicoke" TargetMode="External"/><Relationship Id="rId1165" Type="http://schemas.openxmlformats.org/officeDocument/2006/relationships/hyperlink" Target="https://www.cettire.com/collections/trippen" TargetMode="External"/><Relationship Id="rId2216" Type="http://schemas.openxmlformats.org/officeDocument/2006/relationships/hyperlink" Target="https://www.cettire.com/collections/natasha-zinko" TargetMode="External"/><Relationship Id="rId2630" Type="http://schemas.openxmlformats.org/officeDocument/2006/relationships/hyperlink" Target="https://www.cettire.com/collections/eytys" TargetMode="External"/><Relationship Id="rId602" Type="http://schemas.openxmlformats.org/officeDocument/2006/relationships/hyperlink" Target="https://www.cettire.com/collections/yves-salomon" TargetMode="External"/><Relationship Id="rId1232" Type="http://schemas.openxmlformats.org/officeDocument/2006/relationships/hyperlink" Target="https://www.cettire.com/collections/adidas-originals" TargetMode="External"/><Relationship Id="rId4388" Type="http://schemas.openxmlformats.org/officeDocument/2006/relationships/hyperlink" Target="https://www.cettire.com/collections/dr-martens" TargetMode="External"/><Relationship Id="rId3057" Type="http://schemas.openxmlformats.org/officeDocument/2006/relationships/hyperlink" Target="https://www.cettire.com/collections/agnona" TargetMode="External"/><Relationship Id="rId4108" Type="http://schemas.openxmlformats.org/officeDocument/2006/relationships/hyperlink" Target="https://www.cettire.com/collections/see-by-chloe" TargetMode="External"/><Relationship Id="rId4455" Type="http://schemas.openxmlformats.org/officeDocument/2006/relationships/hyperlink" Target="https://www.cettire.com/collections/gucci" TargetMode="External"/><Relationship Id="rId3471" Type="http://schemas.openxmlformats.org/officeDocument/2006/relationships/hyperlink" Target="https://www.cettire.com/collections/red-wing-shoes" TargetMode="External"/><Relationship Id="rId4522" Type="http://schemas.openxmlformats.org/officeDocument/2006/relationships/hyperlink" Target="https://www.cettire.com/collections/le%20beb%C3%A9%20enfant" TargetMode="External"/><Relationship Id="rId392" Type="http://schemas.openxmlformats.org/officeDocument/2006/relationships/hyperlink" Target="https://www.cettire.com/collections/moscot" TargetMode="External"/><Relationship Id="rId2073" Type="http://schemas.openxmlformats.org/officeDocument/2006/relationships/hyperlink" Target="https://www.cettire.com/collections/herschel-supply-co" TargetMode="External"/><Relationship Id="rId3124" Type="http://schemas.openxmlformats.org/officeDocument/2006/relationships/hyperlink" Target="https://www.cettire.com/collections/burberry-eyewear" TargetMode="External"/><Relationship Id="rId2140" Type="http://schemas.openxmlformats.org/officeDocument/2006/relationships/hyperlink" Target="https://www.cettire.com/collections/love-moschino" TargetMode="External"/><Relationship Id="rId112" Type="http://schemas.openxmlformats.org/officeDocument/2006/relationships/hyperlink" Target="https://www.cettire.com/collections/canada-goose" TargetMode="External"/><Relationship Id="rId2957" Type="http://schemas.openxmlformats.org/officeDocument/2006/relationships/hyperlink" Target="https://www.cettire.com/collections/studio-amelia" TargetMode="External"/><Relationship Id="rId929" Type="http://schemas.openxmlformats.org/officeDocument/2006/relationships/hyperlink" Target="https://www.cettire.com/collections/loulou-studio" TargetMode="External"/><Relationship Id="rId1559" Type="http://schemas.openxmlformats.org/officeDocument/2006/relationships/hyperlink" Target="https://www.cettire.com/collections/marquesalmeida" TargetMode="External"/><Relationship Id="rId1973" Type="http://schemas.openxmlformats.org/officeDocument/2006/relationships/hyperlink" Target="https://www.cettire.com/collections/craig-green" TargetMode="External"/><Relationship Id="rId4032" Type="http://schemas.openxmlformats.org/officeDocument/2006/relationships/hyperlink" Target="https://www.cettire.com/collections/paris-texas" TargetMode="External"/><Relationship Id="rId1626" Type="http://schemas.openxmlformats.org/officeDocument/2006/relationships/hyperlink" Target="https://www.cettire.com/collections/nudie-jeans" TargetMode="External"/><Relationship Id="rId3798" Type="http://schemas.openxmlformats.org/officeDocument/2006/relationships/hyperlink" Target="https://www.cettire.com/collections/etro" TargetMode="External"/><Relationship Id="rId3865" Type="http://schemas.openxmlformats.org/officeDocument/2006/relationships/hyperlink" Target="https://www.cettire.com/collections/isabel-marant" TargetMode="External"/><Relationship Id="rId786" Type="http://schemas.openxmlformats.org/officeDocument/2006/relationships/hyperlink" Target="https://www.cettire.com/collections/drole-de-monsieur" TargetMode="External"/><Relationship Id="rId2467" Type="http://schemas.openxmlformats.org/officeDocument/2006/relationships/hyperlink" Target="https://www.cettire.com/collections/amiri" TargetMode="External"/><Relationship Id="rId3518" Type="http://schemas.openxmlformats.org/officeDocument/2006/relationships/hyperlink" Target="https://www.cettire.com/collections/stella-mccartney-eyewear" TargetMode="External"/><Relationship Id="rId439" Type="http://schemas.openxmlformats.org/officeDocument/2006/relationships/hyperlink" Target="https://www.cettire.com/collections/philipp-plein" TargetMode="External"/><Relationship Id="rId1069" Type="http://schemas.openxmlformats.org/officeDocument/2006/relationships/hyperlink" Target="https://www.cettire.com/collections/raf-simons" TargetMode="External"/><Relationship Id="rId1483" Type="http://schemas.openxmlformats.org/officeDocument/2006/relationships/hyperlink" Target="https://www.cettire.com/collections/isabel-marant-etoile" TargetMode="External"/><Relationship Id="rId2881" Type="http://schemas.openxmlformats.org/officeDocument/2006/relationships/hyperlink" Target="https://www.cettire.com/collections/proenza-schouler" TargetMode="External"/><Relationship Id="rId3932" Type="http://schemas.openxmlformats.org/officeDocument/2006/relationships/hyperlink" Target="https://www.cettire.com/collections/manebi" TargetMode="External"/><Relationship Id="rId506" Type="http://schemas.openxmlformats.org/officeDocument/2006/relationships/hyperlink" Target="https://www.cettire.com/collections/salvatore-santoro" TargetMode="External"/><Relationship Id="rId853" Type="http://schemas.openxmlformats.org/officeDocument/2006/relationships/hyperlink" Target="https://www.cettire.com/collections/guidi" TargetMode="External"/><Relationship Id="rId1136" Type="http://schemas.openxmlformats.org/officeDocument/2006/relationships/hyperlink" Target="https://www.cettire.com/collections/stuart-weitzman" TargetMode="External"/><Relationship Id="rId2534" Type="http://schemas.openxmlformats.org/officeDocument/2006/relationships/hyperlink" Target="https://www.cettire.com/collections/canada-goose" TargetMode="External"/><Relationship Id="rId920" Type="http://schemas.openxmlformats.org/officeDocument/2006/relationships/hyperlink" Target="https://www.cettire.com/collections/lesca" TargetMode="External"/><Relationship Id="rId1550" Type="http://schemas.openxmlformats.org/officeDocument/2006/relationships/hyperlink" Target="https://www.cettire.com/collections/manu-atelier" TargetMode="External"/><Relationship Id="rId2601" Type="http://schemas.openxmlformats.org/officeDocument/2006/relationships/hyperlink" Target="https://www.cettire.com/collections/dolce-gabbana-eyewear" TargetMode="External"/><Relationship Id="rId1203" Type="http://schemas.openxmlformats.org/officeDocument/2006/relationships/hyperlink" Target="https://www.cettire.com/collections/ymc" TargetMode="External"/><Relationship Id="rId4359" Type="http://schemas.openxmlformats.org/officeDocument/2006/relationships/hyperlink" Target="https://www.cettire.com/collections/common-projects" TargetMode="External"/><Relationship Id="rId4773" Type="http://schemas.openxmlformats.org/officeDocument/2006/relationships/hyperlink" Target="https://www.cettire.com/collections/twinset-kids" TargetMode="External"/><Relationship Id="rId3375" Type="http://schemas.openxmlformats.org/officeDocument/2006/relationships/hyperlink" Target="https://www.cettire.com/collections/missoni-mare" TargetMode="External"/><Relationship Id="rId4426" Type="http://schemas.openxmlformats.org/officeDocument/2006/relationships/hyperlink" Target="https://www.cettire.com/collections/feng-chen-wang" TargetMode="External"/><Relationship Id="rId296" Type="http://schemas.openxmlformats.org/officeDocument/2006/relationships/hyperlink" Target="https://www.cettire.com/collections/kara" TargetMode="External"/><Relationship Id="rId2391" Type="http://schemas.openxmlformats.org/officeDocument/2006/relationships/hyperlink" Target="https://www.cettire.com/collections/veja" TargetMode="External"/><Relationship Id="rId3028" Type="http://schemas.openxmlformats.org/officeDocument/2006/relationships/hyperlink" Target="https://www.cettire.com/collections/z-zegna" TargetMode="External"/><Relationship Id="rId3442" Type="http://schemas.openxmlformats.org/officeDocument/2006/relationships/hyperlink" Target="https://www.cettire.com/collections/pierre-louis-mascia" TargetMode="External"/><Relationship Id="rId363" Type="http://schemas.openxmlformats.org/officeDocument/2006/relationships/hyperlink" Target="https://www.cettire.com/collections/mcm" TargetMode="External"/><Relationship Id="rId2044" Type="http://schemas.openxmlformats.org/officeDocument/2006/relationships/hyperlink" Target="https://www.cettire.com/collections/fucking-awesome" TargetMode="External"/><Relationship Id="rId430" Type="http://schemas.openxmlformats.org/officeDocument/2006/relationships/hyperlink" Target="https://www.cettire.com/collections/paco-rabanne" TargetMode="External"/><Relationship Id="rId1060" Type="http://schemas.openxmlformats.org/officeDocument/2006/relationships/hyperlink" Target="https://www.cettire.com/collections/pressure" TargetMode="External"/><Relationship Id="rId2111" Type="http://schemas.openxmlformats.org/officeDocument/2006/relationships/hyperlink" Target="https://www.cettire.com/collections/kara" TargetMode="External"/><Relationship Id="rId1877" Type="http://schemas.openxmlformats.org/officeDocument/2006/relationships/hyperlink" Target="https://www.cettire.com/collections/ash" TargetMode="External"/><Relationship Id="rId2928" Type="http://schemas.openxmlformats.org/officeDocument/2006/relationships/hyperlink" Target="https://www.cettire.com/collections/salvatore-ferragamo" TargetMode="External"/><Relationship Id="rId4283" Type="http://schemas.openxmlformats.org/officeDocument/2006/relationships/hyperlink" Target="https://www.cettire.com/collections/barbour" TargetMode="External"/><Relationship Id="rId1944" Type="http://schemas.openxmlformats.org/officeDocument/2006/relationships/hyperlink" Target="https://www.cettire.com/collections/chiara-ferragni-kids" TargetMode="External"/><Relationship Id="rId4350" Type="http://schemas.openxmlformats.org/officeDocument/2006/relationships/hyperlink" Target="https://www.cettire.com/collections/comme-des-garcons-comme-des-garcons" TargetMode="External"/><Relationship Id="rId4003" Type="http://schemas.openxmlformats.org/officeDocument/2006/relationships/hyperlink" Target="https://www.cettire.com/collections/neous" TargetMode="External"/><Relationship Id="rId3769" Type="http://schemas.openxmlformats.org/officeDocument/2006/relationships/hyperlink" Target="https://www.cettire.com/collections/dita-eyewear" TargetMode="External"/><Relationship Id="rId2785" Type="http://schemas.openxmlformats.org/officeDocument/2006/relationships/hyperlink" Target="https://www.cettire.com/collections/mcm" TargetMode="External"/><Relationship Id="rId3836" Type="http://schemas.openxmlformats.org/officeDocument/2006/relationships/hyperlink" Target="https://www.cettire.com/collections/golden-goose-deluxe-brand" TargetMode="External"/><Relationship Id="rId757" Type="http://schemas.openxmlformats.org/officeDocument/2006/relationships/hyperlink" Target="https://www.cettire.com/collections/converse" TargetMode="External"/><Relationship Id="rId1387" Type="http://schemas.openxmlformats.org/officeDocument/2006/relationships/hyperlink" Target="https://www.cettire.com/collections/dodo-bar-or" TargetMode="External"/><Relationship Id="rId2438" Type="http://schemas.openxmlformats.org/officeDocument/2006/relationships/hyperlink" Target="https://www.cettire.com/collections/adidas-by-human-made" TargetMode="External"/><Relationship Id="rId2852" Type="http://schemas.openxmlformats.org/officeDocument/2006/relationships/hyperlink" Target="https://www.cettire.com/collections/paccbet" TargetMode="External"/><Relationship Id="rId3903" Type="http://schemas.openxmlformats.org/officeDocument/2006/relationships/hyperlink" Target="https://www.cettire.com/collections/la-milanesa" TargetMode="External"/><Relationship Id="rId93" Type="http://schemas.openxmlformats.org/officeDocument/2006/relationships/hyperlink" Target="https://www.cettire.com/collections/botter" TargetMode="External"/><Relationship Id="rId824" Type="http://schemas.openxmlformats.org/officeDocument/2006/relationships/hyperlink" Target="https://www.cettire.com/collections/finamore-1925-napoli" TargetMode="External"/><Relationship Id="rId1454" Type="http://schemas.openxmlformats.org/officeDocument/2006/relationships/hyperlink" Target="https://www.cettire.com/collections/greg-lauren" TargetMode="External"/><Relationship Id="rId2505" Type="http://schemas.openxmlformats.org/officeDocument/2006/relationships/hyperlink" Target="https://www.cettire.com/collections/billieblush" TargetMode="External"/><Relationship Id="rId1107" Type="http://schemas.openxmlformats.org/officeDocument/2006/relationships/hyperlink" Target="https://www.cettire.com/collections/saloni" TargetMode="External"/><Relationship Id="rId1521" Type="http://schemas.openxmlformats.org/officeDocument/2006/relationships/hyperlink" Target="https://www.cettire.com/collections/lanvin-enfant" TargetMode="External"/><Relationship Id="rId4677" Type="http://schemas.openxmlformats.org/officeDocument/2006/relationships/hyperlink" Target="https://www.cettire.com/collections/ralph-lauren-kids" TargetMode="External"/><Relationship Id="rId3279" Type="http://schemas.openxmlformats.org/officeDocument/2006/relationships/hyperlink" Target="https://www.cettire.com/collections/isaia" TargetMode="External"/><Relationship Id="rId3693" Type="http://schemas.openxmlformats.org/officeDocument/2006/relationships/hyperlink" Target="https://www.cettire.com/collections/building-block" TargetMode="External"/><Relationship Id="rId2295" Type="http://schemas.openxmlformats.org/officeDocument/2006/relationships/hyperlink" Target="https://www.cettire.com/collections/represent" TargetMode="External"/><Relationship Id="rId3346" Type="http://schemas.openxmlformats.org/officeDocument/2006/relationships/hyperlink" Target="https://www.cettire.com/collections/marc-jacobs" TargetMode="External"/><Relationship Id="rId4744" Type="http://schemas.openxmlformats.org/officeDocument/2006/relationships/hyperlink" Target="https://www.cettire.com/collections/sunflower" TargetMode="External"/><Relationship Id="rId267" Type="http://schemas.openxmlformats.org/officeDocument/2006/relationships/hyperlink" Target="https://www.cettire.com/collections/ih-nom-uh-nit" TargetMode="External"/><Relationship Id="rId3760" Type="http://schemas.openxmlformats.org/officeDocument/2006/relationships/hyperlink" Target="https://www.cettire.com/collections/diadora" TargetMode="External"/><Relationship Id="rId4811" Type="http://schemas.openxmlformats.org/officeDocument/2006/relationships/hyperlink" Target="https://www.cettire.com/collections/yohji-yamamoto" TargetMode="External"/><Relationship Id="rId681" Type="http://schemas.openxmlformats.org/officeDocument/2006/relationships/hyperlink" Target="https://www.cettire.com/collections/barena" TargetMode="External"/><Relationship Id="rId2362" Type="http://schemas.openxmlformats.org/officeDocument/2006/relationships/hyperlink" Target="https://www.cettire.com/collections/the-north-face-kids" TargetMode="External"/><Relationship Id="rId3413" Type="http://schemas.openxmlformats.org/officeDocument/2006/relationships/hyperlink" Target="https://www.cettire.com/collections/norse-projects" TargetMode="External"/><Relationship Id="rId334" Type="http://schemas.openxmlformats.org/officeDocument/2006/relationships/hyperlink" Target="https://www.cettire.com/collections/maison-michel" TargetMode="External"/><Relationship Id="rId2015" Type="http://schemas.openxmlformats.org/officeDocument/2006/relationships/hyperlink" Target="https://www.cettire.com/collections/engineered-garments" TargetMode="External"/><Relationship Id="rId401" Type="http://schemas.openxmlformats.org/officeDocument/2006/relationships/hyperlink" Target="https://www.cettire.com/collections/nana-nana" TargetMode="External"/><Relationship Id="rId1031" Type="http://schemas.openxmlformats.org/officeDocument/2006/relationships/hyperlink" Target="https://www.cettire.com/collections/p-a-r-o-s-h" TargetMode="External"/><Relationship Id="rId4187" Type="http://schemas.openxmlformats.org/officeDocument/2006/relationships/hyperlink" Target="https://www.cettire.com/collections/vivienne-westwood" TargetMode="External"/><Relationship Id="rId4254" Type="http://schemas.openxmlformats.org/officeDocument/2006/relationships/hyperlink" Target="https://www.cettire.com/collections/anita-bilardi" TargetMode="External"/><Relationship Id="rId1848" Type="http://schemas.openxmlformats.org/officeDocument/2006/relationships/hyperlink" Target="https://www.cettire.com/collections/alberta-ferretti-kids" TargetMode="External"/><Relationship Id="rId3270" Type="http://schemas.openxmlformats.org/officeDocument/2006/relationships/hyperlink" Target="https://www.cettire.com/collections/homme-plisse-issey-miyake" TargetMode="External"/><Relationship Id="rId4321" Type="http://schemas.openxmlformats.org/officeDocument/2006/relationships/hyperlink" Target="https://www.cettire.com/collections/canali" TargetMode="External"/><Relationship Id="rId191" Type="http://schemas.openxmlformats.org/officeDocument/2006/relationships/hyperlink" Target="https://www.cettire.com/collections/edward-green" TargetMode="External"/><Relationship Id="rId1915" Type="http://schemas.openxmlformats.org/officeDocument/2006/relationships/hyperlink" Target="https://www.cettire.com/collections/brunello-cucinelli-kids" TargetMode="External"/><Relationship Id="rId2689" Type="http://schemas.openxmlformats.org/officeDocument/2006/relationships/hyperlink" Target="https://www.cettire.com/collections/il-gufo" TargetMode="External"/><Relationship Id="rId2756" Type="http://schemas.openxmlformats.org/officeDocument/2006/relationships/hyperlink" Target="https://www.cettire.com/collections/maison-michel" TargetMode="External"/><Relationship Id="rId3807" Type="http://schemas.openxmlformats.org/officeDocument/2006/relationships/hyperlink" Target="https://www.cettire.com/collections/fay-kids" TargetMode="External"/><Relationship Id="rId728" Type="http://schemas.openxmlformats.org/officeDocument/2006/relationships/hyperlink" Target="https://www.cettire.com/collections/champion" TargetMode="External"/><Relationship Id="rId1358" Type="http://schemas.openxmlformats.org/officeDocument/2006/relationships/hyperlink" Target="https://www.cettire.com/collections/comme-des-garcons-play-kids" TargetMode="External"/><Relationship Id="rId1772" Type="http://schemas.openxmlformats.org/officeDocument/2006/relationships/hyperlink" Target="https://www.cettire.com/collections/twinset" TargetMode="External"/><Relationship Id="rId2409" Type="http://schemas.openxmlformats.org/officeDocument/2006/relationships/hyperlink" Target="https://www.cettire.com/collections/woolrich-kids" TargetMode="External"/><Relationship Id="rId64" Type="http://schemas.openxmlformats.org/officeDocument/2006/relationships/hyperlink" Target="https://www.cettire.com/collections/autry" TargetMode="External"/><Relationship Id="rId1425" Type="http://schemas.openxmlformats.org/officeDocument/2006/relationships/hyperlink" Target="https://www.cettire.com/collections/fendi" TargetMode="External"/><Relationship Id="rId2823" Type="http://schemas.openxmlformats.org/officeDocument/2006/relationships/hyperlink" Target="https://www.cettire.com/collections/nanushka" TargetMode="External"/><Relationship Id="rId2199" Type="http://schemas.openxmlformats.org/officeDocument/2006/relationships/hyperlink" Target="https://www.cettire.com/collections/monnalisa" TargetMode="External"/><Relationship Id="rId3597" Type="http://schemas.openxmlformats.org/officeDocument/2006/relationships/hyperlink" Target="https://www.cettire.com/collections/424" TargetMode="External"/><Relationship Id="rId4648" Type="http://schemas.openxmlformats.org/officeDocument/2006/relationships/hyperlink" Target="https://www.cettire.com/collections/philipp-plein" TargetMode="External"/><Relationship Id="rId3664" Type="http://schemas.openxmlformats.org/officeDocument/2006/relationships/hyperlink" Target="https://www.cettire.com/collections/ballantyne" TargetMode="External"/><Relationship Id="rId4715" Type="http://schemas.openxmlformats.org/officeDocument/2006/relationships/hyperlink" Target="https://www.cettire.com/collections/santoni" TargetMode="External"/><Relationship Id="rId585" Type="http://schemas.openxmlformats.org/officeDocument/2006/relationships/hyperlink" Target="https://www.cettire.com/collections/vision-of-super" TargetMode="External"/><Relationship Id="rId2266" Type="http://schemas.openxmlformats.org/officeDocument/2006/relationships/hyperlink" Target="https://www.cettire.com/collections/ports-1961" TargetMode="External"/><Relationship Id="rId2680" Type="http://schemas.openxmlformats.org/officeDocument/2006/relationships/hyperlink" Target="https://www.cettire.com/collections/hogan-kids" TargetMode="External"/><Relationship Id="rId3317" Type="http://schemas.openxmlformats.org/officeDocument/2006/relationships/hyperlink" Target="https://www.cettire.com/collections/lauren-ralph-lauren" TargetMode="External"/><Relationship Id="rId3731" Type="http://schemas.openxmlformats.org/officeDocument/2006/relationships/hyperlink" Target="https://www.cettire.com/collections/citizens-of-humanity" TargetMode="External"/><Relationship Id="rId238" Type="http://schemas.openxmlformats.org/officeDocument/2006/relationships/hyperlink" Target="https://www.cettire.com/collections/giorgio-armani" TargetMode="External"/><Relationship Id="rId652" Type="http://schemas.openxmlformats.org/officeDocument/2006/relationships/hyperlink" Target="https://www.cettire.com/collections/anita-bilardi" TargetMode="External"/><Relationship Id="rId1282" Type="http://schemas.openxmlformats.org/officeDocument/2006/relationships/hyperlink" Target="https://www.cettire.com/collections/bally" TargetMode="External"/><Relationship Id="rId2333" Type="http://schemas.openxmlformats.org/officeDocument/2006/relationships/hyperlink" Target="https://www.cettire.com/collections/sofie-dhoore" TargetMode="External"/><Relationship Id="rId305" Type="http://schemas.openxmlformats.org/officeDocument/2006/relationships/hyperlink" Target="https://www.cettire.com/collections/kwaidan-editions" TargetMode="External"/><Relationship Id="rId2400" Type="http://schemas.openxmlformats.org/officeDocument/2006/relationships/hyperlink" Target="https://www.cettire.com/collections/vision-of-super-kids" TargetMode="External"/><Relationship Id="rId1002" Type="http://schemas.openxmlformats.org/officeDocument/2006/relationships/hyperlink" Target="https://www.cettire.com/collections/n-21-kids" TargetMode="External"/><Relationship Id="rId4158" Type="http://schemas.openxmlformats.org/officeDocument/2006/relationships/hyperlink" Target="https://www.cettire.com/collections/toteme" TargetMode="External"/><Relationship Id="rId3174" Type="http://schemas.openxmlformats.org/officeDocument/2006/relationships/hyperlink" Target="https://www.cettire.com/collections/craig-green" TargetMode="External"/><Relationship Id="rId4572" Type="http://schemas.openxmlformats.org/officeDocument/2006/relationships/hyperlink" Target="https://www.cettire.com/collections/mc2-saint-barth-kids" TargetMode="External"/><Relationship Id="rId1819" Type="http://schemas.openxmlformats.org/officeDocument/2006/relationships/hyperlink" Target="https://www.cettire.com/collections/1017-alyx-9sm" TargetMode="External"/><Relationship Id="rId4225" Type="http://schemas.openxmlformats.org/officeDocument/2006/relationships/hyperlink" Target="https://www.cettire.com/collections/adidas-by-stella-mccartney" TargetMode="External"/><Relationship Id="rId2190" Type="http://schemas.openxmlformats.org/officeDocument/2006/relationships/hyperlink" Target="https://www.cettire.com/collections/mm6-maison-margiela-kids" TargetMode="External"/><Relationship Id="rId3241" Type="http://schemas.openxmlformats.org/officeDocument/2006/relationships/hyperlink" Target="https://www.cettire.com/collections/gallery-dept" TargetMode="External"/><Relationship Id="rId162" Type="http://schemas.openxmlformats.org/officeDocument/2006/relationships/hyperlink" Target="https://www.cettire.com/collections/danse-lente" TargetMode="External"/><Relationship Id="rId979" Type="http://schemas.openxmlformats.org/officeDocument/2006/relationships/hyperlink" Target="https://www.cettire.com/collections/mm6-maison-margiela" TargetMode="External"/><Relationship Id="rId4082" Type="http://schemas.openxmlformats.org/officeDocument/2006/relationships/hyperlink" Target="https://www.cettire.com/collections/rick-owens-drkshdw" TargetMode="External"/><Relationship Id="rId1676" Type="http://schemas.openxmlformats.org/officeDocument/2006/relationships/hyperlink" Target="https://www.cettire.com/collections/rag-bone" TargetMode="External"/><Relationship Id="rId2727" Type="http://schemas.openxmlformats.org/officeDocument/2006/relationships/hyperlink" Target="https://www.cettire.com/collections/l-b-m-1911" TargetMode="External"/><Relationship Id="rId1329" Type="http://schemas.openxmlformats.org/officeDocument/2006/relationships/hyperlink" Target="https://www.cettire.com/collections/carrera" TargetMode="External"/><Relationship Id="rId1743" Type="http://schemas.openxmlformats.org/officeDocument/2006/relationships/hyperlink" Target="https://www.cettire.com/collections/studio-amelia" TargetMode="External"/><Relationship Id="rId35" Type="http://schemas.openxmlformats.org/officeDocument/2006/relationships/hyperlink" Target="https://www.cettire.com/collections/alexander-mcqueen-eyewear" TargetMode="External"/><Relationship Id="rId1810" Type="http://schemas.openxmlformats.org/officeDocument/2006/relationships/hyperlink" Target="https://www.cettire.com/collections/ymc" TargetMode="External"/><Relationship Id="rId3568" Type="http://schemas.openxmlformats.org/officeDocument/2006/relationships/hyperlink" Target="https://www.cettire.com/collections/versace-collection" TargetMode="External"/><Relationship Id="rId3982" Type="http://schemas.openxmlformats.org/officeDocument/2006/relationships/hyperlink" Target="https://www.cettire.com/collections/monnalisa" TargetMode="External"/><Relationship Id="rId4619" Type="http://schemas.openxmlformats.org/officeDocument/2006/relationships/hyperlink" Target="https://www.cettire.com/collections/nicomede" TargetMode="External"/><Relationship Id="rId489" Type="http://schemas.openxmlformats.org/officeDocument/2006/relationships/hyperlink" Target="https://www.cettire.com/collections/rixo" TargetMode="External"/><Relationship Id="rId2584" Type="http://schemas.openxmlformats.org/officeDocument/2006/relationships/hyperlink" Target="https://www.cettire.com/collections/delvaux" TargetMode="External"/><Relationship Id="rId3635" Type="http://schemas.openxmlformats.org/officeDocument/2006/relationships/hyperlink" Target="https://www.cettire.com/collections/amen" TargetMode="External"/><Relationship Id="rId556" Type="http://schemas.openxmlformats.org/officeDocument/2006/relationships/hyperlink" Target="https://www.cettire.com/collections/tom-ford-eyewear" TargetMode="External"/><Relationship Id="rId1186" Type="http://schemas.openxmlformats.org/officeDocument/2006/relationships/hyperlink" Target="https://www.cettire.com/collections/versace-jeans-couture" TargetMode="External"/><Relationship Id="rId2237" Type="http://schemas.openxmlformats.org/officeDocument/2006/relationships/hyperlink" Target="https://www.cettire.com/collections/opening-ceremony" TargetMode="External"/><Relationship Id="rId209" Type="http://schemas.openxmlformats.org/officeDocument/2006/relationships/hyperlink" Target="https://www.cettire.com/collections/facetasm" TargetMode="External"/><Relationship Id="rId970" Type="http://schemas.openxmlformats.org/officeDocument/2006/relationships/hyperlink" Target="https://www.cettire.com/collections/michael-michael-kors" TargetMode="External"/><Relationship Id="rId1253" Type="http://schemas.openxmlformats.org/officeDocument/2006/relationships/hyperlink" Target="https://www.cettire.com/collections/amen" TargetMode="External"/><Relationship Id="rId2651" Type="http://schemas.openxmlformats.org/officeDocument/2006/relationships/hyperlink" Target="https://www.cettire.com/collections/gabriela-hearst" TargetMode="External"/><Relationship Id="rId3702" Type="http://schemas.openxmlformats.org/officeDocument/2006/relationships/hyperlink" Target="https://www.cettire.com/collections/c-p-company-kids" TargetMode="External"/><Relationship Id="rId623" Type="http://schemas.openxmlformats.org/officeDocument/2006/relationships/hyperlink" Target="https://www.cettire.com/collections/adidas-by-raf-simons" TargetMode="External"/><Relationship Id="rId2304" Type="http://schemas.openxmlformats.org/officeDocument/2006/relationships/hyperlink" Target="https://www.cettire.com/collections/robert-clergerie" TargetMode="External"/><Relationship Id="rId1320" Type="http://schemas.openxmlformats.org/officeDocument/2006/relationships/hyperlink" Target="https://www.cettire.com/collections/c2h4" TargetMode="External"/><Relationship Id="rId4476" Type="http://schemas.openxmlformats.org/officeDocument/2006/relationships/hyperlink" Target="https://www.cettire.com/collections/ih-nom-uh-nit" TargetMode="External"/><Relationship Id="rId3078" Type="http://schemas.openxmlformats.org/officeDocument/2006/relationships/hyperlink" Target="https://www.cettire.com/collections/aniye-by" TargetMode="External"/><Relationship Id="rId3492" Type="http://schemas.openxmlformats.org/officeDocument/2006/relationships/hyperlink" Target="https://www.cettire.com/collections/ruslan-baginskiy" TargetMode="External"/><Relationship Id="rId4129" Type="http://schemas.openxmlformats.org/officeDocument/2006/relationships/hyperlink" Target="https://www.cettire.com/collections/stuart-weitzman" TargetMode="External"/><Relationship Id="rId4543" Type="http://schemas.openxmlformats.org/officeDocument/2006/relationships/hyperlink" Target="https://www.cettire.com/collections/maison-michel" TargetMode="External"/><Relationship Id="rId2094" Type="http://schemas.openxmlformats.org/officeDocument/2006/relationships/hyperlink" Target="https://www.cettire.com/collections/jacques-marie-mage" TargetMode="External"/><Relationship Id="rId3145" Type="http://schemas.openxmlformats.org/officeDocument/2006/relationships/hyperlink" Target="https://www.cettire.com/collections/chiara-ferragni" TargetMode="External"/><Relationship Id="rId4610" Type="http://schemas.openxmlformats.org/officeDocument/2006/relationships/hyperlink" Target="https://www.cettire.com/collections/nanushka" TargetMode="External"/><Relationship Id="rId480" Type="http://schemas.openxmlformats.org/officeDocument/2006/relationships/hyperlink" Target="https://www.cettire.com/collections/rene-caovilla" TargetMode="External"/><Relationship Id="rId2161" Type="http://schemas.openxmlformats.org/officeDocument/2006/relationships/hyperlink" Target="https://www.cettire.com/collections/marni-eyewear" TargetMode="External"/><Relationship Id="rId3212" Type="http://schemas.openxmlformats.org/officeDocument/2006/relationships/hyperlink" Target="https://www.cettire.com/collections/engineered-garments" TargetMode="External"/><Relationship Id="rId133" Type="http://schemas.openxmlformats.org/officeDocument/2006/relationships/hyperlink" Target="https://www.cettire.com/collections/chopova-lowena" TargetMode="External"/><Relationship Id="rId200" Type="http://schemas.openxmlformats.org/officeDocument/2006/relationships/hyperlink" Target="https://www.cettire.com/collections/equipment" TargetMode="External"/><Relationship Id="rId2978" Type="http://schemas.openxmlformats.org/officeDocument/2006/relationships/hyperlink" Target="https://www.cettire.com/collections/tods" TargetMode="External"/><Relationship Id="rId1994" Type="http://schemas.openxmlformats.org/officeDocument/2006/relationships/hyperlink" Target="https://www.cettire.com/collections/dolce-gabbana" TargetMode="External"/><Relationship Id="rId1647" Type="http://schemas.openxmlformats.org/officeDocument/2006/relationships/hyperlink" Target="https://www.cettire.com/collections/persol" TargetMode="External"/><Relationship Id="rId4053" Type="http://schemas.openxmlformats.org/officeDocument/2006/relationships/hyperlink" Target="https://www.cettire.com/collections/pressure" TargetMode="External"/><Relationship Id="rId1714" Type="http://schemas.openxmlformats.org/officeDocument/2006/relationships/hyperlink" Target="https://www.cettire.com/collections/salvatore-ferragamo" TargetMode="External"/><Relationship Id="rId4120" Type="http://schemas.openxmlformats.org/officeDocument/2006/relationships/hyperlink" Target="https://www.cettire.com/collections/sporty-rich" TargetMode="External"/><Relationship Id="rId2488" Type="http://schemas.openxmlformats.org/officeDocument/2006/relationships/hyperlink" Target="https://www.cettire.com/collections/axel-arigato" TargetMode="External"/><Relationship Id="rId3886" Type="http://schemas.openxmlformats.org/officeDocument/2006/relationships/hyperlink" Target="https://www.cettire.com/collections/jw-anderson" TargetMode="External"/><Relationship Id="rId3539" Type="http://schemas.openxmlformats.org/officeDocument/2006/relationships/hyperlink" Target="https://www.cettire.com/collections/the-row" TargetMode="External"/><Relationship Id="rId3953" Type="http://schemas.openxmlformats.org/officeDocument/2006/relationships/hyperlink" Target="https://www.cettire.com/collections/max-mara-atelier" TargetMode="External"/><Relationship Id="rId874" Type="http://schemas.openxmlformats.org/officeDocument/2006/relationships/hyperlink" Target="https://www.cettire.com/collections/in-the-mood-for-love" TargetMode="External"/><Relationship Id="rId2555" Type="http://schemas.openxmlformats.org/officeDocument/2006/relationships/hyperlink" Target="https://www.cettire.com/collections/chopova-lowena" TargetMode="External"/><Relationship Id="rId3606" Type="http://schemas.openxmlformats.org/officeDocument/2006/relationships/hyperlink" Target="https://www.cettire.com/collections/ader-error" TargetMode="External"/><Relationship Id="rId527" Type="http://schemas.openxmlformats.org/officeDocument/2006/relationships/hyperlink" Target="https://www.cettire.com/collections/stella-mccartney-eyewear" TargetMode="External"/><Relationship Id="rId941" Type="http://schemas.openxmlformats.org/officeDocument/2006/relationships/hyperlink" Target="https://www.cettire.com/collections/manokhi" TargetMode="External"/><Relationship Id="rId1157" Type="http://schemas.openxmlformats.org/officeDocument/2006/relationships/hyperlink" Target="https://www.cettire.com/collections/thom-browne-eyewear" TargetMode="External"/><Relationship Id="rId1571" Type="http://schemas.openxmlformats.org/officeDocument/2006/relationships/hyperlink" Target="https://www.cettire.com/collections/mc2-saint-barth-kids" TargetMode="External"/><Relationship Id="rId2208" Type="http://schemas.openxmlformats.org/officeDocument/2006/relationships/hyperlink" Target="https://www.cettire.com/collections/msgm-kids" TargetMode="External"/><Relationship Id="rId2622" Type="http://schemas.openxmlformats.org/officeDocument/2006/relationships/hyperlink" Target="https://www.cettire.com/collections/equipment" TargetMode="External"/><Relationship Id="rId1224" Type="http://schemas.openxmlformats.org/officeDocument/2006/relationships/hyperlink" Target="https://www.cettire.com/collections/adidas" TargetMode="External"/><Relationship Id="rId4794" Type="http://schemas.openxmlformats.org/officeDocument/2006/relationships/hyperlink" Target="https://www.cettire.com/collections/vince" TargetMode="External"/><Relationship Id="rId3396" Type="http://schemas.openxmlformats.org/officeDocument/2006/relationships/hyperlink" Target="https://www.cettire.com/collections/mulberry" TargetMode="External"/><Relationship Id="rId4447" Type="http://schemas.openxmlformats.org/officeDocument/2006/relationships/hyperlink" Target="https://www.cettire.com/collections/giorgio-armani" TargetMode="External"/><Relationship Id="rId3049" Type="http://schemas.openxmlformats.org/officeDocument/2006/relationships/hyperlink" Target="https://www.cettire.com/collections/adidas-by-raf-simons" TargetMode="External"/><Relationship Id="rId3463" Type="http://schemas.openxmlformats.org/officeDocument/2006/relationships/hyperlink" Target="https://www.cettire.com/collections/ralph-lauren" TargetMode="External"/><Relationship Id="rId384" Type="http://schemas.openxmlformats.org/officeDocument/2006/relationships/hyperlink" Target="https://www.cettire.com/collections/moncler-genius" TargetMode="External"/><Relationship Id="rId2065" Type="http://schemas.openxmlformats.org/officeDocument/2006/relationships/hyperlink" Target="https://www.cettire.com/collections/guidi" TargetMode="External"/><Relationship Id="rId3116" Type="http://schemas.openxmlformats.org/officeDocument/2006/relationships/hyperlink" Target="https://www.cettire.com/collections/bottega-veneta" TargetMode="External"/><Relationship Id="rId4514" Type="http://schemas.openxmlformats.org/officeDocument/2006/relationships/hyperlink" Target="https://www.cettire.com/collections/lautre-chose" TargetMode="External"/><Relationship Id="rId1081" Type="http://schemas.openxmlformats.org/officeDocument/2006/relationships/hyperlink" Target="https://www.cettire.com/collections/reebok-x-victoria-beckham" TargetMode="External"/><Relationship Id="rId3530" Type="http://schemas.openxmlformats.org/officeDocument/2006/relationships/hyperlink" Target="https://www.cettire.com/collections/t-by-alexander-wang" TargetMode="External"/><Relationship Id="rId451" Type="http://schemas.openxmlformats.org/officeDocument/2006/relationships/hyperlink" Target="https://www.cettire.com/collections/polo-ralph-lauren-kids" TargetMode="External"/><Relationship Id="rId2132" Type="http://schemas.openxmlformats.org/officeDocument/2006/relationships/hyperlink" Target="https://www.cettire.com/collections/li-ning" TargetMode="External"/><Relationship Id="rId104" Type="http://schemas.openxmlformats.org/officeDocument/2006/relationships/hyperlink" Target="https://www.cettire.com/collections/buscemi" TargetMode="External"/><Relationship Id="rId1898" Type="http://schemas.openxmlformats.org/officeDocument/2006/relationships/hyperlink" Target="https://www.cettire.com/collections/belstaff" TargetMode="External"/><Relationship Id="rId2949" Type="http://schemas.openxmlformats.org/officeDocument/2006/relationships/hyperlink" Target="https://www.cettire.com/collections/staud" TargetMode="External"/><Relationship Id="rId4371" Type="http://schemas.openxmlformats.org/officeDocument/2006/relationships/hyperlink" Target="https://www.cettire.com/collections/department-5" TargetMode="External"/><Relationship Id="rId1965" Type="http://schemas.openxmlformats.org/officeDocument/2006/relationships/hyperlink" Target="https://www.cettire.com/collections/comme-des-garcons-shirt" TargetMode="External"/><Relationship Id="rId4024" Type="http://schemas.openxmlformats.org/officeDocument/2006/relationships/hyperlink" Target="https://www.cettire.com/collections/our-legacy" TargetMode="External"/><Relationship Id="rId1618" Type="http://schemas.openxmlformats.org/officeDocument/2006/relationships/hyperlink" Target="https://www.cettire.com/collections/nicholas-kirkwood" TargetMode="External"/><Relationship Id="rId3040" Type="http://schemas.openxmlformats.org/officeDocument/2006/relationships/hyperlink" Target="https://www.cettire.com/collections/a-cold-wall" TargetMode="External"/><Relationship Id="rId3857" Type="http://schemas.openxmlformats.org/officeDocument/2006/relationships/hyperlink" Target="https://www.cettire.com/collections/honey-fucking-dijon" TargetMode="External"/><Relationship Id="rId778" Type="http://schemas.openxmlformats.org/officeDocument/2006/relationships/hyperlink" Target="https://www.cettire.com/collections/dior-homme" TargetMode="External"/><Relationship Id="rId2459" Type="http://schemas.openxmlformats.org/officeDocument/2006/relationships/hyperlink" Target="https://www.cettire.com/collections/alexander-wang" TargetMode="External"/><Relationship Id="rId2873" Type="http://schemas.openxmlformats.org/officeDocument/2006/relationships/hyperlink" Target="https://www.cettire.com/collections/polo-ralph-lauren" TargetMode="External"/><Relationship Id="rId3924" Type="http://schemas.openxmlformats.org/officeDocument/2006/relationships/hyperlink" Target="https://www.cettire.com/collections/m-missoni" TargetMode="External"/><Relationship Id="rId845" Type="http://schemas.openxmlformats.org/officeDocument/2006/relationships/hyperlink" Target="https://www.cettire.com/collections/givenchy-kids" TargetMode="External"/><Relationship Id="rId1475" Type="http://schemas.openxmlformats.org/officeDocument/2006/relationships/hyperlink" Target="https://www.cettire.com/collections/hugo-boss-kids" TargetMode="External"/><Relationship Id="rId2526" Type="http://schemas.openxmlformats.org/officeDocument/2006/relationships/hyperlink" Target="https://www.cettire.com/collections/buscemi" TargetMode="External"/><Relationship Id="rId1128" Type="http://schemas.openxmlformats.org/officeDocument/2006/relationships/hyperlink" Target="https://www.cettire.com/collections/stand-studio" TargetMode="External"/><Relationship Id="rId1542" Type="http://schemas.openxmlformats.org/officeDocument/2006/relationships/hyperlink" Target="https://www.cettire.com/collections/maison-kitsune" TargetMode="External"/><Relationship Id="rId2940" Type="http://schemas.openxmlformats.org/officeDocument/2006/relationships/hyperlink" Target="https://www.cettire.com/collections/simon-miller" TargetMode="External"/><Relationship Id="rId4698" Type="http://schemas.openxmlformats.org/officeDocument/2006/relationships/hyperlink" Target="https://www.cettire.com/collections/robert-clergerie" TargetMode="External"/><Relationship Id="rId912" Type="http://schemas.openxmlformats.org/officeDocument/2006/relationships/hyperlink" Target="https://www.cettire.com/collections/la-stupenderia" TargetMode="External"/><Relationship Id="rId4765" Type="http://schemas.openxmlformats.org/officeDocument/2006/relationships/hyperlink" Target="https://www.cettire.com/collections/tom-ford" TargetMode="External"/><Relationship Id="rId288" Type="http://schemas.openxmlformats.org/officeDocument/2006/relationships/hyperlink" Target="https://www.cettire.com/collections/junya-watanabe" TargetMode="External"/><Relationship Id="rId3367" Type="http://schemas.openxmlformats.org/officeDocument/2006/relationships/hyperlink" Target="https://www.cettire.com/collections/mcq-alexander-mcqueen" TargetMode="External"/><Relationship Id="rId3781" Type="http://schemas.openxmlformats.org/officeDocument/2006/relationships/hyperlink" Target="https://www.cettire.com/collections/eastpak" TargetMode="External"/><Relationship Id="rId4418" Type="http://schemas.openxmlformats.org/officeDocument/2006/relationships/hyperlink" Target="https://www.cettire.com/collections/facetasm" TargetMode="External"/><Relationship Id="rId2383" Type="http://schemas.openxmlformats.org/officeDocument/2006/relationships/hyperlink" Target="https://www.cettire.com/collections/uma-wang" TargetMode="External"/><Relationship Id="rId3434" Type="http://schemas.openxmlformats.org/officeDocument/2006/relationships/hyperlink" Target="https://www.cettire.com/collections/persol" TargetMode="External"/><Relationship Id="rId355" Type="http://schemas.openxmlformats.org/officeDocument/2006/relationships/hyperlink" Target="https://www.cettire.com/collections/mauna-kea" TargetMode="External"/><Relationship Id="rId2036" Type="http://schemas.openxmlformats.org/officeDocument/2006/relationships/hyperlink" Target="https://www.cettire.com/collections/fila" TargetMode="External"/><Relationship Id="rId2450" Type="http://schemas.openxmlformats.org/officeDocument/2006/relationships/hyperlink" Target="https://www.cettire.com/collections/alaia" TargetMode="External"/><Relationship Id="rId3501" Type="http://schemas.openxmlformats.org/officeDocument/2006/relationships/hyperlink" Target="https://www.cettire.com/collections/save-the-duck" TargetMode="External"/><Relationship Id="rId422" Type="http://schemas.openxmlformats.org/officeDocument/2006/relationships/hyperlink" Target="https://www.cettire.com/collections/off-white-kids" TargetMode="External"/><Relationship Id="rId1052" Type="http://schemas.openxmlformats.org/officeDocument/2006/relationships/hyperlink" Target="https://www.cettire.com/collections/pleats-please-by-issey-miyake" TargetMode="External"/><Relationship Id="rId2103" Type="http://schemas.openxmlformats.org/officeDocument/2006/relationships/hyperlink" Target="https://www.cettire.com/collections/junya-watanabe" TargetMode="External"/><Relationship Id="rId4275" Type="http://schemas.openxmlformats.org/officeDocument/2006/relationships/hyperlink" Target="https://www.cettire.com/collections/balenciaga-eyewear" TargetMode="External"/><Relationship Id="rId1869" Type="http://schemas.openxmlformats.org/officeDocument/2006/relationships/hyperlink" Target="https://www.cettire.com/collections/apesi" TargetMode="External"/><Relationship Id="rId3291" Type="http://schemas.openxmlformats.org/officeDocument/2006/relationships/hyperlink" Target="https://www.cettire.com/collections/junya-watanabe" TargetMode="External"/><Relationship Id="rId1936" Type="http://schemas.openxmlformats.org/officeDocument/2006/relationships/hyperlink" Target="https://www.cettire.com/collections/cartier" TargetMode="External"/><Relationship Id="rId4342" Type="http://schemas.openxmlformats.org/officeDocument/2006/relationships/hyperlink" Target="https://www.cettire.com/collections/christian-louboutin" TargetMode="External"/><Relationship Id="rId3011" Type="http://schemas.openxmlformats.org/officeDocument/2006/relationships/hyperlink" Target="https://www.cettire.com/collections/visvim" TargetMode="External"/><Relationship Id="rId2777" Type="http://schemas.openxmlformats.org/officeDocument/2006/relationships/hyperlink" Target="https://www.cettire.com/collections/maurizio-miri" TargetMode="External"/><Relationship Id="rId749" Type="http://schemas.openxmlformats.org/officeDocument/2006/relationships/hyperlink" Target="https://www.cettire.com/collections/comme-des-garcons-homme-plus" TargetMode="External"/><Relationship Id="rId1379" Type="http://schemas.openxmlformats.org/officeDocument/2006/relationships/hyperlink" Target="https://www.cettire.com/collections/diesel-black-gold" TargetMode="External"/><Relationship Id="rId3828" Type="http://schemas.openxmlformats.org/officeDocument/2006/relationships/hyperlink" Target="https://www.cettire.com/collections/gcds" TargetMode="External"/><Relationship Id="rId1793" Type="http://schemas.openxmlformats.org/officeDocument/2006/relationships/hyperlink" Target="https://www.cettire.com/collections/versace-kids" TargetMode="External"/><Relationship Id="rId2844" Type="http://schemas.openxmlformats.org/officeDocument/2006/relationships/hyperlink" Target="https://www.cettire.com/collections/off-white-kids" TargetMode="External"/><Relationship Id="rId85" Type="http://schemas.openxmlformats.org/officeDocument/2006/relationships/hyperlink" Target="https://www.cettire.com/collections/birkenstock" TargetMode="External"/><Relationship Id="rId816" Type="http://schemas.openxmlformats.org/officeDocument/2006/relationships/hyperlink" Target="https://www.cettire.com/collections/fay-kids" TargetMode="External"/><Relationship Id="rId1446" Type="http://schemas.openxmlformats.org/officeDocument/2006/relationships/hyperlink" Target="https://www.cettire.com/collections/gia-borghini" TargetMode="External"/><Relationship Id="rId1860" Type="http://schemas.openxmlformats.org/officeDocument/2006/relationships/hyperlink" Target="https://www.cettire.com/collections/ami" TargetMode="External"/><Relationship Id="rId2911" Type="http://schemas.openxmlformats.org/officeDocument/2006/relationships/hyperlink" Target="https://www.cettire.com/collections/rick-owens-x-birkenstock" TargetMode="External"/><Relationship Id="rId1513" Type="http://schemas.openxmlformats.org/officeDocument/2006/relationships/hyperlink" Target="https://www.cettire.com/collections/khrisjoy-kids" TargetMode="External"/><Relationship Id="rId4669" Type="http://schemas.openxmlformats.org/officeDocument/2006/relationships/hyperlink" Target="https://www.cettire.com/collections/pt01" TargetMode="External"/><Relationship Id="rId3685" Type="http://schemas.openxmlformats.org/officeDocument/2006/relationships/hyperlink" Target="https://www.cettire.com/collections/bottega-veneta" TargetMode="External"/><Relationship Id="rId4736" Type="http://schemas.openxmlformats.org/officeDocument/2006/relationships/hyperlink" Target="https://www.cettire.com/collections/stella-mccartney-kids" TargetMode="External"/><Relationship Id="rId2287" Type="http://schemas.openxmlformats.org/officeDocument/2006/relationships/hyperlink" Target="https://www.cettire.com/collections/rebecca-minkoff" TargetMode="External"/><Relationship Id="rId3338" Type="http://schemas.openxmlformats.org/officeDocument/2006/relationships/hyperlink" Target="https://www.cettire.com/collections/maison-margiela" TargetMode="External"/><Relationship Id="rId3752" Type="http://schemas.openxmlformats.org/officeDocument/2006/relationships/hyperlink" Target="https://www.cettire.com/collections/cult-gaia" TargetMode="External"/><Relationship Id="rId259" Type="http://schemas.openxmlformats.org/officeDocument/2006/relationships/hyperlink" Target="https://www.cettire.com/collections/hogan-kids" TargetMode="External"/><Relationship Id="rId673" Type="http://schemas.openxmlformats.org/officeDocument/2006/relationships/hyperlink" Target="https://www.cettire.com/collections/balenciaga-kids" TargetMode="External"/><Relationship Id="rId2354" Type="http://schemas.openxmlformats.org/officeDocument/2006/relationships/hyperlink" Target="https://www.cettire.com/collections/tagliatore" TargetMode="External"/><Relationship Id="rId3405" Type="http://schemas.openxmlformats.org/officeDocument/2006/relationships/hyperlink" Target="https://www.cettire.com/collections/neil-barrett" TargetMode="External"/><Relationship Id="rId4803" Type="http://schemas.openxmlformats.org/officeDocument/2006/relationships/hyperlink" Target="https://www.cettire.com/collections/white-mountaineering" TargetMode="External"/><Relationship Id="rId326" Type="http://schemas.openxmlformats.org/officeDocument/2006/relationships/hyperlink" Target="https://www.cettire.com/collections/love-moschino" TargetMode="External"/><Relationship Id="rId1370" Type="http://schemas.openxmlformats.org/officeDocument/2006/relationships/hyperlink" Target="https://www.cettire.com/collections/cutler-gross" TargetMode="External"/><Relationship Id="rId2007" Type="http://schemas.openxmlformats.org/officeDocument/2006/relationships/hyperlink" Target="https://www.cettire.com/collections/edward-green" TargetMode="External"/><Relationship Id="rId740" Type="http://schemas.openxmlformats.org/officeDocument/2006/relationships/hyperlink" Target="https://www.cettire.com/collections/circus-hotel" TargetMode="External"/><Relationship Id="rId1023" Type="http://schemas.openxmlformats.org/officeDocument/2006/relationships/hyperlink" Target="https://www.cettire.com/collections/off-white" TargetMode="External"/><Relationship Id="rId2421" Type="http://schemas.openxmlformats.org/officeDocument/2006/relationships/hyperlink" Target="https://www.cettire.com/collections/zimmermann" TargetMode="External"/><Relationship Id="rId4179" Type="http://schemas.openxmlformats.org/officeDocument/2006/relationships/hyperlink" Target="https://www.cettire.com/collections/versace-collection" TargetMode="External"/><Relationship Id="rId4593" Type="http://schemas.openxmlformats.org/officeDocument/2006/relationships/hyperlink" Target="https://www.cettire.com/collections/moncler-genius" TargetMode="External"/><Relationship Id="rId3195" Type="http://schemas.openxmlformats.org/officeDocument/2006/relationships/hyperlink" Target="https://www.cettire.com/collections/dolce-gabbana-kids" TargetMode="External"/><Relationship Id="rId4246" Type="http://schemas.openxmlformats.org/officeDocument/2006/relationships/hyperlink" Target="https://www.cettire.com/collections/alpha-industries" TargetMode="External"/><Relationship Id="rId4660" Type="http://schemas.openxmlformats.org/officeDocument/2006/relationships/hyperlink" Target="https://www.cettire.com/collections/porter-yoshida-co" TargetMode="External"/><Relationship Id="rId3262" Type="http://schemas.openxmlformats.org/officeDocument/2006/relationships/hyperlink" Target="https://www.cettire.com/collections/hereu" TargetMode="External"/><Relationship Id="rId4313" Type="http://schemas.openxmlformats.org/officeDocument/2006/relationships/hyperlink" Target="https://www.cettire.com/collections/by-far" TargetMode="External"/><Relationship Id="rId183" Type="http://schemas.openxmlformats.org/officeDocument/2006/relationships/hyperlink" Target="https://www.cettire.com/collections/dsquared2" TargetMode="External"/><Relationship Id="rId1907" Type="http://schemas.openxmlformats.org/officeDocument/2006/relationships/hyperlink" Target="https://www.cettire.com/collections/bonpoint" TargetMode="External"/><Relationship Id="rId250" Type="http://schemas.openxmlformats.org/officeDocument/2006/relationships/hyperlink" Target="https://www.cettire.com/collections/haider-ackermann" TargetMode="External"/><Relationship Id="rId1697" Type="http://schemas.openxmlformats.org/officeDocument/2006/relationships/hyperlink" Target="https://www.cettire.com/collections/rick-owens-x-birkenstock" TargetMode="External"/><Relationship Id="rId2748" Type="http://schemas.openxmlformats.org/officeDocument/2006/relationships/hyperlink" Target="https://www.cettire.com/collections/love-moschino" TargetMode="External"/><Relationship Id="rId1764" Type="http://schemas.openxmlformats.org/officeDocument/2006/relationships/hyperlink" Target="https://www.cettire.com/collections/tods" TargetMode="External"/><Relationship Id="rId2815" Type="http://schemas.openxmlformats.org/officeDocument/2006/relationships/hyperlink" Target="https://www.cettire.com/collections/mou-kids" TargetMode="External"/><Relationship Id="rId4170" Type="http://schemas.openxmlformats.org/officeDocument/2006/relationships/hyperlink" Target="https://www.cettire.com/collections/unravel-project" TargetMode="External"/><Relationship Id="rId56" Type="http://schemas.openxmlformats.org/officeDocument/2006/relationships/hyperlink" Target="https://www.cettire.com/collections/arizona-love" TargetMode="External"/><Relationship Id="rId1417" Type="http://schemas.openxmlformats.org/officeDocument/2006/relationships/hyperlink" Target="https://www.cettire.com/collections/eyevan-7285" TargetMode="External"/><Relationship Id="rId1831" Type="http://schemas.openxmlformats.org/officeDocument/2006/relationships/hyperlink" Target="https://www.cettire.com/collections/adidas" TargetMode="External"/><Relationship Id="rId3589" Type="http://schemas.openxmlformats.org/officeDocument/2006/relationships/hyperlink" Target="https://www.cettire.com/collections/yuzefi" TargetMode="External"/><Relationship Id="rId577" Type="http://schemas.openxmlformats.org/officeDocument/2006/relationships/hyperlink" Target="https://www.cettire.com/collections/veja" TargetMode="External"/><Relationship Id="rId2258" Type="http://schemas.openxmlformats.org/officeDocument/2006/relationships/hyperlink" Target="https://www.cettire.com/collections/pierre-hardy" TargetMode="External"/><Relationship Id="rId3656" Type="http://schemas.openxmlformats.org/officeDocument/2006/relationships/hyperlink" Target="https://www.cettire.com/collections/aspesi" TargetMode="External"/><Relationship Id="rId4707" Type="http://schemas.openxmlformats.org/officeDocument/2006/relationships/hyperlink" Target="https://www.cettire.com/collections/sacai" TargetMode="External"/><Relationship Id="rId991" Type="http://schemas.openxmlformats.org/officeDocument/2006/relationships/hyperlink" Target="https://www.cettire.com/collections/moose-knuckles" TargetMode="External"/><Relationship Id="rId2672" Type="http://schemas.openxmlformats.org/officeDocument/2006/relationships/hyperlink" Target="https://www.cettire.com/collections/harris-wharf-london" TargetMode="External"/><Relationship Id="rId3309" Type="http://schemas.openxmlformats.org/officeDocument/2006/relationships/hyperlink" Target="https://www.cettire.com/collections/kwaidan-editions" TargetMode="External"/><Relationship Id="rId3723" Type="http://schemas.openxmlformats.org/officeDocument/2006/relationships/hyperlink" Target="https://www.cettire.com/collections/chinatown-market" TargetMode="External"/><Relationship Id="rId644" Type="http://schemas.openxmlformats.org/officeDocument/2006/relationships/hyperlink" Target="https://www.cettire.com/collections/alexandre-vauthier" TargetMode="External"/><Relationship Id="rId1274" Type="http://schemas.openxmlformats.org/officeDocument/2006/relationships/hyperlink" Target="https://www.cettire.com/collections/attico" TargetMode="External"/><Relationship Id="rId2325" Type="http://schemas.openxmlformats.org/officeDocument/2006/relationships/hyperlink" Target="https://www.cettire.com/collections/see-by-chloe" TargetMode="External"/><Relationship Id="rId711" Type="http://schemas.openxmlformats.org/officeDocument/2006/relationships/hyperlink" Target="https://www.cettire.com/collections/c-p-company" TargetMode="External"/><Relationship Id="rId1341" Type="http://schemas.openxmlformats.org/officeDocument/2006/relationships/hyperlink" Target="https://www.cettire.com/collections/chloe-eyewear" TargetMode="External"/><Relationship Id="rId4497" Type="http://schemas.openxmlformats.org/officeDocument/2006/relationships/hyperlink" Target="https://www.cettire.com/collections/junya-watanabe-comme-des-garcons" TargetMode="External"/><Relationship Id="rId3099" Type="http://schemas.openxmlformats.org/officeDocument/2006/relationships/hyperlink" Target="https://www.cettire.com/collections/balmain" TargetMode="External"/><Relationship Id="rId4564" Type="http://schemas.openxmlformats.org/officeDocument/2006/relationships/hyperlink" Target="https://www.cettire.com/collections/mauna-kea" TargetMode="External"/><Relationship Id="rId3166" Type="http://schemas.openxmlformats.org/officeDocument/2006/relationships/hyperlink" Target="https://www.cettire.com/collections/comme%20des%20garcons%20play%20kids" TargetMode="External"/><Relationship Id="rId3580" Type="http://schemas.openxmlformats.org/officeDocument/2006/relationships/hyperlink" Target="https://www.cettire.com/collections/weekend-max-mara" TargetMode="External"/><Relationship Id="rId4217" Type="http://schemas.openxmlformats.org/officeDocument/2006/relationships/hyperlink" Target="https://www.cettire.com/collections/a-w-a-k-e-mode" TargetMode="External"/><Relationship Id="rId2182" Type="http://schemas.openxmlformats.org/officeDocument/2006/relationships/hyperlink" Target="https://www.cettire.com/collections/mini-rodini" TargetMode="External"/><Relationship Id="rId3233" Type="http://schemas.openxmlformats.org/officeDocument/2006/relationships/hyperlink" Target="https://www.cettire.com/collections/finamore-1925-napoli" TargetMode="External"/><Relationship Id="rId4631" Type="http://schemas.openxmlformats.org/officeDocument/2006/relationships/hyperlink" Target="https://www.cettire.com/collections/officine-creative" TargetMode="External"/><Relationship Id="rId154" Type="http://schemas.openxmlformats.org/officeDocument/2006/relationships/hyperlink" Target="https://www.cettire.com/collections/coperni" TargetMode="External"/><Relationship Id="rId2999" Type="http://schemas.openxmlformats.org/officeDocument/2006/relationships/hyperlink" Target="https://www.cettire.com/collections/vans" TargetMode="External"/><Relationship Id="rId3300" Type="http://schemas.openxmlformats.org/officeDocument/2006/relationships/hyperlink" Target="https://www.cettire.com/collections/kara" TargetMode="External"/><Relationship Id="rId221" Type="http://schemas.openxmlformats.org/officeDocument/2006/relationships/hyperlink" Target="https://www.cettire.com/collections/flat-apartment" TargetMode="External"/><Relationship Id="rId1668" Type="http://schemas.openxmlformats.org/officeDocument/2006/relationships/hyperlink" Target="https://www.cettire.com/collections/proenza-schouler-white-label" TargetMode="External"/><Relationship Id="rId2719" Type="http://schemas.openxmlformats.org/officeDocument/2006/relationships/hyperlink" Target="https://www.cettire.com/collections/karl-lagerfeld-kids" TargetMode="External"/><Relationship Id="rId4074" Type="http://schemas.openxmlformats.org/officeDocument/2006/relationships/hyperlink" Target="https://www.cettire.com/collections/reebok-x-victoria-beckham" TargetMode="External"/><Relationship Id="rId3090" Type="http://schemas.openxmlformats.org/officeDocument/2006/relationships/hyperlink" Target="https://www.cettire.com/collections/aspesi" TargetMode="External"/><Relationship Id="rId4141" Type="http://schemas.openxmlformats.org/officeDocument/2006/relationships/hyperlink" Target="https://www.cettire.com/collections/the-attico" TargetMode="External"/><Relationship Id="rId1735" Type="http://schemas.openxmlformats.org/officeDocument/2006/relationships/hyperlink" Target="https://www.cettire.com/collections/staud" TargetMode="External"/><Relationship Id="rId27" Type="http://schemas.openxmlformats.org/officeDocument/2006/relationships/hyperlink" Target="https://www.cettire.com/collections/alaia" TargetMode="External"/><Relationship Id="rId1802" Type="http://schemas.openxmlformats.org/officeDocument/2006/relationships/hyperlink" Target="https://www.cettire.com/collections/weekend-max-mara" TargetMode="External"/><Relationship Id="rId3974" Type="http://schemas.openxmlformats.org/officeDocument/2006/relationships/hyperlink" Target="https://www.cettire.com/collections/mm6-maison-margiela-kids" TargetMode="External"/><Relationship Id="rId895" Type="http://schemas.openxmlformats.org/officeDocument/2006/relationships/hyperlink" Target="https://www.cettire.com/collections/just-don" TargetMode="External"/><Relationship Id="rId2576" Type="http://schemas.openxmlformats.org/officeDocument/2006/relationships/hyperlink" Target="https://www.cettire.com/collections/corneliani" TargetMode="External"/><Relationship Id="rId2990" Type="http://schemas.openxmlformats.org/officeDocument/2006/relationships/hyperlink" Target="https://www.cettire.com/collections/uh-nom-uh-nit" TargetMode="External"/><Relationship Id="rId3627" Type="http://schemas.openxmlformats.org/officeDocument/2006/relationships/hyperlink" Target="https://www.cettire.com/collections/alexander-mcqueen" TargetMode="External"/><Relationship Id="rId548" Type="http://schemas.openxmlformats.org/officeDocument/2006/relationships/hyperlink" Target="https://www.cettire.com/collections/the-north-face-kids" TargetMode="External"/><Relationship Id="rId962" Type="http://schemas.openxmlformats.org/officeDocument/2006/relationships/hyperlink" Target="https://www.cettire.com/collections/max-mara-studio" TargetMode="External"/><Relationship Id="rId1178" Type="http://schemas.openxmlformats.org/officeDocument/2006/relationships/hyperlink" Target="https://www.cettire.com/collections/valextra" TargetMode="External"/><Relationship Id="rId1592" Type="http://schemas.openxmlformats.org/officeDocument/2006/relationships/hyperlink" Target="https://www.cettire.com/collections/moncler-gamme-rouge" TargetMode="External"/><Relationship Id="rId2229" Type="http://schemas.openxmlformats.org/officeDocument/2006/relationships/hyperlink" Target="https://www.cettire.com/collections/north-sails-x-prada-cup" TargetMode="External"/><Relationship Id="rId2643" Type="http://schemas.openxmlformats.org/officeDocument/2006/relationships/hyperlink" Target="https://www.cettire.com/collections/finamore-1925-napoli" TargetMode="External"/><Relationship Id="rId615" Type="http://schemas.openxmlformats.org/officeDocument/2006/relationships/hyperlink" Target="https://www.cettire.com/collections/a-p-c" TargetMode="External"/><Relationship Id="rId1245" Type="http://schemas.openxmlformats.org/officeDocument/2006/relationships/hyperlink" Target="https://www.cettire.com/collections/alexander-mcqueen" TargetMode="External"/><Relationship Id="rId1312" Type="http://schemas.openxmlformats.org/officeDocument/2006/relationships/hyperlink" Target="https://www.cettire.com/collections/burberry" TargetMode="External"/><Relationship Id="rId2710" Type="http://schemas.openxmlformats.org/officeDocument/2006/relationships/hyperlink" Target="https://www.cettire.com/collections/junya-watanabe-man" TargetMode="External"/><Relationship Id="rId4468" Type="http://schemas.openxmlformats.org/officeDocument/2006/relationships/hyperlink" Target="https://www.cettire.com/collections/hogan-kids" TargetMode="External"/><Relationship Id="rId2086" Type="http://schemas.openxmlformats.org/officeDocument/2006/relationships/hyperlink" Target="https://www.cettire.com/collections/incotex" TargetMode="External"/><Relationship Id="rId3484" Type="http://schemas.openxmlformats.org/officeDocument/2006/relationships/hyperlink" Target="https://www.cettire.com/collections/rick-owens-x-veja" TargetMode="External"/><Relationship Id="rId4535" Type="http://schemas.openxmlformats.org/officeDocument/2006/relationships/hyperlink" Target="https://www.cettire.com/collections/love-moschino" TargetMode="External"/><Relationship Id="rId3137" Type="http://schemas.openxmlformats.org/officeDocument/2006/relationships/hyperlink" Target="https://www.cettire.com/collections/carhartt" TargetMode="External"/><Relationship Id="rId3551" Type="http://schemas.openxmlformats.org/officeDocument/2006/relationships/hyperlink" Target="https://www.cettire.com/collections/twinset" TargetMode="External"/><Relationship Id="rId4602" Type="http://schemas.openxmlformats.org/officeDocument/2006/relationships/hyperlink" Target="https://www.cettire.com/collections/mou-kids" TargetMode="External"/><Relationship Id="rId472" Type="http://schemas.openxmlformats.org/officeDocument/2006/relationships/hyperlink" Target="https://www.cettire.com/collections/readymade" TargetMode="External"/><Relationship Id="rId2153" Type="http://schemas.openxmlformats.org/officeDocument/2006/relationships/hyperlink" Target="https://www.cettire.com/collections/mansur-gavriel" TargetMode="External"/><Relationship Id="rId3204" Type="http://schemas.openxmlformats.org/officeDocument/2006/relationships/hyperlink" Target="https://www.cettire.com/collections/edward-green" TargetMode="External"/><Relationship Id="rId125" Type="http://schemas.openxmlformats.org/officeDocument/2006/relationships/hyperlink" Target="https://www.cettire.com/collections/chanel" TargetMode="External"/><Relationship Id="rId2220" Type="http://schemas.openxmlformats.org/officeDocument/2006/relationships/hyperlink" Target="https://www.cettire.com/collections/neous" TargetMode="External"/><Relationship Id="rId4392" Type="http://schemas.openxmlformats.org/officeDocument/2006/relationships/hyperlink" Target="https://www.cettire.com/collections/dsquared2-kids" TargetMode="External"/><Relationship Id="rId1986" Type="http://schemas.openxmlformats.org/officeDocument/2006/relationships/hyperlink" Target="https://www.cettire.com/collections/diesel-kids" TargetMode="External"/><Relationship Id="rId4045" Type="http://schemas.openxmlformats.org/officeDocument/2006/relationships/hyperlink" Target="https://www.cettire.com/collections/plan-c" TargetMode="External"/><Relationship Id="rId1639" Type="http://schemas.openxmlformats.org/officeDocument/2006/relationships/hyperlink" Target="https://www.cettire.com/collections/paco-rabanne" TargetMode="External"/><Relationship Id="rId3061" Type="http://schemas.openxmlformats.org/officeDocument/2006/relationships/hyperlink" Target="https://www.cettire.com/collections/alberta-ferretti" TargetMode="External"/><Relationship Id="rId1706" Type="http://schemas.openxmlformats.org/officeDocument/2006/relationships/hyperlink" Target="https://www.cettire.com/collections/rotate" TargetMode="External"/><Relationship Id="rId4112" Type="http://schemas.openxmlformats.org/officeDocument/2006/relationships/hyperlink" Target="https://www.cettire.com/collections/sies-marjan" TargetMode="External"/><Relationship Id="rId3878" Type="http://schemas.openxmlformats.org/officeDocument/2006/relationships/hyperlink" Target="https://www.cettire.com/collections/john-elliott" TargetMode="External"/><Relationship Id="rId799" Type="http://schemas.openxmlformats.org/officeDocument/2006/relationships/hyperlink" Target="https://www.cettire.com/collections/emilio-pucci-junior" TargetMode="External"/><Relationship Id="rId2687" Type="http://schemas.openxmlformats.org/officeDocument/2006/relationships/hyperlink" Target="https://www.cettire.com/collections/ienki-ienki" TargetMode="External"/><Relationship Id="rId2894" Type="http://schemas.openxmlformats.org/officeDocument/2006/relationships/hyperlink" Target="https://www.cettire.com/collections/ray-ban" TargetMode="External"/><Relationship Id="rId3738" Type="http://schemas.openxmlformats.org/officeDocument/2006/relationships/hyperlink" Target="https://www.cettire.com/collections/comme-des-garcons-girl" TargetMode="External"/><Relationship Id="rId659" Type="http://schemas.openxmlformats.org/officeDocument/2006/relationships/hyperlink" Target="https://www.cettire.com/collections/area" TargetMode="External"/><Relationship Id="rId866" Type="http://schemas.openxmlformats.org/officeDocument/2006/relationships/hyperlink" Target="https://www.cettire.com/collections/homme-plisse-issey-miyake" TargetMode="External"/><Relationship Id="rId1289" Type="http://schemas.openxmlformats.org/officeDocument/2006/relationships/hyperlink" Target="https://www.cettire.com/collections/bark-b-rules" TargetMode="External"/><Relationship Id="rId1496" Type="http://schemas.openxmlformats.org/officeDocument/2006/relationships/hyperlink" Target="https://www.cettire.com/collections/john-lobb" TargetMode="External"/><Relationship Id="rId2547" Type="http://schemas.openxmlformats.org/officeDocument/2006/relationships/hyperlink" Target="https://www.cettire.com/collections/chanel" TargetMode="External"/><Relationship Id="rId3945" Type="http://schemas.openxmlformats.org/officeDocument/2006/relationships/hyperlink" Target="https://www.cettire.com/collections/marquesalmeida" TargetMode="External"/><Relationship Id="rId519" Type="http://schemas.openxmlformats.org/officeDocument/2006/relationships/hyperlink" Target="https://www.cettire.com/collections/sofie-dhoore" TargetMode="External"/><Relationship Id="rId1149" Type="http://schemas.openxmlformats.org/officeDocument/2006/relationships/hyperlink" Target="https://www.cettire.com/collections/the-marc-jacobs-kids" TargetMode="External"/><Relationship Id="rId1356" Type="http://schemas.openxmlformats.org/officeDocument/2006/relationships/hyperlink" Target="https://www.cettire.com/collections/comme-des-garcons-noir-kei-ninomiya" TargetMode="External"/><Relationship Id="rId2754" Type="http://schemas.openxmlformats.org/officeDocument/2006/relationships/hyperlink" Target="https://www.cettire.com/collections/maison-kitsune" TargetMode="External"/><Relationship Id="rId2961" Type="http://schemas.openxmlformats.org/officeDocument/2006/relationships/hyperlink" Target="https://www.cettire.com/collections/sunnei" TargetMode="External"/><Relationship Id="rId3805" Type="http://schemas.openxmlformats.org/officeDocument/2006/relationships/hyperlink" Target="https://www.cettire.com/collections/faith-connexion" TargetMode="External"/><Relationship Id="rId726" Type="http://schemas.openxmlformats.org/officeDocument/2006/relationships/hyperlink" Target="https://www.cettire.com/collections/cc-collection-corneliani" TargetMode="External"/><Relationship Id="rId933" Type="http://schemas.openxmlformats.org/officeDocument/2006/relationships/hyperlink" Target="https://www.cettire.com/collections/mackintosh" TargetMode="External"/><Relationship Id="rId1009" Type="http://schemas.openxmlformats.org/officeDocument/2006/relationships/hyperlink" Target="https://www.cettire.com/collections/neil-barrett-kids" TargetMode="External"/><Relationship Id="rId1563" Type="http://schemas.openxmlformats.org/officeDocument/2006/relationships/hyperlink" Target="https://www.cettire.com/collections/materiel" TargetMode="External"/><Relationship Id="rId1770" Type="http://schemas.openxmlformats.org/officeDocument/2006/relationships/hyperlink" Target="https://www.cettire.com/collections/trickers" TargetMode="External"/><Relationship Id="rId2407" Type="http://schemas.openxmlformats.org/officeDocument/2006/relationships/hyperlink" Target="https://www.cettire.com/collections/white-mountaineering" TargetMode="External"/><Relationship Id="rId2614" Type="http://schemas.openxmlformats.org/officeDocument/2006/relationships/hyperlink" Target="https://www.cettire.com/collections/elie-saab-junior" TargetMode="External"/><Relationship Id="rId2821" Type="http://schemas.openxmlformats.org/officeDocument/2006/relationships/hyperlink" Target="https://www.cettire.com/collections/n-21-kids" TargetMode="External"/><Relationship Id="rId62" Type="http://schemas.openxmlformats.org/officeDocument/2006/relationships/hyperlink" Target="https://www.cettire.com/collections/attico" TargetMode="External"/><Relationship Id="rId1216" Type="http://schemas.openxmlformats.org/officeDocument/2006/relationships/hyperlink" Target="https://www.cettire.com/collections/ug-ss-kids" TargetMode="External"/><Relationship Id="rId1423" Type="http://schemas.openxmlformats.org/officeDocument/2006/relationships/hyperlink" Target="https://www.cettire.com/collections/fay-kids" TargetMode="External"/><Relationship Id="rId1630" Type="http://schemas.openxmlformats.org/officeDocument/2006/relationships/hyperlink" Target="https://www.cettire.com/collections/off-white-kids" TargetMode="External"/><Relationship Id="rId4579" Type="http://schemas.openxmlformats.org/officeDocument/2006/relationships/hyperlink" Target="https://www.cettire.com/collections/mini-rodini" TargetMode="External"/><Relationship Id="rId4786" Type="http://schemas.openxmlformats.org/officeDocument/2006/relationships/hyperlink" Target="https://www.cettire.com/collections/vans-vault" TargetMode="External"/><Relationship Id="rId3388" Type="http://schemas.openxmlformats.org/officeDocument/2006/relationships/hyperlink" Target="https://www.cettire.com/collections/moose-knuckles" TargetMode="External"/><Relationship Id="rId3595" Type="http://schemas.openxmlformats.org/officeDocument/2006/relationships/hyperlink" Target="https://www.cettire.com/collections/1017-alyx-9sm" TargetMode="External"/><Relationship Id="rId4439" Type="http://schemas.openxmlformats.org/officeDocument/2006/relationships/hyperlink" Target="https://www.cettire.com/collections/ganni" TargetMode="External"/><Relationship Id="rId4646" Type="http://schemas.openxmlformats.org/officeDocument/2006/relationships/hyperlink" Target="https://www.cettire.com/collections/paura-x-kappa" TargetMode="External"/><Relationship Id="rId2197" Type="http://schemas.openxmlformats.org/officeDocument/2006/relationships/hyperlink" Target="https://www.cettire.com/collections/moncler-genius" TargetMode="External"/><Relationship Id="rId3248" Type="http://schemas.openxmlformats.org/officeDocument/2006/relationships/hyperlink" Target="https://www.cettire.com/collections/giorgio-armani" TargetMode="External"/><Relationship Id="rId3455" Type="http://schemas.openxmlformats.org/officeDocument/2006/relationships/hyperlink" Target="https://www.cettire.com/collections/pt-torino" TargetMode="External"/><Relationship Id="rId3662" Type="http://schemas.openxmlformats.org/officeDocument/2006/relationships/hyperlink" Target="https://www.cettire.com/collections/balenciaga-eyewear" TargetMode="External"/><Relationship Id="rId4506" Type="http://schemas.openxmlformats.org/officeDocument/2006/relationships/hyperlink" Target="https://www.cettire.com/collections/karl-lagerfeld" TargetMode="External"/><Relationship Id="rId4713" Type="http://schemas.openxmlformats.org/officeDocument/2006/relationships/hyperlink" Target="https://www.cettire.com/collections/salvatore-ferragamo" TargetMode="External"/><Relationship Id="rId169" Type="http://schemas.openxmlformats.org/officeDocument/2006/relationships/hyperlink" Target="https://www.cettire.com/collections/diesel-black-gold" TargetMode="External"/><Relationship Id="rId376" Type="http://schemas.openxmlformats.org/officeDocument/2006/relationships/hyperlink" Target="https://www.cettire.com/collections/mm6-maison-margiela" TargetMode="External"/><Relationship Id="rId583" Type="http://schemas.openxmlformats.org/officeDocument/2006/relationships/hyperlink" Target="https://www.cettire.com/collections/versace-kids" TargetMode="External"/><Relationship Id="rId790" Type="http://schemas.openxmlformats.org/officeDocument/2006/relationships/hyperlink" Target="https://www.cettire.com/collections/duvetica" TargetMode="External"/><Relationship Id="rId2057" Type="http://schemas.openxmlformats.org/officeDocument/2006/relationships/hyperlink" Target="https://www.cettire.com/collections/givenchy-kids" TargetMode="External"/><Relationship Id="rId2264" Type="http://schemas.openxmlformats.org/officeDocument/2006/relationships/hyperlink" Target="https://www.cettire.com/collections/polo-ralph-lauren-kids" TargetMode="External"/><Relationship Id="rId2471" Type="http://schemas.openxmlformats.org/officeDocument/2006/relationships/hyperlink" Target="https://www.cettire.com/collections/ann-demeulemeester" TargetMode="External"/><Relationship Id="rId3108" Type="http://schemas.openxmlformats.org/officeDocument/2006/relationships/hyperlink" Target="https://www.cettire.com/collections/billieblush" TargetMode="External"/><Relationship Id="rId3315" Type="http://schemas.openxmlformats.org/officeDocument/2006/relationships/hyperlink" Target="https://www.cettire.com/collections/lanvin" TargetMode="External"/><Relationship Id="rId3522" Type="http://schemas.openxmlformats.org/officeDocument/2006/relationships/hyperlink" Target="https://www.cettire.com/collections/stone-island-shadow-project" TargetMode="External"/><Relationship Id="rId236" Type="http://schemas.openxmlformats.org/officeDocument/2006/relationships/hyperlink" Target="https://www.cettire.com/collections/gia-couture" TargetMode="External"/><Relationship Id="rId443" Type="http://schemas.openxmlformats.org/officeDocument/2006/relationships/hyperlink" Target="https://www.cettire.com/collections/philosophy-di-lorenzo-serafini" TargetMode="External"/><Relationship Id="rId650" Type="http://schemas.openxmlformats.org/officeDocument/2006/relationships/hyperlink" Target="https://www.cettire.com/collections/amiri" TargetMode="External"/><Relationship Id="rId1073" Type="http://schemas.openxmlformats.org/officeDocument/2006/relationships/hyperlink" Target="https://www.cettire.com/collections/rave-review" TargetMode="External"/><Relationship Id="rId1280" Type="http://schemas.openxmlformats.org/officeDocument/2006/relationships/hyperlink" Target="https://www.cettire.com/collections/balenciaga-kids" TargetMode="External"/><Relationship Id="rId2124" Type="http://schemas.openxmlformats.org/officeDocument/2006/relationships/hyperlink" Target="https://www.cettire.com/collections/lanvin" TargetMode="External"/><Relationship Id="rId2331" Type="http://schemas.openxmlformats.org/officeDocument/2006/relationships/hyperlink" Target="https://www.cettire.com/collections/simone-rocha" TargetMode="External"/><Relationship Id="rId303" Type="http://schemas.openxmlformats.org/officeDocument/2006/relationships/hyperlink" Target="https://www.cettire.com/collections/khrisjoy-kids" TargetMode="External"/><Relationship Id="rId1140" Type="http://schemas.openxmlformats.org/officeDocument/2006/relationships/hyperlink" Target="https://www.cettire.com/collections/sunflower" TargetMode="External"/><Relationship Id="rId4089" Type="http://schemas.openxmlformats.org/officeDocument/2006/relationships/hyperlink" Target="https://www.cettire.com/collections/rodebjer" TargetMode="External"/><Relationship Id="rId4296" Type="http://schemas.openxmlformats.org/officeDocument/2006/relationships/hyperlink" Target="https://www.cettire.com/collections/boglioli" TargetMode="External"/><Relationship Id="rId510" Type="http://schemas.openxmlformats.org/officeDocument/2006/relationships/hyperlink" Target="https://www.cettire.com/collections/save-the-duck-kids" TargetMode="External"/><Relationship Id="rId1000" Type="http://schemas.openxmlformats.org/officeDocument/2006/relationships/hyperlink" Target="https://www.cettire.com/collections/mykita" TargetMode="External"/><Relationship Id="rId1957" Type="http://schemas.openxmlformats.org/officeDocument/2006/relationships/hyperlink" Target="https://www.cettire.com/collections/collina-strada" TargetMode="External"/><Relationship Id="rId4156" Type="http://schemas.openxmlformats.org/officeDocument/2006/relationships/hyperlink" Target="https://www.cettire.com/collections/tommy-hilfiger" TargetMode="External"/><Relationship Id="rId4363" Type="http://schemas.openxmlformats.org/officeDocument/2006/relationships/hyperlink" Target="https://www.cettire.com/collections/courreges-eyewear" TargetMode="External"/><Relationship Id="rId4570" Type="http://schemas.openxmlformats.org/officeDocument/2006/relationships/hyperlink" Target="https://www.cettire.com/collections/max-mara-the-cube" TargetMode="External"/><Relationship Id="rId1817" Type="http://schemas.openxmlformats.org/officeDocument/2006/relationships/hyperlink" Target="https://www.cettire.com/collections/zimmermann" TargetMode="External"/><Relationship Id="rId3172" Type="http://schemas.openxmlformats.org/officeDocument/2006/relationships/hyperlink" Target="https://www.cettire.com/collections/corneliani" TargetMode="External"/><Relationship Id="rId4016" Type="http://schemas.openxmlformats.org/officeDocument/2006/relationships/hyperlink" Target="https://www.cettire.com/collections/oamc" TargetMode="External"/><Relationship Id="rId4223" Type="http://schemas.openxmlformats.org/officeDocument/2006/relationships/hyperlink" Target="https://www.cettire.com/collections/adidas-by-pharrell-williams" TargetMode="External"/><Relationship Id="rId4430" Type="http://schemas.openxmlformats.org/officeDocument/2006/relationships/hyperlink" Target="https://www.cettire.com/collections/forte-dei-marmi-couture" TargetMode="External"/><Relationship Id="rId3032" Type="http://schemas.openxmlformats.org/officeDocument/2006/relationships/hyperlink" Target="https://www.cettire.com/collections/s-max-mara" TargetMode="External"/><Relationship Id="rId160" Type="http://schemas.openxmlformats.org/officeDocument/2006/relationships/hyperlink" Target="https://www.cettire.com/collections/cutler-gross" TargetMode="External"/><Relationship Id="rId3989" Type="http://schemas.openxmlformats.org/officeDocument/2006/relationships/hyperlink" Target="https://www.cettire.com/collections/mou-kids" TargetMode="External"/><Relationship Id="rId2798" Type="http://schemas.openxmlformats.org/officeDocument/2006/relationships/hyperlink" Target="https://www.cettire.com/collections/mm6-maison-margiela" TargetMode="External"/><Relationship Id="rId3849" Type="http://schemas.openxmlformats.org/officeDocument/2006/relationships/hyperlink" Target="https://www.cettire.com/collections/herno-kids" TargetMode="External"/><Relationship Id="rId977" Type="http://schemas.openxmlformats.org/officeDocument/2006/relationships/hyperlink" Target="https://www.cettire.com/collections/miu-miu-eyewear" TargetMode="External"/><Relationship Id="rId2658" Type="http://schemas.openxmlformats.org/officeDocument/2006/relationships/hyperlink" Target="https://www.cettire.com/collections/giambattista-valli" TargetMode="External"/><Relationship Id="rId2865" Type="http://schemas.openxmlformats.org/officeDocument/2006/relationships/hyperlink" Target="https://www.cettire.com/collections/philippe-model-paris" TargetMode="External"/><Relationship Id="rId3709" Type="http://schemas.openxmlformats.org/officeDocument/2006/relationships/hyperlink" Target="https://www.cettire.com/collections/car-shoe" TargetMode="External"/><Relationship Id="rId3916" Type="http://schemas.openxmlformats.org/officeDocument/2006/relationships/hyperlink" Target="https://www.cettire.com/collections/lisa-marie-fernandez" TargetMode="External"/><Relationship Id="rId4080" Type="http://schemas.openxmlformats.org/officeDocument/2006/relationships/hyperlink" Target="https://www.cettire.com/collections/rhude" TargetMode="External"/><Relationship Id="rId837" Type="http://schemas.openxmlformats.org/officeDocument/2006/relationships/hyperlink" Target="https://www.cettire.com/collections/gcds" TargetMode="External"/><Relationship Id="rId1467" Type="http://schemas.openxmlformats.org/officeDocument/2006/relationships/hyperlink" Target="https://www.cettire.com/collections/herschel-supply-co" TargetMode="External"/><Relationship Id="rId1674" Type="http://schemas.openxmlformats.org/officeDocument/2006/relationships/hyperlink" Target="https://www.cettire.com/collections/r13" TargetMode="External"/><Relationship Id="rId1881" Type="http://schemas.openxmlformats.org/officeDocument/2006/relationships/hyperlink" Target="https://www.cettire.com/collections/au-depart" TargetMode="External"/><Relationship Id="rId2518" Type="http://schemas.openxmlformats.org/officeDocument/2006/relationships/hyperlink" Target="https://www.cettire.com/collections/brian-dales" TargetMode="External"/><Relationship Id="rId2725" Type="http://schemas.openxmlformats.org/officeDocument/2006/relationships/hyperlink" Target="https://www.cettire.com/collections/kuboraum" TargetMode="External"/><Relationship Id="rId2932" Type="http://schemas.openxmlformats.org/officeDocument/2006/relationships/hyperlink" Target="https://www.cettire.com/collections/sara-battaglia" TargetMode="External"/><Relationship Id="rId904" Type="http://schemas.openxmlformats.org/officeDocument/2006/relationships/hyperlink" Target="https://www.cettire.com/collections/kenzo-kids" TargetMode="External"/><Relationship Id="rId1327" Type="http://schemas.openxmlformats.org/officeDocument/2006/relationships/hyperlink" Target="https://www.cettire.com/collections/carhartt" TargetMode="External"/><Relationship Id="rId1534" Type="http://schemas.openxmlformats.org/officeDocument/2006/relationships/hyperlink" Target="https://www.cettire.com/collections/loro-piana" TargetMode="External"/><Relationship Id="rId1741" Type="http://schemas.openxmlformats.org/officeDocument/2006/relationships/hyperlink" Target="https://www.cettire.com/collections/stone-island-shadow-project" TargetMode="External"/><Relationship Id="rId33" Type="http://schemas.openxmlformats.org/officeDocument/2006/relationships/hyperlink" Target="https://www.cettire.com/collections/alessia-xoccato" TargetMode="External"/><Relationship Id="rId1601" Type="http://schemas.openxmlformats.org/officeDocument/2006/relationships/hyperlink" Target="https://www.cettire.com/collections/mother" TargetMode="External"/><Relationship Id="rId3499" Type="http://schemas.openxmlformats.org/officeDocument/2006/relationships/hyperlink" Target="https://www.cettire.com/collections/salvatore-ferragamo-eyewear" TargetMode="External"/><Relationship Id="rId4757" Type="http://schemas.openxmlformats.org/officeDocument/2006/relationships/hyperlink" Target="https://www.cettire.com/collections/the-north-face-kids" TargetMode="External"/><Relationship Id="rId3359" Type="http://schemas.openxmlformats.org/officeDocument/2006/relationships/hyperlink" Target="https://www.cettire.com/collections/max-mara" TargetMode="External"/><Relationship Id="rId3566" Type="http://schemas.openxmlformats.org/officeDocument/2006/relationships/hyperlink" Target="https://www.cettire.com/collections/veja-kids" TargetMode="External"/><Relationship Id="rId487" Type="http://schemas.openxmlformats.org/officeDocument/2006/relationships/hyperlink" Target="https://www.cettire.com/collections/rick-owens-x-birkenstock" TargetMode="External"/><Relationship Id="rId694" Type="http://schemas.openxmlformats.org/officeDocument/2006/relationships/hyperlink" Target="https://www.cettire.com/collections/bonpoint" TargetMode="External"/><Relationship Id="rId2168" Type="http://schemas.openxmlformats.org/officeDocument/2006/relationships/hyperlink" Target="https://www.cettire.com/collections/mauna-kea" TargetMode="External"/><Relationship Id="rId2375" Type="http://schemas.openxmlformats.org/officeDocument/2006/relationships/hyperlink" Target="https://www.cettire.com/collections/trippen" TargetMode="External"/><Relationship Id="rId3219" Type="http://schemas.openxmlformats.org/officeDocument/2006/relationships/hyperlink" Target="https://www.cettire.com/collections/extreme-cashmere" TargetMode="External"/><Relationship Id="rId3773" Type="http://schemas.openxmlformats.org/officeDocument/2006/relationships/hyperlink" Target="https://www.cettire.com/collections/dolce-gabbana-eyewear" TargetMode="External"/><Relationship Id="rId3980" Type="http://schemas.openxmlformats.org/officeDocument/2006/relationships/hyperlink" Target="https://www.cettire.com/collections/moncler-genius" TargetMode="External"/><Relationship Id="rId4617" Type="http://schemas.openxmlformats.org/officeDocument/2006/relationships/hyperlink" Target="https://www.cettire.com/collections/new-york-industrie" TargetMode="External"/><Relationship Id="rId347" Type="http://schemas.openxmlformats.org/officeDocument/2006/relationships/hyperlink" Target="https://www.cettire.com/collections/marni" TargetMode="External"/><Relationship Id="rId1184" Type="http://schemas.openxmlformats.org/officeDocument/2006/relationships/hyperlink" Target="https://www.cettire.com/collections/versace-collection" TargetMode="External"/><Relationship Id="rId2028" Type="http://schemas.openxmlformats.org/officeDocument/2006/relationships/hyperlink" Target="https://www.cettire.com/collections/fay" TargetMode="External"/><Relationship Id="rId2582" Type="http://schemas.openxmlformats.org/officeDocument/2006/relationships/hyperlink" Target="https://www.cettire.com/collections/daily-paper" TargetMode="External"/><Relationship Id="rId3426" Type="http://schemas.openxmlformats.org/officeDocument/2006/relationships/hyperlink" Target="https://www.cettire.com/collections/paccbet" TargetMode="External"/><Relationship Id="rId3633" Type="http://schemas.openxmlformats.org/officeDocument/2006/relationships/hyperlink" Target="https://www.cettire.com/collections/alpha-industries" TargetMode="External"/><Relationship Id="rId3840" Type="http://schemas.openxmlformats.org/officeDocument/2006/relationships/hyperlink" Target="https://www.cettire.com/collections/gucci" TargetMode="External"/><Relationship Id="rId554" Type="http://schemas.openxmlformats.org/officeDocument/2006/relationships/hyperlink" Target="https://www.cettire.com/collections/tods" TargetMode="External"/><Relationship Id="rId761" Type="http://schemas.openxmlformats.org/officeDocument/2006/relationships/hyperlink" Target="https://www.cettire.com/collections/craig-green" TargetMode="External"/><Relationship Id="rId1391" Type="http://schemas.openxmlformats.org/officeDocument/2006/relationships/hyperlink" Target="https://www.cettire.com/collections/dr-martens" TargetMode="External"/><Relationship Id="rId2235" Type="http://schemas.openxmlformats.org/officeDocument/2006/relationships/hyperlink" Target="https://www.cettire.com/collections/officine-creative" TargetMode="External"/><Relationship Id="rId2442" Type="http://schemas.openxmlformats.org/officeDocument/2006/relationships/hyperlink" Target="https://www.cettire.com/collections/adidas-by-wales-bonner" TargetMode="External"/><Relationship Id="rId3700" Type="http://schemas.openxmlformats.org/officeDocument/2006/relationships/hyperlink" Target="https://www.cettire.com/collections/by-far" TargetMode="External"/><Relationship Id="rId207" Type="http://schemas.openxmlformats.org/officeDocument/2006/relationships/hyperlink" Target="https://www.cettire.com/collections/eytys" TargetMode="External"/><Relationship Id="rId414" Type="http://schemas.openxmlformats.org/officeDocument/2006/relationships/hyperlink" Target="https://www.cettire.com/collections/noir-kei-ninomiya" TargetMode="External"/><Relationship Id="rId621" Type="http://schemas.openxmlformats.org/officeDocument/2006/relationships/hyperlink" Target="https://www.cettire.com/collections/adidas-by-human-made" TargetMode="External"/><Relationship Id="rId1044" Type="http://schemas.openxmlformats.org/officeDocument/2006/relationships/hyperlink" Target="https://www.cettire.com/collections/philippe-model" TargetMode="External"/><Relationship Id="rId1251" Type="http://schemas.openxmlformats.org/officeDocument/2006/relationships/hyperlink" Target="https://www.cettire.com/collections/alpha-industries" TargetMode="External"/><Relationship Id="rId2302" Type="http://schemas.openxmlformats.org/officeDocument/2006/relationships/hyperlink" Target="https://www.cettire.com/collections/rick-owens-x-veja" TargetMode="External"/><Relationship Id="rId1111" Type="http://schemas.openxmlformats.org/officeDocument/2006/relationships/hyperlink" Target="https://www.cettire.com/collections/santoni" TargetMode="External"/><Relationship Id="rId4267" Type="http://schemas.openxmlformats.org/officeDocument/2006/relationships/hyperlink" Target="https://www.cettire.com/collections/ash" TargetMode="External"/><Relationship Id="rId4474" Type="http://schemas.openxmlformats.org/officeDocument/2006/relationships/hyperlink" Target="https://www.cettire.com/collections/hugo-boss-kids" TargetMode="External"/><Relationship Id="rId4681" Type="http://schemas.openxmlformats.org/officeDocument/2006/relationships/hyperlink" Target="https://www.cettire.com/collections/readymade" TargetMode="External"/><Relationship Id="rId3076" Type="http://schemas.openxmlformats.org/officeDocument/2006/relationships/hyperlink" Target="https://www.cettire.com/collections/andersson-bell" TargetMode="External"/><Relationship Id="rId3283" Type="http://schemas.openxmlformats.org/officeDocument/2006/relationships/hyperlink" Target="https://www.cettire.com/collections/jacques-marie-mage" TargetMode="External"/><Relationship Id="rId3490" Type="http://schemas.openxmlformats.org/officeDocument/2006/relationships/hyperlink" Target="https://www.cettire.com/collections/rosantica" TargetMode="External"/><Relationship Id="rId4127" Type="http://schemas.openxmlformats.org/officeDocument/2006/relationships/hyperlink" Target="https://www.cettire.com/collections/stone-island-junior" TargetMode="External"/><Relationship Id="rId4334" Type="http://schemas.openxmlformats.org/officeDocument/2006/relationships/hyperlink" Target="https://www.cettire.com/collections/chiara-ferragni-kids" TargetMode="External"/><Relationship Id="rId4541" Type="http://schemas.openxmlformats.org/officeDocument/2006/relationships/hyperlink" Target="https://www.cettire.com/collections/maison-kitsune" TargetMode="External"/><Relationship Id="rId1928" Type="http://schemas.openxmlformats.org/officeDocument/2006/relationships/hyperlink" Target="https://www.cettire.com/collections/calvin-klein-jeans-est-1978" TargetMode="External"/><Relationship Id="rId2092" Type="http://schemas.openxmlformats.org/officeDocument/2006/relationships/hyperlink" Target="https://www.cettire.com/collections/j-brand" TargetMode="External"/><Relationship Id="rId3143" Type="http://schemas.openxmlformats.org/officeDocument/2006/relationships/hyperlink" Target="https://www.cettire.com/collections/cecilie-bahnsen" TargetMode="External"/><Relationship Id="rId3350" Type="http://schemas.openxmlformats.org/officeDocument/2006/relationships/hyperlink" Target="https://www.cettire.com/collections/marine-serre" TargetMode="External"/><Relationship Id="rId271" Type="http://schemas.openxmlformats.org/officeDocument/2006/relationships/hyperlink" Target="https://www.cettire.com/collections/incotex" TargetMode="External"/><Relationship Id="rId3003" Type="http://schemas.openxmlformats.org/officeDocument/2006/relationships/hyperlink" Target="https://www.cettire.com/collections/versace" TargetMode="External"/><Relationship Id="rId4401" Type="http://schemas.openxmlformats.org/officeDocument/2006/relationships/hyperlink" Target="https://www.cettire.com/collections/emilio-pucci" TargetMode="External"/><Relationship Id="rId131" Type="http://schemas.openxmlformats.org/officeDocument/2006/relationships/hyperlink" Target="https://www.cettire.com/collections/chlo%C3%A9%20kids" TargetMode="External"/><Relationship Id="rId3210" Type="http://schemas.openxmlformats.org/officeDocument/2006/relationships/hyperlink" Target="https://www.cettire.com/collections/emporio-armani" TargetMode="External"/><Relationship Id="rId2769" Type="http://schemas.openxmlformats.org/officeDocument/2006/relationships/hyperlink" Target="https://www.cettire.com/collections/marni-eyewear" TargetMode="External"/><Relationship Id="rId2976" Type="http://schemas.openxmlformats.org/officeDocument/2006/relationships/hyperlink" Target="https://www.cettire.com/collections/thom-browne" TargetMode="External"/><Relationship Id="rId948" Type="http://schemas.openxmlformats.org/officeDocument/2006/relationships/hyperlink" Target="https://www.cettire.com/collections/marcelo-burlon-county-of-milan-kids" TargetMode="External"/><Relationship Id="rId1578" Type="http://schemas.openxmlformats.org/officeDocument/2006/relationships/hyperlink" Target="https://www.cettire.com/collections/mini-rodini" TargetMode="External"/><Relationship Id="rId1785" Type="http://schemas.openxmlformats.org/officeDocument/2006/relationships/hyperlink" Target="https://www.cettire.com/collections/vans" TargetMode="External"/><Relationship Id="rId1992" Type="http://schemas.openxmlformats.org/officeDocument/2006/relationships/hyperlink" Target="https://www.cettire.com/collections/dkny-kids" TargetMode="External"/><Relationship Id="rId2629" Type="http://schemas.openxmlformats.org/officeDocument/2006/relationships/hyperlink" Target="https://www.cettire.com/collections/eyevan-7285" TargetMode="External"/><Relationship Id="rId2836" Type="http://schemas.openxmlformats.org/officeDocument/2006/relationships/hyperlink" Target="https://www.cettire.com/collections/noir-kei-ninomiya" TargetMode="External"/><Relationship Id="rId4191" Type="http://schemas.openxmlformats.org/officeDocument/2006/relationships/hyperlink" Target="https://www.cettire.com/collections/weekend-max-mara" TargetMode="External"/><Relationship Id="rId77" Type="http://schemas.openxmlformats.org/officeDocument/2006/relationships/hyperlink" Target="https://www.cettire.com/collections/bark-b-rules" TargetMode="External"/><Relationship Id="rId808" Type="http://schemas.openxmlformats.org/officeDocument/2006/relationships/hyperlink" Target="https://www.cettire.com/collections/eudon-choi" TargetMode="External"/><Relationship Id="rId1438" Type="http://schemas.openxmlformats.org/officeDocument/2006/relationships/hyperlink" Target="https://www.cettire.com/collections/fucking-awesome" TargetMode="External"/><Relationship Id="rId1645" Type="http://schemas.openxmlformats.org/officeDocument/2006/relationships/hyperlink" Target="https://www.cettire.com/collections/paul-smith" TargetMode="External"/><Relationship Id="rId4051" Type="http://schemas.openxmlformats.org/officeDocument/2006/relationships/hyperlink" Target="https://www.cettire.com/collections/prada-eyewear" TargetMode="External"/><Relationship Id="rId1852" Type="http://schemas.openxmlformats.org/officeDocument/2006/relationships/hyperlink" Target="https://www.cettire.com/collections/alexander-mcqueen-eyewear" TargetMode="External"/><Relationship Id="rId2903" Type="http://schemas.openxmlformats.org/officeDocument/2006/relationships/hyperlink" Target="https://www.cettire.com/collections/rejina-pyo" TargetMode="External"/><Relationship Id="rId1505" Type="http://schemas.openxmlformats.org/officeDocument/2006/relationships/hyperlink" Target="https://www.cettire.com/collections/kappa-kontroll" TargetMode="External"/><Relationship Id="rId1712" Type="http://schemas.openxmlformats.org/officeDocument/2006/relationships/hyperlink" Target="https://www.cettire.com/collections/salomon-s-lab" TargetMode="External"/><Relationship Id="rId3677" Type="http://schemas.openxmlformats.org/officeDocument/2006/relationships/hyperlink" Target="https://www.cettire.com/collections/billieblush" TargetMode="External"/><Relationship Id="rId3884" Type="http://schemas.openxmlformats.org/officeDocument/2006/relationships/hyperlink" Target="https://www.cettire.com/collections/just-don" TargetMode="External"/><Relationship Id="rId4728" Type="http://schemas.openxmlformats.org/officeDocument/2006/relationships/hyperlink" Target="https://www.cettire.com/collections/sonia-rykiel" TargetMode="External"/><Relationship Id="rId598" Type="http://schemas.openxmlformats.org/officeDocument/2006/relationships/hyperlink" Target="https://www.cettire.com/collections/y-project" TargetMode="External"/><Relationship Id="rId2279" Type="http://schemas.openxmlformats.org/officeDocument/2006/relationships/hyperlink" Target="https://www.cettire.com/collections/raf-simons" TargetMode="External"/><Relationship Id="rId2486" Type="http://schemas.openxmlformats.org/officeDocument/2006/relationships/hyperlink" Target="https://www.cettire.com/collections/au-depart" TargetMode="External"/><Relationship Id="rId2693" Type="http://schemas.openxmlformats.org/officeDocument/2006/relationships/hyperlink" Target="https://www.cettire.com/collections/isabel-marant-etoile" TargetMode="External"/><Relationship Id="rId3537" Type="http://schemas.openxmlformats.org/officeDocument/2006/relationships/hyperlink" Target="https://www.cettire.com/collections/the-north-face-black-series" TargetMode="External"/><Relationship Id="rId3744" Type="http://schemas.openxmlformats.org/officeDocument/2006/relationships/hyperlink" Target="https://www.cettire.com/collections/comme-des-garcons-shirt-boys" TargetMode="External"/><Relationship Id="rId3951" Type="http://schemas.openxmlformats.org/officeDocument/2006/relationships/hyperlink" Target="https://www.cettire.com/collections/maurizio-miri" TargetMode="External"/><Relationship Id="rId458" Type="http://schemas.openxmlformats.org/officeDocument/2006/relationships/hyperlink" Target="https://www.cettire.com/collections/proenza-schouler" TargetMode="External"/><Relationship Id="rId665" Type="http://schemas.openxmlformats.org/officeDocument/2006/relationships/hyperlink" Target="https://www.cettire.com/collections/asics" TargetMode="External"/><Relationship Id="rId872" Type="http://schemas.openxmlformats.org/officeDocument/2006/relationships/hyperlink" Target="https://www.cettire.com/collections/il-bisonte" TargetMode="External"/><Relationship Id="rId1088" Type="http://schemas.openxmlformats.org/officeDocument/2006/relationships/hyperlink" Target="https://www.cettire.com/collections/rick-owens" TargetMode="External"/><Relationship Id="rId1295" Type="http://schemas.openxmlformats.org/officeDocument/2006/relationships/hyperlink" Target="https://www.cettire.com/collections/billionaire" TargetMode="External"/><Relationship Id="rId2139" Type="http://schemas.openxmlformats.org/officeDocument/2006/relationships/hyperlink" Target="https://www.cettire.com/collections/loulou-studio" TargetMode="External"/><Relationship Id="rId2346" Type="http://schemas.openxmlformats.org/officeDocument/2006/relationships/hyperlink" Target="https://www.cettire.com/collections/stuart-weitzman" TargetMode="External"/><Relationship Id="rId2553" Type="http://schemas.openxmlformats.org/officeDocument/2006/relationships/hyperlink" Target="https://www.cettire.com/collections/chlo%C3%A9%20kids" TargetMode="External"/><Relationship Id="rId2760" Type="http://schemas.openxmlformats.org/officeDocument/2006/relationships/hyperlink" Target="https://www.cettire.com/collections/manolo-blahnik" TargetMode="External"/><Relationship Id="rId3604" Type="http://schemas.openxmlformats.org/officeDocument/2006/relationships/hyperlink" Target="https://www.cettire.com/collections/a-w-a-k-e-mode" TargetMode="External"/><Relationship Id="rId3811" Type="http://schemas.openxmlformats.org/officeDocument/2006/relationships/hyperlink" Target="https://www.cettire.com/collections/fendi-kids" TargetMode="External"/><Relationship Id="rId318" Type="http://schemas.openxmlformats.org/officeDocument/2006/relationships/hyperlink" Target="https://www.cettire.com/collections/li-ning" TargetMode="External"/><Relationship Id="rId525" Type="http://schemas.openxmlformats.org/officeDocument/2006/relationships/hyperlink" Target="https://www.cettire.com/collections/staud" TargetMode="External"/><Relationship Id="rId732" Type="http://schemas.openxmlformats.org/officeDocument/2006/relationships/hyperlink" Target="https://www.cettire.com/collections/chie-mihara" TargetMode="External"/><Relationship Id="rId1155" Type="http://schemas.openxmlformats.org/officeDocument/2006/relationships/hyperlink" Target="https://www.cettire.com/collections/theory" TargetMode="External"/><Relationship Id="rId1362" Type="http://schemas.openxmlformats.org/officeDocument/2006/relationships/hyperlink" Target="https://www.cettire.com/collections/common-projects" TargetMode="External"/><Relationship Id="rId2206" Type="http://schemas.openxmlformats.org/officeDocument/2006/relationships/hyperlink" Target="https://www.cettire.com/collections/mou-kids" TargetMode="External"/><Relationship Id="rId2413" Type="http://schemas.openxmlformats.org/officeDocument/2006/relationships/hyperlink" Target="https://www.cettire.com/collections/y-project" TargetMode="External"/><Relationship Id="rId2620" Type="http://schemas.openxmlformats.org/officeDocument/2006/relationships/hyperlink" Target="https://www.cettire.com/collections/enfants-riches-deprimes" TargetMode="External"/><Relationship Id="rId1015" Type="http://schemas.openxmlformats.org/officeDocument/2006/relationships/hyperlink" Target="https://www.cettire.com/collections/nodaleto" TargetMode="External"/><Relationship Id="rId1222" Type="http://schemas.openxmlformats.org/officeDocument/2006/relationships/hyperlink" Target="https://www.cettire.com/collections/abra" TargetMode="External"/><Relationship Id="rId4378" Type="http://schemas.openxmlformats.org/officeDocument/2006/relationships/hyperlink" Target="https://www.cettire.com/collections/diesel-red-tag" TargetMode="External"/><Relationship Id="rId4585" Type="http://schemas.openxmlformats.org/officeDocument/2006/relationships/hyperlink" Target="https://www.cettire.com/collections/mjb-marc-jacques-burton" TargetMode="External"/><Relationship Id="rId3187" Type="http://schemas.openxmlformats.org/officeDocument/2006/relationships/hyperlink" Target="https://www.cettire.com/collections/dior" TargetMode="External"/><Relationship Id="rId3394" Type="http://schemas.openxmlformats.org/officeDocument/2006/relationships/hyperlink" Target="https://www.cettire.com/collections/msgm" TargetMode="External"/><Relationship Id="rId4238" Type="http://schemas.openxmlformats.org/officeDocument/2006/relationships/hyperlink" Target="https://www.cettire.com/collections/alberto-biani" TargetMode="External"/><Relationship Id="rId4792" Type="http://schemas.openxmlformats.org/officeDocument/2006/relationships/hyperlink" Target="https://www.cettire.com/collections/versace-jeans-couture" TargetMode="External"/><Relationship Id="rId3047" Type="http://schemas.openxmlformats.org/officeDocument/2006/relationships/hyperlink" Target="https://www.cettire.com/collections/adidas-by-human-made" TargetMode="External"/><Relationship Id="rId4445" Type="http://schemas.openxmlformats.org/officeDocument/2006/relationships/hyperlink" Target="https://www.cettire.com/collections/gia-borghini" TargetMode="External"/><Relationship Id="rId4652" Type="http://schemas.openxmlformats.org/officeDocument/2006/relationships/hyperlink" Target="https://www.cettire.com/collections/philosophy-di-lorenzo-serafini" TargetMode="External"/><Relationship Id="rId175" Type="http://schemas.openxmlformats.org/officeDocument/2006/relationships/hyperlink" Target="https://www.cettire.com/collections/dita-eyewear" TargetMode="External"/><Relationship Id="rId3254" Type="http://schemas.openxmlformats.org/officeDocument/2006/relationships/hyperlink" Target="https://www.cettire.com/collections/grevi" TargetMode="External"/><Relationship Id="rId3461" Type="http://schemas.openxmlformats.org/officeDocument/2006/relationships/hyperlink" Target="https://www.cettire.com/collections/raf-simons" TargetMode="External"/><Relationship Id="rId4305" Type="http://schemas.openxmlformats.org/officeDocument/2006/relationships/hyperlink" Target="https://www.cettire.com/collections/brunello-cucinelli-kids" TargetMode="External"/><Relationship Id="rId4512" Type="http://schemas.openxmlformats.org/officeDocument/2006/relationships/hyperlink" Target="https://www.cettire.com/collections/khrisjoy-kids" TargetMode="External"/><Relationship Id="rId382" Type="http://schemas.openxmlformats.org/officeDocument/2006/relationships/hyperlink" Target="https://www.cettire.com/collections/moncler-eyewear" TargetMode="External"/><Relationship Id="rId2063" Type="http://schemas.openxmlformats.org/officeDocument/2006/relationships/hyperlink" Target="https://www.cettire.com/collections/gucci-eyewear" TargetMode="External"/><Relationship Id="rId2270" Type="http://schemas.openxmlformats.org/officeDocument/2006/relationships/hyperlink" Target="https://www.cettire.com/collections/pressure" TargetMode="External"/><Relationship Id="rId3114" Type="http://schemas.openxmlformats.org/officeDocument/2006/relationships/hyperlink" Target="https://www.cettire.com/collections/boglioli" TargetMode="External"/><Relationship Id="rId3321" Type="http://schemas.openxmlformats.org/officeDocument/2006/relationships/hyperlink" Target="https://www.cettire.com/collections/lesca" TargetMode="External"/><Relationship Id="rId242" Type="http://schemas.openxmlformats.org/officeDocument/2006/relationships/hyperlink" Target="https://www.cettire.com/collections/golden-goose-deluxe-brand" TargetMode="External"/><Relationship Id="rId2130" Type="http://schemas.openxmlformats.org/officeDocument/2006/relationships/hyperlink" Target="https://www.cettire.com/collections/lesca" TargetMode="External"/><Relationship Id="rId102" Type="http://schemas.openxmlformats.org/officeDocument/2006/relationships/hyperlink" Target="https://www.cettire.com/collections/burberry-eyewear" TargetMode="External"/><Relationship Id="rId1689" Type="http://schemas.openxmlformats.org/officeDocument/2006/relationships/hyperlink" Target="https://www.cettire.com/collections/rejina-pyo" TargetMode="External"/><Relationship Id="rId4095" Type="http://schemas.openxmlformats.org/officeDocument/2006/relationships/hyperlink" Target="https://www.cettire.com/collections/sacai" TargetMode="External"/><Relationship Id="rId1896" Type="http://schemas.openxmlformats.org/officeDocument/2006/relationships/hyperlink" Target="https://www.cettire.com/collections/barrow" TargetMode="External"/><Relationship Id="rId2947" Type="http://schemas.openxmlformats.org/officeDocument/2006/relationships/hyperlink" Target="https://www.cettire.com/collections/sporty-rich" TargetMode="External"/><Relationship Id="rId4162" Type="http://schemas.openxmlformats.org/officeDocument/2006/relationships/hyperlink" Target="https://www.cettire.com/collections/twinset-kids" TargetMode="External"/><Relationship Id="rId919" Type="http://schemas.openxmlformats.org/officeDocument/2006/relationships/hyperlink" Target="https://www.cettire.com/collections/lemaire" TargetMode="External"/><Relationship Id="rId1549" Type="http://schemas.openxmlformats.org/officeDocument/2006/relationships/hyperlink" Target="https://www.cettire.com/collections/mansur-gavriel" TargetMode="External"/><Relationship Id="rId1756" Type="http://schemas.openxmlformats.org/officeDocument/2006/relationships/hyperlink" Target="https://www.cettire.com/collections/the-north-face" TargetMode="External"/><Relationship Id="rId1963" Type="http://schemas.openxmlformats.org/officeDocument/2006/relationships/hyperlink" Target="https://www.cettire.com/collections/comme-des-garcons-play" TargetMode="External"/><Relationship Id="rId2807" Type="http://schemas.openxmlformats.org/officeDocument/2006/relationships/hyperlink" Target="https://www.cettire.com/collections/moncler-grenoble" TargetMode="External"/><Relationship Id="rId4022" Type="http://schemas.openxmlformats.org/officeDocument/2006/relationships/hyperlink" Target="https://www.cettire.com/collections/oseree" TargetMode="External"/><Relationship Id="rId48" Type="http://schemas.openxmlformats.org/officeDocument/2006/relationships/hyperlink" Target="https://www.cettire.com/collections/ann-demeulemeester" TargetMode="External"/><Relationship Id="rId1409" Type="http://schemas.openxmlformats.org/officeDocument/2006/relationships/hyperlink" Target="https://www.cettire.com/collections/engineered-garments" TargetMode="External"/><Relationship Id="rId1616" Type="http://schemas.openxmlformats.org/officeDocument/2006/relationships/hyperlink" Target="https://www.cettire.com/collections/neous" TargetMode="External"/><Relationship Id="rId1823" Type="http://schemas.openxmlformats.org/officeDocument/2006/relationships/hyperlink" Target="https://www.cettire.com/collections/ug-ss-kids" TargetMode="External"/><Relationship Id="rId3788" Type="http://schemas.openxmlformats.org/officeDocument/2006/relationships/hyperlink" Target="https://www.cettire.com/collections/emilio-pucci" TargetMode="External"/><Relationship Id="rId3995" Type="http://schemas.openxmlformats.org/officeDocument/2006/relationships/hyperlink" Target="https://www.cettire.com/collections/n-21-kids" TargetMode="External"/><Relationship Id="rId2597" Type="http://schemas.openxmlformats.org/officeDocument/2006/relationships/hyperlink" Target="https://www.cettire.com/collections/dita-eyewear" TargetMode="External"/><Relationship Id="rId3648" Type="http://schemas.openxmlformats.org/officeDocument/2006/relationships/hyperlink" Target="https://www.cettire.com/collections/aragona" TargetMode="External"/><Relationship Id="rId3855" Type="http://schemas.openxmlformats.org/officeDocument/2006/relationships/hyperlink" Target="https://www.cettire.com/collections/hoka-one-one" TargetMode="External"/><Relationship Id="rId569" Type="http://schemas.openxmlformats.org/officeDocument/2006/relationships/hyperlink" Target="https://www.cettire.com/collections/uma-wang" TargetMode="External"/><Relationship Id="rId776" Type="http://schemas.openxmlformats.org/officeDocument/2006/relationships/hyperlink" Target="https://www.cettire.com/collections/dior" TargetMode="External"/><Relationship Id="rId983" Type="http://schemas.openxmlformats.org/officeDocument/2006/relationships/hyperlink" Target="https://www.cettire.com/collections/moncler-rick-owens" TargetMode="External"/><Relationship Id="rId1199" Type="http://schemas.openxmlformats.org/officeDocument/2006/relationships/hyperlink" Target="https://www.cettire.com/collections/woolrich-x-griffin" TargetMode="External"/><Relationship Id="rId2457" Type="http://schemas.openxmlformats.org/officeDocument/2006/relationships/hyperlink" Target="https://www.cettire.com/collections/alexander-mcqueen-eyewear" TargetMode="External"/><Relationship Id="rId2664" Type="http://schemas.openxmlformats.org/officeDocument/2006/relationships/hyperlink" Target="https://www.cettire.com/collections/golden-goose-kids" TargetMode="External"/><Relationship Id="rId3508" Type="http://schemas.openxmlformats.org/officeDocument/2006/relationships/hyperlink" Target="https://www.cettire.com/collections/simone-rocha" TargetMode="External"/><Relationship Id="rId429" Type="http://schemas.openxmlformats.org/officeDocument/2006/relationships/hyperlink" Target="https://www.cettire.com/collections/paccbet" TargetMode="External"/><Relationship Id="rId636" Type="http://schemas.openxmlformats.org/officeDocument/2006/relationships/hyperlink" Target="https://www.cettire.com/collections/alberta-ferretti-kids" TargetMode="External"/><Relationship Id="rId1059" Type="http://schemas.openxmlformats.org/officeDocument/2006/relationships/hyperlink" Target="https://www.cettire.com/collections/premiata" TargetMode="External"/><Relationship Id="rId1266" Type="http://schemas.openxmlformats.org/officeDocument/2006/relationships/hyperlink" Target="https://www.cettire.com/collections/area" TargetMode="External"/><Relationship Id="rId1473" Type="http://schemas.openxmlformats.org/officeDocument/2006/relationships/hyperlink" Target="https://www.cettire.com/collections/honey-fucking-dijon" TargetMode="External"/><Relationship Id="rId2317" Type="http://schemas.openxmlformats.org/officeDocument/2006/relationships/hyperlink" Target="https://www.cettire.com/collections/saloni" TargetMode="External"/><Relationship Id="rId2871" Type="http://schemas.openxmlformats.org/officeDocument/2006/relationships/hyperlink" Target="https://www.cettire.com/collections/plan-c" TargetMode="External"/><Relationship Id="rId3715" Type="http://schemas.openxmlformats.org/officeDocument/2006/relationships/hyperlink" Target="https://www.cettire.com/collections/casta%C3%B1er" TargetMode="External"/><Relationship Id="rId3922" Type="http://schemas.openxmlformats.org/officeDocument/2006/relationships/hyperlink" Target="https://www.cettire.com/collections/love-moschino" TargetMode="External"/><Relationship Id="rId843" Type="http://schemas.openxmlformats.org/officeDocument/2006/relationships/hyperlink" Target="https://www.cettire.com/collections/givenchy" TargetMode="External"/><Relationship Id="rId1126" Type="http://schemas.openxmlformats.org/officeDocument/2006/relationships/hyperlink" Target="https://www.cettire.com/collections/sportmax" TargetMode="External"/><Relationship Id="rId1680" Type="http://schemas.openxmlformats.org/officeDocument/2006/relationships/hyperlink" Target="https://www.cettire.com/collections/ray-ban" TargetMode="External"/><Relationship Id="rId2524" Type="http://schemas.openxmlformats.org/officeDocument/2006/relationships/hyperlink" Target="https://www.cettire.com/collections/burberry-eyewear" TargetMode="External"/><Relationship Id="rId2731" Type="http://schemas.openxmlformats.org/officeDocument/2006/relationships/hyperlink" Target="https://www.cettire.com/collections/laneus" TargetMode="External"/><Relationship Id="rId703" Type="http://schemas.openxmlformats.org/officeDocument/2006/relationships/hyperlink" Target="https://www.cettire.com/collections/building-block" TargetMode="External"/><Relationship Id="rId910" Type="http://schemas.openxmlformats.org/officeDocument/2006/relationships/hyperlink" Target="https://www.cettire.com/collections/l-b-m-1911" TargetMode="External"/><Relationship Id="rId1333" Type="http://schemas.openxmlformats.org/officeDocument/2006/relationships/hyperlink" Target="https://www.cettire.com/collections/cc-collection-corneliani" TargetMode="External"/><Relationship Id="rId1540" Type="http://schemas.openxmlformats.org/officeDocument/2006/relationships/hyperlink" Target="https://www.cettire.com/collections/magda-butrym" TargetMode="External"/><Relationship Id="rId4489" Type="http://schemas.openxmlformats.org/officeDocument/2006/relationships/hyperlink" Target="https://www.cettire.com/collections/jessie-western" TargetMode="External"/><Relationship Id="rId4696" Type="http://schemas.openxmlformats.org/officeDocument/2006/relationships/hyperlink" Target="https://www.cettire.com/collections/rick-owens-x-veja" TargetMode="External"/><Relationship Id="rId1400" Type="http://schemas.openxmlformats.org/officeDocument/2006/relationships/hyperlink" Target="https://www.cettire.com/collections/eden-power-corp" TargetMode="External"/><Relationship Id="rId3298" Type="http://schemas.openxmlformats.org/officeDocument/2006/relationships/hyperlink" Target="https://www.cettire.com/collections/kappa" TargetMode="External"/><Relationship Id="rId4349" Type="http://schemas.openxmlformats.org/officeDocument/2006/relationships/hyperlink" Target="https://www.cettire.com/collections/comme-des-garcons" TargetMode="External"/><Relationship Id="rId4556" Type="http://schemas.openxmlformats.org/officeDocument/2006/relationships/hyperlink" Target="https://www.cettire.com/collections/marni" TargetMode="External"/><Relationship Id="rId4763" Type="http://schemas.openxmlformats.org/officeDocument/2006/relationships/hyperlink" Target="https://www.cettire.com/collections/timberland" TargetMode="External"/><Relationship Id="rId3158" Type="http://schemas.openxmlformats.org/officeDocument/2006/relationships/hyperlink" Target="https://www.cettire.com/collections/coliac" TargetMode="External"/><Relationship Id="rId3365" Type="http://schemas.openxmlformats.org/officeDocument/2006/relationships/hyperlink" Target="https://www.cettire.com/collections/mc2-saint-barth-kids" TargetMode="External"/><Relationship Id="rId3572" Type="http://schemas.openxmlformats.org/officeDocument/2006/relationships/hyperlink" Target="https://www.cettire.com/collections/vince" TargetMode="External"/><Relationship Id="rId4209" Type="http://schemas.openxmlformats.org/officeDocument/2006/relationships/hyperlink" Target="https://www.cettire.com/collections/3-1-phillip-lim" TargetMode="External"/><Relationship Id="rId4416" Type="http://schemas.openxmlformats.org/officeDocument/2006/relationships/hyperlink" Target="https://www.cettire.com/collections/eytys" TargetMode="External"/><Relationship Id="rId4623" Type="http://schemas.openxmlformats.org/officeDocument/2006/relationships/hyperlink" Target="https://www.cettire.com/collections/noon-goons" TargetMode="External"/><Relationship Id="rId286" Type="http://schemas.openxmlformats.org/officeDocument/2006/relationships/hyperlink" Target="https://www.cettire.com/collections/john-lobb" TargetMode="External"/><Relationship Id="rId493" Type="http://schemas.openxmlformats.org/officeDocument/2006/relationships/hyperlink" Target="https://www.cettire.com/collections/roger-vivier" TargetMode="External"/><Relationship Id="rId2174" Type="http://schemas.openxmlformats.org/officeDocument/2006/relationships/hyperlink" Target="https://www.cettire.com/collections/mc2-saint-barth" TargetMode="External"/><Relationship Id="rId2381" Type="http://schemas.openxmlformats.org/officeDocument/2006/relationships/hyperlink" Target="https://www.cettire.com/collections/ulla-johnson" TargetMode="External"/><Relationship Id="rId3018" Type="http://schemas.openxmlformats.org/officeDocument/2006/relationships/hyperlink" Target="https://www.cettire.com/collections/woolrich" TargetMode="External"/><Relationship Id="rId3225" Type="http://schemas.openxmlformats.org/officeDocument/2006/relationships/hyperlink" Target="https://www.cettire.com/collections/fay" TargetMode="External"/><Relationship Id="rId3432" Type="http://schemas.openxmlformats.org/officeDocument/2006/relationships/hyperlink" Target="https://www.cettire.com/collections/paris-texas" TargetMode="External"/><Relationship Id="rId146" Type="http://schemas.openxmlformats.org/officeDocument/2006/relationships/hyperlink" Target="https://www.cettire.com/collections/comme-des-garcons-noir-kei-ninomiya" TargetMode="External"/><Relationship Id="rId353" Type="http://schemas.openxmlformats.org/officeDocument/2006/relationships/hyperlink" Target="https://www.cettire.com/collections/mastermind-world" TargetMode="External"/><Relationship Id="rId560" Type="http://schemas.openxmlformats.org/officeDocument/2006/relationships/hyperlink" Target="https://www.cettire.com/collections/trickers" TargetMode="External"/><Relationship Id="rId1190" Type="http://schemas.openxmlformats.org/officeDocument/2006/relationships/hyperlink" Target="https://www.cettire.com/collections/visvim" TargetMode="External"/><Relationship Id="rId2034" Type="http://schemas.openxmlformats.org/officeDocument/2006/relationships/hyperlink" Target="https://www.cettire.com/collections/feng-chen-wang" TargetMode="External"/><Relationship Id="rId2241" Type="http://schemas.openxmlformats.org/officeDocument/2006/relationships/hyperlink" Target="https://www.cettire.com/collections/p-a-r-o-s-h" TargetMode="External"/><Relationship Id="rId213" Type="http://schemas.openxmlformats.org/officeDocument/2006/relationships/hyperlink" Target="https://www.cettire.com/collections/fear-of-god" TargetMode="External"/><Relationship Id="rId420" Type="http://schemas.openxmlformats.org/officeDocument/2006/relationships/hyperlink" Target="https://www.cettire.com/collections/oamc" TargetMode="External"/><Relationship Id="rId1050" Type="http://schemas.openxmlformats.org/officeDocument/2006/relationships/hyperlink" Target="https://www.cettire.com/collections/pinko" TargetMode="External"/><Relationship Id="rId2101" Type="http://schemas.openxmlformats.org/officeDocument/2006/relationships/hyperlink" Target="https://www.cettire.com/collections/john-lobb" TargetMode="External"/><Relationship Id="rId4066" Type="http://schemas.openxmlformats.org/officeDocument/2006/relationships/hyperlink" Target="https://www.cettire.com/collections/rave-review" TargetMode="External"/><Relationship Id="rId1867" Type="http://schemas.openxmlformats.org/officeDocument/2006/relationships/hyperlink" Target="https://www.cettire.com/collections/antonino-valenti" TargetMode="External"/><Relationship Id="rId2918" Type="http://schemas.openxmlformats.org/officeDocument/2006/relationships/hyperlink" Target="https://www.cettire.com/collections/rombaut" TargetMode="External"/><Relationship Id="rId4273" Type="http://schemas.openxmlformats.org/officeDocument/2006/relationships/hyperlink" Target="https://www.cettire.com/collections/b-low-the-belt" TargetMode="External"/><Relationship Id="rId4480" Type="http://schemas.openxmlformats.org/officeDocument/2006/relationships/hyperlink" Target="https://www.cettire.com/collections/isabel-marant" TargetMode="External"/><Relationship Id="rId1727" Type="http://schemas.openxmlformats.org/officeDocument/2006/relationships/hyperlink" Target="https://www.cettire.com/collections/simone-rocha" TargetMode="External"/><Relationship Id="rId1934" Type="http://schemas.openxmlformats.org/officeDocument/2006/relationships/hyperlink" Target="https://www.cettire.com/collections/carhartt-wip" TargetMode="External"/><Relationship Id="rId3082" Type="http://schemas.openxmlformats.org/officeDocument/2006/relationships/hyperlink" Target="https://www.cettire.com/collections/aquazzura" TargetMode="External"/><Relationship Id="rId4133" Type="http://schemas.openxmlformats.org/officeDocument/2006/relationships/hyperlink" Target="https://www.cettire.com/collections/sunflower" TargetMode="External"/><Relationship Id="rId4340" Type="http://schemas.openxmlformats.org/officeDocument/2006/relationships/hyperlink" Target="https://www.cettire.com/collections/chopard-eyewear" TargetMode="External"/><Relationship Id="rId19" Type="http://schemas.openxmlformats.org/officeDocument/2006/relationships/hyperlink" Target="https://www.cettire.com/collections/adidas-by-wales-bonner" TargetMode="External"/><Relationship Id="rId3899" Type="http://schemas.openxmlformats.org/officeDocument/2006/relationships/hyperlink" Target="https://www.cettire.com/collections/kwaidan-editions" TargetMode="External"/><Relationship Id="rId4200" Type="http://schemas.openxmlformats.org/officeDocument/2006/relationships/hyperlink" Target="https://www.cettire.com/collections/yohji-yamamoto" TargetMode="External"/><Relationship Id="rId3759" Type="http://schemas.openxmlformats.org/officeDocument/2006/relationships/hyperlink" Target="https://www.cettire.com/collections/desa-1972" TargetMode="External"/><Relationship Id="rId3966" Type="http://schemas.openxmlformats.org/officeDocument/2006/relationships/hyperlink" Target="https://www.cettire.com/collections/misbhv" TargetMode="External"/><Relationship Id="rId3" Type="http://schemas.openxmlformats.org/officeDocument/2006/relationships/hyperlink" Target="https://www.cettire.com/collections/3-1-phillip-lim" TargetMode="External"/><Relationship Id="rId887" Type="http://schemas.openxmlformats.org/officeDocument/2006/relationships/hyperlink" Target="https://www.cettire.com/collections/jimmy-choo" TargetMode="External"/><Relationship Id="rId2568" Type="http://schemas.openxmlformats.org/officeDocument/2006/relationships/hyperlink" Target="https://www.cettire.com/collections/comme-des-garcons-play" TargetMode="External"/><Relationship Id="rId2775" Type="http://schemas.openxmlformats.org/officeDocument/2006/relationships/hyperlink" Target="https://www.cettire.com/collections/materiel" TargetMode="External"/><Relationship Id="rId2982" Type="http://schemas.openxmlformats.org/officeDocument/2006/relationships/hyperlink" Target="https://www.cettire.com/collections/tory-burch" TargetMode="External"/><Relationship Id="rId3619" Type="http://schemas.openxmlformats.org/officeDocument/2006/relationships/hyperlink" Target="https://www.cettire.com/collections/agnona" TargetMode="External"/><Relationship Id="rId3826" Type="http://schemas.openxmlformats.org/officeDocument/2006/relationships/hyperlink" Target="https://www.cettire.com/collections/garrett-leight" TargetMode="External"/><Relationship Id="rId747" Type="http://schemas.openxmlformats.org/officeDocument/2006/relationships/hyperlink" Target="https://www.cettire.com/collections/comme-des-garcons-comme-des-garcons" TargetMode="External"/><Relationship Id="rId954" Type="http://schemas.openxmlformats.org/officeDocument/2006/relationships/hyperlink" Target="https://www.cettire.com/collections/marsell" TargetMode="External"/><Relationship Id="rId1377" Type="http://schemas.openxmlformats.org/officeDocument/2006/relationships/hyperlink" Target="https://www.cettire.com/collections/diemme" TargetMode="External"/><Relationship Id="rId1584" Type="http://schemas.openxmlformats.org/officeDocument/2006/relationships/hyperlink" Target="https://www.cettire.com/collections/mjb-marc-jacques-burton" TargetMode="External"/><Relationship Id="rId1791" Type="http://schemas.openxmlformats.org/officeDocument/2006/relationships/hyperlink" Target="https://www.cettire.com/collections/versace-eyewear" TargetMode="External"/><Relationship Id="rId2428" Type="http://schemas.openxmlformats.org/officeDocument/2006/relationships/hyperlink" Target="https://www.cettire.com/collections/ug-ss-kids" TargetMode="External"/><Relationship Id="rId2635" Type="http://schemas.openxmlformats.org/officeDocument/2006/relationships/hyperlink" Target="https://www.cettire.com/collections/fay-kids" TargetMode="External"/><Relationship Id="rId2842" Type="http://schemas.openxmlformats.org/officeDocument/2006/relationships/hyperlink" Target="https://www.cettire.com/collections/oamc" TargetMode="External"/><Relationship Id="rId83" Type="http://schemas.openxmlformats.org/officeDocument/2006/relationships/hyperlink" Target="https://www.cettire.com/collections/billionaire" TargetMode="External"/><Relationship Id="rId607" Type="http://schemas.openxmlformats.org/officeDocument/2006/relationships/hyperlink" Target="https://www.cettire.com/collections/s-max-mara" TargetMode="External"/><Relationship Id="rId814" Type="http://schemas.openxmlformats.org/officeDocument/2006/relationships/hyperlink" Target="https://www.cettire.com/collections/faith-connexion" TargetMode="External"/><Relationship Id="rId1237" Type="http://schemas.openxmlformats.org/officeDocument/2006/relationships/hyperlink" Target="https://www.cettire.com/collections/agolde" TargetMode="External"/><Relationship Id="rId1444" Type="http://schemas.openxmlformats.org/officeDocument/2006/relationships/hyperlink" Target="https://www.cettire.com/collections/gcds" TargetMode="External"/><Relationship Id="rId1651" Type="http://schemas.openxmlformats.org/officeDocument/2006/relationships/hyperlink" Target="https://www.cettire.com/collections/philippe-model-paris" TargetMode="External"/><Relationship Id="rId2702" Type="http://schemas.openxmlformats.org/officeDocument/2006/relationships/hyperlink" Target="https://www.cettire.com/collections/jil-sander" TargetMode="External"/><Relationship Id="rId1304" Type="http://schemas.openxmlformats.org/officeDocument/2006/relationships/hyperlink" Target="https://www.cettire.com/collections/botter" TargetMode="External"/><Relationship Id="rId1511" Type="http://schemas.openxmlformats.org/officeDocument/2006/relationships/hyperlink" Target="https://www.cettire.com/collections/khaite" TargetMode="External"/><Relationship Id="rId4667" Type="http://schemas.openxmlformats.org/officeDocument/2006/relationships/hyperlink" Target="https://www.cettire.com/collections/proenza-schouler-white-label" TargetMode="External"/><Relationship Id="rId3269" Type="http://schemas.openxmlformats.org/officeDocument/2006/relationships/hyperlink" Target="https://www.cettire.com/collections/hoka-one-one" TargetMode="External"/><Relationship Id="rId3476" Type="http://schemas.openxmlformats.org/officeDocument/2006/relationships/hyperlink" Target="https://www.cettire.com/collections/rene-caovilla" TargetMode="External"/><Relationship Id="rId3683" Type="http://schemas.openxmlformats.org/officeDocument/2006/relationships/hyperlink" Target="https://www.cettire.com/collections/boglioli" TargetMode="External"/><Relationship Id="rId4527" Type="http://schemas.openxmlformats.org/officeDocument/2006/relationships/hyperlink" Target="https://www.cettire.com/collections/li-ning" TargetMode="External"/><Relationship Id="rId10" Type="http://schemas.openxmlformats.org/officeDocument/2006/relationships/hyperlink" Target="https://www.cettire.com/collections/a-w-a-k-e-mode" TargetMode="External"/><Relationship Id="rId397" Type="http://schemas.openxmlformats.org/officeDocument/2006/relationships/hyperlink" Target="https://www.cettire.com/collections/mulberry" TargetMode="External"/><Relationship Id="rId2078" Type="http://schemas.openxmlformats.org/officeDocument/2006/relationships/hyperlink" Target="https://www.cettire.com/collections/homme-plisse-issey-miyake" TargetMode="External"/><Relationship Id="rId2285" Type="http://schemas.openxmlformats.org/officeDocument/2006/relationships/hyperlink" Target="https://www.cettire.com/collections/re-done" TargetMode="External"/><Relationship Id="rId2492" Type="http://schemas.openxmlformats.org/officeDocument/2006/relationships/hyperlink" Target="https://www.cettire.com/collections/ballantyne" TargetMode="External"/><Relationship Id="rId3129" Type="http://schemas.openxmlformats.org/officeDocument/2006/relationships/hyperlink" Target="https://www.cettire.com/collections/c-p-company" TargetMode="External"/><Relationship Id="rId3336" Type="http://schemas.openxmlformats.org/officeDocument/2006/relationships/hyperlink" Target="https://www.cettire.com/collections/maisie-wilen" TargetMode="External"/><Relationship Id="rId3890" Type="http://schemas.openxmlformats.org/officeDocument/2006/relationships/hyperlink" Target="https://www.cettire.com/collections/kara" TargetMode="External"/><Relationship Id="rId4734" Type="http://schemas.openxmlformats.org/officeDocument/2006/relationships/hyperlink" Target="https://www.cettire.com/collections/stella-mccartney" TargetMode="External"/><Relationship Id="rId257" Type="http://schemas.openxmlformats.org/officeDocument/2006/relationships/hyperlink" Target="https://www.cettire.com/collections/herschel-supply-co" TargetMode="External"/><Relationship Id="rId464" Type="http://schemas.openxmlformats.org/officeDocument/2006/relationships/hyperlink" Target="https://www.cettire.com/collections/r13" TargetMode="External"/><Relationship Id="rId1094" Type="http://schemas.openxmlformats.org/officeDocument/2006/relationships/hyperlink" Target="https://www.cettire.com/collections/robert-clergerie" TargetMode="External"/><Relationship Id="rId2145" Type="http://schemas.openxmlformats.org/officeDocument/2006/relationships/hyperlink" Target="https://www.cettire.com/collections/maisie-wilen" TargetMode="External"/><Relationship Id="rId3543" Type="http://schemas.openxmlformats.org/officeDocument/2006/relationships/hyperlink" Target="https://www.cettire.com/collections/thom-browne-eyewear" TargetMode="External"/><Relationship Id="rId3750" Type="http://schemas.openxmlformats.org/officeDocument/2006/relationships/hyperlink" Target="https://www.cettire.com/collections/courreges-eyewear" TargetMode="External"/><Relationship Id="rId4801" Type="http://schemas.openxmlformats.org/officeDocument/2006/relationships/hyperlink" Target="https://www.cettire.com/collections/we11done" TargetMode="External"/><Relationship Id="rId117" Type="http://schemas.openxmlformats.org/officeDocument/2006/relationships/hyperlink" Target="https://www.cettire.com/collections/carhartt-wip" TargetMode="External"/><Relationship Id="rId671" Type="http://schemas.openxmlformats.org/officeDocument/2006/relationships/hyperlink" Target="https://www.cettire.com/collections/balenciaga" TargetMode="External"/><Relationship Id="rId2352" Type="http://schemas.openxmlformats.org/officeDocument/2006/relationships/hyperlink" Target="https://www.cettire.com/collections/swarovski" TargetMode="External"/><Relationship Id="rId3403" Type="http://schemas.openxmlformats.org/officeDocument/2006/relationships/hyperlink" Target="https://www.cettire.com/collections/natasha-zinko" TargetMode="External"/><Relationship Id="rId3610" Type="http://schemas.openxmlformats.org/officeDocument/2006/relationships/hyperlink" Target="https://www.cettire.com/collections/adidas-by-pharrell-williams" TargetMode="External"/><Relationship Id="rId324" Type="http://schemas.openxmlformats.org/officeDocument/2006/relationships/hyperlink" Target="https://www.cettire.com/collections/loro-piana" TargetMode="External"/><Relationship Id="rId531" Type="http://schemas.openxmlformats.org/officeDocument/2006/relationships/hyperlink" Target="https://www.cettire.com/collections/stone-island-shadow-project" TargetMode="External"/><Relationship Id="rId1161" Type="http://schemas.openxmlformats.org/officeDocument/2006/relationships/hyperlink" Target="https://www.cettire.com/collections/tommy-hilfiger" TargetMode="External"/><Relationship Id="rId2005" Type="http://schemas.openxmlformats.org/officeDocument/2006/relationships/hyperlink" Target="https://www.cettire.com/collections/eckhaus-latta" TargetMode="External"/><Relationship Id="rId2212" Type="http://schemas.openxmlformats.org/officeDocument/2006/relationships/hyperlink" Target="https://www.cettire.com/collections/n-21-kids" TargetMode="External"/><Relationship Id="rId1021" Type="http://schemas.openxmlformats.org/officeDocument/2006/relationships/hyperlink" Target="https://www.cettire.com/collections/oakley" TargetMode="External"/><Relationship Id="rId1978" Type="http://schemas.openxmlformats.org/officeDocument/2006/relationships/hyperlink" Target="https://www.cettire.com/collections/danse-lente" TargetMode="External"/><Relationship Id="rId4177" Type="http://schemas.openxmlformats.org/officeDocument/2006/relationships/hyperlink" Target="https://www.cettire.com/collections/veja-kids" TargetMode="External"/><Relationship Id="rId4384" Type="http://schemas.openxmlformats.org/officeDocument/2006/relationships/hyperlink" Target="https://www.cettire.com/collections/dodo-bar-or" TargetMode="External"/><Relationship Id="rId4591" Type="http://schemas.openxmlformats.org/officeDocument/2006/relationships/hyperlink" Target="https://www.cettire.com/collections/moncler-enfant" TargetMode="External"/><Relationship Id="rId3193" Type="http://schemas.openxmlformats.org/officeDocument/2006/relationships/hyperlink" Target="https://www.cettire.com/collections/dolce-gabbana" TargetMode="External"/><Relationship Id="rId4037" Type="http://schemas.openxmlformats.org/officeDocument/2006/relationships/hyperlink" Target="https://www.cettire.com/collections/philipp-plein-junior" TargetMode="External"/><Relationship Id="rId4244" Type="http://schemas.openxmlformats.org/officeDocument/2006/relationships/hyperlink" Target="https://www.cettire.com/collections/alexandre-vauthier" TargetMode="External"/><Relationship Id="rId4451" Type="http://schemas.openxmlformats.org/officeDocument/2006/relationships/hyperlink" Target="https://www.cettire.com/collections/golden-goose-deluxe-brand" TargetMode="External"/><Relationship Id="rId1838" Type="http://schemas.openxmlformats.org/officeDocument/2006/relationships/hyperlink" Target="https://www.cettire.com/collections/adidas-kids" TargetMode="External"/><Relationship Id="rId3053" Type="http://schemas.openxmlformats.org/officeDocument/2006/relationships/hyperlink" Target="https://www.cettire.com/collections/adidas-originals" TargetMode="External"/><Relationship Id="rId3260" Type="http://schemas.openxmlformats.org/officeDocument/2006/relationships/hyperlink" Target="https://www.cettire.com/collections/harris-wharf-london" TargetMode="External"/><Relationship Id="rId4104" Type="http://schemas.openxmlformats.org/officeDocument/2006/relationships/hyperlink" Target="https://www.cettire.com/collections/santoni" TargetMode="External"/><Relationship Id="rId4311" Type="http://schemas.openxmlformats.org/officeDocument/2006/relationships/hyperlink" Target="https://www.cettire.com/collections/buscemi" TargetMode="External"/><Relationship Id="rId181" Type="http://schemas.openxmlformats.org/officeDocument/2006/relationships/hyperlink" Target="https://www.cettire.com/collections/dr-martens" TargetMode="External"/><Relationship Id="rId1905" Type="http://schemas.openxmlformats.org/officeDocument/2006/relationships/hyperlink" Target="https://www.cettire.com/collections/bode" TargetMode="External"/><Relationship Id="rId3120" Type="http://schemas.openxmlformats.org/officeDocument/2006/relationships/hyperlink" Target="https://www.cettire.com/collections/brunello-cucinelli" TargetMode="External"/><Relationship Id="rId998" Type="http://schemas.openxmlformats.org/officeDocument/2006/relationships/hyperlink" Target="https://www.cettire.com/collections/msgm-kids" TargetMode="External"/><Relationship Id="rId2679" Type="http://schemas.openxmlformats.org/officeDocument/2006/relationships/hyperlink" Target="https://www.cettire.com/collections/hogan" TargetMode="External"/><Relationship Id="rId2886" Type="http://schemas.openxmlformats.org/officeDocument/2006/relationships/hyperlink" Target="https://www.cettire.com/collections/puma" TargetMode="External"/><Relationship Id="rId3937" Type="http://schemas.openxmlformats.org/officeDocument/2006/relationships/hyperlink" Target="https://www.cettire.com/collections/marc-jacobs" TargetMode="External"/><Relationship Id="rId858" Type="http://schemas.openxmlformats.org/officeDocument/2006/relationships/hyperlink" Target="https://www.cettire.com/collections/herno" TargetMode="External"/><Relationship Id="rId1488" Type="http://schemas.openxmlformats.org/officeDocument/2006/relationships/hyperlink" Target="https://www.cettire.com/collections/jacquemus" TargetMode="External"/><Relationship Id="rId1695" Type="http://schemas.openxmlformats.org/officeDocument/2006/relationships/hyperlink" Target="https://www.cettire.com/collections/rick-owens-drkshdw" TargetMode="External"/><Relationship Id="rId2539" Type="http://schemas.openxmlformats.org/officeDocument/2006/relationships/hyperlink" Target="https://www.cettire.com/collections/carhartt-wip" TargetMode="External"/><Relationship Id="rId2746" Type="http://schemas.openxmlformats.org/officeDocument/2006/relationships/hyperlink" Target="https://www.cettire.com/collections/loro-piana" TargetMode="External"/><Relationship Id="rId2953" Type="http://schemas.openxmlformats.org/officeDocument/2006/relationships/hyperlink" Target="https://www.cettire.com/collections/stone-island" TargetMode="External"/><Relationship Id="rId718" Type="http://schemas.openxmlformats.org/officeDocument/2006/relationships/hyperlink" Target="https://www.cettire.com/collections/canali" TargetMode="External"/><Relationship Id="rId925" Type="http://schemas.openxmlformats.org/officeDocument/2006/relationships/hyperlink" Target="https://www.cettire.com/collections/liu-jo" TargetMode="External"/><Relationship Id="rId1348" Type="http://schemas.openxmlformats.org/officeDocument/2006/relationships/hyperlink" Target="https://www.cettire.com/collections/co" TargetMode="External"/><Relationship Id="rId1555" Type="http://schemas.openxmlformats.org/officeDocument/2006/relationships/hyperlink" Target="https://www.cettire.com/collections/marine-serre" TargetMode="External"/><Relationship Id="rId1762" Type="http://schemas.openxmlformats.org/officeDocument/2006/relationships/hyperlink" Target="https://www.cettire.com/collections/thom-browne" TargetMode="External"/><Relationship Id="rId2606" Type="http://schemas.openxmlformats.org/officeDocument/2006/relationships/hyperlink" Target="https://www.cettire.com/collections/dsquared2-eyewear" TargetMode="External"/><Relationship Id="rId1208" Type="http://schemas.openxmlformats.org/officeDocument/2006/relationships/hyperlink" Target="https://www.cettire.com/collections/zadig-voltaire" TargetMode="External"/><Relationship Id="rId1415" Type="http://schemas.openxmlformats.org/officeDocument/2006/relationships/hyperlink" Target="https://www.cettire.com/collections/eudon-choi" TargetMode="External"/><Relationship Id="rId2813" Type="http://schemas.openxmlformats.org/officeDocument/2006/relationships/hyperlink" Target="https://www.cettire.com/collections/moschino-kids" TargetMode="External"/><Relationship Id="rId54" Type="http://schemas.openxmlformats.org/officeDocument/2006/relationships/hyperlink" Target="https://www.cettire.com/collections/area" TargetMode="External"/><Relationship Id="rId1622" Type="http://schemas.openxmlformats.org/officeDocument/2006/relationships/hyperlink" Target="https://www.cettire.com/collections/noir-kei-ninomiya" TargetMode="External"/><Relationship Id="rId4778" Type="http://schemas.openxmlformats.org/officeDocument/2006/relationships/hyperlink" Target="https://www.cettire.com/collections/ultrachic" TargetMode="External"/><Relationship Id="rId2189" Type="http://schemas.openxmlformats.org/officeDocument/2006/relationships/hyperlink" Target="https://www.cettire.com/collections/mm6-maison-margiela" TargetMode="External"/><Relationship Id="rId3587" Type="http://schemas.openxmlformats.org/officeDocument/2006/relationships/hyperlink" Target="https://www.cettire.com/collections/ymc" TargetMode="External"/><Relationship Id="rId3794" Type="http://schemas.openxmlformats.org/officeDocument/2006/relationships/hyperlink" Target="https://www.cettire.com/collections/equipment" TargetMode="External"/><Relationship Id="rId4638" Type="http://schemas.openxmlformats.org/officeDocument/2006/relationships/hyperlink" Target="https://www.cettire.com/collections/paccbet" TargetMode="External"/><Relationship Id="rId2396" Type="http://schemas.openxmlformats.org/officeDocument/2006/relationships/hyperlink" Target="https://www.cettire.com/collections/versace-jeans-couture" TargetMode="External"/><Relationship Id="rId3447" Type="http://schemas.openxmlformats.org/officeDocument/2006/relationships/hyperlink" Target="https://www.cettire.com/collections/polo-ralph-lauren-kids" TargetMode="External"/><Relationship Id="rId3654" Type="http://schemas.openxmlformats.org/officeDocument/2006/relationships/hyperlink" Target="https://www.cettire.com/collections/ash" TargetMode="External"/><Relationship Id="rId3861" Type="http://schemas.openxmlformats.org/officeDocument/2006/relationships/hyperlink" Target="https://www.cettire.com/collections/ih-nom-uh-nit" TargetMode="External"/><Relationship Id="rId4705" Type="http://schemas.openxmlformats.org/officeDocument/2006/relationships/hyperlink" Target="https://www.cettire.com/collections/rotate" TargetMode="External"/><Relationship Id="rId368" Type="http://schemas.openxmlformats.org/officeDocument/2006/relationships/hyperlink" Target="https://www.cettire.com/collections/midnight-00" TargetMode="External"/><Relationship Id="rId575" Type="http://schemas.openxmlformats.org/officeDocument/2006/relationships/hyperlink" Target="https://www.cettire.com/collections/vans" TargetMode="External"/><Relationship Id="rId782" Type="http://schemas.openxmlformats.org/officeDocument/2006/relationships/hyperlink" Target="https://www.cettire.com/collections/dolce-gabbana" TargetMode="External"/><Relationship Id="rId2049" Type="http://schemas.openxmlformats.org/officeDocument/2006/relationships/hyperlink" Target="https://www.cettire.com/collections/garrett-leight" TargetMode="External"/><Relationship Id="rId2256" Type="http://schemas.openxmlformats.org/officeDocument/2006/relationships/hyperlink" Target="https://www.cettire.com/collections/philosophy-di-lorenzo-serafini" TargetMode="External"/><Relationship Id="rId2463" Type="http://schemas.openxmlformats.org/officeDocument/2006/relationships/hyperlink" Target="https://www.cettire.com/collections/ambush" TargetMode="External"/><Relationship Id="rId2670" Type="http://schemas.openxmlformats.org/officeDocument/2006/relationships/hyperlink" Target="https://www.cettire.com/collections/guidi" TargetMode="External"/><Relationship Id="rId3307" Type="http://schemas.openxmlformats.org/officeDocument/2006/relationships/hyperlink" Target="https://www.cettire.com/collections/khrisjoy-kids" TargetMode="External"/><Relationship Id="rId3514" Type="http://schemas.openxmlformats.org/officeDocument/2006/relationships/hyperlink" Target="https://www.cettire.com/collections/sporty-rich" TargetMode="External"/><Relationship Id="rId3721" Type="http://schemas.openxmlformats.org/officeDocument/2006/relationships/hyperlink" Target="https://www.cettire.com/collections/chiara-ferragni-kids" TargetMode="External"/><Relationship Id="rId228" Type="http://schemas.openxmlformats.org/officeDocument/2006/relationships/hyperlink" Target="https://www.cettire.com/collections/furla" TargetMode="External"/><Relationship Id="rId435" Type="http://schemas.openxmlformats.org/officeDocument/2006/relationships/hyperlink" Target="https://www.cettire.com/collections/paris-texas" TargetMode="External"/><Relationship Id="rId642" Type="http://schemas.openxmlformats.org/officeDocument/2006/relationships/hyperlink" Target="https://www.cettire.com/collections/alexander-mcqueen-kids" TargetMode="External"/><Relationship Id="rId1065" Type="http://schemas.openxmlformats.org/officeDocument/2006/relationships/hyperlink" Target="https://www.cettire.com/collections/pt05" TargetMode="External"/><Relationship Id="rId1272" Type="http://schemas.openxmlformats.org/officeDocument/2006/relationships/hyperlink" Target="https://www.cettire.com/collections/asics" TargetMode="External"/><Relationship Id="rId2116" Type="http://schemas.openxmlformats.org/officeDocument/2006/relationships/hyperlink" Target="https://www.cettire.com/collections/khaite" TargetMode="External"/><Relationship Id="rId2323" Type="http://schemas.openxmlformats.org/officeDocument/2006/relationships/hyperlink" Target="https://www.cettire.com/collections/save-the-duck" TargetMode="External"/><Relationship Id="rId2530" Type="http://schemas.openxmlformats.org/officeDocument/2006/relationships/hyperlink" Target="https://www.cettire.com/collections/c-p-company-kids" TargetMode="External"/><Relationship Id="rId502" Type="http://schemas.openxmlformats.org/officeDocument/2006/relationships/hyperlink" Target="https://www.cettire.com/collections/salomon-s-lab" TargetMode="External"/><Relationship Id="rId1132" Type="http://schemas.openxmlformats.org/officeDocument/2006/relationships/hyperlink" Target="https://www.cettire.com/collections/stella-mccartney-kids" TargetMode="External"/><Relationship Id="rId4288" Type="http://schemas.openxmlformats.org/officeDocument/2006/relationships/hyperlink" Target="https://www.cettire.com/collections/belstaff" TargetMode="External"/><Relationship Id="rId4495" Type="http://schemas.openxmlformats.org/officeDocument/2006/relationships/hyperlink" Target="https://www.cettire.com/collections/john-smedley" TargetMode="External"/><Relationship Id="rId3097" Type="http://schemas.openxmlformats.org/officeDocument/2006/relationships/hyperlink" Target="https://www.cettire.com/collections/balenciaga-kids" TargetMode="External"/><Relationship Id="rId4148" Type="http://schemas.openxmlformats.org/officeDocument/2006/relationships/hyperlink" Target="https://www.cettire.com/collections/themoire" TargetMode="External"/><Relationship Id="rId4355" Type="http://schemas.openxmlformats.org/officeDocument/2006/relationships/hyperlink" Target="https://www.cettire.com/collections/comme-des-garcons-play-kids" TargetMode="External"/><Relationship Id="rId1949" Type="http://schemas.openxmlformats.org/officeDocument/2006/relationships/hyperlink" Target="https://www.cettire.com/collections/chopard-eyewear" TargetMode="External"/><Relationship Id="rId3164" Type="http://schemas.openxmlformats.org/officeDocument/2006/relationships/hyperlink" Target="https://www.cettire.com/collections/comme-des-garcons-noir-kei-ninomiya" TargetMode="External"/><Relationship Id="rId4008" Type="http://schemas.openxmlformats.org/officeDocument/2006/relationships/hyperlink" Target="https://www.cettire.com/collections/nike" TargetMode="External"/><Relationship Id="rId4562" Type="http://schemas.openxmlformats.org/officeDocument/2006/relationships/hyperlink" Target="https://www.cettire.com/collections/mastermind-world" TargetMode="External"/><Relationship Id="rId292" Type="http://schemas.openxmlformats.org/officeDocument/2006/relationships/hyperlink" Target="https://www.cettire.com/collections/juun-j" TargetMode="External"/><Relationship Id="rId1809" Type="http://schemas.openxmlformats.org/officeDocument/2006/relationships/hyperlink" Target="https://www.cettire.com/collections/y-project" TargetMode="External"/><Relationship Id="rId3371" Type="http://schemas.openxmlformats.org/officeDocument/2006/relationships/hyperlink" Target="https://www.cettire.com/collections/mini-rodini" TargetMode="External"/><Relationship Id="rId4215" Type="http://schemas.openxmlformats.org/officeDocument/2006/relationships/hyperlink" Target="https://www.cettire.com/collections/a-cold-wall" TargetMode="External"/><Relationship Id="rId4422" Type="http://schemas.openxmlformats.org/officeDocument/2006/relationships/hyperlink" Target="https://www.cettire.com/collections/fear-of-god" TargetMode="External"/><Relationship Id="rId2180" Type="http://schemas.openxmlformats.org/officeDocument/2006/relationships/hyperlink" Target="https://www.cettire.com/collections/michael-michael-kors" TargetMode="External"/><Relationship Id="rId3024" Type="http://schemas.openxmlformats.org/officeDocument/2006/relationships/hyperlink" Target="https://www.cettire.com/collections/ymc" TargetMode="External"/><Relationship Id="rId3231" Type="http://schemas.openxmlformats.org/officeDocument/2006/relationships/hyperlink" Target="https://www.cettire.com/collections/feng-chen-wang" TargetMode="External"/><Relationship Id="rId152" Type="http://schemas.openxmlformats.org/officeDocument/2006/relationships/hyperlink" Target="https://www.cettire.com/collections/common-projects" TargetMode="External"/><Relationship Id="rId2040" Type="http://schemas.openxmlformats.org/officeDocument/2006/relationships/hyperlink" Target="https://www.cettire.com/collections/forte-forte" TargetMode="External"/><Relationship Id="rId2997" Type="http://schemas.openxmlformats.org/officeDocument/2006/relationships/hyperlink" Target="https://www.cettire.com/collections/valentino-eyewear" TargetMode="External"/><Relationship Id="rId969" Type="http://schemas.openxmlformats.org/officeDocument/2006/relationships/hyperlink" Target="https://www.cettire.com/collections/michael-kors-collection" TargetMode="External"/><Relationship Id="rId1599" Type="http://schemas.openxmlformats.org/officeDocument/2006/relationships/hyperlink" Target="https://www.cettire.com/collections/moschino-eyewear" TargetMode="External"/><Relationship Id="rId1459" Type="http://schemas.openxmlformats.org/officeDocument/2006/relationships/hyperlink" Target="https://www.cettire.com/collections/guidi" TargetMode="External"/><Relationship Id="rId2857" Type="http://schemas.openxmlformats.org/officeDocument/2006/relationships/hyperlink" Target="https://www.cettire.com/collections/parajumpers" TargetMode="External"/><Relationship Id="rId3908" Type="http://schemas.openxmlformats.org/officeDocument/2006/relationships/hyperlink" Target="https://www.cettire.com/collections/lauren-ralph-lauren" TargetMode="External"/><Relationship Id="rId4072" Type="http://schemas.openxmlformats.org/officeDocument/2006/relationships/hyperlink" Target="https://www.cettire.com/collections/red-wing-shoes" TargetMode="External"/><Relationship Id="rId98" Type="http://schemas.openxmlformats.org/officeDocument/2006/relationships/hyperlink" Target="https://www.cettire.com/collections/brunello-cucinelli-kids" TargetMode="External"/><Relationship Id="rId829" Type="http://schemas.openxmlformats.org/officeDocument/2006/relationships/hyperlink" Target="https://www.cettire.com/collections/francesco-russo" TargetMode="External"/><Relationship Id="rId1666" Type="http://schemas.openxmlformats.org/officeDocument/2006/relationships/hyperlink" Target="https://www.cettire.com/collections/pressure" TargetMode="External"/><Relationship Id="rId1873" Type="http://schemas.openxmlformats.org/officeDocument/2006/relationships/hyperlink" Target="https://www.cettire.com/collections/aries" TargetMode="External"/><Relationship Id="rId2717" Type="http://schemas.openxmlformats.org/officeDocument/2006/relationships/hyperlink" Target="https://www.cettire.com/collections/kara" TargetMode="External"/><Relationship Id="rId2924" Type="http://schemas.openxmlformats.org/officeDocument/2006/relationships/hyperlink" Target="https://www.cettire.com/collections/saint-laurent-eyewear" TargetMode="External"/><Relationship Id="rId1319" Type="http://schemas.openxmlformats.org/officeDocument/2006/relationships/hyperlink" Target="https://www.cettire.com/collections/c-p-company-kids" TargetMode="External"/><Relationship Id="rId1526" Type="http://schemas.openxmlformats.org/officeDocument/2006/relationships/hyperlink" Target="https://www.cettire.com/collections/lesca" TargetMode="External"/><Relationship Id="rId1733" Type="http://schemas.openxmlformats.org/officeDocument/2006/relationships/hyperlink" Target="https://www.cettire.com/collections/sporty-rich" TargetMode="External"/><Relationship Id="rId1940" Type="http://schemas.openxmlformats.org/officeDocument/2006/relationships/hyperlink" Target="https://www.cettire.com/collections/cecilie-bahnsen" TargetMode="External"/><Relationship Id="rId25" Type="http://schemas.openxmlformats.org/officeDocument/2006/relationships/hyperlink" Target="https://www.cettire.com/collections/agnona" TargetMode="External"/><Relationship Id="rId1800" Type="http://schemas.openxmlformats.org/officeDocument/2006/relationships/hyperlink" Target="https://www.cettire.com/collections/wandler" TargetMode="External"/><Relationship Id="rId3698" Type="http://schemas.openxmlformats.org/officeDocument/2006/relationships/hyperlink" Target="https://www.cettire.com/collections/buscemi" TargetMode="External"/><Relationship Id="rId4749" Type="http://schemas.openxmlformats.org/officeDocument/2006/relationships/hyperlink" Target="https://www.cettire.com/collections/tartine-et-chocolat" TargetMode="External"/><Relationship Id="rId3558" Type="http://schemas.openxmlformats.org/officeDocument/2006/relationships/hyperlink" Target="https://www.cettire.com/collections/undercover" TargetMode="External"/><Relationship Id="rId3765" Type="http://schemas.openxmlformats.org/officeDocument/2006/relationships/hyperlink" Target="https://www.cettire.com/collections/diesel-red-tag" TargetMode="External"/><Relationship Id="rId3972" Type="http://schemas.openxmlformats.org/officeDocument/2006/relationships/hyperlink" Target="https://www.cettire.com/collections/mjb-marc-jacques-burton" TargetMode="External"/><Relationship Id="rId4609" Type="http://schemas.openxmlformats.org/officeDocument/2006/relationships/hyperlink" Target="https://www.cettire.com/collections/nana-nana" TargetMode="External"/><Relationship Id="rId4816" Type="http://schemas.openxmlformats.org/officeDocument/2006/relationships/hyperlink" Target="https://www.cettire.com/collections/zadig-voltaire-kids" TargetMode="External"/><Relationship Id="rId479" Type="http://schemas.openxmlformats.org/officeDocument/2006/relationships/hyperlink" Target="https://www.cettire.com/collections/rejina-pyo" TargetMode="External"/><Relationship Id="rId686" Type="http://schemas.openxmlformats.org/officeDocument/2006/relationships/hyperlink" Target="https://www.cettire.com/collections/berluti" TargetMode="External"/><Relationship Id="rId893" Type="http://schemas.openxmlformats.org/officeDocument/2006/relationships/hyperlink" Target="https://www.cettire.com/collections/junya-watanabe-comme-des-garcons" TargetMode="External"/><Relationship Id="rId2367" Type="http://schemas.openxmlformats.org/officeDocument/2006/relationships/hyperlink" Target="https://www.cettire.com/collections/thom-browne-eyewear" TargetMode="External"/><Relationship Id="rId2574" Type="http://schemas.openxmlformats.org/officeDocument/2006/relationships/hyperlink" Target="https://www.cettire.com/collections/converse" TargetMode="External"/><Relationship Id="rId2781" Type="http://schemas.openxmlformats.org/officeDocument/2006/relationships/hyperlink" Target="https://www.cettire.com/collections/max-mara-studio" TargetMode="External"/><Relationship Id="rId3418" Type="http://schemas.openxmlformats.org/officeDocument/2006/relationships/hyperlink" Target="https://www.cettire.com/collections/off-white-kids" TargetMode="External"/><Relationship Id="rId3625" Type="http://schemas.openxmlformats.org/officeDocument/2006/relationships/hyperlink" Target="https://www.cettire.com/collections/alberto-biani" TargetMode="External"/><Relationship Id="rId339" Type="http://schemas.openxmlformats.org/officeDocument/2006/relationships/hyperlink" Target="https://www.cettire.com/collections/manolo-blahnik" TargetMode="External"/><Relationship Id="rId546" Type="http://schemas.openxmlformats.org/officeDocument/2006/relationships/hyperlink" Target="https://www.cettire.com/collections/the-north-face" TargetMode="External"/><Relationship Id="rId753" Type="http://schemas.openxmlformats.org/officeDocument/2006/relationships/hyperlink" Target="https://www.cettire.com/collections/comme-des-garcons-shirt" TargetMode="External"/><Relationship Id="rId1176" Type="http://schemas.openxmlformats.org/officeDocument/2006/relationships/hyperlink" Target="https://www.cettire.com/collections/valentino" TargetMode="External"/><Relationship Id="rId1383" Type="http://schemas.openxmlformats.org/officeDocument/2006/relationships/hyperlink" Target="https://www.cettire.com/collections/dior-eyewear" TargetMode="External"/><Relationship Id="rId2227" Type="http://schemas.openxmlformats.org/officeDocument/2006/relationships/hyperlink" Target="https://www.cettire.com/collections/noon-goons" TargetMode="External"/><Relationship Id="rId2434" Type="http://schemas.openxmlformats.org/officeDocument/2006/relationships/hyperlink" Target="https://www.cettire.com/collections/abra" TargetMode="External"/><Relationship Id="rId3832" Type="http://schemas.openxmlformats.org/officeDocument/2006/relationships/hyperlink" Target="https://www.cettire.com/collections/giorgio-armani" TargetMode="External"/><Relationship Id="rId406" Type="http://schemas.openxmlformats.org/officeDocument/2006/relationships/hyperlink" Target="https://www.cettire.com/collections/neil-barrett" TargetMode="External"/><Relationship Id="rId960" Type="http://schemas.openxmlformats.org/officeDocument/2006/relationships/hyperlink" Target="https://www.cettire.com/collections/max-mara" TargetMode="External"/><Relationship Id="rId1036" Type="http://schemas.openxmlformats.org/officeDocument/2006/relationships/hyperlink" Target="https://www.cettire.com/collections/paraboot" TargetMode="External"/><Relationship Id="rId1243" Type="http://schemas.openxmlformats.org/officeDocument/2006/relationships/hyperlink" Target="https://www.cettire.com/collections/alessandra-rich" TargetMode="External"/><Relationship Id="rId1590" Type="http://schemas.openxmlformats.org/officeDocument/2006/relationships/hyperlink" Target="https://www.cettire.com/collections/moncler-enfant" TargetMode="External"/><Relationship Id="rId2641" Type="http://schemas.openxmlformats.org/officeDocument/2006/relationships/hyperlink" Target="https://www.cettire.com/collections/fenty-x-puma" TargetMode="External"/><Relationship Id="rId4399" Type="http://schemas.openxmlformats.org/officeDocument/2006/relationships/hyperlink" Target="https://www.cettire.com/collections/elisabetta-franchi" TargetMode="External"/><Relationship Id="rId613" Type="http://schemas.openxmlformats.org/officeDocument/2006/relationships/hyperlink" Target="https://www.cettire.com/collections/mm-ilfig-r-kids" TargetMode="External"/><Relationship Id="rId820" Type="http://schemas.openxmlformats.org/officeDocument/2006/relationships/hyperlink" Target="https://www.cettire.com/collections/fendi-kids" TargetMode="External"/><Relationship Id="rId1450" Type="http://schemas.openxmlformats.org/officeDocument/2006/relationships/hyperlink" Target="https://www.cettire.com/collections/givenchy-eyewear" TargetMode="External"/><Relationship Id="rId2501" Type="http://schemas.openxmlformats.org/officeDocument/2006/relationships/hyperlink" Target="https://www.cettire.com/collections/barrow" TargetMode="External"/><Relationship Id="rId1103" Type="http://schemas.openxmlformats.org/officeDocument/2006/relationships/hyperlink" Target="https://www.cettire.com/collections/saint-laurent" TargetMode="External"/><Relationship Id="rId1310" Type="http://schemas.openxmlformats.org/officeDocument/2006/relationships/hyperlink" Target="https://www.cettire.com/collections/building-block" TargetMode="External"/><Relationship Id="rId4259" Type="http://schemas.openxmlformats.org/officeDocument/2006/relationships/hyperlink" Target="https://www.cettire.com/collections/apesi" TargetMode="External"/><Relationship Id="rId4466" Type="http://schemas.openxmlformats.org/officeDocument/2006/relationships/hyperlink" Target="https://www.cettire.com/collections/herschel-supply-co" TargetMode="External"/><Relationship Id="rId4673" Type="http://schemas.openxmlformats.org/officeDocument/2006/relationships/hyperlink" Target="https://www.cettire.com/collections/r13" TargetMode="External"/><Relationship Id="rId3068" Type="http://schemas.openxmlformats.org/officeDocument/2006/relationships/hyperlink" Target="https://www.cettire.com/collections/alexandre-vauthier" TargetMode="External"/><Relationship Id="rId3275" Type="http://schemas.openxmlformats.org/officeDocument/2006/relationships/hyperlink" Target="https://www.cettire.com/collections/ih-nom-uh-nit" TargetMode="External"/><Relationship Id="rId3482" Type="http://schemas.openxmlformats.org/officeDocument/2006/relationships/hyperlink" Target="https://www.cettire.com/collections/rick-owens-lilies" TargetMode="External"/><Relationship Id="rId4119" Type="http://schemas.openxmlformats.org/officeDocument/2006/relationships/hyperlink" Target="https://www.cettire.com/collections/sportmax" TargetMode="External"/><Relationship Id="rId4326" Type="http://schemas.openxmlformats.org/officeDocument/2006/relationships/hyperlink" Target="https://www.cettire.com/collections/cartier" TargetMode="External"/><Relationship Id="rId4533" Type="http://schemas.openxmlformats.org/officeDocument/2006/relationships/hyperlink" Target="https://www.cettire.com/collections/loro-piana" TargetMode="External"/><Relationship Id="rId4740" Type="http://schemas.openxmlformats.org/officeDocument/2006/relationships/hyperlink" Target="https://www.cettire.com/collections/stuart-weitzman" TargetMode="External"/><Relationship Id="rId196" Type="http://schemas.openxmlformats.org/officeDocument/2006/relationships/hyperlink" Target="https://www.cettire.com/collections/emporio-armani" TargetMode="External"/><Relationship Id="rId2084" Type="http://schemas.openxmlformats.org/officeDocument/2006/relationships/hyperlink" Target="https://www.cettire.com/collections/il-gufo" TargetMode="External"/><Relationship Id="rId2291" Type="http://schemas.openxmlformats.org/officeDocument/2006/relationships/hyperlink" Target="https://www.cettire.com/collections/reebok-x-victoria-beckham" TargetMode="External"/><Relationship Id="rId3135" Type="http://schemas.openxmlformats.org/officeDocument/2006/relationships/hyperlink" Target="https://www.cettire.com/collections/canali" TargetMode="External"/><Relationship Id="rId3342" Type="http://schemas.openxmlformats.org/officeDocument/2006/relationships/hyperlink" Target="https://www.cettire.com/collections/manokhi" TargetMode="External"/><Relationship Id="rId4600" Type="http://schemas.openxmlformats.org/officeDocument/2006/relationships/hyperlink" Target="https://www.cettire.com/collections/moschino-kids" TargetMode="External"/><Relationship Id="rId263" Type="http://schemas.openxmlformats.org/officeDocument/2006/relationships/hyperlink" Target="https://www.cettire.com/collections/honey-fucking-dijon" TargetMode="External"/><Relationship Id="rId470" Type="http://schemas.openxmlformats.org/officeDocument/2006/relationships/hyperlink" Target="https://www.cettire.com/collections/ray-ban" TargetMode="External"/><Relationship Id="rId2151" Type="http://schemas.openxmlformats.org/officeDocument/2006/relationships/hyperlink" Target="https://www.cettire.com/collections/manokhi" TargetMode="External"/><Relationship Id="rId3202" Type="http://schemas.openxmlformats.org/officeDocument/2006/relationships/hyperlink" Target="https://www.cettire.com/collections/eckhaus-latta" TargetMode="External"/><Relationship Id="rId123" Type="http://schemas.openxmlformats.org/officeDocument/2006/relationships/hyperlink" Target="https://www.cettire.com/collections/cecilie-bahnsen" TargetMode="External"/><Relationship Id="rId330" Type="http://schemas.openxmlformats.org/officeDocument/2006/relationships/hyperlink" Target="https://www.cettire.com/collections/magda-butrym" TargetMode="External"/><Relationship Id="rId2011" Type="http://schemas.openxmlformats.org/officeDocument/2006/relationships/hyperlink" Target="https://www.cettire.com/collections/emilio-pucci-junior" TargetMode="External"/><Relationship Id="rId2968" Type="http://schemas.openxmlformats.org/officeDocument/2006/relationships/hyperlink" Target="https://www.cettire.com/collections/the-gigi" TargetMode="External"/><Relationship Id="rId4183" Type="http://schemas.openxmlformats.org/officeDocument/2006/relationships/hyperlink" Target="https://www.cettire.com/collections/vince" TargetMode="External"/><Relationship Id="rId1777" Type="http://schemas.openxmlformats.org/officeDocument/2006/relationships/hyperlink" Target="https://www.cettire.com/collections/ulla-johnson" TargetMode="External"/><Relationship Id="rId1984" Type="http://schemas.openxmlformats.org/officeDocument/2006/relationships/hyperlink" Target="https://www.cettire.com/collections/diesel" TargetMode="External"/><Relationship Id="rId2828" Type="http://schemas.openxmlformats.org/officeDocument/2006/relationships/hyperlink" Target="https://www.cettire.com/collections/neil-barrett-kids" TargetMode="External"/><Relationship Id="rId4390" Type="http://schemas.openxmlformats.org/officeDocument/2006/relationships/hyperlink" Target="https://www.cettire.com/collections/dsquared2" TargetMode="External"/><Relationship Id="rId69" Type="http://schemas.openxmlformats.org/officeDocument/2006/relationships/hyperlink" Target="https://www.cettire.com/collections/ballantyne" TargetMode="External"/><Relationship Id="rId1637" Type="http://schemas.openxmlformats.org/officeDocument/2006/relationships/hyperlink" Target="https://www.cettire.com/collections/p-a-r-o-s-h" TargetMode="External"/><Relationship Id="rId1844" Type="http://schemas.openxmlformats.org/officeDocument/2006/relationships/hyperlink" Target="https://www.cettire.com/collections/agolde" TargetMode="External"/><Relationship Id="rId4043" Type="http://schemas.openxmlformats.org/officeDocument/2006/relationships/hyperlink" Target="https://www.cettire.com/collections/pierre-louis-mascia" TargetMode="External"/><Relationship Id="rId4250" Type="http://schemas.openxmlformats.org/officeDocument/2006/relationships/hyperlink" Target="https://www.cettire.com/collections/amina-muaddi" TargetMode="External"/><Relationship Id="rId1704" Type="http://schemas.openxmlformats.org/officeDocument/2006/relationships/hyperlink" Target="https://www.cettire.com/collections/rombaut" TargetMode="External"/><Relationship Id="rId4110" Type="http://schemas.openxmlformats.org/officeDocument/2006/relationships/hyperlink" Target="https://www.cettire.com/collections/sergio-rossi" TargetMode="External"/><Relationship Id="rId1911" Type="http://schemas.openxmlformats.org/officeDocument/2006/relationships/hyperlink" Target="https://www.cettire.com/collections/boutique-moschino" TargetMode="External"/><Relationship Id="rId3669" Type="http://schemas.openxmlformats.org/officeDocument/2006/relationships/hyperlink" Target="https://www.cettire.com/collections/barba" TargetMode="External"/><Relationship Id="rId797" Type="http://schemas.openxmlformats.org/officeDocument/2006/relationships/hyperlink" Target="https://www.cettire.com/collections/elisabetta-franchi" TargetMode="External"/><Relationship Id="rId2478" Type="http://schemas.openxmlformats.org/officeDocument/2006/relationships/hyperlink" Target="https://www.cettire.com/collections/aries" TargetMode="External"/><Relationship Id="rId3876" Type="http://schemas.openxmlformats.org/officeDocument/2006/relationships/hyperlink" Target="https://www.cettire.com/collections/jimmy-choo" TargetMode="External"/><Relationship Id="rId1287" Type="http://schemas.openxmlformats.org/officeDocument/2006/relationships/hyperlink" Target="https://www.cettire.com/collections/barbour" TargetMode="External"/><Relationship Id="rId2685" Type="http://schemas.openxmlformats.org/officeDocument/2006/relationships/hyperlink" Target="https://www.cettire.com/collections/howlin" TargetMode="External"/><Relationship Id="rId2892" Type="http://schemas.openxmlformats.org/officeDocument/2006/relationships/hyperlink" Target="https://www.cettire.com/collections/ralph-lauren-kids" TargetMode="External"/><Relationship Id="rId3529" Type="http://schemas.openxmlformats.org/officeDocument/2006/relationships/hyperlink" Target="https://www.cettire.com/collections/swarovski" TargetMode="External"/><Relationship Id="rId3736" Type="http://schemas.openxmlformats.org/officeDocument/2006/relationships/hyperlink" Target="https://www.cettire.com/collections/comme-des-garcons" TargetMode="External"/><Relationship Id="rId3943" Type="http://schemas.openxmlformats.org/officeDocument/2006/relationships/hyperlink" Target="https://www.cettire.com/collections/marni-eyewear" TargetMode="External"/><Relationship Id="rId657" Type="http://schemas.openxmlformats.org/officeDocument/2006/relationships/hyperlink" Target="https://www.cettire.com/collections/apesi" TargetMode="External"/><Relationship Id="rId864" Type="http://schemas.openxmlformats.org/officeDocument/2006/relationships/hyperlink" Target="https://www.cettire.com/collections/hogan-rebel" TargetMode="External"/><Relationship Id="rId1494" Type="http://schemas.openxmlformats.org/officeDocument/2006/relationships/hyperlink" Target="https://www.cettire.com/collections/jimmy-choo-eyewear" TargetMode="External"/><Relationship Id="rId2338" Type="http://schemas.openxmlformats.org/officeDocument/2006/relationships/hyperlink" Target="https://www.cettire.com/collections/stand-studio" TargetMode="External"/><Relationship Id="rId2545" Type="http://schemas.openxmlformats.org/officeDocument/2006/relationships/hyperlink" Target="https://www.cettire.com/collections/cecilie-bahnsen" TargetMode="External"/><Relationship Id="rId2752" Type="http://schemas.openxmlformats.org/officeDocument/2006/relationships/hyperlink" Target="https://www.cettire.com/collections/magda-butrym" TargetMode="External"/><Relationship Id="rId3803" Type="http://schemas.openxmlformats.org/officeDocument/2006/relationships/hyperlink" Target="https://www.cettire.com/collections/fabiana-filippi" TargetMode="External"/><Relationship Id="rId517" Type="http://schemas.openxmlformats.org/officeDocument/2006/relationships/hyperlink" Target="https://www.cettire.com/collections/simone-rocha" TargetMode="External"/><Relationship Id="rId724" Type="http://schemas.openxmlformats.org/officeDocument/2006/relationships/hyperlink" Target="https://www.cettire.com/collections/carven" TargetMode="External"/><Relationship Id="rId931" Type="http://schemas.openxmlformats.org/officeDocument/2006/relationships/hyperlink" Target="https://www.cettire.com/collections/low-classic" TargetMode="External"/><Relationship Id="rId1147" Type="http://schemas.openxmlformats.org/officeDocument/2006/relationships/hyperlink" Target="https://www.cettire.com/collections/the-attico" TargetMode="External"/><Relationship Id="rId1354" Type="http://schemas.openxmlformats.org/officeDocument/2006/relationships/hyperlink" Target="https://www.cettire.com/collections/comme-des-garcons-girl" TargetMode="External"/><Relationship Id="rId1561" Type="http://schemas.openxmlformats.org/officeDocument/2006/relationships/hyperlink" Target="https://www.cettire.com/collections/martine-rose" TargetMode="External"/><Relationship Id="rId2405" Type="http://schemas.openxmlformats.org/officeDocument/2006/relationships/hyperlink" Target="https://www.cettire.com/collections/we11done" TargetMode="External"/><Relationship Id="rId2612" Type="http://schemas.openxmlformats.org/officeDocument/2006/relationships/hyperlink" Target="https://www.cettire.com/collections/eden-power-corp" TargetMode="External"/><Relationship Id="rId60" Type="http://schemas.openxmlformats.org/officeDocument/2006/relationships/hyperlink" Target="https://www.cettire.com/collections/asics" TargetMode="External"/><Relationship Id="rId1007" Type="http://schemas.openxmlformats.org/officeDocument/2006/relationships/hyperlink" Target="https://www.cettire.com/collections/needles" TargetMode="External"/><Relationship Id="rId1214" Type="http://schemas.openxmlformats.org/officeDocument/2006/relationships/hyperlink" Target="https://www.cettire.com/collections/424" TargetMode="External"/><Relationship Id="rId1421" Type="http://schemas.openxmlformats.org/officeDocument/2006/relationships/hyperlink" Target="https://www.cettire.com/collections/faith-connexion" TargetMode="External"/><Relationship Id="rId4577" Type="http://schemas.openxmlformats.org/officeDocument/2006/relationships/hyperlink" Target="https://www.cettire.com/collections/michael-michael-kors" TargetMode="External"/><Relationship Id="rId4784" Type="http://schemas.openxmlformats.org/officeDocument/2006/relationships/hyperlink" Target="https://www.cettire.com/collections/valextra" TargetMode="External"/><Relationship Id="rId3179" Type="http://schemas.openxmlformats.org/officeDocument/2006/relationships/hyperlink" Target="https://www.cettire.com/collections/delvaux" TargetMode="External"/><Relationship Id="rId3386" Type="http://schemas.openxmlformats.org/officeDocument/2006/relationships/hyperlink" Target="https://www.cettire.com/collections/monnalisa" TargetMode="External"/><Relationship Id="rId3593" Type="http://schemas.openxmlformats.org/officeDocument/2006/relationships/hyperlink" Target="https://www.cettire.com/collections/zimmermann" TargetMode="External"/><Relationship Id="rId4437" Type="http://schemas.openxmlformats.org/officeDocument/2006/relationships/hyperlink" Target="https://www.cettire.com/collections/gabriela-hearst" TargetMode="External"/><Relationship Id="rId4644" Type="http://schemas.openxmlformats.org/officeDocument/2006/relationships/hyperlink" Target="https://www.cettire.com/collections/paris-texas" TargetMode="External"/><Relationship Id="rId2195" Type="http://schemas.openxmlformats.org/officeDocument/2006/relationships/hyperlink" Target="https://www.cettire.com/collections/moncler-eyewear" TargetMode="External"/><Relationship Id="rId3039" Type="http://schemas.openxmlformats.org/officeDocument/2006/relationships/hyperlink" Target="https://www.cettire.com/collections/mm-ilfig-r-kids" TargetMode="External"/><Relationship Id="rId3246" Type="http://schemas.openxmlformats.org/officeDocument/2006/relationships/hyperlink" Target="https://www.cettire.com/collections/gia-borghini" TargetMode="External"/><Relationship Id="rId3453" Type="http://schemas.openxmlformats.org/officeDocument/2006/relationships/hyperlink" Target="https://www.cettire.com/collections/proenza-schouler" TargetMode="External"/><Relationship Id="rId167" Type="http://schemas.openxmlformats.org/officeDocument/2006/relationships/hyperlink" Target="https://www.cettire.com/collections/diemme" TargetMode="External"/><Relationship Id="rId374" Type="http://schemas.openxmlformats.org/officeDocument/2006/relationships/hyperlink" Target="https://www.cettire.com/collections/miu-miu-eyewear" TargetMode="External"/><Relationship Id="rId581" Type="http://schemas.openxmlformats.org/officeDocument/2006/relationships/hyperlink" Target="https://www.cettire.com/collections/versace-eyewear" TargetMode="External"/><Relationship Id="rId2055" Type="http://schemas.openxmlformats.org/officeDocument/2006/relationships/hyperlink" Target="https://www.cettire.com/collections/givenchy" TargetMode="External"/><Relationship Id="rId2262" Type="http://schemas.openxmlformats.org/officeDocument/2006/relationships/hyperlink" Target="https://www.cettire.com/collections/pleats-please-by-issey-miyake" TargetMode="External"/><Relationship Id="rId3106" Type="http://schemas.openxmlformats.org/officeDocument/2006/relationships/hyperlink" Target="https://www.cettire.com/collections/belstaff" TargetMode="External"/><Relationship Id="rId3660" Type="http://schemas.openxmlformats.org/officeDocument/2006/relationships/hyperlink" Target="https://www.cettire.com/collections/b-low-the-belt" TargetMode="External"/><Relationship Id="rId4504" Type="http://schemas.openxmlformats.org/officeDocument/2006/relationships/hyperlink" Target="https://www.cettire.com/collections/kappa-kontroll" TargetMode="External"/><Relationship Id="rId4711" Type="http://schemas.openxmlformats.org/officeDocument/2006/relationships/hyperlink" Target="https://www.cettire.com/collections/salomon-s-lab" TargetMode="External"/><Relationship Id="rId234" Type="http://schemas.openxmlformats.org/officeDocument/2006/relationships/hyperlink" Target="https://www.cettire.com/collections/gcds-kids" TargetMode="External"/><Relationship Id="rId3313" Type="http://schemas.openxmlformats.org/officeDocument/2006/relationships/hyperlink" Target="https://www.cettire.com/collections/la-milanesa" TargetMode="External"/><Relationship Id="rId3520" Type="http://schemas.openxmlformats.org/officeDocument/2006/relationships/hyperlink" Target="https://www.cettire.com/collections/stone-island" TargetMode="External"/><Relationship Id="rId441" Type="http://schemas.openxmlformats.org/officeDocument/2006/relationships/hyperlink" Target="https://www.cettire.com/collections/philippe-model" TargetMode="External"/><Relationship Id="rId1071" Type="http://schemas.openxmlformats.org/officeDocument/2006/relationships/hyperlink" Target="https://www.cettire.com/collections/ralph-lauren" TargetMode="External"/><Relationship Id="rId2122" Type="http://schemas.openxmlformats.org/officeDocument/2006/relationships/hyperlink" Target="https://www.cettire.com/collections/la-stupenderia" TargetMode="External"/><Relationship Id="rId301" Type="http://schemas.openxmlformats.org/officeDocument/2006/relationships/hyperlink" Target="https://www.cettire.com/collections/khaite" TargetMode="External"/><Relationship Id="rId1888" Type="http://schemas.openxmlformats.org/officeDocument/2006/relationships/hyperlink" Target="https://www.cettire.com/collections/bally" TargetMode="External"/><Relationship Id="rId2939" Type="http://schemas.openxmlformats.org/officeDocument/2006/relationships/hyperlink" Target="https://www.cettire.com/collections/sies-marjan" TargetMode="External"/><Relationship Id="rId4087" Type="http://schemas.openxmlformats.org/officeDocument/2006/relationships/hyperlink" Target="https://www.cettire.com/collections/robert-clergerie" TargetMode="External"/><Relationship Id="rId4294" Type="http://schemas.openxmlformats.org/officeDocument/2006/relationships/hyperlink" Target="https://www.cettire.com/collections/bobo-choses" TargetMode="External"/><Relationship Id="rId1748" Type="http://schemas.openxmlformats.org/officeDocument/2006/relationships/hyperlink" Target="https://www.cettire.com/collections/swarovski" TargetMode="External"/><Relationship Id="rId4154" Type="http://schemas.openxmlformats.org/officeDocument/2006/relationships/hyperlink" Target="https://www.cettire.com/collections/tom-ford" TargetMode="External"/><Relationship Id="rId4361" Type="http://schemas.openxmlformats.org/officeDocument/2006/relationships/hyperlink" Target="https://www.cettire.com/collections/coperni" TargetMode="External"/><Relationship Id="rId1955" Type="http://schemas.openxmlformats.org/officeDocument/2006/relationships/hyperlink" Target="https://www.cettire.com/collections/coach" TargetMode="External"/><Relationship Id="rId3170" Type="http://schemas.openxmlformats.org/officeDocument/2006/relationships/hyperlink" Target="https://www.cettire.com/collections/converse" TargetMode="External"/><Relationship Id="rId4014" Type="http://schemas.openxmlformats.org/officeDocument/2006/relationships/hyperlink" Target="https://www.cettire.com/collections/nudie-jeans" TargetMode="External"/><Relationship Id="rId4221" Type="http://schemas.openxmlformats.org/officeDocument/2006/relationships/hyperlink" Target="https://www.cettire.com/collections/adidas-by-danielle-cathari" TargetMode="External"/><Relationship Id="rId1608" Type="http://schemas.openxmlformats.org/officeDocument/2006/relationships/hyperlink" Target="https://www.cettire.com/collections/n-21-kids" TargetMode="External"/><Relationship Id="rId1815" Type="http://schemas.openxmlformats.org/officeDocument/2006/relationships/hyperlink" Target="https://www.cettire.com/collections/zadig-voltaire" TargetMode="External"/><Relationship Id="rId3030" Type="http://schemas.openxmlformats.org/officeDocument/2006/relationships/hyperlink" Target="https://www.cettire.com/collections/zadig-voltaire-kids" TargetMode="External"/><Relationship Id="rId3987" Type="http://schemas.openxmlformats.org/officeDocument/2006/relationships/hyperlink" Target="https://www.cettire.com/collections/moschino-kids" TargetMode="External"/><Relationship Id="rId2589" Type="http://schemas.openxmlformats.org/officeDocument/2006/relationships/hyperlink" Target="https://www.cettire.com/collections/diemme" TargetMode="External"/><Relationship Id="rId2796" Type="http://schemas.openxmlformats.org/officeDocument/2006/relationships/hyperlink" Target="https://www.cettire.com/collections/miu-miu-eyewear" TargetMode="External"/><Relationship Id="rId3847" Type="http://schemas.openxmlformats.org/officeDocument/2006/relationships/hyperlink" Target="https://www.cettire.com/collections/hereu" TargetMode="External"/><Relationship Id="rId768" Type="http://schemas.openxmlformats.org/officeDocument/2006/relationships/hyperlink" Target="https://www.cettire.com/collections/desa-1972" TargetMode="External"/><Relationship Id="rId975" Type="http://schemas.openxmlformats.org/officeDocument/2006/relationships/hyperlink" Target="https://www.cettire.com/collections/missoni-mare" TargetMode="External"/><Relationship Id="rId1398" Type="http://schemas.openxmlformats.org/officeDocument/2006/relationships/hyperlink" Target="https://www.cettire.com/collections/eastpak" TargetMode="External"/><Relationship Id="rId2449" Type="http://schemas.openxmlformats.org/officeDocument/2006/relationships/hyperlink" Target="https://www.cettire.com/collections/agolde" TargetMode="External"/><Relationship Id="rId2656" Type="http://schemas.openxmlformats.org/officeDocument/2006/relationships/hyperlink" Target="https://www.cettire.com/collections/gcds-kids" TargetMode="External"/><Relationship Id="rId2863" Type="http://schemas.openxmlformats.org/officeDocument/2006/relationships/hyperlink" Target="https://www.cettire.com/collections/philipp-plein-junior" TargetMode="External"/><Relationship Id="rId3707" Type="http://schemas.openxmlformats.org/officeDocument/2006/relationships/hyperlink" Target="https://www.cettire.com/collections/canada-goose-kids" TargetMode="External"/><Relationship Id="rId3914" Type="http://schemas.openxmlformats.org/officeDocument/2006/relationships/hyperlink" Target="https://www.cettire.com/collections/li-ning" TargetMode="External"/><Relationship Id="rId628" Type="http://schemas.openxmlformats.org/officeDocument/2006/relationships/hyperlink" Target="https://www.cettire.com/collections/adidas-originals-by-alexander-wang" TargetMode="External"/><Relationship Id="rId835" Type="http://schemas.openxmlformats.org/officeDocument/2006/relationships/hyperlink" Target="https://www.cettire.com/collections/ganni" TargetMode="External"/><Relationship Id="rId1258" Type="http://schemas.openxmlformats.org/officeDocument/2006/relationships/hyperlink" Target="https://www.cettire.com/collections/anita-bilardi" TargetMode="External"/><Relationship Id="rId1465" Type="http://schemas.openxmlformats.org/officeDocument/2006/relationships/hyperlink" Target="https://www.cettire.com/collections/herno-kids" TargetMode="External"/><Relationship Id="rId1672" Type="http://schemas.openxmlformats.org/officeDocument/2006/relationships/hyperlink" Target="https://www.cettire.com/collections/puma" TargetMode="External"/><Relationship Id="rId2309" Type="http://schemas.openxmlformats.org/officeDocument/2006/relationships/hyperlink" Target="https://www.cettire.com/collections/rosantica" TargetMode="External"/><Relationship Id="rId2516" Type="http://schemas.openxmlformats.org/officeDocument/2006/relationships/hyperlink" Target="https://www.cettire.com/collections/boutique-moschino" TargetMode="External"/><Relationship Id="rId2723" Type="http://schemas.openxmlformats.org/officeDocument/2006/relationships/hyperlink" Target="https://www.cettire.com/collections/khrisjoy" TargetMode="External"/><Relationship Id="rId1118" Type="http://schemas.openxmlformats.org/officeDocument/2006/relationships/hyperlink" Target="https://www.cettire.com/collections/si-rossi" TargetMode="External"/><Relationship Id="rId1325" Type="http://schemas.openxmlformats.org/officeDocument/2006/relationships/hyperlink" Target="https://www.cettire.com/collections/canali" TargetMode="External"/><Relationship Id="rId1532" Type="http://schemas.openxmlformats.org/officeDocument/2006/relationships/hyperlink" Target="https://www.cettire.com/collections/loewe" TargetMode="External"/><Relationship Id="rId2930" Type="http://schemas.openxmlformats.org/officeDocument/2006/relationships/hyperlink" Target="https://www.cettire.com/collections/salvatore-santoro" TargetMode="External"/><Relationship Id="rId4688" Type="http://schemas.openxmlformats.org/officeDocument/2006/relationships/hyperlink" Target="https://www.cettire.com/collections/rejina-pyo" TargetMode="External"/><Relationship Id="rId902" Type="http://schemas.openxmlformats.org/officeDocument/2006/relationships/hyperlink" Target="https://www.cettire.com/collections/karl-lagerfeld-kids" TargetMode="External"/><Relationship Id="rId3497" Type="http://schemas.openxmlformats.org/officeDocument/2006/relationships/hyperlink" Target="https://www.cettire.com/collections/salomon-s-lab" TargetMode="External"/><Relationship Id="rId31" Type="http://schemas.openxmlformats.org/officeDocument/2006/relationships/hyperlink" Target="https://www.cettire.com/collections/alberto-biani" TargetMode="External"/><Relationship Id="rId2099" Type="http://schemas.openxmlformats.org/officeDocument/2006/relationships/hyperlink" Target="https://www.cettire.com/collections/jimmy-choo-eyewear" TargetMode="External"/><Relationship Id="rId4548" Type="http://schemas.openxmlformats.org/officeDocument/2006/relationships/hyperlink" Target="https://www.cettire.com/collections/manolo-blahnik" TargetMode="External"/><Relationship Id="rId4755" Type="http://schemas.openxmlformats.org/officeDocument/2006/relationships/hyperlink" Target="https://www.cettire.com/collections/the-north-face" TargetMode="External"/><Relationship Id="rId278" Type="http://schemas.openxmlformats.org/officeDocument/2006/relationships/hyperlink" Target="https://www.cettire.com/collections/jacquemus" TargetMode="External"/><Relationship Id="rId3357" Type="http://schemas.openxmlformats.org/officeDocument/2006/relationships/hyperlink" Target="https://www.cettire.com/collections/materiel" TargetMode="External"/><Relationship Id="rId3564" Type="http://schemas.openxmlformats.org/officeDocument/2006/relationships/hyperlink" Target="https://www.cettire.com/collections/vans-vault" TargetMode="External"/><Relationship Id="rId3771" Type="http://schemas.openxmlformats.org/officeDocument/2006/relationships/hyperlink" Target="https://www.cettire.com/collections/dodo-bar-or" TargetMode="External"/><Relationship Id="rId4408" Type="http://schemas.openxmlformats.org/officeDocument/2006/relationships/hyperlink" Target="https://www.cettire.com/collections/equipment" TargetMode="External"/><Relationship Id="rId4615" Type="http://schemas.openxmlformats.org/officeDocument/2006/relationships/hyperlink" Target="https://www.cettire.com/collections/neil-barrett-kids" TargetMode="External"/><Relationship Id="rId4822" Type="http://schemas.openxmlformats.org/officeDocument/2006/relationships/comments" Target="../comments9.xml"/><Relationship Id="rId485" Type="http://schemas.openxmlformats.org/officeDocument/2006/relationships/hyperlink" Target="https://www.cettire.com/collections/rick-owens-drkshdw" TargetMode="External"/><Relationship Id="rId692" Type="http://schemas.openxmlformats.org/officeDocument/2006/relationships/hyperlink" Target="https://www.cettire.com/collections/bode" TargetMode="External"/><Relationship Id="rId2166" Type="http://schemas.openxmlformats.org/officeDocument/2006/relationships/hyperlink" Target="https://www.cettire.com/collections/mastermind-world" TargetMode="External"/><Relationship Id="rId2373" Type="http://schemas.openxmlformats.org/officeDocument/2006/relationships/hyperlink" Target="https://www.cettire.com/collections/toteme" TargetMode="External"/><Relationship Id="rId2580" Type="http://schemas.openxmlformats.org/officeDocument/2006/relationships/hyperlink" Target="https://www.cettire.com/collections/current-elliott" TargetMode="External"/><Relationship Id="rId3217" Type="http://schemas.openxmlformats.org/officeDocument/2006/relationships/hyperlink" Target="https://www.cettire.com/collections/etro" TargetMode="External"/><Relationship Id="rId3424" Type="http://schemas.openxmlformats.org/officeDocument/2006/relationships/hyperlink" Target="https://www.cettire.com/collections/our-legacy" TargetMode="External"/><Relationship Id="rId3631" Type="http://schemas.openxmlformats.org/officeDocument/2006/relationships/hyperlink" Target="https://www.cettire.com/collections/alexandre-vauthier" TargetMode="External"/><Relationship Id="rId138" Type="http://schemas.openxmlformats.org/officeDocument/2006/relationships/hyperlink" Target="https://www.cettire.com/collections/co" TargetMode="External"/><Relationship Id="rId345" Type="http://schemas.openxmlformats.org/officeDocument/2006/relationships/hyperlink" Target="https://www.cettire.com/collections/marcelo-burlon-county-of-milan-kids" TargetMode="External"/><Relationship Id="rId552" Type="http://schemas.openxmlformats.org/officeDocument/2006/relationships/hyperlink" Target="https://www.cettire.com/collections/thom-browne" TargetMode="External"/><Relationship Id="rId1182" Type="http://schemas.openxmlformats.org/officeDocument/2006/relationships/hyperlink" Target="https://www.cettire.com/collections/veja-kids" TargetMode="External"/><Relationship Id="rId2026" Type="http://schemas.openxmlformats.org/officeDocument/2006/relationships/hyperlink" Target="https://www.cettire.com/collections/facetasm" TargetMode="External"/><Relationship Id="rId2233" Type="http://schemas.openxmlformats.org/officeDocument/2006/relationships/hyperlink" Target="https://www.cettire.com/collections/off-white" TargetMode="External"/><Relationship Id="rId2440" Type="http://schemas.openxmlformats.org/officeDocument/2006/relationships/hyperlink" Target="https://www.cettire.com/collections/adidas-by-raf-simons" TargetMode="External"/><Relationship Id="rId205" Type="http://schemas.openxmlformats.org/officeDocument/2006/relationships/hyperlink" Target="https://www.cettire.com/collections/extreme-cashmere" TargetMode="External"/><Relationship Id="rId412" Type="http://schemas.openxmlformats.org/officeDocument/2006/relationships/hyperlink" Target="https://www.cettire.com/collections/nike" TargetMode="External"/><Relationship Id="rId1042" Type="http://schemas.openxmlformats.org/officeDocument/2006/relationships/hyperlink" Target="https://www.cettire.com/collections/philipp-plein" TargetMode="External"/><Relationship Id="rId2300" Type="http://schemas.openxmlformats.org/officeDocument/2006/relationships/hyperlink" Target="https://www.cettire.com/collections/rick-owens-lilies" TargetMode="External"/><Relationship Id="rId4198" Type="http://schemas.openxmlformats.org/officeDocument/2006/relationships/hyperlink" Target="https://www.cettire.com/collections/y-project" TargetMode="External"/><Relationship Id="rId1999" Type="http://schemas.openxmlformats.org/officeDocument/2006/relationships/hyperlink" Target="https://www.cettire.com/collections/dsquared2" TargetMode="External"/><Relationship Id="rId4058" Type="http://schemas.openxmlformats.org/officeDocument/2006/relationships/hyperlink" Target="https://www.cettire.com/collections/pt05" TargetMode="External"/><Relationship Id="rId4265" Type="http://schemas.openxmlformats.org/officeDocument/2006/relationships/hyperlink" Target="https://www.cettire.com/collections/arma" TargetMode="External"/><Relationship Id="rId4472" Type="http://schemas.openxmlformats.org/officeDocument/2006/relationships/hyperlink" Target="https://www.cettire.com/collections/honey-fucking-dijon" TargetMode="External"/><Relationship Id="rId1859" Type="http://schemas.openxmlformats.org/officeDocument/2006/relationships/hyperlink" Target="https://www.cettire.com/collections/amen" TargetMode="External"/><Relationship Id="rId3074" Type="http://schemas.openxmlformats.org/officeDocument/2006/relationships/hyperlink" Target="https://www.cettire.com/collections/amiri" TargetMode="External"/><Relationship Id="rId4125" Type="http://schemas.openxmlformats.org/officeDocument/2006/relationships/hyperlink" Target="https://www.cettire.com/collections/stella-mccartney-kids" TargetMode="External"/><Relationship Id="rId1719" Type="http://schemas.openxmlformats.org/officeDocument/2006/relationships/hyperlink" Target="https://www.cettire.com/collections/save-the-duck" TargetMode="External"/><Relationship Id="rId1926" Type="http://schemas.openxmlformats.org/officeDocument/2006/relationships/hyperlink" Target="https://www.cettire.com/collections/c2h4" TargetMode="External"/><Relationship Id="rId3281" Type="http://schemas.openxmlformats.org/officeDocument/2006/relationships/hyperlink" Target="https://www.cettire.com/collections/j-brand" TargetMode="External"/><Relationship Id="rId4332" Type="http://schemas.openxmlformats.org/officeDocument/2006/relationships/hyperlink" Target="https://www.cettire.com/collections/chanel" TargetMode="External"/><Relationship Id="rId2090" Type="http://schemas.openxmlformats.org/officeDocument/2006/relationships/hyperlink" Target="https://www.cettire.com/collections/issey-miyake" TargetMode="External"/><Relationship Id="rId3141" Type="http://schemas.openxmlformats.org/officeDocument/2006/relationships/hyperlink" Target="https://www.cettire.com/collections/casta%C3%B1er" TargetMode="External"/><Relationship Id="rId3001" Type="http://schemas.openxmlformats.org/officeDocument/2006/relationships/hyperlink" Target="https://www.cettire.com/collections/veja" TargetMode="External"/><Relationship Id="rId3958" Type="http://schemas.openxmlformats.org/officeDocument/2006/relationships/hyperlink" Target="https://www.cettire.com/collections/mc2-saint-barth-kids" TargetMode="External"/><Relationship Id="rId879" Type="http://schemas.openxmlformats.org/officeDocument/2006/relationships/hyperlink" Target="https://www.cettire.com/collections/issey-miyake" TargetMode="External"/><Relationship Id="rId2767" Type="http://schemas.openxmlformats.org/officeDocument/2006/relationships/hyperlink" Target="https://www.cettire.com/collections/marine-serre" TargetMode="External"/><Relationship Id="rId739" Type="http://schemas.openxmlformats.org/officeDocument/2006/relationships/hyperlink" Target="https://www.cettire.com/collections/churchs" TargetMode="External"/><Relationship Id="rId1369" Type="http://schemas.openxmlformats.org/officeDocument/2006/relationships/hyperlink" Target="https://www.cettire.com/collections/current-elliott" TargetMode="External"/><Relationship Id="rId1576" Type="http://schemas.openxmlformats.org/officeDocument/2006/relationships/hyperlink" Target="https://www.cettire.com/collections/michael-michael-kors" TargetMode="External"/><Relationship Id="rId2974" Type="http://schemas.openxmlformats.org/officeDocument/2006/relationships/hyperlink" Target="https://www.cettire.com/collections/themoire" TargetMode="External"/><Relationship Id="rId3818" Type="http://schemas.openxmlformats.org/officeDocument/2006/relationships/hyperlink" Target="https://www.cettire.com/collections/frame" TargetMode="External"/><Relationship Id="rId946" Type="http://schemas.openxmlformats.org/officeDocument/2006/relationships/hyperlink" Target="https://www.cettire.com/collections/marc-jacobs-eyewear" TargetMode="External"/><Relationship Id="rId1229" Type="http://schemas.openxmlformats.org/officeDocument/2006/relationships/hyperlink" Target="https://www.cettire.com/collections/adidas-by-stella-mccartney" TargetMode="External"/><Relationship Id="rId1783" Type="http://schemas.openxmlformats.org/officeDocument/2006/relationships/hyperlink" Target="https://www.cettire.com/collections/valentino-eyewear" TargetMode="External"/><Relationship Id="rId1990" Type="http://schemas.openxmlformats.org/officeDocument/2006/relationships/hyperlink" Target="https://www.cettire.com/collections/dior-homme" TargetMode="External"/><Relationship Id="rId2627" Type="http://schemas.openxmlformats.org/officeDocument/2006/relationships/hyperlink" Target="https://www.cettire.com/collections/eudon-choi" TargetMode="External"/><Relationship Id="rId2834" Type="http://schemas.openxmlformats.org/officeDocument/2006/relationships/hyperlink" Target="https://www.cettire.com/collections/nike" TargetMode="External"/><Relationship Id="rId75" Type="http://schemas.openxmlformats.org/officeDocument/2006/relationships/hyperlink" Target="https://www.cettire.com/collections/barbour" TargetMode="External"/><Relationship Id="rId806" Type="http://schemas.openxmlformats.org/officeDocument/2006/relationships/hyperlink" Target="https://www.cettire.com/collections/etre-cecile" TargetMode="External"/><Relationship Id="rId1436" Type="http://schemas.openxmlformats.org/officeDocument/2006/relationships/hyperlink" Target="https://www.cettire.com/collections/francesco-russo" TargetMode="External"/><Relationship Id="rId1643" Type="http://schemas.openxmlformats.org/officeDocument/2006/relationships/hyperlink" Target="https://www.cettire.com/collections/parajumpers" TargetMode="External"/><Relationship Id="rId1850" Type="http://schemas.openxmlformats.org/officeDocument/2006/relationships/hyperlink" Target="https://www.cettire.com/collections/alessandra-rich" TargetMode="External"/><Relationship Id="rId2901" Type="http://schemas.openxmlformats.org/officeDocument/2006/relationships/hyperlink" Target="https://www.cettire.com/collections/reebok-x-victoria-beckham" TargetMode="External"/><Relationship Id="rId4799" Type="http://schemas.openxmlformats.org/officeDocument/2006/relationships/hyperlink" Target="https://www.cettire.com/collections/wales-bonner" TargetMode="External"/><Relationship Id="rId1503" Type="http://schemas.openxmlformats.org/officeDocument/2006/relationships/hyperlink" Target="https://www.cettire.com/collections/jw-anderson" TargetMode="External"/><Relationship Id="rId1710" Type="http://schemas.openxmlformats.org/officeDocument/2006/relationships/hyperlink" Target="https://www.cettire.com/collections/saint-laurent-eyewear" TargetMode="External"/><Relationship Id="rId4659" Type="http://schemas.openxmlformats.org/officeDocument/2006/relationships/hyperlink" Target="https://www.cettire.com/collections/polo-ralph-lauren" TargetMode="External"/><Relationship Id="rId3468" Type="http://schemas.openxmlformats.org/officeDocument/2006/relationships/hyperlink" Target="https://www.cettire.com/collections/readymade" TargetMode="External"/><Relationship Id="rId3675" Type="http://schemas.openxmlformats.org/officeDocument/2006/relationships/hyperlink" Target="https://www.cettire.com/collections/belstaff" TargetMode="External"/><Relationship Id="rId3882" Type="http://schemas.openxmlformats.org/officeDocument/2006/relationships/hyperlink" Target="https://www.cettire.com/collections/junya-watanabe-comme-des-garcons" TargetMode="External"/><Relationship Id="rId4519" Type="http://schemas.openxmlformats.org/officeDocument/2006/relationships/hyperlink" Target="https://www.cettire.com/collections/lanvin" TargetMode="External"/><Relationship Id="rId4726" Type="http://schemas.openxmlformats.org/officeDocument/2006/relationships/hyperlink" Target="https://www.cettire.com/collections/simonetta" TargetMode="External"/><Relationship Id="rId389" Type="http://schemas.openxmlformats.org/officeDocument/2006/relationships/hyperlink" Target="https://www.cettire.com/collections/moschino" TargetMode="External"/><Relationship Id="rId596" Type="http://schemas.openxmlformats.org/officeDocument/2006/relationships/hyperlink" Target="https://www.cettire.com/collections/y-3" TargetMode="External"/><Relationship Id="rId2277" Type="http://schemas.openxmlformats.org/officeDocument/2006/relationships/hyperlink" Target="https://www.cettire.com/collections/r-m-williams" TargetMode="External"/><Relationship Id="rId2484" Type="http://schemas.openxmlformats.org/officeDocument/2006/relationships/hyperlink" Target="https://www.cettire.com/collections/aspesi" TargetMode="External"/><Relationship Id="rId2691" Type="http://schemas.openxmlformats.org/officeDocument/2006/relationships/hyperlink" Target="https://www.cettire.com/collections/incotex" TargetMode="External"/><Relationship Id="rId3328" Type="http://schemas.openxmlformats.org/officeDocument/2006/relationships/hyperlink" Target="https://www.cettire.com/collections/longchamp" TargetMode="External"/><Relationship Id="rId3535" Type="http://schemas.openxmlformats.org/officeDocument/2006/relationships/hyperlink" Target="https://www.cettire.com/collections/the-marc-jacobs-kids" TargetMode="External"/><Relationship Id="rId3742" Type="http://schemas.openxmlformats.org/officeDocument/2006/relationships/hyperlink" Target="https://www.cettire.com/collections/comme%20des%20garcons%20play%20kids" TargetMode="External"/><Relationship Id="rId249" Type="http://schemas.openxmlformats.org/officeDocument/2006/relationships/hyperlink" Target="https://www.cettire.com/collections/guidi" TargetMode="External"/><Relationship Id="rId456" Type="http://schemas.openxmlformats.org/officeDocument/2006/relationships/hyperlink" Target="https://www.cettire.com/collections/premiata" TargetMode="External"/><Relationship Id="rId663" Type="http://schemas.openxmlformats.org/officeDocument/2006/relationships/hyperlink" Target="https://www.cettire.com/collections/art-dealer" TargetMode="External"/><Relationship Id="rId870" Type="http://schemas.openxmlformats.org/officeDocument/2006/relationships/hyperlink" Target="https://www.cettire.com/collections/ienki-ienki" TargetMode="External"/><Relationship Id="rId1086" Type="http://schemas.openxmlformats.org/officeDocument/2006/relationships/hyperlink" Target="https://www.cettire.com/collections/retrosuperfuture" TargetMode="External"/><Relationship Id="rId1293" Type="http://schemas.openxmlformats.org/officeDocument/2006/relationships/hyperlink" Target="https://www.cettire.com/collections/berluti" TargetMode="External"/><Relationship Id="rId2137" Type="http://schemas.openxmlformats.org/officeDocument/2006/relationships/hyperlink" Target="https://www.cettire.com/collections/longchamp" TargetMode="External"/><Relationship Id="rId2344" Type="http://schemas.openxmlformats.org/officeDocument/2006/relationships/hyperlink" Target="https://www.cettire.com/collections/stone-island-junior" TargetMode="External"/><Relationship Id="rId2551" Type="http://schemas.openxmlformats.org/officeDocument/2006/relationships/hyperlink" Target="https://www.cettire.com/collections/chloe" TargetMode="External"/><Relationship Id="rId109" Type="http://schemas.openxmlformats.org/officeDocument/2006/relationships/hyperlink" Target="https://www.cettire.com/collections/c2h4" TargetMode="External"/><Relationship Id="rId316" Type="http://schemas.openxmlformats.org/officeDocument/2006/relationships/hyperlink" Target="https://www.cettire.com/collections/lesca" TargetMode="External"/><Relationship Id="rId523" Type="http://schemas.openxmlformats.org/officeDocument/2006/relationships/hyperlink" Target="https://www.cettire.com/collections/sporty-rich" TargetMode="External"/><Relationship Id="rId1153" Type="http://schemas.openxmlformats.org/officeDocument/2006/relationships/hyperlink" Target="https://www.cettire.com/collections/the-row" TargetMode="External"/><Relationship Id="rId2204" Type="http://schemas.openxmlformats.org/officeDocument/2006/relationships/hyperlink" Target="https://www.cettire.com/collections/moschino-kids" TargetMode="External"/><Relationship Id="rId3602" Type="http://schemas.openxmlformats.org/officeDocument/2006/relationships/hyperlink" Target="https://www.cettire.com/collections/a-cold-wall" TargetMode="External"/><Relationship Id="rId730" Type="http://schemas.openxmlformats.org/officeDocument/2006/relationships/hyperlink" Target="https://www.cettire.com/collections/chiara-ferragni" TargetMode="External"/><Relationship Id="rId1013" Type="http://schemas.openxmlformats.org/officeDocument/2006/relationships/hyperlink" Target="https://www.cettire.com/collections/nicomede" TargetMode="External"/><Relationship Id="rId1360" Type="http://schemas.openxmlformats.org/officeDocument/2006/relationships/hyperlink" Target="https://www.cettire.com/collections/comme-des-garcons-shirt-boys" TargetMode="External"/><Relationship Id="rId2411" Type="http://schemas.openxmlformats.org/officeDocument/2006/relationships/hyperlink" Target="https://www.cettire.com/collections/y-3" TargetMode="External"/><Relationship Id="rId4169" Type="http://schemas.openxmlformats.org/officeDocument/2006/relationships/hyperlink" Target="https://www.cettire.com/collections/undercover" TargetMode="External"/><Relationship Id="rId1220" Type="http://schemas.openxmlformats.org/officeDocument/2006/relationships/hyperlink" Target="https://www.cettire.com/collections/a-p-c" TargetMode="External"/><Relationship Id="rId4376" Type="http://schemas.openxmlformats.org/officeDocument/2006/relationships/hyperlink" Target="https://www.cettire.com/collections/diesel" TargetMode="External"/><Relationship Id="rId4583" Type="http://schemas.openxmlformats.org/officeDocument/2006/relationships/hyperlink" Target="https://www.cettire.com/collections/missoni-mare" TargetMode="External"/><Relationship Id="rId4790" Type="http://schemas.openxmlformats.org/officeDocument/2006/relationships/hyperlink" Target="https://www.cettire.com/collections/versace-collection" TargetMode="External"/><Relationship Id="rId3185" Type="http://schemas.openxmlformats.org/officeDocument/2006/relationships/hyperlink" Target="https://www.cettire.com/collections/diesel-kids" TargetMode="External"/><Relationship Id="rId3392" Type="http://schemas.openxmlformats.org/officeDocument/2006/relationships/hyperlink" Target="https://www.cettire.com/collections/mother" TargetMode="External"/><Relationship Id="rId4029" Type="http://schemas.openxmlformats.org/officeDocument/2006/relationships/hyperlink" Target="https://www.cettire.com/collections/palm-angels-kids" TargetMode="External"/><Relationship Id="rId4236" Type="http://schemas.openxmlformats.org/officeDocument/2006/relationships/hyperlink" Target="https://www.cettire.com/collections/alberta-ferretti" TargetMode="External"/><Relationship Id="rId4443" Type="http://schemas.openxmlformats.org/officeDocument/2006/relationships/hyperlink" Target="https://www.cettire.com/collections/gcds-kids" TargetMode="External"/><Relationship Id="rId4650" Type="http://schemas.openxmlformats.org/officeDocument/2006/relationships/hyperlink" Target="https://www.cettire.com/collections/philippe-model" TargetMode="External"/><Relationship Id="rId3045" Type="http://schemas.openxmlformats.org/officeDocument/2006/relationships/hyperlink" Target="https://www.cettire.com/collections/adidas" TargetMode="External"/><Relationship Id="rId3252" Type="http://schemas.openxmlformats.org/officeDocument/2006/relationships/hyperlink" Target="https://www.cettire.com/collections/golden-goose-kids" TargetMode="External"/><Relationship Id="rId4303" Type="http://schemas.openxmlformats.org/officeDocument/2006/relationships/hyperlink" Target="https://www.cettire.com/collections/brian-dales" TargetMode="External"/><Relationship Id="rId4510" Type="http://schemas.openxmlformats.org/officeDocument/2006/relationships/hyperlink" Target="https://www.cettire.com/collections/khaite" TargetMode="External"/><Relationship Id="rId173" Type="http://schemas.openxmlformats.org/officeDocument/2006/relationships/hyperlink" Target="https://www.cettire.com/collections/dior-eyewear" TargetMode="External"/><Relationship Id="rId380" Type="http://schemas.openxmlformats.org/officeDocument/2006/relationships/hyperlink" Target="https://www.cettire.com/collections/moncler-rick-owens" TargetMode="External"/><Relationship Id="rId2061" Type="http://schemas.openxmlformats.org/officeDocument/2006/relationships/hyperlink" Target="https://www.cettire.com/collections/grevi" TargetMode="External"/><Relationship Id="rId3112" Type="http://schemas.openxmlformats.org/officeDocument/2006/relationships/hyperlink" Target="https://www.cettire.com/collections/bobo-choses" TargetMode="External"/><Relationship Id="rId240" Type="http://schemas.openxmlformats.org/officeDocument/2006/relationships/hyperlink" Target="https://www.cettire.com/collections/givenchy-eyewear" TargetMode="External"/><Relationship Id="rId100" Type="http://schemas.openxmlformats.org/officeDocument/2006/relationships/hyperlink" Target="https://www.cettire.com/collections/bulgari" TargetMode="External"/><Relationship Id="rId2878" Type="http://schemas.openxmlformats.org/officeDocument/2006/relationships/hyperlink" Target="https://www.cettire.com/collections/prada-eyewear" TargetMode="External"/><Relationship Id="rId3929" Type="http://schemas.openxmlformats.org/officeDocument/2006/relationships/hyperlink" Target="https://www.cettire.com/collections/maison-margiela" TargetMode="External"/><Relationship Id="rId4093" Type="http://schemas.openxmlformats.org/officeDocument/2006/relationships/hyperlink" Target="https://www.cettire.com/collections/rotate" TargetMode="External"/><Relationship Id="rId1687" Type="http://schemas.openxmlformats.org/officeDocument/2006/relationships/hyperlink" Target="https://www.cettire.com/collections/reebok-x-victoria-beckham" TargetMode="External"/><Relationship Id="rId1894" Type="http://schemas.openxmlformats.org/officeDocument/2006/relationships/hyperlink" Target="https://www.cettire.com/collections/barena" TargetMode="External"/><Relationship Id="rId2738" Type="http://schemas.openxmlformats.org/officeDocument/2006/relationships/hyperlink" Target="https://www.cettire.com/collections/lesca" TargetMode="External"/><Relationship Id="rId2945" Type="http://schemas.openxmlformats.org/officeDocument/2006/relationships/hyperlink" Target="https://www.cettire.com/collections/spalwart" TargetMode="External"/><Relationship Id="rId917" Type="http://schemas.openxmlformats.org/officeDocument/2006/relationships/hyperlink" Target="https://www.cettire.com/collections/le%20beb%C3%A9%20enfant" TargetMode="External"/><Relationship Id="rId1547" Type="http://schemas.openxmlformats.org/officeDocument/2006/relationships/hyperlink" Target="https://www.cettire.com/collections/manokhi" TargetMode="External"/><Relationship Id="rId1754" Type="http://schemas.openxmlformats.org/officeDocument/2006/relationships/hyperlink" Target="https://www.cettire.com/collections/the-gigi" TargetMode="External"/><Relationship Id="rId1961" Type="http://schemas.openxmlformats.org/officeDocument/2006/relationships/hyperlink" Target="https://www.cettire.com/collections/comme-des-garcons-homme-plus" TargetMode="External"/><Relationship Id="rId2805" Type="http://schemas.openxmlformats.org/officeDocument/2006/relationships/hyperlink" Target="https://www.cettire.com/collections/moncler-gamme-rouge" TargetMode="External"/><Relationship Id="rId4160" Type="http://schemas.openxmlformats.org/officeDocument/2006/relationships/hyperlink" Target="https://www.cettire.com/collections/trippen" TargetMode="External"/><Relationship Id="rId46" Type="http://schemas.openxmlformats.org/officeDocument/2006/relationships/hyperlink" Target="https://www.cettire.com/collections/anita-bilardi" TargetMode="External"/><Relationship Id="rId1407" Type="http://schemas.openxmlformats.org/officeDocument/2006/relationships/hyperlink" Target="https://www.cettire.com/collections/emporio-armani-kids" TargetMode="External"/><Relationship Id="rId1614" Type="http://schemas.openxmlformats.org/officeDocument/2006/relationships/hyperlink" Target="https://www.cettire.com/collections/neil-barrett" TargetMode="External"/><Relationship Id="rId1821" Type="http://schemas.openxmlformats.org/officeDocument/2006/relationships/hyperlink" Target="https://www.cettire.com/collections/424" TargetMode="External"/><Relationship Id="rId4020" Type="http://schemas.openxmlformats.org/officeDocument/2006/relationships/hyperlink" Target="https://www.cettire.com/collections/oliver-peoples" TargetMode="External"/><Relationship Id="rId3579" Type="http://schemas.openxmlformats.org/officeDocument/2006/relationships/hyperlink" Target="https://www.cettire.com/collections/we11done" TargetMode="External"/><Relationship Id="rId3786" Type="http://schemas.openxmlformats.org/officeDocument/2006/relationships/hyperlink" Target="https://www.cettire.com/collections/elisabetta-franchi" TargetMode="External"/><Relationship Id="rId2388" Type="http://schemas.openxmlformats.org/officeDocument/2006/relationships/hyperlink" Target="https://www.cettire.com/collections/valextra" TargetMode="External"/><Relationship Id="rId2595" Type="http://schemas.openxmlformats.org/officeDocument/2006/relationships/hyperlink" Target="https://www.cettire.com/collections/dior-eyewear" TargetMode="External"/><Relationship Id="rId3439" Type="http://schemas.openxmlformats.org/officeDocument/2006/relationships/hyperlink" Target="https://www.cettire.com/collections/philosophy-di-lorenzo-serafini" TargetMode="External"/><Relationship Id="rId3993" Type="http://schemas.openxmlformats.org/officeDocument/2006/relationships/hyperlink" Target="https://www.cettire.com/collections/mykita" TargetMode="External"/><Relationship Id="rId567" Type="http://schemas.openxmlformats.org/officeDocument/2006/relationships/hyperlink" Target="https://www.cettire.com/collections/ulla-johnson" TargetMode="External"/><Relationship Id="rId1197" Type="http://schemas.openxmlformats.org/officeDocument/2006/relationships/hyperlink" Target="https://www.cettire.com/collections/woolrich" TargetMode="External"/><Relationship Id="rId2248" Type="http://schemas.openxmlformats.org/officeDocument/2006/relationships/hyperlink" Target="https://www.cettire.com/collections/paris-texas" TargetMode="External"/><Relationship Id="rId3646" Type="http://schemas.openxmlformats.org/officeDocument/2006/relationships/hyperlink" Target="https://www.cettire.com/collections/apesi" TargetMode="External"/><Relationship Id="rId3853" Type="http://schemas.openxmlformats.org/officeDocument/2006/relationships/hyperlink" Target="https://www.cettire.com/collections/hogan-kids" TargetMode="External"/><Relationship Id="rId774" Type="http://schemas.openxmlformats.org/officeDocument/2006/relationships/hyperlink" Target="https://www.cettire.com/collections/diesel-kids" TargetMode="External"/><Relationship Id="rId981" Type="http://schemas.openxmlformats.org/officeDocument/2006/relationships/hyperlink" Target="https://www.cettire.com/collections/molo" TargetMode="External"/><Relationship Id="rId1057" Type="http://schemas.openxmlformats.org/officeDocument/2006/relationships/hyperlink" Target="https://www.cettire.com/collections/prada" TargetMode="External"/><Relationship Id="rId2455" Type="http://schemas.openxmlformats.org/officeDocument/2006/relationships/hyperlink" Target="https://www.cettire.com/collections/alessandra-rich" TargetMode="External"/><Relationship Id="rId2662" Type="http://schemas.openxmlformats.org/officeDocument/2006/relationships/hyperlink" Target="https://www.cettire.com/collections/givenchy-kids" TargetMode="External"/><Relationship Id="rId3506" Type="http://schemas.openxmlformats.org/officeDocument/2006/relationships/hyperlink" Target="https://www.cettire.com/collections/si-rossi" TargetMode="External"/><Relationship Id="rId3713" Type="http://schemas.openxmlformats.org/officeDocument/2006/relationships/hyperlink" Target="https://www.cettire.com/collections/cartier" TargetMode="External"/><Relationship Id="rId3920" Type="http://schemas.openxmlformats.org/officeDocument/2006/relationships/hyperlink" Target="https://www.cettire.com/collections/loro-piana" TargetMode="External"/><Relationship Id="rId427" Type="http://schemas.openxmlformats.org/officeDocument/2006/relationships/hyperlink" Target="https://www.cettire.com/collections/our-legacy" TargetMode="External"/><Relationship Id="rId634" Type="http://schemas.openxmlformats.org/officeDocument/2006/relationships/hyperlink" Target="https://www.cettire.com/collections/alanui" TargetMode="External"/><Relationship Id="rId841" Type="http://schemas.openxmlformats.org/officeDocument/2006/relationships/hyperlink" Target="https://www.cettire.com/collections/giambattista-valli" TargetMode="External"/><Relationship Id="rId1264" Type="http://schemas.openxmlformats.org/officeDocument/2006/relationships/hyperlink" Target="https://www.cettire.com/collections/aquazzura" TargetMode="External"/><Relationship Id="rId1471" Type="http://schemas.openxmlformats.org/officeDocument/2006/relationships/hyperlink" Target="https://www.cettire.com/collections/hoka-one-one" TargetMode="External"/><Relationship Id="rId2108" Type="http://schemas.openxmlformats.org/officeDocument/2006/relationships/hyperlink" Target="https://www.cettire.com/collections/jw-anderson" TargetMode="External"/><Relationship Id="rId2315" Type="http://schemas.openxmlformats.org/officeDocument/2006/relationships/hyperlink" Target="https://www.cettire.com/collections/saks-potts" TargetMode="External"/><Relationship Id="rId2522" Type="http://schemas.openxmlformats.org/officeDocument/2006/relationships/hyperlink" Target="https://www.cettire.com/collections/bulgari" TargetMode="External"/><Relationship Id="rId701" Type="http://schemas.openxmlformats.org/officeDocument/2006/relationships/hyperlink" Target="https://www.cettire.com/collections/brunello-cucinelli" TargetMode="External"/><Relationship Id="rId1124" Type="http://schemas.openxmlformats.org/officeDocument/2006/relationships/hyperlink" Target="https://www.cettire.com/collections/sonia-rykiel" TargetMode="External"/><Relationship Id="rId1331" Type="http://schemas.openxmlformats.org/officeDocument/2006/relationships/hyperlink" Target="https://www.cettire.com/collections/carven" TargetMode="External"/><Relationship Id="rId4487" Type="http://schemas.openxmlformats.org/officeDocument/2006/relationships/hyperlink" Target="https://www.cettire.com/collections/jacques-marie-mage" TargetMode="External"/><Relationship Id="rId4694" Type="http://schemas.openxmlformats.org/officeDocument/2006/relationships/hyperlink" Target="https://www.cettire.com/collections/rick-owens-drkshdw" TargetMode="External"/><Relationship Id="rId3089" Type="http://schemas.openxmlformats.org/officeDocument/2006/relationships/hyperlink" Target="https://www.cettire.com/collections/asics" TargetMode="External"/><Relationship Id="rId3296" Type="http://schemas.openxmlformats.org/officeDocument/2006/relationships/hyperlink" Target="https://www.cettire.com/collections/jw-anderson" TargetMode="External"/><Relationship Id="rId4347" Type="http://schemas.openxmlformats.org/officeDocument/2006/relationships/hyperlink" Target="https://www.cettire.com/collections/coliac" TargetMode="External"/><Relationship Id="rId4554" Type="http://schemas.openxmlformats.org/officeDocument/2006/relationships/hyperlink" Target="https://www.cettire.com/collections/marcelo-burlon-county-of-milan-kids" TargetMode="External"/><Relationship Id="rId4761" Type="http://schemas.openxmlformats.org/officeDocument/2006/relationships/hyperlink" Target="https://www.cettire.com/collections/thom-browne" TargetMode="External"/><Relationship Id="rId3156" Type="http://schemas.openxmlformats.org/officeDocument/2006/relationships/hyperlink" Target="https://www.cettire.com/collections/co" TargetMode="External"/><Relationship Id="rId3363" Type="http://schemas.openxmlformats.org/officeDocument/2006/relationships/hyperlink" Target="https://www.cettire.com/collections/max-mara-the-cube" TargetMode="External"/><Relationship Id="rId4207" Type="http://schemas.openxmlformats.org/officeDocument/2006/relationships/hyperlink" Target="https://www.cettire.com/collections/s-max-mara" TargetMode="External"/><Relationship Id="rId4414" Type="http://schemas.openxmlformats.org/officeDocument/2006/relationships/hyperlink" Target="https://www.cettire.com/collections/extreme-cashmere" TargetMode="External"/><Relationship Id="rId284" Type="http://schemas.openxmlformats.org/officeDocument/2006/relationships/hyperlink" Target="https://www.cettire.com/collections/jimmy-choo-eyewear" TargetMode="External"/><Relationship Id="rId491" Type="http://schemas.openxmlformats.org/officeDocument/2006/relationships/hyperlink" Target="https://www.cettire.com/collections/rochas" TargetMode="External"/><Relationship Id="rId2172" Type="http://schemas.openxmlformats.org/officeDocument/2006/relationships/hyperlink" Target="https://www.cettire.com/collections/max-mara-studio" TargetMode="External"/><Relationship Id="rId3016" Type="http://schemas.openxmlformats.org/officeDocument/2006/relationships/hyperlink" Target="https://www.cettire.com/collections/weekend-max-mara" TargetMode="External"/><Relationship Id="rId3223" Type="http://schemas.openxmlformats.org/officeDocument/2006/relationships/hyperlink" Target="https://www.cettire.com/collections/facetasm" TargetMode="External"/><Relationship Id="rId3570" Type="http://schemas.openxmlformats.org/officeDocument/2006/relationships/hyperlink" Target="https://www.cettire.com/collections/versace-jeans-couture" TargetMode="External"/><Relationship Id="rId4621" Type="http://schemas.openxmlformats.org/officeDocument/2006/relationships/hyperlink" Target="https://www.cettire.com/collections/nodaleto" TargetMode="External"/><Relationship Id="rId144" Type="http://schemas.openxmlformats.org/officeDocument/2006/relationships/hyperlink" Target="https://www.cettire.com/collections/comme-des-garcons-girl" TargetMode="External"/><Relationship Id="rId3430" Type="http://schemas.openxmlformats.org/officeDocument/2006/relationships/hyperlink" Target="https://www.cettire.com/collections/paraboot" TargetMode="External"/><Relationship Id="rId351" Type="http://schemas.openxmlformats.org/officeDocument/2006/relationships/hyperlink" Target="https://www.cettire.com/collections/marsell" TargetMode="External"/><Relationship Id="rId2032" Type="http://schemas.openxmlformats.org/officeDocument/2006/relationships/hyperlink" Target="https://www.cettire.com/collections/fendi-eyewear" TargetMode="External"/><Relationship Id="rId2989" Type="http://schemas.openxmlformats.org/officeDocument/2006/relationships/hyperlink" Target="https://www.cettire.com/collections/ugg-kids" TargetMode="External"/><Relationship Id="rId211" Type="http://schemas.openxmlformats.org/officeDocument/2006/relationships/hyperlink" Target="https://www.cettire.com/collections/fay" TargetMode="External"/><Relationship Id="rId1798" Type="http://schemas.openxmlformats.org/officeDocument/2006/relationships/hyperlink" Target="https://www.cettire.com/collections/vivienne-westwood" TargetMode="External"/><Relationship Id="rId2849" Type="http://schemas.openxmlformats.org/officeDocument/2006/relationships/hyperlink" Target="https://www.cettire.com/collections/osoi" TargetMode="External"/><Relationship Id="rId1658" Type="http://schemas.openxmlformats.org/officeDocument/2006/relationships/hyperlink" Target="https://www.cettire.com/collections/pleats-please-by-issey-miyake" TargetMode="External"/><Relationship Id="rId1865" Type="http://schemas.openxmlformats.org/officeDocument/2006/relationships/hyperlink" Target="https://www.cettire.com/collections/aniye-by" TargetMode="External"/><Relationship Id="rId2709" Type="http://schemas.openxmlformats.org/officeDocument/2006/relationships/hyperlink" Target="https://www.cettire.com/collections/junya-watanabe-comme-des-garcons" TargetMode="External"/><Relationship Id="rId4064" Type="http://schemas.openxmlformats.org/officeDocument/2006/relationships/hyperlink" Target="https://www.cettire.com/collections/ralph-lauren" TargetMode="External"/><Relationship Id="rId4271" Type="http://schemas.openxmlformats.org/officeDocument/2006/relationships/hyperlink" Target="https://www.cettire.com/collections/autry" TargetMode="External"/><Relationship Id="rId1518" Type="http://schemas.openxmlformats.org/officeDocument/2006/relationships/hyperlink" Target="https://www.cettire.com/collections/la-stupenderia" TargetMode="External"/><Relationship Id="rId2916" Type="http://schemas.openxmlformats.org/officeDocument/2006/relationships/hyperlink" Target="https://www.cettire.com/collections/rodebjer" TargetMode="External"/><Relationship Id="rId3080" Type="http://schemas.openxmlformats.org/officeDocument/2006/relationships/hyperlink" Target="https://www.cettire.com/collections/anya-hindmarch" TargetMode="External"/><Relationship Id="rId4131" Type="http://schemas.openxmlformats.org/officeDocument/2006/relationships/hyperlink" Target="https://www.cettire.com/collections/stussy" TargetMode="External"/><Relationship Id="rId1725" Type="http://schemas.openxmlformats.org/officeDocument/2006/relationships/hyperlink" Target="https://www.cettire.com/collections/sies-marjan" TargetMode="External"/><Relationship Id="rId1932" Type="http://schemas.openxmlformats.org/officeDocument/2006/relationships/hyperlink" Target="https://www.cettire.com/collections/car-shoe" TargetMode="External"/><Relationship Id="rId17" Type="http://schemas.openxmlformats.org/officeDocument/2006/relationships/hyperlink" Target="https://www.cettire.com/collections/adidas-by-raf-simons" TargetMode="External"/><Relationship Id="rId3897" Type="http://schemas.openxmlformats.org/officeDocument/2006/relationships/hyperlink" Target="https://www.cettire.com/collections/khrisjoy-kids" TargetMode="External"/><Relationship Id="rId2499" Type="http://schemas.openxmlformats.org/officeDocument/2006/relationships/hyperlink" Target="https://www.cettire.com/collections/barena" TargetMode="External"/><Relationship Id="rId3757" Type="http://schemas.openxmlformats.org/officeDocument/2006/relationships/hyperlink" Target="https://www.cettire.com/collections/delvaux" TargetMode="External"/><Relationship Id="rId3964" Type="http://schemas.openxmlformats.org/officeDocument/2006/relationships/hyperlink" Target="https://www.cettire.com/collections/midnight-00" TargetMode="External"/><Relationship Id="rId4808" Type="http://schemas.openxmlformats.org/officeDocument/2006/relationships/hyperlink" Target="https://www.cettire.com/collections/ys" TargetMode="External"/><Relationship Id="rId1" Type="http://schemas.openxmlformats.org/officeDocument/2006/relationships/hyperlink" Target="https://www.cettire.com/collections/s-max-mara" TargetMode="External"/><Relationship Id="rId678" Type="http://schemas.openxmlformats.org/officeDocument/2006/relationships/hyperlink" Target="https://www.cettire.com/collections/bao-bao-issey-miyake" TargetMode="External"/><Relationship Id="rId885" Type="http://schemas.openxmlformats.org/officeDocument/2006/relationships/hyperlink" Target="https://www.cettire.com/collections/jessie-western" TargetMode="External"/><Relationship Id="rId2359" Type="http://schemas.openxmlformats.org/officeDocument/2006/relationships/hyperlink" Target="https://www.cettire.com/collections/the-marc-jacobs-kids" TargetMode="External"/><Relationship Id="rId2566" Type="http://schemas.openxmlformats.org/officeDocument/2006/relationships/hyperlink" Target="https://www.cettire.com/collections/comme-des-garcons-homme-plus" TargetMode="External"/><Relationship Id="rId2773" Type="http://schemas.openxmlformats.org/officeDocument/2006/relationships/hyperlink" Target="https://www.cettire.com/collections/martine-rose" TargetMode="External"/><Relationship Id="rId2980" Type="http://schemas.openxmlformats.org/officeDocument/2006/relationships/hyperlink" Target="https://www.cettire.com/collections/tom-ford-eyewear" TargetMode="External"/><Relationship Id="rId3617" Type="http://schemas.openxmlformats.org/officeDocument/2006/relationships/hyperlink" Target="https://www.cettire.com/collections/adriana-degreas" TargetMode="External"/><Relationship Id="rId3824" Type="http://schemas.openxmlformats.org/officeDocument/2006/relationships/hyperlink" Target="https://www.cettire.com/collections/gallery-dept" TargetMode="External"/><Relationship Id="rId538" Type="http://schemas.openxmlformats.org/officeDocument/2006/relationships/hyperlink" Target="https://www.cettire.com/collections/swarovski" TargetMode="External"/><Relationship Id="rId745" Type="http://schemas.openxmlformats.org/officeDocument/2006/relationships/hyperlink" Target="https://www.cettire.com/collections/collina-strada" TargetMode="External"/><Relationship Id="rId952" Type="http://schemas.openxmlformats.org/officeDocument/2006/relationships/hyperlink" Target="https://www.cettire.com/collections/marni-kids" TargetMode="External"/><Relationship Id="rId1168" Type="http://schemas.openxmlformats.org/officeDocument/2006/relationships/hyperlink" Target="https://www.cettire.com/collections/ugg" TargetMode="External"/><Relationship Id="rId1375" Type="http://schemas.openxmlformats.org/officeDocument/2006/relationships/hyperlink" Target="https://www.cettire.com/collections/diadora" TargetMode="External"/><Relationship Id="rId1582" Type="http://schemas.openxmlformats.org/officeDocument/2006/relationships/hyperlink" Target="https://www.cettire.com/collections/miu-miu" TargetMode="External"/><Relationship Id="rId2219" Type="http://schemas.openxmlformats.org/officeDocument/2006/relationships/hyperlink" Target="https://www.cettire.com/collections/neil-barrett-kids" TargetMode="External"/><Relationship Id="rId2426" Type="http://schemas.openxmlformats.org/officeDocument/2006/relationships/hyperlink" Target="https://www.cettire.com/collections/424" TargetMode="External"/><Relationship Id="rId2633" Type="http://schemas.openxmlformats.org/officeDocument/2006/relationships/hyperlink" Target="https://www.cettire.com/collections/faith-connexion" TargetMode="External"/><Relationship Id="rId81" Type="http://schemas.openxmlformats.org/officeDocument/2006/relationships/hyperlink" Target="https://www.cettire.com/collections/berluti" TargetMode="External"/><Relationship Id="rId605" Type="http://schemas.openxmlformats.org/officeDocument/2006/relationships/hyperlink" Target="https://www.cettire.com/collections/zadig-voltaire-kids" TargetMode="External"/><Relationship Id="rId812" Type="http://schemas.openxmlformats.org/officeDocument/2006/relationships/hyperlink" Target="https://www.cettire.com/collections/fabiana-filippi" TargetMode="External"/><Relationship Id="rId1028" Type="http://schemas.openxmlformats.org/officeDocument/2006/relationships/hyperlink" Target="https://www.cettire.com/collections/oseree" TargetMode="External"/><Relationship Id="rId1235" Type="http://schemas.openxmlformats.org/officeDocument/2006/relationships/hyperlink" Target="https://www.cettire.com/collections/aeyd%C4%93" TargetMode="External"/><Relationship Id="rId1442" Type="http://schemas.openxmlformats.org/officeDocument/2006/relationships/hyperlink" Target="https://www.cettire.com/collections/ganni" TargetMode="External"/><Relationship Id="rId2840" Type="http://schemas.openxmlformats.org/officeDocument/2006/relationships/hyperlink" Target="https://www.cettire.com/collections/nudie-jeans" TargetMode="External"/><Relationship Id="rId4598" Type="http://schemas.openxmlformats.org/officeDocument/2006/relationships/hyperlink" Target="https://www.cettire.com/collections/moschino" TargetMode="External"/><Relationship Id="rId1302" Type="http://schemas.openxmlformats.org/officeDocument/2006/relationships/hyperlink" Target="https://www.cettire.com/collections/bottega-veneta" TargetMode="External"/><Relationship Id="rId2700" Type="http://schemas.openxmlformats.org/officeDocument/2006/relationships/hyperlink" Target="https://www.cettire.com/collections/jejia" TargetMode="External"/><Relationship Id="rId4458" Type="http://schemas.openxmlformats.org/officeDocument/2006/relationships/hyperlink" Target="https://www.cettire.com/collections/guidi" TargetMode="External"/><Relationship Id="rId3267" Type="http://schemas.openxmlformats.org/officeDocument/2006/relationships/hyperlink" Target="https://www.cettire.com/collections/hogan-kids" TargetMode="External"/><Relationship Id="rId4665" Type="http://schemas.openxmlformats.org/officeDocument/2006/relationships/hyperlink" Target="https://www.cettire.com/collections/pressure" TargetMode="External"/><Relationship Id="rId188" Type="http://schemas.openxmlformats.org/officeDocument/2006/relationships/hyperlink" Target="https://www.cettire.com/collections/eastpak" TargetMode="External"/><Relationship Id="rId395" Type="http://schemas.openxmlformats.org/officeDocument/2006/relationships/hyperlink" Target="https://www.cettire.com/collections/msgm" TargetMode="External"/><Relationship Id="rId2076" Type="http://schemas.openxmlformats.org/officeDocument/2006/relationships/hyperlink" Target="https://www.cettire.com/collections/hogan-rebel" TargetMode="External"/><Relationship Id="rId3474" Type="http://schemas.openxmlformats.org/officeDocument/2006/relationships/hyperlink" Target="https://www.cettire.com/collections/reike-nen" TargetMode="External"/><Relationship Id="rId3681" Type="http://schemas.openxmlformats.org/officeDocument/2006/relationships/hyperlink" Target="https://www.cettire.com/collections/bobo-choses" TargetMode="External"/><Relationship Id="rId4318" Type="http://schemas.openxmlformats.org/officeDocument/2006/relationships/hyperlink" Target="https://www.cettire.com/collections/calvin-klein-jeans-est-1978" TargetMode="External"/><Relationship Id="rId4525" Type="http://schemas.openxmlformats.org/officeDocument/2006/relationships/hyperlink" Target="https://www.cettire.com/collections/lesca" TargetMode="External"/><Relationship Id="rId4732" Type="http://schemas.openxmlformats.org/officeDocument/2006/relationships/hyperlink" Target="https://www.cettire.com/collections/stand-studio" TargetMode="External"/><Relationship Id="rId2283" Type="http://schemas.openxmlformats.org/officeDocument/2006/relationships/hyperlink" Target="https://www.cettire.com/collections/rave-review" TargetMode="External"/><Relationship Id="rId2490" Type="http://schemas.openxmlformats.org/officeDocument/2006/relationships/hyperlink" Target="https://www.cettire.com/collections/balenciaga-eyewear" TargetMode="External"/><Relationship Id="rId3127" Type="http://schemas.openxmlformats.org/officeDocument/2006/relationships/hyperlink" Target="https://www.cettire.com/collections/buttero" TargetMode="External"/><Relationship Id="rId3334" Type="http://schemas.openxmlformats.org/officeDocument/2006/relationships/hyperlink" Target="https://www.cettire.com/collections/mackintosh" TargetMode="External"/><Relationship Id="rId3541" Type="http://schemas.openxmlformats.org/officeDocument/2006/relationships/hyperlink" Target="https://www.cettire.com/collections/theory" TargetMode="External"/><Relationship Id="rId255" Type="http://schemas.openxmlformats.org/officeDocument/2006/relationships/hyperlink" Target="https://www.cettire.com/collections/herno-kids" TargetMode="External"/><Relationship Id="rId462" Type="http://schemas.openxmlformats.org/officeDocument/2006/relationships/hyperlink" Target="https://www.cettire.com/collections/pt05" TargetMode="External"/><Relationship Id="rId1092" Type="http://schemas.openxmlformats.org/officeDocument/2006/relationships/hyperlink" Target="https://www.cettire.com/collections/rick-owens-x-veja" TargetMode="External"/><Relationship Id="rId2143" Type="http://schemas.openxmlformats.org/officeDocument/2006/relationships/hyperlink" Target="https://www.cettire.com/collections/mackintosh" TargetMode="External"/><Relationship Id="rId2350" Type="http://schemas.openxmlformats.org/officeDocument/2006/relationships/hyperlink" Target="https://www.cettire.com/collections/sunflower" TargetMode="External"/><Relationship Id="rId3401" Type="http://schemas.openxmlformats.org/officeDocument/2006/relationships/hyperlink" Target="https://www.cettire.com/collections/nanushka" TargetMode="External"/><Relationship Id="rId115" Type="http://schemas.openxmlformats.org/officeDocument/2006/relationships/hyperlink" Target="https://www.cettire.com/collections/car-shoe" TargetMode="External"/><Relationship Id="rId322" Type="http://schemas.openxmlformats.org/officeDocument/2006/relationships/hyperlink" Target="https://www.cettire.com/collections/loewe" TargetMode="External"/><Relationship Id="rId2003" Type="http://schemas.openxmlformats.org/officeDocument/2006/relationships/hyperlink" Target="https://www.cettire.com/collections/ea7-emporio-armani" TargetMode="External"/><Relationship Id="rId2210" Type="http://schemas.openxmlformats.org/officeDocument/2006/relationships/hyperlink" Target="https://www.cettire.com/collections/mykita" TargetMode="External"/><Relationship Id="rId4175" Type="http://schemas.openxmlformats.org/officeDocument/2006/relationships/hyperlink" Target="https://www.cettire.com/collections/vans-vault" TargetMode="External"/><Relationship Id="rId4382" Type="http://schemas.openxmlformats.org/officeDocument/2006/relationships/hyperlink" Target="https://www.cettire.com/collections/dita-eyewear" TargetMode="External"/><Relationship Id="rId1769" Type="http://schemas.openxmlformats.org/officeDocument/2006/relationships/hyperlink" Target="https://www.cettire.com/collections/toteme" TargetMode="External"/><Relationship Id="rId1976" Type="http://schemas.openxmlformats.org/officeDocument/2006/relationships/hyperlink" Target="https://www.cettire.com/collections/cutler-gross" TargetMode="External"/><Relationship Id="rId3191" Type="http://schemas.openxmlformats.org/officeDocument/2006/relationships/hyperlink" Target="https://www.cettire.com/collections/dkny-kids" TargetMode="External"/><Relationship Id="rId4035" Type="http://schemas.openxmlformats.org/officeDocument/2006/relationships/hyperlink" Target="https://www.cettire.com/collections/persol" TargetMode="External"/><Relationship Id="rId4242" Type="http://schemas.openxmlformats.org/officeDocument/2006/relationships/hyperlink" Target="https://www.cettire.com/collections/alexander-mcqueen-kids" TargetMode="External"/><Relationship Id="rId1629" Type="http://schemas.openxmlformats.org/officeDocument/2006/relationships/hyperlink" Target="https://www.cettire.com/collections/off-white" TargetMode="External"/><Relationship Id="rId1836" Type="http://schemas.openxmlformats.org/officeDocument/2006/relationships/hyperlink" Target="https://www.cettire.com/collections/adidas-by-stella-mccartney" TargetMode="External"/><Relationship Id="rId1903" Type="http://schemas.openxmlformats.org/officeDocument/2006/relationships/hyperlink" Target="https://www.cettire.com/collections/birkenstock" TargetMode="External"/><Relationship Id="rId3051" Type="http://schemas.openxmlformats.org/officeDocument/2006/relationships/hyperlink" Target="https://www.cettire.com/collections/adidas-by-wales-bonner" TargetMode="External"/><Relationship Id="rId4102" Type="http://schemas.openxmlformats.org/officeDocument/2006/relationships/hyperlink" Target="https://www.cettire.com/collections/salvatore-ferragamo-eyewear" TargetMode="External"/><Relationship Id="rId3868" Type="http://schemas.openxmlformats.org/officeDocument/2006/relationships/hyperlink" Target="https://www.cettire.com/collections/issey-miyake" TargetMode="External"/><Relationship Id="rId789" Type="http://schemas.openxmlformats.org/officeDocument/2006/relationships/hyperlink" Target="https://www.cettire.com/collections/dsquared2-kids" TargetMode="External"/><Relationship Id="rId996" Type="http://schemas.openxmlformats.org/officeDocument/2006/relationships/hyperlink" Target="https://www.cettire.com/collections/mou-kids" TargetMode="External"/><Relationship Id="rId2677" Type="http://schemas.openxmlformats.org/officeDocument/2006/relationships/hyperlink" Target="https://www.cettire.com/collections/heron-preston" TargetMode="External"/><Relationship Id="rId2884" Type="http://schemas.openxmlformats.org/officeDocument/2006/relationships/hyperlink" Target="https://www.cettire.com/collections/pt01" TargetMode="External"/><Relationship Id="rId3728" Type="http://schemas.openxmlformats.org/officeDocument/2006/relationships/hyperlink" Target="https://www.cettire.com/collections/chopova-lowena" TargetMode="External"/><Relationship Id="rId649" Type="http://schemas.openxmlformats.org/officeDocument/2006/relationships/hyperlink" Target="https://www.cettire.com/collections/amina-muaddi" TargetMode="External"/><Relationship Id="rId856" Type="http://schemas.openxmlformats.org/officeDocument/2006/relationships/hyperlink" Target="https://www.cettire.com/collections/helmut-lang" TargetMode="External"/><Relationship Id="rId1279" Type="http://schemas.openxmlformats.org/officeDocument/2006/relationships/hyperlink" Target="https://www.cettire.com/collections/balenciaga-eyewear" TargetMode="External"/><Relationship Id="rId1486" Type="http://schemas.openxmlformats.org/officeDocument/2006/relationships/hyperlink" Target="https://www.cettire.com/collections/issey-miyake-men" TargetMode="External"/><Relationship Id="rId2537" Type="http://schemas.openxmlformats.org/officeDocument/2006/relationships/hyperlink" Target="https://www.cettire.com/collections/car-shoe" TargetMode="External"/><Relationship Id="rId3935" Type="http://schemas.openxmlformats.org/officeDocument/2006/relationships/hyperlink" Target="https://www.cettire.com/collections/mansur-gavriel" TargetMode="External"/><Relationship Id="rId509" Type="http://schemas.openxmlformats.org/officeDocument/2006/relationships/hyperlink" Target="https://www.cettire.com/collections/save-the-duck" TargetMode="External"/><Relationship Id="rId1139" Type="http://schemas.openxmlformats.org/officeDocument/2006/relationships/hyperlink" Target="https://www.cettire.com/collections/suicoke" TargetMode="External"/><Relationship Id="rId1346" Type="http://schemas.openxmlformats.org/officeDocument/2006/relationships/hyperlink" Target="https://www.cettire.com/collections/churchs" TargetMode="External"/><Relationship Id="rId1693" Type="http://schemas.openxmlformats.org/officeDocument/2006/relationships/hyperlink" Target="https://www.cettire.com/collections/rhude" TargetMode="External"/><Relationship Id="rId2744" Type="http://schemas.openxmlformats.org/officeDocument/2006/relationships/hyperlink" Target="https://www.cettire.com/collections/loewe" TargetMode="External"/><Relationship Id="rId2951" Type="http://schemas.openxmlformats.org/officeDocument/2006/relationships/hyperlink" Target="https://www.cettire.com/collections/stella-mccartney-eyewear" TargetMode="External"/><Relationship Id="rId716" Type="http://schemas.openxmlformats.org/officeDocument/2006/relationships/hyperlink" Target="https://www.cettire.com/collections/canada-goose" TargetMode="External"/><Relationship Id="rId923" Type="http://schemas.openxmlformats.org/officeDocument/2006/relationships/hyperlink" Target="https://www.cettire.com/collections/linda-farrow" TargetMode="External"/><Relationship Id="rId1553" Type="http://schemas.openxmlformats.org/officeDocument/2006/relationships/hyperlink" Target="https://www.cettire.com/collections/marcelo-burlon-county-of-milan" TargetMode="External"/><Relationship Id="rId1760" Type="http://schemas.openxmlformats.org/officeDocument/2006/relationships/hyperlink" Target="https://www.cettire.com/collections/themoire" TargetMode="External"/><Relationship Id="rId2604" Type="http://schemas.openxmlformats.org/officeDocument/2006/relationships/hyperlink" Target="https://www.cettire.com/collections/drole-de-monsieur" TargetMode="External"/><Relationship Id="rId2811" Type="http://schemas.openxmlformats.org/officeDocument/2006/relationships/hyperlink" Target="https://www.cettire.com/collections/moschino" TargetMode="External"/><Relationship Id="rId52" Type="http://schemas.openxmlformats.org/officeDocument/2006/relationships/hyperlink" Target="https://www.cettire.com/collections/aquazzura" TargetMode="External"/><Relationship Id="rId1206" Type="http://schemas.openxmlformats.org/officeDocument/2006/relationships/hyperlink" Target="https://www.cettire.com/collections/yves-salomon" TargetMode="External"/><Relationship Id="rId1413" Type="http://schemas.openxmlformats.org/officeDocument/2006/relationships/hyperlink" Target="https://www.cettire.com/collections/etre-cecile" TargetMode="External"/><Relationship Id="rId1620" Type="http://schemas.openxmlformats.org/officeDocument/2006/relationships/hyperlink" Target="https://www.cettire.com/collections/nike" TargetMode="External"/><Relationship Id="rId4569" Type="http://schemas.openxmlformats.org/officeDocument/2006/relationships/hyperlink" Target="https://www.cettire.com/collections/max-mara-studio" TargetMode="External"/><Relationship Id="rId4776" Type="http://schemas.openxmlformats.org/officeDocument/2006/relationships/hyperlink" Target="https://www.cettire.com/collections/uh-nom-uh-nit" TargetMode="External"/><Relationship Id="rId3378" Type="http://schemas.openxmlformats.org/officeDocument/2006/relationships/hyperlink" Target="https://www.cettire.com/collections/mm6-maison-margiela-kids" TargetMode="External"/><Relationship Id="rId3585" Type="http://schemas.openxmlformats.org/officeDocument/2006/relationships/hyperlink" Target="https://www.cettire.com/collections/ys" TargetMode="External"/><Relationship Id="rId3792" Type="http://schemas.openxmlformats.org/officeDocument/2006/relationships/hyperlink" Target="https://www.cettire.com/collections/enfants-riches-deprimes" TargetMode="External"/><Relationship Id="rId4429" Type="http://schemas.openxmlformats.org/officeDocument/2006/relationships/hyperlink" Target="https://www.cettire.com/collections/finamore-1925-napoli" TargetMode="External"/><Relationship Id="rId4636" Type="http://schemas.openxmlformats.org/officeDocument/2006/relationships/hyperlink" Target="https://www.cettire.com/collections/our-legacy" TargetMode="External"/><Relationship Id="rId299" Type="http://schemas.openxmlformats.org/officeDocument/2006/relationships/hyperlink" Target="https://www.cettire.com/collections/kenzo" TargetMode="External"/><Relationship Id="rId2187" Type="http://schemas.openxmlformats.org/officeDocument/2006/relationships/hyperlink" Target="https://www.cettire.com/collections/miu-miu-eyewear" TargetMode="External"/><Relationship Id="rId2394" Type="http://schemas.openxmlformats.org/officeDocument/2006/relationships/hyperlink" Target="https://www.cettire.com/collections/versace-collection" TargetMode="External"/><Relationship Id="rId3238" Type="http://schemas.openxmlformats.org/officeDocument/2006/relationships/hyperlink" Target="https://www.cettire.com/collections/fucking-awesome" TargetMode="External"/><Relationship Id="rId3445" Type="http://schemas.openxmlformats.org/officeDocument/2006/relationships/hyperlink" Target="https://www.cettire.com/collections/pleats-please-by-issey-miyake" TargetMode="External"/><Relationship Id="rId3652" Type="http://schemas.openxmlformats.org/officeDocument/2006/relationships/hyperlink" Target="https://www.cettire.com/collections/arma" TargetMode="External"/><Relationship Id="rId4703" Type="http://schemas.openxmlformats.org/officeDocument/2006/relationships/hyperlink" Target="https://www.cettire.com/collections/rombaut" TargetMode="External"/><Relationship Id="rId159" Type="http://schemas.openxmlformats.org/officeDocument/2006/relationships/hyperlink" Target="https://www.cettire.com/collections/current-elliott" TargetMode="External"/><Relationship Id="rId366" Type="http://schemas.openxmlformats.org/officeDocument/2006/relationships/hyperlink" Target="https://www.cettire.com/collections/michael-kors-collection" TargetMode="External"/><Relationship Id="rId573" Type="http://schemas.openxmlformats.org/officeDocument/2006/relationships/hyperlink" Target="https://www.cettire.com/collections/valentino-eyewear" TargetMode="External"/><Relationship Id="rId780" Type="http://schemas.openxmlformats.org/officeDocument/2006/relationships/hyperlink" Target="https://www.cettire.com/collections/dkny-kids" TargetMode="External"/><Relationship Id="rId2047" Type="http://schemas.openxmlformats.org/officeDocument/2006/relationships/hyperlink" Target="https://www.cettire.com/collections/gallery-dept" TargetMode="External"/><Relationship Id="rId2254" Type="http://schemas.openxmlformats.org/officeDocument/2006/relationships/hyperlink" Target="https://www.cettire.com/collections/philippe-model" TargetMode="External"/><Relationship Id="rId2461" Type="http://schemas.openxmlformats.org/officeDocument/2006/relationships/hyperlink" Target="https://www.cettire.com/collections/allude" TargetMode="External"/><Relationship Id="rId3305" Type="http://schemas.openxmlformats.org/officeDocument/2006/relationships/hyperlink" Target="https://www.cettire.com/collections/khaite" TargetMode="External"/><Relationship Id="rId3512" Type="http://schemas.openxmlformats.org/officeDocument/2006/relationships/hyperlink" Target="https://www.cettire.com/collections/spalwart" TargetMode="External"/><Relationship Id="rId226" Type="http://schemas.openxmlformats.org/officeDocument/2006/relationships/hyperlink" Target="https://www.cettire.com/collections/freedomday" TargetMode="External"/><Relationship Id="rId433" Type="http://schemas.openxmlformats.org/officeDocument/2006/relationships/hyperlink" Target="https://www.cettire.com/collections/paraboot" TargetMode="External"/><Relationship Id="rId1063" Type="http://schemas.openxmlformats.org/officeDocument/2006/relationships/hyperlink" Target="https://www.cettire.com/collections/pt-torino" TargetMode="External"/><Relationship Id="rId1270" Type="http://schemas.openxmlformats.org/officeDocument/2006/relationships/hyperlink" Target="https://www.cettire.com/collections/art-dealer" TargetMode="External"/><Relationship Id="rId2114" Type="http://schemas.openxmlformats.org/officeDocument/2006/relationships/hyperlink" Target="https://www.cettire.com/collections/kenzo" TargetMode="External"/><Relationship Id="rId640" Type="http://schemas.openxmlformats.org/officeDocument/2006/relationships/hyperlink" Target="https://www.cettire.com/collections/alexander-mcqueen" TargetMode="External"/><Relationship Id="rId2321" Type="http://schemas.openxmlformats.org/officeDocument/2006/relationships/hyperlink" Target="https://www.cettire.com/collections/santoni" TargetMode="External"/><Relationship Id="rId4079" Type="http://schemas.openxmlformats.org/officeDocument/2006/relationships/hyperlink" Target="https://www.cettire.com/collections/retrosuperfuture" TargetMode="External"/><Relationship Id="rId4286" Type="http://schemas.openxmlformats.org/officeDocument/2006/relationships/hyperlink" Target="https://www.cettire.com/collections/barrow" TargetMode="External"/><Relationship Id="rId500" Type="http://schemas.openxmlformats.org/officeDocument/2006/relationships/hyperlink" Target="https://www.cettire.com/collections/saint-laurent-eyewear" TargetMode="External"/><Relationship Id="rId1130" Type="http://schemas.openxmlformats.org/officeDocument/2006/relationships/hyperlink" Target="https://www.cettire.com/collections/stella-mccartney" TargetMode="External"/><Relationship Id="rId4493" Type="http://schemas.openxmlformats.org/officeDocument/2006/relationships/hyperlink" Target="https://www.cettire.com/collections/john-elliott" TargetMode="External"/><Relationship Id="rId1947" Type="http://schemas.openxmlformats.org/officeDocument/2006/relationships/hyperlink" Target="https://www.cettire.com/collections/chloe-eyewear" TargetMode="External"/><Relationship Id="rId3095" Type="http://schemas.openxmlformats.org/officeDocument/2006/relationships/hyperlink" Target="https://www.cettire.com/collections/balenciaga" TargetMode="External"/><Relationship Id="rId4146" Type="http://schemas.openxmlformats.org/officeDocument/2006/relationships/hyperlink" Target="https://www.cettire.com/collections/the-north-face-kids" TargetMode="External"/><Relationship Id="rId4353" Type="http://schemas.openxmlformats.org/officeDocument/2006/relationships/hyperlink" Target="https://www.cettire.com/collections/comme-des-garcons-noir-kei-ninomiya" TargetMode="External"/><Relationship Id="rId4560" Type="http://schemas.openxmlformats.org/officeDocument/2006/relationships/hyperlink" Target="https://www.cettire.com/collections/marsell" TargetMode="External"/><Relationship Id="rId1807" Type="http://schemas.openxmlformats.org/officeDocument/2006/relationships/hyperlink" Target="https://www.cettire.com/collections/y-3" TargetMode="External"/><Relationship Id="rId3162" Type="http://schemas.openxmlformats.org/officeDocument/2006/relationships/hyperlink" Target="https://www.cettire.com/collections/comme-des-garcons-girl" TargetMode="External"/><Relationship Id="rId4006" Type="http://schemas.openxmlformats.org/officeDocument/2006/relationships/hyperlink" Target="https://www.cettire.com/collections/nicholas-kirkwood" TargetMode="External"/><Relationship Id="rId4213" Type="http://schemas.openxmlformats.org/officeDocument/2006/relationships/hyperlink" Target="https://www.cettire.com/collections/lvin-l-in-kids" TargetMode="External"/><Relationship Id="rId4420" Type="http://schemas.openxmlformats.org/officeDocument/2006/relationships/hyperlink" Target="https://www.cettire.com/collections/fay" TargetMode="External"/><Relationship Id="rId290" Type="http://schemas.openxmlformats.org/officeDocument/2006/relationships/hyperlink" Target="https://www.cettire.com/collections/junya-watanabe-man" TargetMode="External"/><Relationship Id="rId3022" Type="http://schemas.openxmlformats.org/officeDocument/2006/relationships/hyperlink" Target="https://www.cettire.com/collections/ys" TargetMode="External"/><Relationship Id="rId150" Type="http://schemas.openxmlformats.org/officeDocument/2006/relationships/hyperlink" Target="https://www.cettire.com/collections/comme-des-garcons-shirt-boys" TargetMode="External"/><Relationship Id="rId3979" Type="http://schemas.openxmlformats.org/officeDocument/2006/relationships/hyperlink" Target="https://www.cettire.com/collections/moncler-eyewear" TargetMode="External"/><Relationship Id="rId2788" Type="http://schemas.openxmlformats.org/officeDocument/2006/relationships/hyperlink" Target="https://www.cettire.com/collections/michael-kors-collection" TargetMode="External"/><Relationship Id="rId2995" Type="http://schemas.openxmlformats.org/officeDocument/2006/relationships/hyperlink" Target="https://www.cettire.com/collections/unravel-project" TargetMode="External"/><Relationship Id="rId3839" Type="http://schemas.openxmlformats.org/officeDocument/2006/relationships/hyperlink" Target="https://www.cettire.com/collections/grevi" TargetMode="External"/><Relationship Id="rId967" Type="http://schemas.openxmlformats.org/officeDocument/2006/relationships/hyperlink" Target="https://www.cettire.com/collections/mcq-alexander-mcqueen" TargetMode="External"/><Relationship Id="rId1597" Type="http://schemas.openxmlformats.org/officeDocument/2006/relationships/hyperlink" Target="https://www.cettire.com/collections/moose-knuckles" TargetMode="External"/><Relationship Id="rId2648" Type="http://schemas.openxmlformats.org/officeDocument/2006/relationships/hyperlink" Target="https://www.cettire.com/collections/freedomday" TargetMode="External"/><Relationship Id="rId2855" Type="http://schemas.openxmlformats.org/officeDocument/2006/relationships/hyperlink" Target="https://www.cettire.com/collections/palm-angels-kids" TargetMode="External"/><Relationship Id="rId3906" Type="http://schemas.openxmlformats.org/officeDocument/2006/relationships/hyperlink" Target="https://www.cettire.com/collections/lanvin" TargetMode="External"/><Relationship Id="rId96" Type="http://schemas.openxmlformats.org/officeDocument/2006/relationships/hyperlink" Target="https://www.cettire.com/collections/brian-dales" TargetMode="External"/><Relationship Id="rId827" Type="http://schemas.openxmlformats.org/officeDocument/2006/relationships/hyperlink" Target="https://www.cettire.com/collections/forte-forte" TargetMode="External"/><Relationship Id="rId1457" Type="http://schemas.openxmlformats.org/officeDocument/2006/relationships/hyperlink" Target="https://www.cettire.com/collections/gucci-eyewear" TargetMode="External"/><Relationship Id="rId1664" Type="http://schemas.openxmlformats.org/officeDocument/2006/relationships/hyperlink" Target="https://www.cettire.com/collections/prada-eyewear" TargetMode="External"/><Relationship Id="rId1871" Type="http://schemas.openxmlformats.org/officeDocument/2006/relationships/hyperlink" Target="https://www.cettire.com/collections/aragona" TargetMode="External"/><Relationship Id="rId2508" Type="http://schemas.openxmlformats.org/officeDocument/2006/relationships/hyperlink" Target="https://www.cettire.com/collections/birkenstock" TargetMode="External"/><Relationship Id="rId2715" Type="http://schemas.openxmlformats.org/officeDocument/2006/relationships/hyperlink" Target="https://www.cettire.com/collections/kappa" TargetMode="External"/><Relationship Id="rId2922" Type="http://schemas.openxmlformats.org/officeDocument/2006/relationships/hyperlink" Target="https://www.cettire.com/collections/sacai" TargetMode="External"/><Relationship Id="rId4070" Type="http://schemas.openxmlformats.org/officeDocument/2006/relationships/hyperlink" Target="https://www.cettire.com/collections/rebecca-minkoff" TargetMode="External"/><Relationship Id="rId1317" Type="http://schemas.openxmlformats.org/officeDocument/2006/relationships/hyperlink" Target="https://www.cettire.com/collections/by-far" TargetMode="External"/><Relationship Id="rId1524" Type="http://schemas.openxmlformats.org/officeDocument/2006/relationships/hyperlink" Target="https://www.cettire.com/collections/le-kasha" TargetMode="External"/><Relationship Id="rId1731" Type="http://schemas.openxmlformats.org/officeDocument/2006/relationships/hyperlink" Target="https://www.cettire.com/collections/spalwart" TargetMode="External"/><Relationship Id="rId23" Type="http://schemas.openxmlformats.org/officeDocument/2006/relationships/hyperlink" Target="https://www.cettire.com/collections/adriana-degreas" TargetMode="External"/><Relationship Id="rId3489" Type="http://schemas.openxmlformats.org/officeDocument/2006/relationships/hyperlink" Target="https://www.cettire.com/collections/rombaut" TargetMode="External"/><Relationship Id="rId3696" Type="http://schemas.openxmlformats.org/officeDocument/2006/relationships/hyperlink" Target="https://www.cettire.com/collections/burberry-eyewear" TargetMode="External"/><Relationship Id="rId4747" Type="http://schemas.openxmlformats.org/officeDocument/2006/relationships/hyperlink" Target="https://www.cettire.com/collections/t-by-alexander-wang" TargetMode="External"/><Relationship Id="rId2298" Type="http://schemas.openxmlformats.org/officeDocument/2006/relationships/hyperlink" Target="https://www.cettire.com/collections/rick-owens" TargetMode="External"/><Relationship Id="rId3349" Type="http://schemas.openxmlformats.org/officeDocument/2006/relationships/hyperlink" Target="https://www.cettire.com/collections/marcelo-burlon-county-of-milan-kids" TargetMode="External"/><Relationship Id="rId3556" Type="http://schemas.openxmlformats.org/officeDocument/2006/relationships/hyperlink" Target="https://www.cettire.com/collections/ulla-johnson" TargetMode="External"/><Relationship Id="rId477" Type="http://schemas.openxmlformats.org/officeDocument/2006/relationships/hyperlink" Target="https://www.cettire.com/collections/reebok-x-victoria-beckham" TargetMode="External"/><Relationship Id="rId684" Type="http://schemas.openxmlformats.org/officeDocument/2006/relationships/hyperlink" Target="https://www.cettire.com/collections/baum-und-pferdgarten" TargetMode="External"/><Relationship Id="rId2158" Type="http://schemas.openxmlformats.org/officeDocument/2006/relationships/hyperlink" Target="https://www.cettire.com/collections/marcelo-burlon-county-of-milan-kids" TargetMode="External"/><Relationship Id="rId2365" Type="http://schemas.openxmlformats.org/officeDocument/2006/relationships/hyperlink" Target="https://www.cettire.com/collections/theory" TargetMode="External"/><Relationship Id="rId3209" Type="http://schemas.openxmlformats.org/officeDocument/2006/relationships/hyperlink" Target="https://www.cettire.com/collections/emilio-pucci-junior" TargetMode="External"/><Relationship Id="rId3763" Type="http://schemas.openxmlformats.org/officeDocument/2006/relationships/hyperlink" Target="https://www.cettire.com/collections/diesel" TargetMode="External"/><Relationship Id="rId3970" Type="http://schemas.openxmlformats.org/officeDocument/2006/relationships/hyperlink" Target="https://www.cettire.com/collections/miu-miu" TargetMode="External"/><Relationship Id="rId4607" Type="http://schemas.openxmlformats.org/officeDocument/2006/relationships/hyperlink" Target="https://www.cettire.com/collections/n-21" TargetMode="External"/><Relationship Id="rId4814" Type="http://schemas.openxmlformats.org/officeDocument/2006/relationships/hyperlink" Target="https://www.cettire.com/collections/z-zegna" TargetMode="External"/><Relationship Id="rId337" Type="http://schemas.openxmlformats.org/officeDocument/2006/relationships/hyperlink" Target="https://www.cettire.com/collections/manebi" TargetMode="External"/><Relationship Id="rId891" Type="http://schemas.openxmlformats.org/officeDocument/2006/relationships/hyperlink" Target="https://www.cettire.com/collections/john-smedley" TargetMode="External"/><Relationship Id="rId2018" Type="http://schemas.openxmlformats.org/officeDocument/2006/relationships/hyperlink" Target="https://www.cettire.com/collections/ermenegildo-zegna" TargetMode="External"/><Relationship Id="rId2572" Type="http://schemas.openxmlformats.org/officeDocument/2006/relationships/hyperlink" Target="https://www.cettire.com/collections/comme-des-garcons-wallet" TargetMode="External"/><Relationship Id="rId3416" Type="http://schemas.openxmlformats.org/officeDocument/2006/relationships/hyperlink" Target="https://www.cettire.com/collections/oamc" TargetMode="External"/><Relationship Id="rId3623" Type="http://schemas.openxmlformats.org/officeDocument/2006/relationships/hyperlink" Target="https://www.cettire.com/collections/alberta-ferretti" TargetMode="External"/><Relationship Id="rId3830" Type="http://schemas.openxmlformats.org/officeDocument/2006/relationships/hyperlink" Target="https://www.cettire.com/collections/gia-borghini" TargetMode="External"/><Relationship Id="rId544" Type="http://schemas.openxmlformats.org/officeDocument/2006/relationships/hyperlink" Target="https://www.cettire.com/collections/the-gigi" TargetMode="External"/><Relationship Id="rId751" Type="http://schemas.openxmlformats.org/officeDocument/2006/relationships/hyperlink" Target="https://www.cettire.com/collections/comme-des-garcons-play" TargetMode="External"/><Relationship Id="rId1174" Type="http://schemas.openxmlformats.org/officeDocument/2006/relationships/hyperlink" Target="https://www.cettire.com/collections/undercover" TargetMode="External"/><Relationship Id="rId1381" Type="http://schemas.openxmlformats.org/officeDocument/2006/relationships/hyperlink" Target="https://www.cettire.com/collections/diesel-red-tag" TargetMode="External"/><Relationship Id="rId2225" Type="http://schemas.openxmlformats.org/officeDocument/2006/relationships/hyperlink" Target="https://www.cettire.com/collections/nodaleto" TargetMode="External"/><Relationship Id="rId2432" Type="http://schemas.openxmlformats.org/officeDocument/2006/relationships/hyperlink" Target="https://www.cettire.com/collections/a-p-c" TargetMode="External"/><Relationship Id="rId404" Type="http://schemas.openxmlformats.org/officeDocument/2006/relationships/hyperlink" Target="https://www.cettire.com/collections/natasha-zinko" TargetMode="External"/><Relationship Id="rId611" Type="http://schemas.openxmlformats.org/officeDocument/2006/relationships/hyperlink" Target="https://www.cettire.com/collections/7-for-all-mankind" TargetMode="External"/><Relationship Id="rId1034" Type="http://schemas.openxmlformats.org/officeDocument/2006/relationships/hyperlink" Target="https://www.cettire.com/collections/palm-angels" TargetMode="External"/><Relationship Id="rId1241" Type="http://schemas.openxmlformats.org/officeDocument/2006/relationships/hyperlink" Target="https://www.cettire.com/collections/alberta-ferretti-kids" TargetMode="External"/><Relationship Id="rId4397" Type="http://schemas.openxmlformats.org/officeDocument/2006/relationships/hyperlink" Target="https://www.cettire.com/collections/edward-green" TargetMode="External"/><Relationship Id="rId1101" Type="http://schemas.openxmlformats.org/officeDocument/2006/relationships/hyperlink" Target="https://www.cettire.com/collections/ruslan-baginskiy" TargetMode="External"/><Relationship Id="rId4257" Type="http://schemas.openxmlformats.org/officeDocument/2006/relationships/hyperlink" Target="https://www.cettire.com/collections/antonino-valenti" TargetMode="External"/><Relationship Id="rId4464" Type="http://schemas.openxmlformats.org/officeDocument/2006/relationships/hyperlink" Target="https://www.cettire.com/collections/herno-kids" TargetMode="External"/><Relationship Id="rId4671" Type="http://schemas.openxmlformats.org/officeDocument/2006/relationships/hyperlink" Target="https://www.cettire.com/collections/puma" TargetMode="External"/><Relationship Id="rId3066" Type="http://schemas.openxmlformats.org/officeDocument/2006/relationships/hyperlink" Target="https://www.cettire.com/collections/alexander-mcqueen-kids" TargetMode="External"/><Relationship Id="rId3273" Type="http://schemas.openxmlformats.org/officeDocument/2006/relationships/hyperlink" Target="https://www.cettire.com/collections/hugo-boss-kids" TargetMode="External"/><Relationship Id="rId3480" Type="http://schemas.openxmlformats.org/officeDocument/2006/relationships/hyperlink" Target="https://www.cettire.com/collections/rick-owens" TargetMode="External"/><Relationship Id="rId4117" Type="http://schemas.openxmlformats.org/officeDocument/2006/relationships/hyperlink" Target="https://www.cettire.com/collections/sonia-rykiel" TargetMode="External"/><Relationship Id="rId4324" Type="http://schemas.openxmlformats.org/officeDocument/2006/relationships/hyperlink" Target="https://www.cettire.com/collections/carhartt-wip" TargetMode="External"/><Relationship Id="rId4531" Type="http://schemas.openxmlformats.org/officeDocument/2006/relationships/hyperlink" Target="https://www.cettire.com/collections/loewe" TargetMode="External"/><Relationship Id="rId194" Type="http://schemas.openxmlformats.org/officeDocument/2006/relationships/hyperlink" Target="https://www.cettire.com/collections/emile-et-ida" TargetMode="External"/><Relationship Id="rId1918" Type="http://schemas.openxmlformats.org/officeDocument/2006/relationships/hyperlink" Target="https://www.cettire.com/collections/burberry" TargetMode="External"/><Relationship Id="rId2082" Type="http://schemas.openxmlformats.org/officeDocument/2006/relationships/hyperlink" Target="https://www.cettire.com/collections/ienki-ienki" TargetMode="External"/><Relationship Id="rId3133" Type="http://schemas.openxmlformats.org/officeDocument/2006/relationships/hyperlink" Target="https://www.cettire.com/collections/canada-goose" TargetMode="External"/><Relationship Id="rId261" Type="http://schemas.openxmlformats.org/officeDocument/2006/relationships/hyperlink" Target="https://www.cettire.com/collections/hoka-one-one" TargetMode="External"/><Relationship Id="rId3340" Type="http://schemas.openxmlformats.org/officeDocument/2006/relationships/hyperlink" Target="https://www.cettire.com/collections/malone-souliers" TargetMode="External"/><Relationship Id="rId2899" Type="http://schemas.openxmlformats.org/officeDocument/2006/relationships/hyperlink" Target="https://www.cettire.com/collections/red-wing-shoes" TargetMode="External"/><Relationship Id="rId3200" Type="http://schemas.openxmlformats.org/officeDocument/2006/relationships/hyperlink" Target="https://www.cettire.com/collections/ea7-emporio-armani" TargetMode="External"/><Relationship Id="rId121" Type="http://schemas.openxmlformats.org/officeDocument/2006/relationships/hyperlink" Target="https://www.cettire.com/collections/casablanca" TargetMode="External"/><Relationship Id="rId2759" Type="http://schemas.openxmlformats.org/officeDocument/2006/relationships/hyperlink" Target="https://www.cettire.com/collections/manokhi" TargetMode="External"/><Relationship Id="rId2966" Type="http://schemas.openxmlformats.org/officeDocument/2006/relationships/hyperlink" Target="https://www.cettire.com/collections/ten-c" TargetMode="External"/><Relationship Id="rId938" Type="http://schemas.openxmlformats.org/officeDocument/2006/relationships/hyperlink" Target="https://www.cettire.com/collections/maison-michel" TargetMode="External"/><Relationship Id="rId1568" Type="http://schemas.openxmlformats.org/officeDocument/2006/relationships/hyperlink" Target="https://www.cettire.com/collections/max-mara-studio" TargetMode="External"/><Relationship Id="rId1775" Type="http://schemas.openxmlformats.org/officeDocument/2006/relationships/hyperlink" Target="https://www.cettire.com/collections/ugg-kids" TargetMode="External"/><Relationship Id="rId2619" Type="http://schemas.openxmlformats.org/officeDocument/2006/relationships/hyperlink" Target="https://www.cettire.com/collections/emporio-armani-kids" TargetMode="External"/><Relationship Id="rId2826" Type="http://schemas.openxmlformats.org/officeDocument/2006/relationships/hyperlink" Target="https://www.cettire.com/collections/needles" TargetMode="External"/><Relationship Id="rId4181" Type="http://schemas.openxmlformats.org/officeDocument/2006/relationships/hyperlink" Target="https://www.cettire.com/collections/versace-jeans-couture" TargetMode="External"/><Relationship Id="rId67" Type="http://schemas.openxmlformats.org/officeDocument/2006/relationships/hyperlink" Target="https://www.cettire.com/collections/balenciaga-eyewear" TargetMode="External"/><Relationship Id="rId1428" Type="http://schemas.openxmlformats.org/officeDocument/2006/relationships/hyperlink" Target="https://www.cettire.com/collections/feng-chen-wang" TargetMode="External"/><Relationship Id="rId1635" Type="http://schemas.openxmlformats.org/officeDocument/2006/relationships/hyperlink" Target="https://www.cettire.com/collections/osoi" TargetMode="External"/><Relationship Id="rId1982" Type="http://schemas.openxmlformats.org/officeDocument/2006/relationships/hyperlink" Target="https://www.cettire.com/collections/diane-von-furstenberg" TargetMode="External"/><Relationship Id="rId4041" Type="http://schemas.openxmlformats.org/officeDocument/2006/relationships/hyperlink" Target="https://www.cettire.com/collections/philosophy-di-lorenzo-serafini-kids" TargetMode="External"/><Relationship Id="rId1842" Type="http://schemas.openxmlformats.org/officeDocument/2006/relationships/hyperlink" Target="https://www.cettire.com/collections/aeyd%C4%93" TargetMode="External"/><Relationship Id="rId1702" Type="http://schemas.openxmlformats.org/officeDocument/2006/relationships/hyperlink" Target="https://www.cettire.com/collections/rodebjer" TargetMode="External"/><Relationship Id="rId3667" Type="http://schemas.openxmlformats.org/officeDocument/2006/relationships/hyperlink" Target="https://www.cettire.com/collections/balmain-kids" TargetMode="External"/><Relationship Id="rId3874" Type="http://schemas.openxmlformats.org/officeDocument/2006/relationships/hyperlink" Target="https://www.cettire.com/collections/jessie-western" TargetMode="External"/><Relationship Id="rId4718" Type="http://schemas.openxmlformats.org/officeDocument/2006/relationships/hyperlink" Target="https://www.cettire.com/collections/save-the-duck-kids" TargetMode="External"/><Relationship Id="rId588" Type="http://schemas.openxmlformats.org/officeDocument/2006/relationships/hyperlink" Target="https://www.cettire.com/collections/wales-bonner" TargetMode="External"/><Relationship Id="rId795" Type="http://schemas.openxmlformats.org/officeDocument/2006/relationships/hyperlink" Target="https://www.cettire.com/collections/edward-green" TargetMode="External"/><Relationship Id="rId2269" Type="http://schemas.openxmlformats.org/officeDocument/2006/relationships/hyperlink" Target="https://www.cettire.com/collections/premiata" TargetMode="External"/><Relationship Id="rId2476" Type="http://schemas.openxmlformats.org/officeDocument/2006/relationships/hyperlink" Target="https://www.cettire.com/collections/aragona" TargetMode="External"/><Relationship Id="rId2683" Type="http://schemas.openxmlformats.org/officeDocument/2006/relationships/hyperlink" Target="https://www.cettire.com/collections/homme-plisse-issey-miyake" TargetMode="External"/><Relationship Id="rId2890" Type="http://schemas.openxmlformats.org/officeDocument/2006/relationships/hyperlink" Target="https://www.cettire.com/collections/rag-bone" TargetMode="External"/><Relationship Id="rId3527" Type="http://schemas.openxmlformats.org/officeDocument/2006/relationships/hyperlink" Target="https://www.cettire.com/collections/sunflower" TargetMode="External"/><Relationship Id="rId3734" Type="http://schemas.openxmlformats.org/officeDocument/2006/relationships/hyperlink" Target="https://www.cettire.com/collections/coliac" TargetMode="External"/><Relationship Id="rId3941" Type="http://schemas.openxmlformats.org/officeDocument/2006/relationships/hyperlink" Target="https://www.cettire.com/collections/marine-serre" TargetMode="External"/><Relationship Id="rId448" Type="http://schemas.openxmlformats.org/officeDocument/2006/relationships/hyperlink" Target="https://www.cettire.com/collections/plan-c" TargetMode="External"/><Relationship Id="rId655" Type="http://schemas.openxmlformats.org/officeDocument/2006/relationships/hyperlink" Target="https://www.cettire.com/collections/antonino-valenti" TargetMode="External"/><Relationship Id="rId862" Type="http://schemas.openxmlformats.org/officeDocument/2006/relationships/hyperlink" Target="https://www.cettire.com/collections/hogan" TargetMode="External"/><Relationship Id="rId1078" Type="http://schemas.openxmlformats.org/officeDocument/2006/relationships/hyperlink" Target="https://www.cettire.com/collections/red-valentino" TargetMode="External"/><Relationship Id="rId1285" Type="http://schemas.openxmlformats.org/officeDocument/2006/relationships/hyperlink" Target="https://www.cettire.com/collections/bao-bao-issey-miyake" TargetMode="External"/><Relationship Id="rId1492" Type="http://schemas.openxmlformats.org/officeDocument/2006/relationships/hyperlink" Target="https://www.cettire.com/collections/jil-sander" TargetMode="External"/><Relationship Id="rId2129" Type="http://schemas.openxmlformats.org/officeDocument/2006/relationships/hyperlink" Target="https://www.cettire.com/collections/lemaire" TargetMode="External"/><Relationship Id="rId2336" Type="http://schemas.openxmlformats.org/officeDocument/2006/relationships/hyperlink" Target="https://www.cettire.com/collections/sportmax" TargetMode="External"/><Relationship Id="rId2543" Type="http://schemas.openxmlformats.org/officeDocument/2006/relationships/hyperlink" Target="https://www.cettire.com/collections/casablanca" TargetMode="External"/><Relationship Id="rId2750" Type="http://schemas.openxmlformats.org/officeDocument/2006/relationships/hyperlink" Target="https://www.cettire.com/collections/m-missoni" TargetMode="External"/><Relationship Id="rId3801" Type="http://schemas.openxmlformats.org/officeDocument/2006/relationships/hyperlink" Target="https://www.cettire.com/collections/eyevan-7285" TargetMode="External"/><Relationship Id="rId308" Type="http://schemas.openxmlformats.org/officeDocument/2006/relationships/hyperlink" Target="https://www.cettire.com/collections/la-stupenderia" TargetMode="External"/><Relationship Id="rId515" Type="http://schemas.openxmlformats.org/officeDocument/2006/relationships/hyperlink" Target="https://www.cettire.com/collections/sies-marjan" TargetMode="External"/><Relationship Id="rId722" Type="http://schemas.openxmlformats.org/officeDocument/2006/relationships/hyperlink" Target="https://www.cettire.com/collections/carrera" TargetMode="External"/><Relationship Id="rId1145" Type="http://schemas.openxmlformats.org/officeDocument/2006/relationships/hyperlink" Target="https://www.cettire.com/collections/telfar" TargetMode="External"/><Relationship Id="rId1352" Type="http://schemas.openxmlformats.org/officeDocument/2006/relationships/hyperlink" Target="https://www.cettire.com/collections/comme-des-garcons" TargetMode="External"/><Relationship Id="rId2403" Type="http://schemas.openxmlformats.org/officeDocument/2006/relationships/hyperlink" Target="https://www.cettire.com/collections/wales-bonner" TargetMode="External"/><Relationship Id="rId1005" Type="http://schemas.openxmlformats.org/officeDocument/2006/relationships/hyperlink" Target="https://www.cettire.com/collections/napa-by-martine-rose" TargetMode="External"/><Relationship Id="rId1212" Type="http://schemas.openxmlformats.org/officeDocument/2006/relationships/hyperlink" Target="https://www.cettire.com/collections/1017-alyx-9sm" TargetMode="External"/><Relationship Id="rId2610" Type="http://schemas.openxmlformats.org/officeDocument/2006/relationships/hyperlink" Target="https://www.cettire.com/collections/eastpak" TargetMode="External"/><Relationship Id="rId4368" Type="http://schemas.openxmlformats.org/officeDocument/2006/relationships/hyperlink" Target="https://www.cettire.com/collections/daily-paper" TargetMode="External"/><Relationship Id="rId4575" Type="http://schemas.openxmlformats.org/officeDocument/2006/relationships/hyperlink" Target="https://www.cettire.com/collections/michael-kors" TargetMode="External"/><Relationship Id="rId3177" Type="http://schemas.openxmlformats.org/officeDocument/2006/relationships/hyperlink" Target="https://www.cettire.com/collections/daily-paper" TargetMode="External"/><Relationship Id="rId4228" Type="http://schemas.openxmlformats.org/officeDocument/2006/relationships/hyperlink" Target="https://www.cettire.com/collections/adidas-originals" TargetMode="External"/><Relationship Id="rId4782" Type="http://schemas.openxmlformats.org/officeDocument/2006/relationships/hyperlink" Target="https://www.cettire.com/collections/valentino" TargetMode="External"/><Relationship Id="rId3037" Type="http://schemas.openxmlformats.org/officeDocument/2006/relationships/hyperlink" Target="https://www.cettire.com/collections/ug-ss-kids" TargetMode="External"/><Relationship Id="rId3384" Type="http://schemas.openxmlformats.org/officeDocument/2006/relationships/hyperlink" Target="https://www.cettire.com/collections/moncler-genius" TargetMode="External"/><Relationship Id="rId3591" Type="http://schemas.openxmlformats.org/officeDocument/2006/relationships/hyperlink" Target="https://www.cettire.com/collections/zadig-voltaire" TargetMode="External"/><Relationship Id="rId4435" Type="http://schemas.openxmlformats.org/officeDocument/2006/relationships/hyperlink" Target="https://www.cettire.com/collections/fucking-awesome" TargetMode="External"/><Relationship Id="rId4642" Type="http://schemas.openxmlformats.org/officeDocument/2006/relationships/hyperlink" Target="https://www.cettire.com/collections/paraboot" TargetMode="External"/><Relationship Id="rId2193" Type="http://schemas.openxmlformats.org/officeDocument/2006/relationships/hyperlink" Target="https://www.cettire.com/collections/moncler-rick-owens" TargetMode="External"/><Relationship Id="rId3244" Type="http://schemas.openxmlformats.org/officeDocument/2006/relationships/hyperlink" Target="https://www.cettire.com/collections/gcds" TargetMode="External"/><Relationship Id="rId3451" Type="http://schemas.openxmlformats.org/officeDocument/2006/relationships/hyperlink" Target="https://www.cettire.com/collections/premiata" TargetMode="External"/><Relationship Id="rId4502" Type="http://schemas.openxmlformats.org/officeDocument/2006/relationships/hyperlink" Target="https://www.cettire.com/collections/k-way" TargetMode="External"/><Relationship Id="rId165" Type="http://schemas.openxmlformats.org/officeDocument/2006/relationships/hyperlink" Target="https://www.cettire.com/collections/diadora" TargetMode="External"/><Relationship Id="rId372" Type="http://schemas.openxmlformats.org/officeDocument/2006/relationships/hyperlink" Target="https://www.cettire.com/collections/missoni-mare" TargetMode="External"/><Relationship Id="rId2053" Type="http://schemas.openxmlformats.org/officeDocument/2006/relationships/hyperlink" Target="https://www.cettire.com/collections/giambattista-valli" TargetMode="External"/><Relationship Id="rId2260" Type="http://schemas.openxmlformats.org/officeDocument/2006/relationships/hyperlink" Target="https://www.cettire.com/collections/pinko" TargetMode="External"/><Relationship Id="rId3104" Type="http://schemas.openxmlformats.org/officeDocument/2006/relationships/hyperlink" Target="https://www.cettire.com/collections/barrow" TargetMode="External"/><Relationship Id="rId3311" Type="http://schemas.openxmlformats.org/officeDocument/2006/relationships/hyperlink" Target="https://www.cettire.com/collections/lautre-chose" TargetMode="External"/><Relationship Id="rId232" Type="http://schemas.openxmlformats.org/officeDocument/2006/relationships/hyperlink" Target="https://www.cettire.com/collections/garrett-leight" TargetMode="External"/><Relationship Id="rId2120" Type="http://schemas.openxmlformats.org/officeDocument/2006/relationships/hyperlink" Target="https://www.cettire.com/collections/kwaidan-editions" TargetMode="External"/><Relationship Id="rId1679" Type="http://schemas.openxmlformats.org/officeDocument/2006/relationships/hyperlink" Target="https://www.cettire.com/collections/rave-review" TargetMode="External"/><Relationship Id="rId4085" Type="http://schemas.openxmlformats.org/officeDocument/2006/relationships/hyperlink" Target="https://www.cettire.com/collections/rick-owens-x-veja" TargetMode="External"/><Relationship Id="rId4292" Type="http://schemas.openxmlformats.org/officeDocument/2006/relationships/hyperlink" Target="https://www.cettire.com/collections/billionaire-boys-club" TargetMode="External"/><Relationship Id="rId1886" Type="http://schemas.openxmlformats.org/officeDocument/2006/relationships/hyperlink" Target="https://www.cettire.com/collections/balenciaga-kids" TargetMode="External"/><Relationship Id="rId2937" Type="http://schemas.openxmlformats.org/officeDocument/2006/relationships/hyperlink" Target="https://www.cettire.com/collections/sergio-rossi" TargetMode="External"/><Relationship Id="rId4152" Type="http://schemas.openxmlformats.org/officeDocument/2006/relationships/hyperlink" Target="https://www.cettire.com/collections/timberland" TargetMode="External"/><Relationship Id="rId909" Type="http://schemas.openxmlformats.org/officeDocument/2006/relationships/hyperlink" Target="https://www.cettire.com/collections/kwaidan-editions" TargetMode="External"/><Relationship Id="rId1539" Type="http://schemas.openxmlformats.org/officeDocument/2006/relationships/hyperlink" Target="https://www.cettire.com/collections/mackintosh" TargetMode="External"/><Relationship Id="rId1746" Type="http://schemas.openxmlformats.org/officeDocument/2006/relationships/hyperlink" Target="https://www.cettire.com/collections/sunflower" TargetMode="External"/><Relationship Id="rId1953" Type="http://schemas.openxmlformats.org/officeDocument/2006/relationships/hyperlink" Target="https://www.cettire.com/collections/citizens-of-humanity" TargetMode="External"/><Relationship Id="rId38" Type="http://schemas.openxmlformats.org/officeDocument/2006/relationships/hyperlink" Target="https://www.cettire.com/collections/alexandre-vauthier" TargetMode="External"/><Relationship Id="rId1606" Type="http://schemas.openxmlformats.org/officeDocument/2006/relationships/hyperlink" Target="https://www.cettire.com/collections/mykita" TargetMode="External"/><Relationship Id="rId1813" Type="http://schemas.openxmlformats.org/officeDocument/2006/relationships/hyperlink" Target="https://www.cettire.com/collections/yves-salomon" TargetMode="External"/><Relationship Id="rId4012" Type="http://schemas.openxmlformats.org/officeDocument/2006/relationships/hyperlink" Target="https://www.cettire.com/collections/norse-projects" TargetMode="External"/><Relationship Id="rId3778" Type="http://schemas.openxmlformats.org/officeDocument/2006/relationships/hyperlink" Target="https://www.cettire.com/collections/dsquared2-eyewear" TargetMode="External"/><Relationship Id="rId3985" Type="http://schemas.openxmlformats.org/officeDocument/2006/relationships/hyperlink" Target="https://www.cettire.com/collections/moschino" TargetMode="External"/><Relationship Id="rId699" Type="http://schemas.openxmlformats.org/officeDocument/2006/relationships/hyperlink" Target="https://www.cettire.com/collections/boyy" TargetMode="External"/><Relationship Id="rId2587" Type="http://schemas.openxmlformats.org/officeDocument/2006/relationships/hyperlink" Target="https://www.cettire.com/collections/diadora" TargetMode="External"/><Relationship Id="rId2794" Type="http://schemas.openxmlformats.org/officeDocument/2006/relationships/hyperlink" Target="https://www.cettire.com/collections/missoni-mare" TargetMode="External"/><Relationship Id="rId3638" Type="http://schemas.openxmlformats.org/officeDocument/2006/relationships/hyperlink" Target="https://www.cettire.com/collections/amiri" TargetMode="External"/><Relationship Id="rId3845" Type="http://schemas.openxmlformats.org/officeDocument/2006/relationships/hyperlink" Target="https://www.cettire.com/collections/harris-wharf-london" TargetMode="External"/><Relationship Id="rId559" Type="http://schemas.openxmlformats.org/officeDocument/2006/relationships/hyperlink" Target="https://www.cettire.com/collections/toteme" TargetMode="External"/><Relationship Id="rId766" Type="http://schemas.openxmlformats.org/officeDocument/2006/relationships/hyperlink" Target="https://www.cettire.com/collections/danse-lente" TargetMode="External"/><Relationship Id="rId1189" Type="http://schemas.openxmlformats.org/officeDocument/2006/relationships/hyperlink" Target="https://www.cettire.com/collections/vision-of-super" TargetMode="External"/><Relationship Id="rId1396" Type="http://schemas.openxmlformats.org/officeDocument/2006/relationships/hyperlink" Target="https://www.cettire.com/collections/duvetica" TargetMode="External"/><Relationship Id="rId2447" Type="http://schemas.openxmlformats.org/officeDocument/2006/relationships/hyperlink" Target="https://www.cettire.com/collections/aeyd%C4%93" TargetMode="External"/><Relationship Id="rId419" Type="http://schemas.openxmlformats.org/officeDocument/2006/relationships/hyperlink" Target="https://www.cettire.com/collections/oakley" TargetMode="External"/><Relationship Id="rId626" Type="http://schemas.openxmlformats.org/officeDocument/2006/relationships/hyperlink" Target="https://www.cettire.com/collections/adidas-kids" TargetMode="External"/><Relationship Id="rId973" Type="http://schemas.openxmlformats.org/officeDocument/2006/relationships/hyperlink" Target="https://www.cettire.com/collections/misbhv" TargetMode="External"/><Relationship Id="rId1049" Type="http://schemas.openxmlformats.org/officeDocument/2006/relationships/hyperlink" Target="https://www.cettire.com/collections/pierre-louis-mascia" TargetMode="External"/><Relationship Id="rId1256" Type="http://schemas.openxmlformats.org/officeDocument/2006/relationships/hyperlink" Target="https://www.cettire.com/collections/amiri" TargetMode="External"/><Relationship Id="rId2307" Type="http://schemas.openxmlformats.org/officeDocument/2006/relationships/hyperlink" Target="https://www.cettire.com/collections/roger-vivier" TargetMode="External"/><Relationship Id="rId2654" Type="http://schemas.openxmlformats.org/officeDocument/2006/relationships/hyperlink" Target="https://www.cettire.com/collections/garrett-leight" TargetMode="External"/><Relationship Id="rId2861" Type="http://schemas.openxmlformats.org/officeDocument/2006/relationships/hyperlink" Target="https://www.cettire.com/collections/persol" TargetMode="External"/><Relationship Id="rId3705" Type="http://schemas.openxmlformats.org/officeDocument/2006/relationships/hyperlink" Target="https://www.cettire.com/collections/calvin-klein-jeans-est-1978" TargetMode="External"/><Relationship Id="rId3912" Type="http://schemas.openxmlformats.org/officeDocument/2006/relationships/hyperlink" Target="https://www.cettire.com/collections/lesca" TargetMode="External"/><Relationship Id="rId833" Type="http://schemas.openxmlformats.org/officeDocument/2006/relationships/hyperlink" Target="https://www.cettire.com/collections/gabriela-hearst" TargetMode="External"/><Relationship Id="rId1116" Type="http://schemas.openxmlformats.org/officeDocument/2006/relationships/hyperlink" Target="https://www.cettire.com/collections/self-portrait" TargetMode="External"/><Relationship Id="rId1463" Type="http://schemas.openxmlformats.org/officeDocument/2006/relationships/hyperlink" Target="https://www.cettire.com/collections/hereu" TargetMode="External"/><Relationship Id="rId1670" Type="http://schemas.openxmlformats.org/officeDocument/2006/relationships/hyperlink" Target="https://www.cettire.com/collections/pt01" TargetMode="External"/><Relationship Id="rId2514" Type="http://schemas.openxmlformats.org/officeDocument/2006/relationships/hyperlink" Target="https://www.cettire.com/collections/bottega-veneta-eyewear" TargetMode="External"/><Relationship Id="rId2721" Type="http://schemas.openxmlformats.org/officeDocument/2006/relationships/hyperlink" Target="https://www.cettire.com/collections/kenzo-kids" TargetMode="External"/><Relationship Id="rId900" Type="http://schemas.openxmlformats.org/officeDocument/2006/relationships/hyperlink" Target="https://www.cettire.com/collections/kara" TargetMode="External"/><Relationship Id="rId1323" Type="http://schemas.openxmlformats.org/officeDocument/2006/relationships/hyperlink" Target="https://www.cettire.com/collections/canada-goose" TargetMode="External"/><Relationship Id="rId1530" Type="http://schemas.openxmlformats.org/officeDocument/2006/relationships/hyperlink" Target="https://www.cettire.com/collections/lisa-marie-fernandez" TargetMode="External"/><Relationship Id="rId4479" Type="http://schemas.openxmlformats.org/officeDocument/2006/relationships/hyperlink" Target="https://www.cettire.com/collections/incotex" TargetMode="External"/><Relationship Id="rId4686" Type="http://schemas.openxmlformats.org/officeDocument/2006/relationships/hyperlink" Target="https://www.cettire.com/collections/reebok-x-victoria-beckham" TargetMode="External"/><Relationship Id="rId3288" Type="http://schemas.openxmlformats.org/officeDocument/2006/relationships/hyperlink" Target="https://www.cettire.com/collections/john-elliott" TargetMode="External"/><Relationship Id="rId3495" Type="http://schemas.openxmlformats.org/officeDocument/2006/relationships/hyperlink" Target="https://www.cettire.com/collections/saint-laurent-eyewear" TargetMode="External"/><Relationship Id="rId4339" Type="http://schemas.openxmlformats.org/officeDocument/2006/relationships/hyperlink" Target="https://www.cettire.com/collections/chloe-kids" TargetMode="External"/><Relationship Id="rId4546" Type="http://schemas.openxmlformats.org/officeDocument/2006/relationships/hyperlink" Target="https://www.cettire.com/collections/manebi" TargetMode="External"/><Relationship Id="rId4753" Type="http://schemas.openxmlformats.org/officeDocument/2006/relationships/hyperlink" Target="https://www.cettire.com/collections/the-gigi" TargetMode="External"/><Relationship Id="rId2097" Type="http://schemas.openxmlformats.org/officeDocument/2006/relationships/hyperlink" Target="https://www.cettire.com/collections/jil-sander" TargetMode="External"/><Relationship Id="rId3148" Type="http://schemas.openxmlformats.org/officeDocument/2006/relationships/hyperlink" Target="https://www.cettire.com/collections/chloe" TargetMode="External"/><Relationship Id="rId3355" Type="http://schemas.openxmlformats.org/officeDocument/2006/relationships/hyperlink" Target="https://www.cettire.com/collections/martine-rose" TargetMode="External"/><Relationship Id="rId3562" Type="http://schemas.openxmlformats.org/officeDocument/2006/relationships/hyperlink" Target="https://www.cettire.com/collections/valextra" TargetMode="External"/><Relationship Id="rId4406" Type="http://schemas.openxmlformats.org/officeDocument/2006/relationships/hyperlink" Target="https://www.cettire.com/collections/engineered-garments" TargetMode="External"/><Relationship Id="rId4613" Type="http://schemas.openxmlformats.org/officeDocument/2006/relationships/hyperlink" Target="https://www.cettire.com/collections/needles" TargetMode="External"/><Relationship Id="rId276" Type="http://schemas.openxmlformats.org/officeDocument/2006/relationships/hyperlink" Target="https://www.cettire.com/collections/issey-miyake-men" TargetMode="External"/><Relationship Id="rId483" Type="http://schemas.openxmlformats.org/officeDocument/2006/relationships/hyperlink" Target="https://www.cettire.com/collections/rhude" TargetMode="External"/><Relationship Id="rId690" Type="http://schemas.openxmlformats.org/officeDocument/2006/relationships/hyperlink" Target="https://www.cettire.com/collections/birkenstock" TargetMode="External"/><Relationship Id="rId2164" Type="http://schemas.openxmlformats.org/officeDocument/2006/relationships/hyperlink" Target="https://www.cettire.com/collections/marsell" TargetMode="External"/><Relationship Id="rId2371" Type="http://schemas.openxmlformats.org/officeDocument/2006/relationships/hyperlink" Target="https://www.cettire.com/collections/tommy-hilfiger" TargetMode="External"/><Relationship Id="rId3008" Type="http://schemas.openxmlformats.org/officeDocument/2006/relationships/hyperlink" Target="https://www.cettire.com/collections/vince" TargetMode="External"/><Relationship Id="rId3215" Type="http://schemas.openxmlformats.org/officeDocument/2006/relationships/hyperlink" Target="https://www.cettire.com/collections/ermenegildo-zegna" TargetMode="External"/><Relationship Id="rId3422" Type="http://schemas.openxmlformats.org/officeDocument/2006/relationships/hyperlink" Target="https://www.cettire.com/collections/oseree" TargetMode="External"/><Relationship Id="rId4820" Type="http://schemas.openxmlformats.org/officeDocument/2006/relationships/printerSettings" Target="../printerSettings/printerSettings26.bin"/><Relationship Id="rId136" Type="http://schemas.openxmlformats.org/officeDocument/2006/relationships/hyperlink" Target="https://www.cettire.com/collections/circus-hotel" TargetMode="External"/><Relationship Id="rId343" Type="http://schemas.openxmlformats.org/officeDocument/2006/relationships/hyperlink" Target="https://www.cettire.com/collections/marc-jacobs-eyewear" TargetMode="External"/><Relationship Id="rId550" Type="http://schemas.openxmlformats.org/officeDocument/2006/relationships/hyperlink" Target="https://www.cettire.com/collections/themoire" TargetMode="External"/><Relationship Id="rId1180" Type="http://schemas.openxmlformats.org/officeDocument/2006/relationships/hyperlink" Target="https://www.cettire.com/collections/vans-vault" TargetMode="External"/><Relationship Id="rId2024" Type="http://schemas.openxmlformats.org/officeDocument/2006/relationships/hyperlink" Target="https://www.cettire.com/collections/eytys" TargetMode="External"/><Relationship Id="rId2231" Type="http://schemas.openxmlformats.org/officeDocument/2006/relationships/hyperlink" Target="https://www.cettire.com/collections/oakley" TargetMode="External"/><Relationship Id="rId203" Type="http://schemas.openxmlformats.org/officeDocument/2006/relationships/hyperlink" Target="https://www.cettire.com/collections/etro" TargetMode="External"/><Relationship Id="rId1040" Type="http://schemas.openxmlformats.org/officeDocument/2006/relationships/hyperlink" Target="https://www.cettire.com/collections/paura-x-kappa" TargetMode="External"/><Relationship Id="rId4196" Type="http://schemas.openxmlformats.org/officeDocument/2006/relationships/hyperlink" Target="https://www.cettire.com/collections/y-3" TargetMode="External"/><Relationship Id="rId410" Type="http://schemas.openxmlformats.org/officeDocument/2006/relationships/hyperlink" Target="https://www.cettire.com/collections/nicholas-kirkwood" TargetMode="External"/><Relationship Id="rId1997" Type="http://schemas.openxmlformats.org/officeDocument/2006/relationships/hyperlink" Target="https://www.cettire.com/collections/dr-martens" TargetMode="External"/><Relationship Id="rId4056" Type="http://schemas.openxmlformats.org/officeDocument/2006/relationships/hyperlink" Target="https://www.cettire.com/collections/pt-torino" TargetMode="External"/><Relationship Id="rId1857" Type="http://schemas.openxmlformats.org/officeDocument/2006/relationships/hyperlink" Target="https://www.cettire.com/collections/alpha-industries" TargetMode="External"/><Relationship Id="rId2908" Type="http://schemas.openxmlformats.org/officeDocument/2006/relationships/hyperlink" Target="https://www.cettire.com/collections/rick-owens" TargetMode="External"/><Relationship Id="rId4263" Type="http://schemas.openxmlformats.org/officeDocument/2006/relationships/hyperlink" Target="https://www.cettire.com/collections/aries" TargetMode="External"/><Relationship Id="rId4470" Type="http://schemas.openxmlformats.org/officeDocument/2006/relationships/hyperlink" Target="https://www.cettire.com/collections/hoka-one-one" TargetMode="External"/><Relationship Id="rId1717" Type="http://schemas.openxmlformats.org/officeDocument/2006/relationships/hyperlink" Target="https://www.cettire.com/collections/santoni" TargetMode="External"/><Relationship Id="rId1924" Type="http://schemas.openxmlformats.org/officeDocument/2006/relationships/hyperlink" Target="https://www.cettire.com/collections/c-p-company" TargetMode="External"/><Relationship Id="rId3072" Type="http://schemas.openxmlformats.org/officeDocument/2006/relationships/hyperlink" Target="https://www.cettire.com/collections/ami" TargetMode="External"/><Relationship Id="rId4123" Type="http://schemas.openxmlformats.org/officeDocument/2006/relationships/hyperlink" Target="https://www.cettire.com/collections/stella-mccartney" TargetMode="External"/><Relationship Id="rId4330" Type="http://schemas.openxmlformats.org/officeDocument/2006/relationships/hyperlink" Target="https://www.cettire.com/collections/cecilie-bahnsen" TargetMode="External"/><Relationship Id="rId3889" Type="http://schemas.openxmlformats.org/officeDocument/2006/relationships/hyperlink" Target="https://www.cettire.com/collections/kappa-kontroll" TargetMode="External"/><Relationship Id="rId2698" Type="http://schemas.openxmlformats.org/officeDocument/2006/relationships/hyperlink" Target="https://www.cettire.com/collections/jacquemus" TargetMode="External"/><Relationship Id="rId3749" Type="http://schemas.openxmlformats.org/officeDocument/2006/relationships/hyperlink" Target="https://www.cettire.com/collections/corneliani" TargetMode="External"/><Relationship Id="rId3956" Type="http://schemas.openxmlformats.org/officeDocument/2006/relationships/hyperlink" Target="https://www.cettire.com/collections/max-mara-the-cube" TargetMode="External"/><Relationship Id="rId877" Type="http://schemas.openxmlformats.org/officeDocument/2006/relationships/hyperlink" Target="https://www.cettire.com/collections/isabel-marant-etoile" TargetMode="External"/><Relationship Id="rId2558" Type="http://schemas.openxmlformats.org/officeDocument/2006/relationships/hyperlink" Target="https://www.cettire.com/collections/citizens-of-humanity" TargetMode="External"/><Relationship Id="rId2765" Type="http://schemas.openxmlformats.org/officeDocument/2006/relationships/hyperlink" Target="https://www.cettire.com/collections/marcelo-burlon-county-of-milan" TargetMode="External"/><Relationship Id="rId2972" Type="http://schemas.openxmlformats.org/officeDocument/2006/relationships/hyperlink" Target="https://www.cettire.com/collections/the-north-face-kids" TargetMode="External"/><Relationship Id="rId3609" Type="http://schemas.openxmlformats.org/officeDocument/2006/relationships/hyperlink" Target="https://www.cettire.com/collections/adidas-by-human-made" TargetMode="External"/><Relationship Id="rId3816" Type="http://schemas.openxmlformats.org/officeDocument/2006/relationships/hyperlink" Target="https://www.cettire.com/collections/forte-dei-marmi-couture" TargetMode="External"/><Relationship Id="rId737" Type="http://schemas.openxmlformats.org/officeDocument/2006/relationships/hyperlink" Target="https://www.cettire.com/collections/chopova-lowena" TargetMode="External"/><Relationship Id="rId944" Type="http://schemas.openxmlformats.org/officeDocument/2006/relationships/hyperlink" Target="https://www.cettire.com/collections/manu-atelier" TargetMode="External"/><Relationship Id="rId1367" Type="http://schemas.openxmlformats.org/officeDocument/2006/relationships/hyperlink" Target="https://www.cettire.com/collections/craig-green" TargetMode="External"/><Relationship Id="rId1574" Type="http://schemas.openxmlformats.org/officeDocument/2006/relationships/hyperlink" Target="https://www.cettire.com/collections/michael-kors" TargetMode="External"/><Relationship Id="rId1781" Type="http://schemas.openxmlformats.org/officeDocument/2006/relationships/hyperlink" Target="https://www.cettire.com/collections/unravel-project" TargetMode="External"/><Relationship Id="rId2418" Type="http://schemas.openxmlformats.org/officeDocument/2006/relationships/hyperlink" Target="https://www.cettire.com/collections/z-zegna" TargetMode="External"/><Relationship Id="rId2625" Type="http://schemas.openxmlformats.org/officeDocument/2006/relationships/hyperlink" Target="https://www.cettire.com/collections/etre-cecile" TargetMode="External"/><Relationship Id="rId2832" Type="http://schemas.openxmlformats.org/officeDocument/2006/relationships/hyperlink" Target="https://www.cettire.com/collections/nicholas-kirkwood" TargetMode="External"/><Relationship Id="rId73" Type="http://schemas.openxmlformats.org/officeDocument/2006/relationships/hyperlink" Target="https://www.cettire.com/collections/bao-bao-issey-miyake" TargetMode="External"/><Relationship Id="rId804" Type="http://schemas.openxmlformats.org/officeDocument/2006/relationships/hyperlink" Target="https://www.cettire.com/collections/equipment" TargetMode="External"/><Relationship Id="rId1227" Type="http://schemas.openxmlformats.org/officeDocument/2006/relationships/hyperlink" Target="https://www.cettire.com/collections/adidas-by-pharrell-williams" TargetMode="External"/><Relationship Id="rId1434" Type="http://schemas.openxmlformats.org/officeDocument/2006/relationships/hyperlink" Target="https://www.cettire.com/collections/forte-forte" TargetMode="External"/><Relationship Id="rId1641" Type="http://schemas.openxmlformats.org/officeDocument/2006/relationships/hyperlink" Target="https://www.cettire.com/collections/palm-angels-kids" TargetMode="External"/><Relationship Id="rId4797" Type="http://schemas.openxmlformats.org/officeDocument/2006/relationships/hyperlink" Target="https://www.cettire.com/collections/visvim" TargetMode="External"/><Relationship Id="rId1501" Type="http://schemas.openxmlformats.org/officeDocument/2006/relationships/hyperlink" Target="https://www.cettire.com/collections/just-don" TargetMode="External"/><Relationship Id="rId3399" Type="http://schemas.openxmlformats.org/officeDocument/2006/relationships/hyperlink" Target="https://www.cettire.com/collections/n-21-kids" TargetMode="External"/><Relationship Id="rId4657" Type="http://schemas.openxmlformats.org/officeDocument/2006/relationships/hyperlink" Target="https://www.cettire.com/collections/plan-c" TargetMode="External"/><Relationship Id="rId3259" Type="http://schemas.openxmlformats.org/officeDocument/2006/relationships/hyperlink" Target="https://www.cettire.com/collections/haider-ackermann" TargetMode="External"/><Relationship Id="rId3466" Type="http://schemas.openxmlformats.org/officeDocument/2006/relationships/hyperlink" Target="https://www.cettire.com/collections/ray-ban" TargetMode="External"/><Relationship Id="rId4517" Type="http://schemas.openxmlformats.org/officeDocument/2006/relationships/hyperlink" Target="https://www.cettire.com/collections/la-stupenderia" TargetMode="External"/><Relationship Id="rId387" Type="http://schemas.openxmlformats.org/officeDocument/2006/relationships/hyperlink" Target="https://www.cettire.com/collections/montblanc" TargetMode="External"/><Relationship Id="rId594" Type="http://schemas.openxmlformats.org/officeDocument/2006/relationships/hyperlink" Target="https://www.cettire.com/collections/woolrich-kids" TargetMode="External"/><Relationship Id="rId2068" Type="http://schemas.openxmlformats.org/officeDocument/2006/relationships/hyperlink" Target="https://www.cettire.com/collections/helmut-lang" TargetMode="External"/><Relationship Id="rId2275" Type="http://schemas.openxmlformats.org/officeDocument/2006/relationships/hyperlink" Target="https://www.cettire.com/collections/pt05" TargetMode="External"/><Relationship Id="rId3119" Type="http://schemas.openxmlformats.org/officeDocument/2006/relationships/hyperlink" Target="https://www.cettire.com/collections/boyy" TargetMode="External"/><Relationship Id="rId3326" Type="http://schemas.openxmlformats.org/officeDocument/2006/relationships/hyperlink" Target="https://www.cettire.com/collections/liu-jo" TargetMode="External"/><Relationship Id="rId3673" Type="http://schemas.openxmlformats.org/officeDocument/2006/relationships/hyperlink" Target="https://www.cettire.com/collections/barrow" TargetMode="External"/><Relationship Id="rId3880" Type="http://schemas.openxmlformats.org/officeDocument/2006/relationships/hyperlink" Target="https://www.cettire.com/collections/john-smedley" TargetMode="External"/><Relationship Id="rId4724" Type="http://schemas.openxmlformats.org/officeDocument/2006/relationships/hyperlink" Target="https://www.cettire.com/collections/simon-miller" TargetMode="External"/><Relationship Id="rId247" Type="http://schemas.openxmlformats.org/officeDocument/2006/relationships/hyperlink" Target="https://www.cettire.com/collections/gucci-eyewear" TargetMode="External"/><Relationship Id="rId1084" Type="http://schemas.openxmlformats.org/officeDocument/2006/relationships/hyperlink" Target="https://www.cettire.com/collections/rene-caovilla" TargetMode="External"/><Relationship Id="rId2482" Type="http://schemas.openxmlformats.org/officeDocument/2006/relationships/hyperlink" Target="https://www.cettire.com/collections/ash" TargetMode="External"/><Relationship Id="rId3533" Type="http://schemas.openxmlformats.org/officeDocument/2006/relationships/hyperlink" Target="https://www.cettire.com/collections/ten-c" TargetMode="External"/><Relationship Id="rId3740" Type="http://schemas.openxmlformats.org/officeDocument/2006/relationships/hyperlink" Target="https://www.cettire.com/collections/comme-des-garcons-noir-kei-ninomiya" TargetMode="External"/><Relationship Id="rId107" Type="http://schemas.openxmlformats.org/officeDocument/2006/relationships/hyperlink" Target="https://www.cettire.com/collections/c-p-company" TargetMode="External"/><Relationship Id="rId454" Type="http://schemas.openxmlformats.org/officeDocument/2006/relationships/hyperlink" Target="https://www.cettire.com/collections/prada" TargetMode="External"/><Relationship Id="rId661" Type="http://schemas.openxmlformats.org/officeDocument/2006/relationships/hyperlink" Target="https://www.cettire.com/collections/arizona-love" TargetMode="External"/><Relationship Id="rId1291" Type="http://schemas.openxmlformats.org/officeDocument/2006/relationships/hyperlink" Target="https://www.cettire.com/collections/baum-und-pferdgarten" TargetMode="External"/><Relationship Id="rId2135" Type="http://schemas.openxmlformats.org/officeDocument/2006/relationships/hyperlink" Target="https://www.cettire.com/collections/liu-jo" TargetMode="External"/><Relationship Id="rId2342" Type="http://schemas.openxmlformats.org/officeDocument/2006/relationships/hyperlink" Target="https://www.cettire.com/collections/stella-mccartney-kids" TargetMode="External"/><Relationship Id="rId3600" Type="http://schemas.openxmlformats.org/officeDocument/2006/relationships/hyperlink" Target="https://www.cettire.com/collections/lvin-l-in-kids" TargetMode="External"/><Relationship Id="rId314" Type="http://schemas.openxmlformats.org/officeDocument/2006/relationships/hyperlink" Target="https://www.cettire.com/collections/le-kasha" TargetMode="External"/><Relationship Id="rId521" Type="http://schemas.openxmlformats.org/officeDocument/2006/relationships/hyperlink" Target="https://www.cettire.com/collections/spalwart" TargetMode="External"/><Relationship Id="rId1151" Type="http://schemas.openxmlformats.org/officeDocument/2006/relationships/hyperlink" Target="https://www.cettire.com/collections/the-north-face-black-series" TargetMode="External"/><Relationship Id="rId2202" Type="http://schemas.openxmlformats.org/officeDocument/2006/relationships/hyperlink" Target="https://www.cettire.com/collections/moschino" TargetMode="External"/><Relationship Id="rId1011" Type="http://schemas.openxmlformats.org/officeDocument/2006/relationships/hyperlink" Target="https://www.cettire.com/collections/new-york-industrie" TargetMode="External"/><Relationship Id="rId1968" Type="http://schemas.openxmlformats.org/officeDocument/2006/relationships/hyperlink" Target="https://www.cettire.com/collections/common-projects" TargetMode="External"/><Relationship Id="rId4167" Type="http://schemas.openxmlformats.org/officeDocument/2006/relationships/hyperlink" Target="https://www.cettire.com/collections/ultrachic" TargetMode="External"/><Relationship Id="rId4374" Type="http://schemas.openxmlformats.org/officeDocument/2006/relationships/hyperlink" Target="https://www.cettire.com/collections/diane-von-furstenberg" TargetMode="External"/><Relationship Id="rId4581" Type="http://schemas.openxmlformats.org/officeDocument/2006/relationships/hyperlink" Target="https://www.cettire.com/collections/missoni" TargetMode="External"/><Relationship Id="rId3183" Type="http://schemas.openxmlformats.org/officeDocument/2006/relationships/hyperlink" Target="https://www.cettire.com/collections/diemme" TargetMode="External"/><Relationship Id="rId3390" Type="http://schemas.openxmlformats.org/officeDocument/2006/relationships/hyperlink" Target="https://www.cettire.com/collections/moschino-eyewear" TargetMode="External"/><Relationship Id="rId4027" Type="http://schemas.openxmlformats.org/officeDocument/2006/relationships/hyperlink" Target="https://www.cettire.com/collections/paco-rabanne" TargetMode="External"/><Relationship Id="rId4234" Type="http://schemas.openxmlformats.org/officeDocument/2006/relationships/hyperlink" Target="https://www.cettire.com/collections/alaia" TargetMode="External"/><Relationship Id="rId4441" Type="http://schemas.openxmlformats.org/officeDocument/2006/relationships/hyperlink" Target="https://www.cettire.com/collections/gauge81" TargetMode="External"/><Relationship Id="rId1828" Type="http://schemas.openxmlformats.org/officeDocument/2006/relationships/hyperlink" Target="https://www.cettire.com/collections/a-w-a-k-e-mode" TargetMode="External"/><Relationship Id="rId3043" Type="http://schemas.openxmlformats.org/officeDocument/2006/relationships/hyperlink" Target="https://www.cettire.com/collections/abra" TargetMode="External"/><Relationship Id="rId3250" Type="http://schemas.openxmlformats.org/officeDocument/2006/relationships/hyperlink" Target="https://www.cettire.com/collections/givenchy-kids" TargetMode="External"/><Relationship Id="rId171" Type="http://schemas.openxmlformats.org/officeDocument/2006/relationships/hyperlink" Target="https://www.cettire.com/collections/diesel-red-tag" TargetMode="External"/><Relationship Id="rId4301" Type="http://schemas.openxmlformats.org/officeDocument/2006/relationships/hyperlink" Target="https://www.cettire.com/collections/boutique-moschino" TargetMode="External"/><Relationship Id="rId3110" Type="http://schemas.openxmlformats.org/officeDocument/2006/relationships/hyperlink" Target="https://www.cettire.com/collections/billionaire-boys-club" TargetMode="External"/><Relationship Id="rId988" Type="http://schemas.openxmlformats.org/officeDocument/2006/relationships/hyperlink" Target="https://www.cettire.com/collections/moncler-grenoble" TargetMode="External"/><Relationship Id="rId2669" Type="http://schemas.openxmlformats.org/officeDocument/2006/relationships/hyperlink" Target="https://www.cettire.com/collections/gucci-kids" TargetMode="External"/><Relationship Id="rId2876" Type="http://schemas.openxmlformats.org/officeDocument/2006/relationships/hyperlink" Target="https://www.cettire.com/collections/ports-1961" TargetMode="External"/><Relationship Id="rId3927" Type="http://schemas.openxmlformats.org/officeDocument/2006/relationships/hyperlink" Target="https://www.cettire.com/collections/maisie-wilen" TargetMode="External"/><Relationship Id="rId848" Type="http://schemas.openxmlformats.org/officeDocument/2006/relationships/hyperlink" Target="https://www.cettire.com/collections/greg-lauren" TargetMode="External"/><Relationship Id="rId1478" Type="http://schemas.openxmlformats.org/officeDocument/2006/relationships/hyperlink" Target="https://www.cettire.com/collections/il-bisonte" TargetMode="External"/><Relationship Id="rId1685" Type="http://schemas.openxmlformats.org/officeDocument/2006/relationships/hyperlink" Target="https://www.cettire.com/collections/red-wing-shoes" TargetMode="External"/><Relationship Id="rId1892" Type="http://schemas.openxmlformats.org/officeDocument/2006/relationships/hyperlink" Target="https://www.cettire.com/collections/barba" TargetMode="External"/><Relationship Id="rId2529" Type="http://schemas.openxmlformats.org/officeDocument/2006/relationships/hyperlink" Target="https://www.cettire.com/collections/c-p-company" TargetMode="External"/><Relationship Id="rId2736" Type="http://schemas.openxmlformats.org/officeDocument/2006/relationships/hyperlink" Target="https://www.cettire.com/collections/le-kasha" TargetMode="External"/><Relationship Id="rId4091" Type="http://schemas.openxmlformats.org/officeDocument/2006/relationships/hyperlink" Target="https://www.cettire.com/collections/rombaut" TargetMode="External"/><Relationship Id="rId708" Type="http://schemas.openxmlformats.org/officeDocument/2006/relationships/hyperlink" Target="https://www.cettire.com/collections/buscemi" TargetMode="External"/><Relationship Id="rId915" Type="http://schemas.openxmlformats.org/officeDocument/2006/relationships/hyperlink" Target="https://www.cettire.com/collections/lanvin-enfant" TargetMode="External"/><Relationship Id="rId1338" Type="http://schemas.openxmlformats.org/officeDocument/2006/relationships/hyperlink" Target="https://www.cettire.com/collections/chiara-ferragni-kids" TargetMode="External"/><Relationship Id="rId1545" Type="http://schemas.openxmlformats.org/officeDocument/2006/relationships/hyperlink" Target="https://www.cettire.com/collections/malone-souliers" TargetMode="External"/><Relationship Id="rId2943" Type="http://schemas.openxmlformats.org/officeDocument/2006/relationships/hyperlink" Target="https://www.cettire.com/collections/sofie-dhoore" TargetMode="External"/><Relationship Id="rId1405" Type="http://schemas.openxmlformats.org/officeDocument/2006/relationships/hyperlink" Target="https://www.cettire.com/collections/emilio-pucci-junior" TargetMode="External"/><Relationship Id="rId1752" Type="http://schemas.openxmlformats.org/officeDocument/2006/relationships/hyperlink" Target="https://www.cettire.com/collections/ten-c" TargetMode="External"/><Relationship Id="rId2803" Type="http://schemas.openxmlformats.org/officeDocument/2006/relationships/hyperlink" Target="https://www.cettire.com/collections/moncler-enfant" TargetMode="External"/><Relationship Id="rId44" Type="http://schemas.openxmlformats.org/officeDocument/2006/relationships/hyperlink" Target="https://www.cettire.com/collections/amiri" TargetMode="External"/><Relationship Id="rId1612" Type="http://schemas.openxmlformats.org/officeDocument/2006/relationships/hyperlink" Target="https://www.cettire.com/collections/natasha-zinko" TargetMode="External"/><Relationship Id="rId4768" Type="http://schemas.openxmlformats.org/officeDocument/2006/relationships/hyperlink" Target="https://www.cettire.com/collections/tory-burch" TargetMode="External"/><Relationship Id="rId498" Type="http://schemas.openxmlformats.org/officeDocument/2006/relationships/hyperlink" Target="https://www.cettire.com/collections/sacai" TargetMode="External"/><Relationship Id="rId2179" Type="http://schemas.openxmlformats.org/officeDocument/2006/relationships/hyperlink" Target="https://www.cettire.com/collections/michael-kors-collection" TargetMode="External"/><Relationship Id="rId3577" Type="http://schemas.openxmlformats.org/officeDocument/2006/relationships/hyperlink" Target="https://www.cettire.com/collections/wales-bonner" TargetMode="External"/><Relationship Id="rId3784" Type="http://schemas.openxmlformats.org/officeDocument/2006/relationships/hyperlink" Target="https://www.cettire.com/collections/edward-green" TargetMode="External"/><Relationship Id="rId3991" Type="http://schemas.openxmlformats.org/officeDocument/2006/relationships/hyperlink" Target="https://www.cettire.com/collections/msgm-kids" TargetMode="External"/><Relationship Id="rId4628" Type="http://schemas.openxmlformats.org/officeDocument/2006/relationships/hyperlink" Target="https://www.cettire.com/collections/oamc" TargetMode="External"/><Relationship Id="rId2386" Type="http://schemas.openxmlformats.org/officeDocument/2006/relationships/hyperlink" Target="https://www.cettire.com/collections/valentino" TargetMode="External"/><Relationship Id="rId2593" Type="http://schemas.openxmlformats.org/officeDocument/2006/relationships/hyperlink" Target="https://www.cettire.com/collections/diesel-red-tag" TargetMode="External"/><Relationship Id="rId3437" Type="http://schemas.openxmlformats.org/officeDocument/2006/relationships/hyperlink" Target="https://www.cettire.com/collections/philippe-model" TargetMode="External"/><Relationship Id="rId3644" Type="http://schemas.openxmlformats.org/officeDocument/2006/relationships/hyperlink" Target="https://www.cettire.com/collections/antonino-valenti" TargetMode="External"/><Relationship Id="rId3851" Type="http://schemas.openxmlformats.org/officeDocument/2006/relationships/hyperlink" Target="https://www.cettire.com/collections/herschel-supply-co" TargetMode="External"/><Relationship Id="rId358" Type="http://schemas.openxmlformats.org/officeDocument/2006/relationships/hyperlink" Target="https://www.cettire.com/collections/max-mara-atelier" TargetMode="External"/><Relationship Id="rId565" Type="http://schemas.openxmlformats.org/officeDocument/2006/relationships/hyperlink" Target="https://www.cettire.com/collections/ugg-kids" TargetMode="External"/><Relationship Id="rId772" Type="http://schemas.openxmlformats.org/officeDocument/2006/relationships/hyperlink" Target="https://www.cettire.com/collections/diesel" TargetMode="External"/><Relationship Id="rId1195" Type="http://schemas.openxmlformats.org/officeDocument/2006/relationships/hyperlink" Target="https://www.cettire.com/collections/weekend-max-mara" TargetMode="External"/><Relationship Id="rId2039" Type="http://schemas.openxmlformats.org/officeDocument/2006/relationships/hyperlink" Target="https://www.cettire.com/collections/forte-dei-marmi-couture" TargetMode="External"/><Relationship Id="rId2246" Type="http://schemas.openxmlformats.org/officeDocument/2006/relationships/hyperlink" Target="https://www.cettire.com/collections/paraboot" TargetMode="External"/><Relationship Id="rId2453" Type="http://schemas.openxmlformats.org/officeDocument/2006/relationships/hyperlink" Target="https://www.cettire.com/collections/alberta-ferretti-kids" TargetMode="External"/><Relationship Id="rId2660" Type="http://schemas.openxmlformats.org/officeDocument/2006/relationships/hyperlink" Target="https://www.cettire.com/collections/givenchy" TargetMode="External"/><Relationship Id="rId3504" Type="http://schemas.openxmlformats.org/officeDocument/2006/relationships/hyperlink" Target="https://www.cettire.com/collections/self-portrait" TargetMode="External"/><Relationship Id="rId3711" Type="http://schemas.openxmlformats.org/officeDocument/2006/relationships/hyperlink" Target="https://www.cettire.com/collections/carhartt-wip" TargetMode="External"/><Relationship Id="rId218" Type="http://schemas.openxmlformats.org/officeDocument/2006/relationships/hyperlink" Target="https://www.cettire.com/collections/fenty-x-puma" TargetMode="External"/><Relationship Id="rId425" Type="http://schemas.openxmlformats.org/officeDocument/2006/relationships/hyperlink" Target="https://www.cettire.com/collections/opening-ceremony" TargetMode="External"/><Relationship Id="rId632" Type="http://schemas.openxmlformats.org/officeDocument/2006/relationships/hyperlink" Target="https://www.cettire.com/collections/agolde" TargetMode="External"/><Relationship Id="rId1055" Type="http://schemas.openxmlformats.org/officeDocument/2006/relationships/hyperlink" Target="https://www.cettire.com/collections/porter-yoshida-co" TargetMode="External"/><Relationship Id="rId1262" Type="http://schemas.openxmlformats.org/officeDocument/2006/relationships/hyperlink" Target="https://www.cettire.com/collections/anya-hindmarch" TargetMode="External"/><Relationship Id="rId2106" Type="http://schemas.openxmlformats.org/officeDocument/2006/relationships/hyperlink" Target="https://www.cettire.com/collections/just-don" TargetMode="External"/><Relationship Id="rId2313" Type="http://schemas.openxmlformats.org/officeDocument/2006/relationships/hyperlink" Target="https://www.cettire.com/collections/saint-laurent" TargetMode="External"/><Relationship Id="rId2520" Type="http://schemas.openxmlformats.org/officeDocument/2006/relationships/hyperlink" Target="https://www.cettire.com/collections/brunello-cucinelli-kids" TargetMode="External"/><Relationship Id="rId1122" Type="http://schemas.openxmlformats.org/officeDocument/2006/relationships/hyperlink" Target="https://www.cettire.com/collections/simonetta" TargetMode="External"/><Relationship Id="rId4278" Type="http://schemas.openxmlformats.org/officeDocument/2006/relationships/hyperlink" Target="https://www.cettire.com/collections/bally" TargetMode="External"/><Relationship Id="rId4485" Type="http://schemas.openxmlformats.org/officeDocument/2006/relationships/hyperlink" Target="https://www.cettire.com/collections/j-brand" TargetMode="External"/><Relationship Id="rId3087" Type="http://schemas.openxmlformats.org/officeDocument/2006/relationships/hyperlink" Target="https://www.cettire.com/collections/art-dealer" TargetMode="External"/><Relationship Id="rId3294" Type="http://schemas.openxmlformats.org/officeDocument/2006/relationships/hyperlink" Target="https://www.cettire.com/collections/just-don" TargetMode="External"/><Relationship Id="rId4138" Type="http://schemas.openxmlformats.org/officeDocument/2006/relationships/hyperlink" Target="https://www.cettire.com/collections/tartine-et-chocolat" TargetMode="External"/><Relationship Id="rId4345" Type="http://schemas.openxmlformats.org/officeDocument/2006/relationships/hyperlink" Target="https://www.cettire.com/collections/co" TargetMode="External"/><Relationship Id="rId4692" Type="http://schemas.openxmlformats.org/officeDocument/2006/relationships/hyperlink" Target="https://www.cettire.com/collections/rhude" TargetMode="External"/><Relationship Id="rId1939" Type="http://schemas.openxmlformats.org/officeDocument/2006/relationships/hyperlink" Target="https://www.cettire.com/collections/cc-collection-corneliani" TargetMode="External"/><Relationship Id="rId4552" Type="http://schemas.openxmlformats.org/officeDocument/2006/relationships/hyperlink" Target="https://www.cettire.com/collections/marc-jacobs-eyewear" TargetMode="External"/><Relationship Id="rId3154" Type="http://schemas.openxmlformats.org/officeDocument/2006/relationships/hyperlink" Target="https://www.cettire.com/collections/churchs" TargetMode="External"/><Relationship Id="rId3361" Type="http://schemas.openxmlformats.org/officeDocument/2006/relationships/hyperlink" Target="https://www.cettire.com/collections/max-mara-pianoforte" TargetMode="External"/><Relationship Id="rId4205" Type="http://schemas.openxmlformats.org/officeDocument/2006/relationships/hyperlink" Target="https://www.cettire.com/collections/zadig-voltaire-kids" TargetMode="External"/><Relationship Id="rId4412" Type="http://schemas.openxmlformats.org/officeDocument/2006/relationships/hyperlink" Target="https://www.cettire.com/collections/etro" TargetMode="External"/><Relationship Id="rId282" Type="http://schemas.openxmlformats.org/officeDocument/2006/relationships/hyperlink" Target="https://www.cettire.com/collections/jil-sander" TargetMode="External"/><Relationship Id="rId2170" Type="http://schemas.openxmlformats.org/officeDocument/2006/relationships/hyperlink" Target="https://www.cettire.com/collections/max-mara" TargetMode="External"/><Relationship Id="rId3014" Type="http://schemas.openxmlformats.org/officeDocument/2006/relationships/hyperlink" Target="https://www.cettire.com/collections/wandler" TargetMode="External"/><Relationship Id="rId3221" Type="http://schemas.openxmlformats.org/officeDocument/2006/relationships/hyperlink" Target="https://www.cettire.com/collections/eytys" TargetMode="External"/><Relationship Id="rId8" Type="http://schemas.openxmlformats.org/officeDocument/2006/relationships/hyperlink" Target="https://www.cettire.com/collections/a-cold-wall" TargetMode="External"/><Relationship Id="rId142" Type="http://schemas.openxmlformats.org/officeDocument/2006/relationships/hyperlink" Target="https://www.cettire.com/collections/comme-des-garcons" TargetMode="External"/><Relationship Id="rId2030" Type="http://schemas.openxmlformats.org/officeDocument/2006/relationships/hyperlink" Target="https://www.cettire.com/collections/fear-of-god" TargetMode="External"/><Relationship Id="rId2987" Type="http://schemas.openxmlformats.org/officeDocument/2006/relationships/hyperlink" Target="https://www.cettire.com/collections/twinset-kids" TargetMode="External"/><Relationship Id="rId959" Type="http://schemas.openxmlformats.org/officeDocument/2006/relationships/hyperlink" Target="https://www.cettire.com/collections/maurizio-miri" TargetMode="External"/><Relationship Id="rId1589" Type="http://schemas.openxmlformats.org/officeDocument/2006/relationships/hyperlink" Target="https://www.cettire.com/collections/moncler-rick-owens" TargetMode="External"/><Relationship Id="rId1449" Type="http://schemas.openxmlformats.org/officeDocument/2006/relationships/hyperlink" Target="https://www.cettire.com/collections/givenchy" TargetMode="External"/><Relationship Id="rId1796" Type="http://schemas.openxmlformats.org/officeDocument/2006/relationships/hyperlink" Target="https://www.cettire.com/collections/vision-of-super-kids" TargetMode="External"/><Relationship Id="rId2847" Type="http://schemas.openxmlformats.org/officeDocument/2006/relationships/hyperlink" Target="https://www.cettire.com/collections/opening-ceremony" TargetMode="External"/><Relationship Id="rId4062" Type="http://schemas.openxmlformats.org/officeDocument/2006/relationships/hyperlink" Target="https://www.cettire.com/collections/raf-simons" TargetMode="External"/><Relationship Id="rId88" Type="http://schemas.openxmlformats.org/officeDocument/2006/relationships/hyperlink" Target="https://www.cettire.com/collections/bode" TargetMode="External"/><Relationship Id="rId819" Type="http://schemas.openxmlformats.org/officeDocument/2006/relationships/hyperlink" Target="https://www.cettire.com/collections/fendi-eyewear" TargetMode="External"/><Relationship Id="rId1656" Type="http://schemas.openxmlformats.org/officeDocument/2006/relationships/hyperlink" Target="https://www.cettire.com/collections/pinko" TargetMode="External"/><Relationship Id="rId1863" Type="http://schemas.openxmlformats.org/officeDocument/2006/relationships/hyperlink" Target="https://www.cettire.com/collections/ancient-greek-sandals" TargetMode="External"/><Relationship Id="rId2707" Type="http://schemas.openxmlformats.org/officeDocument/2006/relationships/hyperlink" Target="https://www.cettire.com/collections/john-smedley" TargetMode="External"/><Relationship Id="rId2914" Type="http://schemas.openxmlformats.org/officeDocument/2006/relationships/hyperlink" Target="https://www.cettire.com/collections/robert-clergerie" TargetMode="External"/><Relationship Id="rId1309" Type="http://schemas.openxmlformats.org/officeDocument/2006/relationships/hyperlink" Target="https://www.cettire.com/collections/brunello-cucinelli-kids" TargetMode="External"/><Relationship Id="rId1516" Type="http://schemas.openxmlformats.org/officeDocument/2006/relationships/hyperlink" Target="https://www.cettire.com/collections/l-b-m-1911" TargetMode="External"/><Relationship Id="rId1723" Type="http://schemas.openxmlformats.org/officeDocument/2006/relationships/hyperlink" Target="https://www.cettire.com/collections/sergio-rossi" TargetMode="External"/><Relationship Id="rId1930" Type="http://schemas.openxmlformats.org/officeDocument/2006/relationships/hyperlink" Target="https://www.cettire.com/collections/canada-goose-kids" TargetMode="External"/><Relationship Id="rId15" Type="http://schemas.openxmlformats.org/officeDocument/2006/relationships/hyperlink" Target="https://www.cettire.com/collections/adidas-by-human-made" TargetMode="External"/><Relationship Id="rId3688" Type="http://schemas.openxmlformats.org/officeDocument/2006/relationships/hyperlink" Target="https://www.cettire.com/collections/boutique-moschino" TargetMode="External"/><Relationship Id="rId3895" Type="http://schemas.openxmlformats.org/officeDocument/2006/relationships/hyperlink" Target="https://www.cettire.com/collections/khaite" TargetMode="External"/><Relationship Id="rId4739" Type="http://schemas.openxmlformats.org/officeDocument/2006/relationships/hyperlink" Target="https://www.cettire.com/collections/stone-island-shadow-project" TargetMode="External"/><Relationship Id="rId2497" Type="http://schemas.openxmlformats.org/officeDocument/2006/relationships/hyperlink" Target="https://www.cettire.com/collections/barba" TargetMode="External"/><Relationship Id="rId3548" Type="http://schemas.openxmlformats.org/officeDocument/2006/relationships/hyperlink" Target="https://www.cettire.com/collections/toteme" TargetMode="External"/><Relationship Id="rId3755" Type="http://schemas.openxmlformats.org/officeDocument/2006/relationships/hyperlink" Target="https://www.cettire.com/collections/daily-paper" TargetMode="External"/><Relationship Id="rId4806" Type="http://schemas.openxmlformats.org/officeDocument/2006/relationships/hyperlink" Target="https://www.cettire.com/collections/woolrich-x-griffin" TargetMode="External"/><Relationship Id="rId469" Type="http://schemas.openxmlformats.org/officeDocument/2006/relationships/hyperlink" Target="https://www.cettire.com/collections/rave-review" TargetMode="External"/><Relationship Id="rId676" Type="http://schemas.openxmlformats.org/officeDocument/2006/relationships/hyperlink" Target="https://www.cettire.com/collections/balmain" TargetMode="External"/><Relationship Id="rId883" Type="http://schemas.openxmlformats.org/officeDocument/2006/relationships/hyperlink" Target="https://www.cettire.com/collections/jacques-marie-mage" TargetMode="External"/><Relationship Id="rId1099" Type="http://schemas.openxmlformats.org/officeDocument/2006/relationships/hyperlink" Target="https://www.cettire.com/collections/rosantica" TargetMode="External"/><Relationship Id="rId2357" Type="http://schemas.openxmlformats.org/officeDocument/2006/relationships/hyperlink" Target="https://www.cettire.com/collections/the-attico" TargetMode="External"/><Relationship Id="rId2564" Type="http://schemas.openxmlformats.org/officeDocument/2006/relationships/hyperlink" Target="https://www.cettire.com/collections/comme-des-garcons-comme-des-garcons" TargetMode="External"/><Relationship Id="rId3408" Type="http://schemas.openxmlformats.org/officeDocument/2006/relationships/hyperlink" Target="https://www.cettire.com/collections/nicholas-kirkwood" TargetMode="External"/><Relationship Id="rId3615" Type="http://schemas.openxmlformats.org/officeDocument/2006/relationships/hyperlink" Target="https://www.cettire.com/collections/adidas-originals" TargetMode="External"/><Relationship Id="rId3962" Type="http://schemas.openxmlformats.org/officeDocument/2006/relationships/hyperlink" Target="https://www.cettire.com/collections/michael-kors-collection" TargetMode="External"/><Relationship Id="rId329" Type="http://schemas.openxmlformats.org/officeDocument/2006/relationships/hyperlink" Target="https://www.cettire.com/collections/mackintosh" TargetMode="External"/><Relationship Id="rId536" Type="http://schemas.openxmlformats.org/officeDocument/2006/relationships/hyperlink" Target="https://www.cettire.com/collections/sunflower" TargetMode="External"/><Relationship Id="rId1166" Type="http://schemas.openxmlformats.org/officeDocument/2006/relationships/hyperlink" Target="https://www.cettire.com/collections/twinset" TargetMode="External"/><Relationship Id="rId1373" Type="http://schemas.openxmlformats.org/officeDocument/2006/relationships/hyperlink" Target="https://www.cettire.com/collections/department-5" TargetMode="External"/><Relationship Id="rId2217" Type="http://schemas.openxmlformats.org/officeDocument/2006/relationships/hyperlink" Target="https://www.cettire.com/collections/needles" TargetMode="External"/><Relationship Id="rId2771" Type="http://schemas.openxmlformats.org/officeDocument/2006/relationships/hyperlink" Target="https://www.cettire.com/collections/marquesalmeida" TargetMode="External"/><Relationship Id="rId3822" Type="http://schemas.openxmlformats.org/officeDocument/2006/relationships/hyperlink" Target="https://www.cettire.com/collections/furla" TargetMode="External"/><Relationship Id="rId743" Type="http://schemas.openxmlformats.org/officeDocument/2006/relationships/hyperlink" Target="https://www.cettire.com/collections/coach" TargetMode="External"/><Relationship Id="rId950" Type="http://schemas.openxmlformats.org/officeDocument/2006/relationships/hyperlink" Target="https://www.cettire.com/collections/marni" TargetMode="External"/><Relationship Id="rId1026" Type="http://schemas.openxmlformats.org/officeDocument/2006/relationships/hyperlink" Target="https://www.cettire.com/collections/oliver-peoples" TargetMode="External"/><Relationship Id="rId1580" Type="http://schemas.openxmlformats.org/officeDocument/2006/relationships/hyperlink" Target="https://www.cettire.com/collections/missoni" TargetMode="External"/><Relationship Id="rId2424" Type="http://schemas.openxmlformats.org/officeDocument/2006/relationships/hyperlink" Target="https://www.cettire.com/collections/1017-alyx-9sm" TargetMode="External"/><Relationship Id="rId2631" Type="http://schemas.openxmlformats.org/officeDocument/2006/relationships/hyperlink" Target="https://www.cettire.com/collections/fabiana-filippi" TargetMode="External"/><Relationship Id="rId4389" Type="http://schemas.openxmlformats.org/officeDocument/2006/relationships/hyperlink" Target="https://www.cettire.com/collections/drole-de-monsieur" TargetMode="External"/><Relationship Id="rId603" Type="http://schemas.openxmlformats.org/officeDocument/2006/relationships/hyperlink" Target="https://www.cettire.com/collections/z-zegna" TargetMode="External"/><Relationship Id="rId810" Type="http://schemas.openxmlformats.org/officeDocument/2006/relationships/hyperlink" Target="https://www.cettire.com/collections/eyevan-7285" TargetMode="External"/><Relationship Id="rId1233" Type="http://schemas.openxmlformats.org/officeDocument/2006/relationships/hyperlink" Target="https://www.cettire.com/collections/adidas-originals-by-alexander-wang" TargetMode="External"/><Relationship Id="rId1440" Type="http://schemas.openxmlformats.org/officeDocument/2006/relationships/hyperlink" Target="https://www.cettire.com/collections/gabriela-hearst" TargetMode="External"/><Relationship Id="rId4596" Type="http://schemas.openxmlformats.org/officeDocument/2006/relationships/hyperlink" Target="https://www.cettire.com/collections/montblanc" TargetMode="External"/><Relationship Id="rId1300" Type="http://schemas.openxmlformats.org/officeDocument/2006/relationships/hyperlink" Target="https://www.cettire.com/collections/boglioli" TargetMode="External"/><Relationship Id="rId3198" Type="http://schemas.openxmlformats.org/officeDocument/2006/relationships/hyperlink" Target="https://www.cettire.com/collections/dsquared2" TargetMode="External"/><Relationship Id="rId4249" Type="http://schemas.openxmlformats.org/officeDocument/2006/relationships/hyperlink" Target="https://www.cettire.com/collections/ami" TargetMode="External"/><Relationship Id="rId4456" Type="http://schemas.openxmlformats.org/officeDocument/2006/relationships/hyperlink" Target="https://www.cettire.com/collections/gucci-eyewear" TargetMode="External"/><Relationship Id="rId4663" Type="http://schemas.openxmlformats.org/officeDocument/2006/relationships/hyperlink" Target="https://www.cettire.com/collections/prada-eyewear" TargetMode="External"/><Relationship Id="rId3058" Type="http://schemas.openxmlformats.org/officeDocument/2006/relationships/hyperlink" Target="https://www.cettire.com/collections/agolde" TargetMode="External"/><Relationship Id="rId3265" Type="http://schemas.openxmlformats.org/officeDocument/2006/relationships/hyperlink" Target="https://www.cettire.com/collections/heron-preston" TargetMode="External"/><Relationship Id="rId3472" Type="http://schemas.openxmlformats.org/officeDocument/2006/relationships/hyperlink" Target="https://www.cettire.com/collections/reebok" TargetMode="External"/><Relationship Id="rId4109" Type="http://schemas.openxmlformats.org/officeDocument/2006/relationships/hyperlink" Target="https://www.cettire.com/collections/self-portrait" TargetMode="External"/><Relationship Id="rId4316" Type="http://schemas.openxmlformats.org/officeDocument/2006/relationships/hyperlink" Target="https://www.cettire.com/collections/c2h4" TargetMode="External"/><Relationship Id="rId4523" Type="http://schemas.openxmlformats.org/officeDocument/2006/relationships/hyperlink" Target="https://www.cettire.com/collections/le-kasha" TargetMode="External"/><Relationship Id="rId4730" Type="http://schemas.openxmlformats.org/officeDocument/2006/relationships/hyperlink" Target="https://www.cettire.com/collections/sportmax" TargetMode="External"/><Relationship Id="rId186" Type="http://schemas.openxmlformats.org/officeDocument/2006/relationships/hyperlink" Target="https://www.cettire.com/collections/duvetica" TargetMode="External"/><Relationship Id="rId393" Type="http://schemas.openxmlformats.org/officeDocument/2006/relationships/hyperlink" Target="https://www.cettire.com/collections/mother" TargetMode="External"/><Relationship Id="rId2074" Type="http://schemas.openxmlformats.org/officeDocument/2006/relationships/hyperlink" Target="https://www.cettire.com/collections/hogan" TargetMode="External"/><Relationship Id="rId2281" Type="http://schemas.openxmlformats.org/officeDocument/2006/relationships/hyperlink" Target="https://www.cettire.com/collections/ralph-lauren" TargetMode="External"/><Relationship Id="rId3125" Type="http://schemas.openxmlformats.org/officeDocument/2006/relationships/hyperlink" Target="https://www.cettire.com/collections/burberry-kids" TargetMode="External"/><Relationship Id="rId3332" Type="http://schemas.openxmlformats.org/officeDocument/2006/relationships/hyperlink" Target="https://www.cettire.com/collections/low-classic" TargetMode="External"/><Relationship Id="rId253" Type="http://schemas.openxmlformats.org/officeDocument/2006/relationships/hyperlink" Target="https://www.cettire.com/collections/hereu" TargetMode="External"/><Relationship Id="rId460" Type="http://schemas.openxmlformats.org/officeDocument/2006/relationships/hyperlink" Target="https://www.cettire.com/collections/pt-torino" TargetMode="External"/><Relationship Id="rId1090" Type="http://schemas.openxmlformats.org/officeDocument/2006/relationships/hyperlink" Target="https://www.cettire.com/collections/rick-owens-lilies" TargetMode="External"/><Relationship Id="rId2141" Type="http://schemas.openxmlformats.org/officeDocument/2006/relationships/hyperlink" Target="https://www.cettire.com/collections/low-classic" TargetMode="External"/><Relationship Id="rId113" Type="http://schemas.openxmlformats.org/officeDocument/2006/relationships/hyperlink" Target="https://www.cettire.com/collections/canada-goose-kids" TargetMode="External"/><Relationship Id="rId320" Type="http://schemas.openxmlformats.org/officeDocument/2006/relationships/hyperlink" Target="https://www.cettire.com/collections/lisa-marie-fernandez" TargetMode="External"/><Relationship Id="rId2001" Type="http://schemas.openxmlformats.org/officeDocument/2006/relationships/hyperlink" Target="https://www.cettire.com/collections/dsquared2-kids" TargetMode="External"/><Relationship Id="rId2958" Type="http://schemas.openxmlformats.org/officeDocument/2006/relationships/hyperlink" Target="https://www.cettire.com/collections/stussy" TargetMode="External"/><Relationship Id="rId1767" Type="http://schemas.openxmlformats.org/officeDocument/2006/relationships/hyperlink" Target="https://www.cettire.com/collections/tommy-hilfiger" TargetMode="External"/><Relationship Id="rId1974" Type="http://schemas.openxmlformats.org/officeDocument/2006/relationships/hyperlink" Target="https://www.cettire.com/collections/cult-gaia" TargetMode="External"/><Relationship Id="rId2818" Type="http://schemas.openxmlformats.org/officeDocument/2006/relationships/hyperlink" Target="https://www.cettire.com/collections/mulberry" TargetMode="External"/><Relationship Id="rId4173" Type="http://schemas.openxmlformats.org/officeDocument/2006/relationships/hyperlink" Target="https://www.cettire.com/collections/valextra" TargetMode="External"/><Relationship Id="rId4380" Type="http://schemas.openxmlformats.org/officeDocument/2006/relationships/hyperlink" Target="https://www.cettire.com/collections/dior-eyewear" TargetMode="External"/><Relationship Id="rId59" Type="http://schemas.openxmlformats.org/officeDocument/2006/relationships/hyperlink" Target="https://www.cettire.com/collections/ash" TargetMode="External"/><Relationship Id="rId1627" Type="http://schemas.openxmlformats.org/officeDocument/2006/relationships/hyperlink" Target="https://www.cettire.com/collections/oakley" TargetMode="External"/><Relationship Id="rId1834" Type="http://schemas.openxmlformats.org/officeDocument/2006/relationships/hyperlink" Target="https://www.cettire.com/collections/adidas-by-pharrell-williams" TargetMode="External"/><Relationship Id="rId4033" Type="http://schemas.openxmlformats.org/officeDocument/2006/relationships/hyperlink" Target="https://www.cettire.com/collections/paul-smith" TargetMode="External"/><Relationship Id="rId4240" Type="http://schemas.openxmlformats.org/officeDocument/2006/relationships/hyperlink" Target="https://www.cettire.com/collections/alexander-mcqueen" TargetMode="External"/><Relationship Id="rId3799" Type="http://schemas.openxmlformats.org/officeDocument/2006/relationships/hyperlink" Target="https://www.cettire.com/collections/eudon-choi" TargetMode="External"/><Relationship Id="rId4100" Type="http://schemas.openxmlformats.org/officeDocument/2006/relationships/hyperlink" Target="https://www.cettire.com/collections/saloni" TargetMode="External"/><Relationship Id="rId1901" Type="http://schemas.openxmlformats.org/officeDocument/2006/relationships/hyperlink" Target="https://www.cettire.com/collections/billionaire" TargetMode="External"/><Relationship Id="rId3659" Type="http://schemas.openxmlformats.org/officeDocument/2006/relationships/hyperlink" Target="https://www.cettire.com/collections/axel-arigato" TargetMode="External"/><Relationship Id="rId3866" Type="http://schemas.openxmlformats.org/officeDocument/2006/relationships/hyperlink" Target="https://www.cettire.com/collections/isabel-marant-etoile" TargetMode="External"/><Relationship Id="rId787" Type="http://schemas.openxmlformats.org/officeDocument/2006/relationships/hyperlink" Target="https://www.cettire.com/collections/dsquared2" TargetMode="External"/><Relationship Id="rId994" Type="http://schemas.openxmlformats.org/officeDocument/2006/relationships/hyperlink" Target="https://www.cettire.com/collections/moschino-kids" TargetMode="External"/><Relationship Id="rId2468" Type="http://schemas.openxmlformats.org/officeDocument/2006/relationships/hyperlink" Target="https://www.cettire.com/collections/ancient-greek-sandals" TargetMode="External"/><Relationship Id="rId2675" Type="http://schemas.openxmlformats.org/officeDocument/2006/relationships/hyperlink" Target="https://www.cettire.com/collections/herno" TargetMode="External"/><Relationship Id="rId2882" Type="http://schemas.openxmlformats.org/officeDocument/2006/relationships/hyperlink" Target="https://www.cettire.com/collections/proenza-schouler-white-label" TargetMode="External"/><Relationship Id="rId3519" Type="http://schemas.openxmlformats.org/officeDocument/2006/relationships/hyperlink" Target="https://www.cettire.com/collections/stella-mccartney-kids" TargetMode="External"/><Relationship Id="rId3726" Type="http://schemas.openxmlformats.org/officeDocument/2006/relationships/hyperlink" Target="https://www.cettire.com/collections/chlo%C3%A9%20kids" TargetMode="External"/><Relationship Id="rId3933" Type="http://schemas.openxmlformats.org/officeDocument/2006/relationships/hyperlink" Target="https://www.cettire.com/collections/manokhi" TargetMode="External"/><Relationship Id="rId647" Type="http://schemas.openxmlformats.org/officeDocument/2006/relationships/hyperlink" Target="https://www.cettire.com/collections/amen" TargetMode="External"/><Relationship Id="rId854" Type="http://schemas.openxmlformats.org/officeDocument/2006/relationships/hyperlink" Target="https://www.cettire.com/collections/haider-ackermann" TargetMode="External"/><Relationship Id="rId1277" Type="http://schemas.openxmlformats.org/officeDocument/2006/relationships/hyperlink" Target="https://www.cettire.com/collections/axel-arigato" TargetMode="External"/><Relationship Id="rId1484" Type="http://schemas.openxmlformats.org/officeDocument/2006/relationships/hyperlink" Target="https://www.cettire.com/collections/isaia" TargetMode="External"/><Relationship Id="rId1691" Type="http://schemas.openxmlformats.org/officeDocument/2006/relationships/hyperlink" Target="https://www.cettire.com/collections/represent" TargetMode="External"/><Relationship Id="rId2328" Type="http://schemas.openxmlformats.org/officeDocument/2006/relationships/hyperlink" Target="https://www.cettire.com/collections/si-rossi" TargetMode="External"/><Relationship Id="rId2535" Type="http://schemas.openxmlformats.org/officeDocument/2006/relationships/hyperlink" Target="https://www.cettire.com/collections/canada-goose-kids" TargetMode="External"/><Relationship Id="rId2742" Type="http://schemas.openxmlformats.org/officeDocument/2006/relationships/hyperlink" Target="https://www.cettire.com/collections/lisa-marie-fernandez" TargetMode="External"/><Relationship Id="rId507" Type="http://schemas.openxmlformats.org/officeDocument/2006/relationships/hyperlink" Target="https://www.cettire.com/collections/santoni" TargetMode="External"/><Relationship Id="rId714" Type="http://schemas.openxmlformats.org/officeDocument/2006/relationships/hyperlink" Target="https://www.cettire.com/collections/calvin-klein" TargetMode="External"/><Relationship Id="rId921" Type="http://schemas.openxmlformats.org/officeDocument/2006/relationships/hyperlink" Target="https://www.cettire.com/collections/levis" TargetMode="External"/><Relationship Id="rId1137" Type="http://schemas.openxmlformats.org/officeDocument/2006/relationships/hyperlink" Target="https://www.cettire.com/collections/studio-amelia" TargetMode="External"/><Relationship Id="rId1344" Type="http://schemas.openxmlformats.org/officeDocument/2006/relationships/hyperlink" Target="https://www.cettire.com/collections/chopova-lowena" TargetMode="External"/><Relationship Id="rId1551" Type="http://schemas.openxmlformats.org/officeDocument/2006/relationships/hyperlink" Target="https://www.cettire.com/collections/marc-jacobs" TargetMode="External"/><Relationship Id="rId2602" Type="http://schemas.openxmlformats.org/officeDocument/2006/relationships/hyperlink" Target="https://www.cettire.com/collections/dolce-gabbana-kids" TargetMode="External"/><Relationship Id="rId50" Type="http://schemas.openxmlformats.org/officeDocument/2006/relationships/hyperlink" Target="https://www.cettire.com/collections/anya-hindmarch" TargetMode="External"/><Relationship Id="rId1204" Type="http://schemas.openxmlformats.org/officeDocument/2006/relationships/hyperlink" Target="https://www.cettire.com/collections/yohji-yamamoto" TargetMode="External"/><Relationship Id="rId1411" Type="http://schemas.openxmlformats.org/officeDocument/2006/relationships/hyperlink" Target="https://www.cettire.com/collections/ermanno-scervino" TargetMode="External"/><Relationship Id="rId4567" Type="http://schemas.openxmlformats.org/officeDocument/2006/relationships/hyperlink" Target="https://www.cettire.com/collections/max-mara-atelier" TargetMode="External"/><Relationship Id="rId4774" Type="http://schemas.openxmlformats.org/officeDocument/2006/relationships/hyperlink" Target="https://www.cettire.com/collections/ugg" TargetMode="External"/><Relationship Id="rId3169" Type="http://schemas.openxmlformats.org/officeDocument/2006/relationships/hyperlink" Target="https://www.cettire.com/collections/common-projects" TargetMode="External"/><Relationship Id="rId3376" Type="http://schemas.openxmlformats.org/officeDocument/2006/relationships/hyperlink" Target="https://www.cettire.com/collections/miu-miu" TargetMode="External"/><Relationship Id="rId3583" Type="http://schemas.openxmlformats.org/officeDocument/2006/relationships/hyperlink" Target="https://www.cettire.com/collections/woolrich-kids" TargetMode="External"/><Relationship Id="rId4427" Type="http://schemas.openxmlformats.org/officeDocument/2006/relationships/hyperlink" Target="https://www.cettire.com/collections/fenty-x-puma" TargetMode="External"/><Relationship Id="rId297" Type="http://schemas.openxmlformats.org/officeDocument/2006/relationships/hyperlink" Target="https://www.cettire.com/collections/karl-lagerfeld" TargetMode="External"/><Relationship Id="rId2185" Type="http://schemas.openxmlformats.org/officeDocument/2006/relationships/hyperlink" Target="https://www.cettire.com/collections/missoni-mare" TargetMode="External"/><Relationship Id="rId2392" Type="http://schemas.openxmlformats.org/officeDocument/2006/relationships/hyperlink" Target="https://www.cettire.com/collections/veja-kids" TargetMode="External"/><Relationship Id="rId3029" Type="http://schemas.openxmlformats.org/officeDocument/2006/relationships/hyperlink" Target="https://www.cettire.com/collections/zadig-voltaire" TargetMode="External"/><Relationship Id="rId3236" Type="http://schemas.openxmlformats.org/officeDocument/2006/relationships/hyperlink" Target="https://www.cettire.com/collections/francesco-russo" TargetMode="External"/><Relationship Id="rId3790" Type="http://schemas.openxmlformats.org/officeDocument/2006/relationships/hyperlink" Target="https://www.cettire.com/collections/emporio-armani" TargetMode="External"/><Relationship Id="rId4634" Type="http://schemas.openxmlformats.org/officeDocument/2006/relationships/hyperlink" Target="https://www.cettire.com/collections/oseree" TargetMode="External"/><Relationship Id="rId157" Type="http://schemas.openxmlformats.org/officeDocument/2006/relationships/hyperlink" Target="https://www.cettire.com/collections/craig-green" TargetMode="External"/><Relationship Id="rId364" Type="http://schemas.openxmlformats.org/officeDocument/2006/relationships/hyperlink" Target="https://www.cettire.com/collections/mcq-alexander-mcqueen" TargetMode="External"/><Relationship Id="rId2045" Type="http://schemas.openxmlformats.org/officeDocument/2006/relationships/hyperlink" Target="https://www.cettire.com/collections/furla" TargetMode="External"/><Relationship Id="rId3443" Type="http://schemas.openxmlformats.org/officeDocument/2006/relationships/hyperlink" Target="https://www.cettire.com/collections/pinko" TargetMode="External"/><Relationship Id="rId3650" Type="http://schemas.openxmlformats.org/officeDocument/2006/relationships/hyperlink" Target="https://www.cettire.com/collections/aries" TargetMode="External"/><Relationship Id="rId4701" Type="http://schemas.openxmlformats.org/officeDocument/2006/relationships/hyperlink" Target="https://www.cettire.com/collections/rodebjer" TargetMode="External"/><Relationship Id="rId571" Type="http://schemas.openxmlformats.org/officeDocument/2006/relationships/hyperlink" Target="https://www.cettire.com/collections/unravel-project" TargetMode="External"/><Relationship Id="rId2252" Type="http://schemas.openxmlformats.org/officeDocument/2006/relationships/hyperlink" Target="https://www.cettire.com/collections/philipp-plein" TargetMode="External"/><Relationship Id="rId3303" Type="http://schemas.openxmlformats.org/officeDocument/2006/relationships/hyperlink" Target="https://www.cettire.com/collections/kenzo" TargetMode="External"/><Relationship Id="rId3510" Type="http://schemas.openxmlformats.org/officeDocument/2006/relationships/hyperlink" Target="https://www.cettire.com/collections/sofie-dhoore" TargetMode="External"/><Relationship Id="rId224" Type="http://schemas.openxmlformats.org/officeDocument/2006/relationships/hyperlink" Target="https://www.cettire.com/collections/frame" TargetMode="External"/><Relationship Id="rId431" Type="http://schemas.openxmlformats.org/officeDocument/2006/relationships/hyperlink" Target="https://www.cettire.com/collections/palm-angels" TargetMode="External"/><Relationship Id="rId1061" Type="http://schemas.openxmlformats.org/officeDocument/2006/relationships/hyperlink" Target="https://www.cettire.com/collections/proenza-schouler" TargetMode="External"/><Relationship Id="rId2112" Type="http://schemas.openxmlformats.org/officeDocument/2006/relationships/hyperlink" Target="https://www.cettire.com/collections/karl-lagerfeld" TargetMode="External"/><Relationship Id="rId1878" Type="http://schemas.openxmlformats.org/officeDocument/2006/relationships/hyperlink" Target="https://www.cettire.com/collections/asics" TargetMode="External"/><Relationship Id="rId2929" Type="http://schemas.openxmlformats.org/officeDocument/2006/relationships/hyperlink" Target="https://www.cettire.com/collections/salvatore-ferragamo-eyewear" TargetMode="External"/><Relationship Id="rId4077" Type="http://schemas.openxmlformats.org/officeDocument/2006/relationships/hyperlink" Target="https://www.cettire.com/collections/rene-caovilla" TargetMode="External"/><Relationship Id="rId4284" Type="http://schemas.openxmlformats.org/officeDocument/2006/relationships/hyperlink" Target="https://www.cettire.com/collections/barena" TargetMode="External"/><Relationship Id="rId4491" Type="http://schemas.openxmlformats.org/officeDocument/2006/relationships/hyperlink" Target="https://www.cettire.com/collections/jimmy-choo" TargetMode="External"/><Relationship Id="rId1738" Type="http://schemas.openxmlformats.org/officeDocument/2006/relationships/hyperlink" Target="https://www.cettire.com/collections/stella-mccartney-kids" TargetMode="External"/><Relationship Id="rId3093" Type="http://schemas.openxmlformats.org/officeDocument/2006/relationships/hyperlink" Target="https://www.cettire.com/collections/axel-arigato" TargetMode="External"/><Relationship Id="rId4144" Type="http://schemas.openxmlformats.org/officeDocument/2006/relationships/hyperlink" Target="https://www.cettire.com/collections/the-north-face" TargetMode="External"/><Relationship Id="rId4351" Type="http://schemas.openxmlformats.org/officeDocument/2006/relationships/hyperlink" Target="https://www.cettire.com/collections/comme-des-garcons-girl" TargetMode="External"/><Relationship Id="rId1945" Type="http://schemas.openxmlformats.org/officeDocument/2006/relationships/hyperlink" Target="https://www.cettire.com/collections/chie-mihara" TargetMode="External"/><Relationship Id="rId3160" Type="http://schemas.openxmlformats.org/officeDocument/2006/relationships/hyperlink" Target="https://www.cettire.com/collections/comme-des-garcons" TargetMode="External"/><Relationship Id="rId4004" Type="http://schemas.openxmlformats.org/officeDocument/2006/relationships/hyperlink" Target="https://www.cettire.com/collections/new-balance" TargetMode="External"/><Relationship Id="rId4211" Type="http://schemas.openxmlformats.org/officeDocument/2006/relationships/hyperlink" Target="https://www.cettire.com/collections/7-for-all-mankind" TargetMode="External"/><Relationship Id="rId1805" Type="http://schemas.openxmlformats.org/officeDocument/2006/relationships/hyperlink" Target="https://www.cettire.com/collections/woolrich-kids" TargetMode="External"/><Relationship Id="rId3020" Type="http://schemas.openxmlformats.org/officeDocument/2006/relationships/hyperlink" Target="https://www.cettire.com/collections/woolrich-x-griffin" TargetMode="External"/><Relationship Id="rId3977" Type="http://schemas.openxmlformats.org/officeDocument/2006/relationships/hyperlink" Target="https://www.cettire.com/collections/moncler-rick-owens" TargetMode="External"/><Relationship Id="rId898" Type="http://schemas.openxmlformats.org/officeDocument/2006/relationships/hyperlink" Target="https://www.cettire.com/collections/kappa" TargetMode="External"/><Relationship Id="rId2579" Type="http://schemas.openxmlformats.org/officeDocument/2006/relationships/hyperlink" Target="https://www.cettire.com/collections/cult-gaia" TargetMode="External"/><Relationship Id="rId2786" Type="http://schemas.openxmlformats.org/officeDocument/2006/relationships/hyperlink" Target="https://www.cettire.com/collections/mcq-alexander-mcqueen" TargetMode="External"/><Relationship Id="rId2993" Type="http://schemas.openxmlformats.org/officeDocument/2006/relationships/hyperlink" Target="https://www.cettire.com/collections/uma-wang" TargetMode="External"/><Relationship Id="rId3837" Type="http://schemas.openxmlformats.org/officeDocument/2006/relationships/hyperlink" Target="https://www.cettire.com/collections/golden-goose-kids" TargetMode="External"/><Relationship Id="rId758" Type="http://schemas.openxmlformats.org/officeDocument/2006/relationships/hyperlink" Target="https://www.cettire.com/collections/coperni" TargetMode="External"/><Relationship Id="rId965" Type="http://schemas.openxmlformats.org/officeDocument/2006/relationships/hyperlink" Target="https://www.cettire.com/collections/mc2-saint-barth-kids" TargetMode="External"/><Relationship Id="rId1388" Type="http://schemas.openxmlformats.org/officeDocument/2006/relationships/hyperlink" Target="https://www.cettire.com/collections/dolce-gabbana" TargetMode="External"/><Relationship Id="rId1595" Type="http://schemas.openxmlformats.org/officeDocument/2006/relationships/hyperlink" Target="https://www.cettire.com/collections/monnalisa" TargetMode="External"/><Relationship Id="rId2439" Type="http://schemas.openxmlformats.org/officeDocument/2006/relationships/hyperlink" Target="https://www.cettire.com/collections/adidas-by-pharrell-williams" TargetMode="External"/><Relationship Id="rId2646" Type="http://schemas.openxmlformats.org/officeDocument/2006/relationships/hyperlink" Target="https://www.cettire.com/collections/frame" TargetMode="External"/><Relationship Id="rId2853" Type="http://schemas.openxmlformats.org/officeDocument/2006/relationships/hyperlink" Target="https://www.cettire.com/collections/paco-rabanne" TargetMode="External"/><Relationship Id="rId3904" Type="http://schemas.openxmlformats.org/officeDocument/2006/relationships/hyperlink" Target="https://www.cettire.com/collections/la-stupenderia" TargetMode="External"/><Relationship Id="rId94" Type="http://schemas.openxmlformats.org/officeDocument/2006/relationships/hyperlink" Target="https://www.cettire.com/collections/boutique-moschino" TargetMode="External"/><Relationship Id="rId618" Type="http://schemas.openxmlformats.org/officeDocument/2006/relationships/hyperlink" Target="https://www.cettire.com/collections/ader-error" TargetMode="External"/><Relationship Id="rId825" Type="http://schemas.openxmlformats.org/officeDocument/2006/relationships/hyperlink" Target="https://www.cettire.com/collections/flat-apartment" TargetMode="External"/><Relationship Id="rId1248" Type="http://schemas.openxmlformats.org/officeDocument/2006/relationships/hyperlink" Target="https://www.cettire.com/collections/alexander-wang" TargetMode="External"/><Relationship Id="rId1455" Type="http://schemas.openxmlformats.org/officeDocument/2006/relationships/hyperlink" Target="https://www.cettire.com/collections/grevi" TargetMode="External"/><Relationship Id="rId1662" Type="http://schemas.openxmlformats.org/officeDocument/2006/relationships/hyperlink" Target="https://www.cettire.com/collections/ports-1961" TargetMode="External"/><Relationship Id="rId2506" Type="http://schemas.openxmlformats.org/officeDocument/2006/relationships/hyperlink" Target="https://www.cettire.com/collections/billionaire" TargetMode="External"/><Relationship Id="rId1108" Type="http://schemas.openxmlformats.org/officeDocument/2006/relationships/hyperlink" Target="https://www.cettire.com/collections/salvatore-ferragamo" TargetMode="External"/><Relationship Id="rId1315" Type="http://schemas.openxmlformats.org/officeDocument/2006/relationships/hyperlink" Target="https://www.cettire.com/collections/buscemi" TargetMode="External"/><Relationship Id="rId2713" Type="http://schemas.openxmlformats.org/officeDocument/2006/relationships/hyperlink" Target="https://www.cettire.com/collections/jw-anderson" TargetMode="External"/><Relationship Id="rId2920" Type="http://schemas.openxmlformats.org/officeDocument/2006/relationships/hyperlink" Target="https://www.cettire.com/collections/rotate" TargetMode="External"/><Relationship Id="rId4678" Type="http://schemas.openxmlformats.org/officeDocument/2006/relationships/hyperlink" Target="https://www.cettire.com/collections/rave-review" TargetMode="External"/><Relationship Id="rId1522" Type="http://schemas.openxmlformats.org/officeDocument/2006/relationships/hyperlink" Target="https://www.cettire.com/collections/lauren-ralph-lauren" TargetMode="External"/><Relationship Id="rId21" Type="http://schemas.openxmlformats.org/officeDocument/2006/relationships/hyperlink" Target="https://www.cettire.com/collections/adidas-originals" TargetMode="External"/><Relationship Id="rId2089" Type="http://schemas.openxmlformats.org/officeDocument/2006/relationships/hyperlink" Target="https://www.cettire.com/collections/isaia" TargetMode="External"/><Relationship Id="rId3487" Type="http://schemas.openxmlformats.org/officeDocument/2006/relationships/hyperlink" Target="https://www.cettire.com/collections/rodebjer" TargetMode="External"/><Relationship Id="rId3694" Type="http://schemas.openxmlformats.org/officeDocument/2006/relationships/hyperlink" Target="https://www.cettire.com/collections/bulgari" TargetMode="External"/><Relationship Id="rId4538" Type="http://schemas.openxmlformats.org/officeDocument/2006/relationships/hyperlink" Target="https://www.cettire.com/collections/mackintosh" TargetMode="External"/><Relationship Id="rId4745" Type="http://schemas.openxmlformats.org/officeDocument/2006/relationships/hyperlink" Target="https://www.cettire.com/collections/sunnei" TargetMode="External"/><Relationship Id="rId2296" Type="http://schemas.openxmlformats.org/officeDocument/2006/relationships/hyperlink" Target="https://www.cettire.com/collections/retrosuperfuture" TargetMode="External"/><Relationship Id="rId3347" Type="http://schemas.openxmlformats.org/officeDocument/2006/relationships/hyperlink" Target="https://www.cettire.com/collections/marc-jacobs-eyewear" TargetMode="External"/><Relationship Id="rId3554" Type="http://schemas.openxmlformats.org/officeDocument/2006/relationships/hyperlink" Target="https://www.cettire.com/collections/ugg-kids" TargetMode="External"/><Relationship Id="rId3761" Type="http://schemas.openxmlformats.org/officeDocument/2006/relationships/hyperlink" Target="https://www.cettire.com/collections/diane-von-furstenberg" TargetMode="External"/><Relationship Id="rId4605" Type="http://schemas.openxmlformats.org/officeDocument/2006/relationships/hyperlink" Target="https://www.cettire.com/collections/mulberry" TargetMode="External"/><Relationship Id="rId4812" Type="http://schemas.openxmlformats.org/officeDocument/2006/relationships/hyperlink" Target="https://www.cettire.com/collections/yuzefi" TargetMode="External"/><Relationship Id="rId268" Type="http://schemas.openxmlformats.org/officeDocument/2006/relationships/hyperlink" Target="https://www.cettire.com/collections/il-bisonte" TargetMode="External"/><Relationship Id="rId475" Type="http://schemas.openxmlformats.org/officeDocument/2006/relationships/hyperlink" Target="https://www.cettire.com/collections/red-wing-shoes" TargetMode="External"/><Relationship Id="rId682" Type="http://schemas.openxmlformats.org/officeDocument/2006/relationships/hyperlink" Target="https://www.cettire.com/collections/bark-b-rules" TargetMode="External"/><Relationship Id="rId2156" Type="http://schemas.openxmlformats.org/officeDocument/2006/relationships/hyperlink" Target="https://www.cettire.com/collections/marc-jacobs-eyewear" TargetMode="External"/><Relationship Id="rId2363" Type="http://schemas.openxmlformats.org/officeDocument/2006/relationships/hyperlink" Target="https://www.cettire.com/collections/the-row" TargetMode="External"/><Relationship Id="rId2570" Type="http://schemas.openxmlformats.org/officeDocument/2006/relationships/hyperlink" Target="https://www.cettire.com/collections/comme-des-garcons-shirt" TargetMode="External"/><Relationship Id="rId3207" Type="http://schemas.openxmlformats.org/officeDocument/2006/relationships/hyperlink" Target="https://www.cettire.com/collections/emile-et-ida" TargetMode="External"/><Relationship Id="rId3414" Type="http://schemas.openxmlformats.org/officeDocument/2006/relationships/hyperlink" Target="https://www.cettire.com/collections/north-sails-x-prada-cup" TargetMode="External"/><Relationship Id="rId3621" Type="http://schemas.openxmlformats.org/officeDocument/2006/relationships/hyperlink" Target="https://www.cettire.com/collections/alaia" TargetMode="External"/><Relationship Id="rId128" Type="http://schemas.openxmlformats.org/officeDocument/2006/relationships/hyperlink" Target="https://www.cettire.com/collections/chie-mihara" TargetMode="External"/><Relationship Id="rId335" Type="http://schemas.openxmlformats.org/officeDocument/2006/relationships/hyperlink" Target="https://www.cettire.com/collections/malone-souliers" TargetMode="External"/><Relationship Id="rId542" Type="http://schemas.openxmlformats.org/officeDocument/2006/relationships/hyperlink" Target="https://www.cettire.com/collections/ten-c" TargetMode="External"/><Relationship Id="rId1172" Type="http://schemas.openxmlformats.org/officeDocument/2006/relationships/hyperlink" Target="https://www.cettire.com/collections/ultrachic" TargetMode="External"/><Relationship Id="rId2016" Type="http://schemas.openxmlformats.org/officeDocument/2006/relationships/hyperlink" Target="https://www.cettire.com/collections/equipment" TargetMode="External"/><Relationship Id="rId2223" Type="http://schemas.openxmlformats.org/officeDocument/2006/relationships/hyperlink" Target="https://www.cettire.com/collections/nicomede" TargetMode="External"/><Relationship Id="rId2430" Type="http://schemas.openxmlformats.org/officeDocument/2006/relationships/hyperlink" Target="https://www.cettire.com/collections/mm-ilfig-r-kids" TargetMode="External"/><Relationship Id="rId402" Type="http://schemas.openxmlformats.org/officeDocument/2006/relationships/hyperlink" Target="https://www.cettire.com/collections/nanushka" TargetMode="External"/><Relationship Id="rId1032" Type="http://schemas.openxmlformats.org/officeDocument/2006/relationships/hyperlink" Target="https://www.cettire.com/collections/paccbet" TargetMode="External"/><Relationship Id="rId4188" Type="http://schemas.openxmlformats.org/officeDocument/2006/relationships/hyperlink" Target="https://www.cettire.com/collections/wales-bonner" TargetMode="External"/><Relationship Id="rId4395" Type="http://schemas.openxmlformats.org/officeDocument/2006/relationships/hyperlink" Target="https://www.cettire.com/collections/eckhaus-latta" TargetMode="External"/><Relationship Id="rId1989" Type="http://schemas.openxmlformats.org/officeDocument/2006/relationships/hyperlink" Target="https://www.cettire.com/collections/dior-eyewear" TargetMode="External"/><Relationship Id="rId4048" Type="http://schemas.openxmlformats.org/officeDocument/2006/relationships/hyperlink" Target="https://www.cettire.com/collections/porter-yoshida-co" TargetMode="External"/><Relationship Id="rId4255" Type="http://schemas.openxmlformats.org/officeDocument/2006/relationships/hyperlink" Target="https://www.cettire.com/collections/aniye-by" TargetMode="External"/><Relationship Id="rId1849" Type="http://schemas.openxmlformats.org/officeDocument/2006/relationships/hyperlink" Target="https://www.cettire.com/collections/alberto-biani" TargetMode="External"/><Relationship Id="rId3064" Type="http://schemas.openxmlformats.org/officeDocument/2006/relationships/hyperlink" Target="https://www.cettire.com/collections/alexander-mcqueen" TargetMode="External"/><Relationship Id="rId4462" Type="http://schemas.openxmlformats.org/officeDocument/2006/relationships/hyperlink" Target="https://www.cettire.com/collections/hereu" TargetMode="External"/><Relationship Id="rId192" Type="http://schemas.openxmlformats.org/officeDocument/2006/relationships/hyperlink" Target="https://www.cettire.com/collections/elie-saab-junior" TargetMode="External"/><Relationship Id="rId1709" Type="http://schemas.openxmlformats.org/officeDocument/2006/relationships/hyperlink" Target="https://www.cettire.com/collections/saint-laurent" TargetMode="External"/><Relationship Id="rId1916" Type="http://schemas.openxmlformats.org/officeDocument/2006/relationships/hyperlink" Target="https://www.cettire.com/collections/building-block" TargetMode="External"/><Relationship Id="rId3271" Type="http://schemas.openxmlformats.org/officeDocument/2006/relationships/hyperlink" Target="https://www.cettire.com/collections/honey-fucking-dijon" TargetMode="External"/><Relationship Id="rId4115" Type="http://schemas.openxmlformats.org/officeDocument/2006/relationships/hyperlink" Target="https://www.cettire.com/collections/simonetta" TargetMode="External"/><Relationship Id="rId4322" Type="http://schemas.openxmlformats.org/officeDocument/2006/relationships/hyperlink" Target="https://www.cettire.com/collections/car-shoe" TargetMode="External"/><Relationship Id="rId2080" Type="http://schemas.openxmlformats.org/officeDocument/2006/relationships/hyperlink" Target="https://www.cettire.com/collections/howlin" TargetMode="External"/><Relationship Id="rId3131" Type="http://schemas.openxmlformats.org/officeDocument/2006/relationships/hyperlink" Target="https://www.cettire.com/collections/c2h4" TargetMode="External"/><Relationship Id="rId2897" Type="http://schemas.openxmlformats.org/officeDocument/2006/relationships/hyperlink" Target="https://www.cettire.com/collections/rebecca-minkoff" TargetMode="External"/><Relationship Id="rId3948" Type="http://schemas.openxmlformats.org/officeDocument/2006/relationships/hyperlink" Target="https://www.cettire.com/collections/mastermind-world" TargetMode="External"/><Relationship Id="rId869" Type="http://schemas.openxmlformats.org/officeDocument/2006/relationships/hyperlink" Target="https://www.cettire.com/collections/hugo-boss-kids" TargetMode="External"/><Relationship Id="rId1499" Type="http://schemas.openxmlformats.org/officeDocument/2006/relationships/hyperlink" Target="https://www.cettire.com/collections/junya-watanabe-comme-des-garcons" TargetMode="External"/><Relationship Id="rId729" Type="http://schemas.openxmlformats.org/officeDocument/2006/relationships/hyperlink" Target="https://www.cettire.com/collections/chanel" TargetMode="External"/><Relationship Id="rId1359" Type="http://schemas.openxmlformats.org/officeDocument/2006/relationships/hyperlink" Target="https://www.cettire.com/collections/comme-des-garcons-shirt" TargetMode="External"/><Relationship Id="rId2757" Type="http://schemas.openxmlformats.org/officeDocument/2006/relationships/hyperlink" Target="https://www.cettire.com/collections/malone-souliers" TargetMode="External"/><Relationship Id="rId2964" Type="http://schemas.openxmlformats.org/officeDocument/2006/relationships/hyperlink" Target="https://www.cettire.com/collections/tagliatore" TargetMode="External"/><Relationship Id="rId3808" Type="http://schemas.openxmlformats.org/officeDocument/2006/relationships/hyperlink" Target="https://www.cettire.com/collections/fear-of-god" TargetMode="External"/><Relationship Id="rId936" Type="http://schemas.openxmlformats.org/officeDocument/2006/relationships/hyperlink" Target="https://www.cettire.com/collections/maison-kitsune" TargetMode="External"/><Relationship Id="rId1219" Type="http://schemas.openxmlformats.org/officeDocument/2006/relationships/hyperlink" Target="https://www.cettire.com/collections/a-cold-wall" TargetMode="External"/><Relationship Id="rId1566" Type="http://schemas.openxmlformats.org/officeDocument/2006/relationships/hyperlink" Target="https://www.cettire.com/collections/max-mara" TargetMode="External"/><Relationship Id="rId1773" Type="http://schemas.openxmlformats.org/officeDocument/2006/relationships/hyperlink" Target="https://www.cettire.com/collections/twinset-kids" TargetMode="External"/><Relationship Id="rId1980" Type="http://schemas.openxmlformats.org/officeDocument/2006/relationships/hyperlink" Target="https://www.cettire.com/collections/desa-1972" TargetMode="External"/><Relationship Id="rId2617" Type="http://schemas.openxmlformats.org/officeDocument/2006/relationships/hyperlink" Target="https://www.cettire.com/collections/emilio-pucci-junior" TargetMode="External"/><Relationship Id="rId2824" Type="http://schemas.openxmlformats.org/officeDocument/2006/relationships/hyperlink" Target="https://www.cettire.com/collections/napa-by-martine-rose" TargetMode="External"/><Relationship Id="rId65" Type="http://schemas.openxmlformats.org/officeDocument/2006/relationships/hyperlink" Target="https://www.cettire.com/collections/axel-arigato" TargetMode="External"/><Relationship Id="rId1426" Type="http://schemas.openxmlformats.org/officeDocument/2006/relationships/hyperlink" Target="https://www.cettire.com/collections/fendi-eyewear" TargetMode="External"/><Relationship Id="rId1633" Type="http://schemas.openxmlformats.org/officeDocument/2006/relationships/hyperlink" Target="https://www.cettire.com/collections/opening-ceremony" TargetMode="External"/><Relationship Id="rId1840" Type="http://schemas.openxmlformats.org/officeDocument/2006/relationships/hyperlink" Target="https://www.cettire.com/collections/adidas-originals-by-alexander-wang" TargetMode="External"/><Relationship Id="rId4789" Type="http://schemas.openxmlformats.org/officeDocument/2006/relationships/hyperlink" Target="https://www.cettire.com/collections/versace" TargetMode="External"/><Relationship Id="rId1700" Type="http://schemas.openxmlformats.org/officeDocument/2006/relationships/hyperlink" Target="https://www.cettire.com/collections/robert-clergerie" TargetMode="External"/><Relationship Id="rId3598" Type="http://schemas.openxmlformats.org/officeDocument/2006/relationships/hyperlink" Target="https://www.cettire.com/collections/7-for-all-mankind" TargetMode="External"/><Relationship Id="rId4649" Type="http://schemas.openxmlformats.org/officeDocument/2006/relationships/hyperlink" Target="https://www.cettire.com/collections/philipp-plein-junior" TargetMode="External"/><Relationship Id="rId3458" Type="http://schemas.openxmlformats.org/officeDocument/2006/relationships/hyperlink" Target="https://www.cettire.com/collections/puma" TargetMode="External"/><Relationship Id="rId3665" Type="http://schemas.openxmlformats.org/officeDocument/2006/relationships/hyperlink" Target="https://www.cettire.com/collections/bally" TargetMode="External"/><Relationship Id="rId3872" Type="http://schemas.openxmlformats.org/officeDocument/2006/relationships/hyperlink" Target="https://www.cettire.com/collections/jacques-marie-mage" TargetMode="External"/><Relationship Id="rId4509" Type="http://schemas.openxmlformats.org/officeDocument/2006/relationships/hyperlink" Target="https://www.cettire.com/collections/kenzo-kids" TargetMode="External"/><Relationship Id="rId4716" Type="http://schemas.openxmlformats.org/officeDocument/2006/relationships/hyperlink" Target="https://www.cettire.com/collections/sara-battaglia" TargetMode="External"/><Relationship Id="rId379" Type="http://schemas.openxmlformats.org/officeDocument/2006/relationships/hyperlink" Target="https://www.cettire.com/collections/moncler" TargetMode="External"/><Relationship Id="rId586" Type="http://schemas.openxmlformats.org/officeDocument/2006/relationships/hyperlink" Target="https://www.cettire.com/collections/visvim" TargetMode="External"/><Relationship Id="rId793" Type="http://schemas.openxmlformats.org/officeDocument/2006/relationships/hyperlink" Target="https://www.cettire.com/collections/eckhaus-latta" TargetMode="External"/><Relationship Id="rId2267" Type="http://schemas.openxmlformats.org/officeDocument/2006/relationships/hyperlink" Target="https://www.cettire.com/collections/prada" TargetMode="External"/><Relationship Id="rId2474" Type="http://schemas.openxmlformats.org/officeDocument/2006/relationships/hyperlink" Target="https://www.cettire.com/collections/apesi" TargetMode="External"/><Relationship Id="rId2681" Type="http://schemas.openxmlformats.org/officeDocument/2006/relationships/hyperlink" Target="https://www.cettire.com/collections/hogan-rebel" TargetMode="External"/><Relationship Id="rId3318" Type="http://schemas.openxmlformats.org/officeDocument/2006/relationships/hyperlink" Target="https://www.cettire.com/collections/le%20beb%C3%A9%20enfant" TargetMode="External"/><Relationship Id="rId3525" Type="http://schemas.openxmlformats.org/officeDocument/2006/relationships/hyperlink" Target="https://www.cettire.com/collections/stussy" TargetMode="External"/><Relationship Id="rId239" Type="http://schemas.openxmlformats.org/officeDocument/2006/relationships/hyperlink" Target="https://www.cettire.com/collections/givenchy" TargetMode="External"/><Relationship Id="rId446" Type="http://schemas.openxmlformats.org/officeDocument/2006/relationships/hyperlink" Target="https://www.cettire.com/collections/pierre-louis-mascia" TargetMode="External"/><Relationship Id="rId653" Type="http://schemas.openxmlformats.org/officeDocument/2006/relationships/hyperlink" Target="https://www.cettire.com/collections/aniye-by" TargetMode="External"/><Relationship Id="rId1076" Type="http://schemas.openxmlformats.org/officeDocument/2006/relationships/hyperlink" Target="https://www.cettire.com/collections/readymade" TargetMode="External"/><Relationship Id="rId1283" Type="http://schemas.openxmlformats.org/officeDocument/2006/relationships/hyperlink" Target="https://www.cettire.com/collections/balmain" TargetMode="External"/><Relationship Id="rId1490" Type="http://schemas.openxmlformats.org/officeDocument/2006/relationships/hyperlink" Target="https://www.cettire.com/collections/jejia" TargetMode="External"/><Relationship Id="rId2127" Type="http://schemas.openxmlformats.org/officeDocument/2006/relationships/hyperlink" Target="https://www.cettire.com/collections/le%20beb%C3%A9%20enfant" TargetMode="External"/><Relationship Id="rId2334" Type="http://schemas.openxmlformats.org/officeDocument/2006/relationships/hyperlink" Target="https://www.cettire.com/collections/sonia-rykiel" TargetMode="External"/><Relationship Id="rId3732" Type="http://schemas.openxmlformats.org/officeDocument/2006/relationships/hyperlink" Target="https://www.cettire.com/collections/co" TargetMode="External"/><Relationship Id="rId306" Type="http://schemas.openxmlformats.org/officeDocument/2006/relationships/hyperlink" Target="https://www.cettire.com/collections/l-b-m-1911" TargetMode="External"/><Relationship Id="rId860" Type="http://schemas.openxmlformats.org/officeDocument/2006/relationships/hyperlink" Target="https://www.cettire.com/collections/heron-preston" TargetMode="External"/><Relationship Id="rId1143" Type="http://schemas.openxmlformats.org/officeDocument/2006/relationships/hyperlink" Target="https://www.cettire.com/collections/t-by-alexander-wang" TargetMode="External"/><Relationship Id="rId2541" Type="http://schemas.openxmlformats.org/officeDocument/2006/relationships/hyperlink" Target="https://www.cettire.com/collections/cartier" TargetMode="External"/><Relationship Id="rId4299" Type="http://schemas.openxmlformats.org/officeDocument/2006/relationships/hyperlink" Target="https://www.cettire.com/collections/bottega-veneta-eyewear" TargetMode="External"/><Relationship Id="rId513" Type="http://schemas.openxmlformats.org/officeDocument/2006/relationships/hyperlink" Target="https://www.cettire.com/collections/sergio-rossi" TargetMode="External"/><Relationship Id="rId720" Type="http://schemas.openxmlformats.org/officeDocument/2006/relationships/hyperlink" Target="https://www.cettire.com/collections/carhartt" TargetMode="External"/><Relationship Id="rId1350" Type="http://schemas.openxmlformats.org/officeDocument/2006/relationships/hyperlink" Target="https://www.cettire.com/collections/coliac" TargetMode="External"/><Relationship Id="rId2401" Type="http://schemas.openxmlformats.org/officeDocument/2006/relationships/hyperlink" Target="https://www.cettire.com/collections/visvim" TargetMode="External"/><Relationship Id="rId4159" Type="http://schemas.openxmlformats.org/officeDocument/2006/relationships/hyperlink" Target="https://www.cettire.com/collections/trickers" TargetMode="External"/><Relationship Id="rId1003" Type="http://schemas.openxmlformats.org/officeDocument/2006/relationships/hyperlink" Target="https://www.cettire.com/collections/nana-nana" TargetMode="External"/><Relationship Id="rId1210" Type="http://schemas.openxmlformats.org/officeDocument/2006/relationships/hyperlink" Target="https://www.cettire.com/collections/zimmermann" TargetMode="External"/><Relationship Id="rId4366" Type="http://schemas.openxmlformats.org/officeDocument/2006/relationships/hyperlink" Target="https://www.cettire.com/collections/current-elliott" TargetMode="External"/><Relationship Id="rId4573" Type="http://schemas.openxmlformats.org/officeDocument/2006/relationships/hyperlink" Target="https://www.cettire.com/collections/mcm" TargetMode="External"/><Relationship Id="rId4780" Type="http://schemas.openxmlformats.org/officeDocument/2006/relationships/hyperlink" Target="https://www.cettire.com/collections/undercover" TargetMode="External"/><Relationship Id="rId3175" Type="http://schemas.openxmlformats.org/officeDocument/2006/relationships/hyperlink" Target="https://www.cettire.com/collections/cult-gaia" TargetMode="External"/><Relationship Id="rId3382" Type="http://schemas.openxmlformats.org/officeDocument/2006/relationships/hyperlink" Target="https://www.cettire.com/collections/moncler-enfant" TargetMode="External"/><Relationship Id="rId4019" Type="http://schemas.openxmlformats.org/officeDocument/2006/relationships/hyperlink" Target="https://www.cettire.com/collections/officine-creative" TargetMode="External"/><Relationship Id="rId4226" Type="http://schemas.openxmlformats.org/officeDocument/2006/relationships/hyperlink" Target="https://www.cettire.com/collections/adidas-by-wales-bonner" TargetMode="External"/><Relationship Id="rId4433" Type="http://schemas.openxmlformats.org/officeDocument/2006/relationships/hyperlink" Target="https://www.cettire.com/collections/francesco-russo" TargetMode="External"/><Relationship Id="rId4640" Type="http://schemas.openxmlformats.org/officeDocument/2006/relationships/hyperlink" Target="https://www.cettire.com/collections/palm-angels" TargetMode="External"/><Relationship Id="rId2191" Type="http://schemas.openxmlformats.org/officeDocument/2006/relationships/hyperlink" Target="https://www.cettire.com/collections/molo" TargetMode="External"/><Relationship Id="rId3035" Type="http://schemas.openxmlformats.org/officeDocument/2006/relationships/hyperlink" Target="https://www.cettire.com/collections/424" TargetMode="External"/><Relationship Id="rId3242" Type="http://schemas.openxmlformats.org/officeDocument/2006/relationships/hyperlink" Target="https://www.cettire.com/collections/ganni" TargetMode="External"/><Relationship Id="rId4500" Type="http://schemas.openxmlformats.org/officeDocument/2006/relationships/hyperlink" Target="https://www.cettire.com/collections/juun-j" TargetMode="External"/><Relationship Id="rId163" Type="http://schemas.openxmlformats.org/officeDocument/2006/relationships/hyperlink" Target="https://www.cettire.com/collections/department-5" TargetMode="External"/><Relationship Id="rId370" Type="http://schemas.openxmlformats.org/officeDocument/2006/relationships/hyperlink" Target="https://www.cettire.com/collections/misbhv" TargetMode="External"/><Relationship Id="rId2051" Type="http://schemas.openxmlformats.org/officeDocument/2006/relationships/hyperlink" Target="https://www.cettire.com/collections/gcds-kids" TargetMode="External"/><Relationship Id="rId3102" Type="http://schemas.openxmlformats.org/officeDocument/2006/relationships/hyperlink" Target="https://www.cettire.com/collections/barbour" TargetMode="External"/><Relationship Id="rId230" Type="http://schemas.openxmlformats.org/officeDocument/2006/relationships/hyperlink" Target="https://www.cettire.com/collections/gallery-dept" TargetMode="External"/><Relationship Id="rId2868" Type="http://schemas.openxmlformats.org/officeDocument/2006/relationships/hyperlink" Target="https://www.cettire.com/collections/pierre-hardy" TargetMode="External"/><Relationship Id="rId3919" Type="http://schemas.openxmlformats.org/officeDocument/2006/relationships/hyperlink" Target="https://www.cettire.com/collections/longchamp" TargetMode="External"/><Relationship Id="rId4083" Type="http://schemas.openxmlformats.org/officeDocument/2006/relationships/hyperlink" Target="https://www.cettire.com/collections/rick-owens-lilies" TargetMode="External"/><Relationship Id="rId1677" Type="http://schemas.openxmlformats.org/officeDocument/2006/relationships/hyperlink" Target="https://www.cettire.com/collections/ralph-lauren" TargetMode="External"/><Relationship Id="rId1884" Type="http://schemas.openxmlformats.org/officeDocument/2006/relationships/hyperlink" Target="https://www.cettire.com/collections/balenciaga" TargetMode="External"/><Relationship Id="rId2728" Type="http://schemas.openxmlformats.org/officeDocument/2006/relationships/hyperlink" Target="https://www.cettire.com/collections/lautre-chose" TargetMode="External"/><Relationship Id="rId2935" Type="http://schemas.openxmlformats.org/officeDocument/2006/relationships/hyperlink" Target="https://www.cettire.com/collections/see-by-chloe" TargetMode="External"/><Relationship Id="rId4290" Type="http://schemas.openxmlformats.org/officeDocument/2006/relationships/hyperlink" Target="https://www.cettire.com/collections/billieblush" TargetMode="External"/><Relationship Id="rId907" Type="http://schemas.openxmlformats.org/officeDocument/2006/relationships/hyperlink" Target="https://www.cettire.com/collections/khrisjoy-kids" TargetMode="External"/><Relationship Id="rId1537" Type="http://schemas.openxmlformats.org/officeDocument/2006/relationships/hyperlink" Target="https://www.cettire.com/collections/low-classic" TargetMode="External"/><Relationship Id="rId1744" Type="http://schemas.openxmlformats.org/officeDocument/2006/relationships/hyperlink" Target="https://www.cettire.com/collections/stussy" TargetMode="External"/><Relationship Id="rId1951" Type="http://schemas.openxmlformats.org/officeDocument/2006/relationships/hyperlink" Target="https://www.cettire.com/collections/christian-louboutin" TargetMode="External"/><Relationship Id="rId4150" Type="http://schemas.openxmlformats.org/officeDocument/2006/relationships/hyperlink" Target="https://www.cettire.com/collections/thom-browne" TargetMode="External"/><Relationship Id="rId36" Type="http://schemas.openxmlformats.org/officeDocument/2006/relationships/hyperlink" Target="https://www.cettire.com/collections/alexander-mcqueen-kids" TargetMode="External"/><Relationship Id="rId1604" Type="http://schemas.openxmlformats.org/officeDocument/2006/relationships/hyperlink" Target="https://www.cettire.com/collections/msgm-kids" TargetMode="External"/><Relationship Id="rId4010" Type="http://schemas.openxmlformats.org/officeDocument/2006/relationships/hyperlink" Target="https://www.cettire.com/collections/noir-kei-ninomiya" TargetMode="External"/><Relationship Id="rId1811" Type="http://schemas.openxmlformats.org/officeDocument/2006/relationships/hyperlink" Target="https://www.cettire.com/collections/yohji-yamamoto" TargetMode="External"/><Relationship Id="rId3569" Type="http://schemas.openxmlformats.org/officeDocument/2006/relationships/hyperlink" Target="https://www.cettire.com/collections/versace-eyewear" TargetMode="External"/><Relationship Id="rId697" Type="http://schemas.openxmlformats.org/officeDocument/2006/relationships/hyperlink" Target="https://www.cettire.com/collections/botter" TargetMode="External"/><Relationship Id="rId2378" Type="http://schemas.openxmlformats.org/officeDocument/2006/relationships/hyperlink" Target="https://www.cettire.com/collections/ugg" TargetMode="External"/><Relationship Id="rId3429" Type="http://schemas.openxmlformats.org/officeDocument/2006/relationships/hyperlink" Target="https://www.cettire.com/collections/palm-angels-kids" TargetMode="External"/><Relationship Id="rId3776" Type="http://schemas.openxmlformats.org/officeDocument/2006/relationships/hyperlink" Target="https://www.cettire.com/collections/drole-de-monsieur" TargetMode="External"/><Relationship Id="rId3983" Type="http://schemas.openxmlformats.org/officeDocument/2006/relationships/hyperlink" Target="https://www.cettire.com/collections/montblanc" TargetMode="External"/><Relationship Id="rId1187" Type="http://schemas.openxmlformats.org/officeDocument/2006/relationships/hyperlink" Target="https://www.cettire.com/collections/versace-kids" TargetMode="External"/><Relationship Id="rId2585" Type="http://schemas.openxmlformats.org/officeDocument/2006/relationships/hyperlink" Target="https://www.cettire.com/collections/department-5" TargetMode="External"/><Relationship Id="rId2792" Type="http://schemas.openxmlformats.org/officeDocument/2006/relationships/hyperlink" Target="https://www.cettire.com/collections/misbhv" TargetMode="External"/><Relationship Id="rId3636" Type="http://schemas.openxmlformats.org/officeDocument/2006/relationships/hyperlink" Target="https://www.cettire.com/collections/ami" TargetMode="External"/><Relationship Id="rId3843" Type="http://schemas.openxmlformats.org/officeDocument/2006/relationships/hyperlink" Target="https://www.cettire.com/collections/guidi" TargetMode="External"/><Relationship Id="rId557" Type="http://schemas.openxmlformats.org/officeDocument/2006/relationships/hyperlink" Target="https://www.cettire.com/collections/tommy-hilfiger" TargetMode="External"/><Relationship Id="rId764" Type="http://schemas.openxmlformats.org/officeDocument/2006/relationships/hyperlink" Target="https://www.cettire.com/collections/cutler-gross" TargetMode="External"/><Relationship Id="rId971" Type="http://schemas.openxmlformats.org/officeDocument/2006/relationships/hyperlink" Target="https://www.cettire.com/collections/midnight-00" TargetMode="External"/><Relationship Id="rId1394" Type="http://schemas.openxmlformats.org/officeDocument/2006/relationships/hyperlink" Target="https://www.cettire.com/collections/dsquared2-eyewear" TargetMode="External"/><Relationship Id="rId2238" Type="http://schemas.openxmlformats.org/officeDocument/2006/relationships/hyperlink" Target="https://www.cettire.com/collections/oseree" TargetMode="External"/><Relationship Id="rId2445" Type="http://schemas.openxmlformats.org/officeDocument/2006/relationships/hyperlink" Target="https://www.cettire.com/collections/adidas-originals-by-alexander-wang" TargetMode="External"/><Relationship Id="rId2652" Type="http://schemas.openxmlformats.org/officeDocument/2006/relationships/hyperlink" Target="https://www.cettire.com/collections/gallery-dept" TargetMode="External"/><Relationship Id="rId3703" Type="http://schemas.openxmlformats.org/officeDocument/2006/relationships/hyperlink" Target="https://www.cettire.com/collections/c2h4" TargetMode="External"/><Relationship Id="rId3910" Type="http://schemas.openxmlformats.org/officeDocument/2006/relationships/hyperlink" Target="https://www.cettire.com/collections/le-kasha" TargetMode="External"/><Relationship Id="rId417" Type="http://schemas.openxmlformats.org/officeDocument/2006/relationships/hyperlink" Target="https://www.cettire.com/collections/north-sails-x-prada-cup" TargetMode="External"/><Relationship Id="rId624" Type="http://schemas.openxmlformats.org/officeDocument/2006/relationships/hyperlink" Target="https://www.cettire.com/collections/adidas-by-stella-mccartney" TargetMode="External"/><Relationship Id="rId831" Type="http://schemas.openxmlformats.org/officeDocument/2006/relationships/hyperlink" Target="https://www.cettire.com/collections/fucking-awesome" TargetMode="External"/><Relationship Id="rId1047" Type="http://schemas.openxmlformats.org/officeDocument/2006/relationships/hyperlink" Target="https://www.cettire.com/collections/philosophy-di-lorenzo-serafini-kids" TargetMode="External"/><Relationship Id="rId1254" Type="http://schemas.openxmlformats.org/officeDocument/2006/relationships/hyperlink" Target="https://www.cettire.com/collections/ami" TargetMode="External"/><Relationship Id="rId1461" Type="http://schemas.openxmlformats.org/officeDocument/2006/relationships/hyperlink" Target="https://www.cettire.com/collections/harris-wharf-london" TargetMode="External"/><Relationship Id="rId2305" Type="http://schemas.openxmlformats.org/officeDocument/2006/relationships/hyperlink" Target="https://www.cettire.com/collections/rochas" TargetMode="External"/><Relationship Id="rId2512" Type="http://schemas.openxmlformats.org/officeDocument/2006/relationships/hyperlink" Target="https://www.cettire.com/collections/bonpoint" TargetMode="External"/><Relationship Id="rId1114" Type="http://schemas.openxmlformats.org/officeDocument/2006/relationships/hyperlink" Target="https://www.cettire.com/collections/save-the-duck-kids" TargetMode="External"/><Relationship Id="rId1321" Type="http://schemas.openxmlformats.org/officeDocument/2006/relationships/hyperlink" Target="https://www.cettire.com/collections/calvin-klein" TargetMode="External"/><Relationship Id="rId4477" Type="http://schemas.openxmlformats.org/officeDocument/2006/relationships/hyperlink" Target="https://www.cettire.com/collections/il-gufo" TargetMode="External"/><Relationship Id="rId4684" Type="http://schemas.openxmlformats.org/officeDocument/2006/relationships/hyperlink" Target="https://www.cettire.com/collections/red-wing-shoes" TargetMode="External"/><Relationship Id="rId3079" Type="http://schemas.openxmlformats.org/officeDocument/2006/relationships/hyperlink" Target="https://www.cettire.com/collections/ann-demeulemeester" TargetMode="External"/><Relationship Id="rId3286" Type="http://schemas.openxmlformats.org/officeDocument/2006/relationships/hyperlink" Target="https://www.cettire.com/collections/jimmy-choo" TargetMode="External"/><Relationship Id="rId3493" Type="http://schemas.openxmlformats.org/officeDocument/2006/relationships/hyperlink" Target="https://www.cettire.com/collections/sacai" TargetMode="External"/><Relationship Id="rId4337" Type="http://schemas.openxmlformats.org/officeDocument/2006/relationships/hyperlink" Target="https://www.cettire.com/collections/chloe" TargetMode="External"/><Relationship Id="rId4544" Type="http://schemas.openxmlformats.org/officeDocument/2006/relationships/hyperlink" Target="https://www.cettire.com/collections/majestic-filatures" TargetMode="External"/><Relationship Id="rId2095" Type="http://schemas.openxmlformats.org/officeDocument/2006/relationships/hyperlink" Target="https://www.cettire.com/collections/jejia" TargetMode="External"/><Relationship Id="rId3146" Type="http://schemas.openxmlformats.org/officeDocument/2006/relationships/hyperlink" Target="https://www.cettire.com/collections/chiara-ferragni-kids" TargetMode="External"/><Relationship Id="rId3353" Type="http://schemas.openxmlformats.org/officeDocument/2006/relationships/hyperlink" Target="https://www.cettire.com/collections/marquesalmeida" TargetMode="External"/><Relationship Id="rId4751" Type="http://schemas.openxmlformats.org/officeDocument/2006/relationships/hyperlink" Target="https://www.cettire.com/collections/ten-c" TargetMode="External"/><Relationship Id="rId274" Type="http://schemas.openxmlformats.org/officeDocument/2006/relationships/hyperlink" Target="https://www.cettire.com/collections/isaia" TargetMode="External"/><Relationship Id="rId481" Type="http://schemas.openxmlformats.org/officeDocument/2006/relationships/hyperlink" Target="https://www.cettire.com/collections/represent" TargetMode="External"/><Relationship Id="rId2162" Type="http://schemas.openxmlformats.org/officeDocument/2006/relationships/hyperlink" Target="https://www.cettire.com/collections/marni-kids" TargetMode="External"/><Relationship Id="rId3006" Type="http://schemas.openxmlformats.org/officeDocument/2006/relationships/hyperlink" Target="https://www.cettire.com/collections/versace-jeans-couture" TargetMode="External"/><Relationship Id="rId3560" Type="http://schemas.openxmlformats.org/officeDocument/2006/relationships/hyperlink" Target="https://www.cettire.com/collections/valentino" TargetMode="External"/><Relationship Id="rId4404" Type="http://schemas.openxmlformats.org/officeDocument/2006/relationships/hyperlink" Target="https://www.cettire.com/collections/emporio-armani-kids" TargetMode="External"/><Relationship Id="rId4611" Type="http://schemas.openxmlformats.org/officeDocument/2006/relationships/hyperlink" Target="https://www.cettire.com/collections/napa-by-martine-rose" TargetMode="External"/><Relationship Id="rId134" Type="http://schemas.openxmlformats.org/officeDocument/2006/relationships/hyperlink" Target="https://www.cettire.com/collections/christian-louboutin" TargetMode="External"/><Relationship Id="rId3213" Type="http://schemas.openxmlformats.org/officeDocument/2006/relationships/hyperlink" Target="https://www.cettire.com/collections/equipment" TargetMode="External"/><Relationship Id="rId3420" Type="http://schemas.openxmlformats.org/officeDocument/2006/relationships/hyperlink" Target="https://www.cettire.com/collections/oliver-peoples" TargetMode="External"/><Relationship Id="rId341" Type="http://schemas.openxmlformats.org/officeDocument/2006/relationships/hyperlink" Target="https://www.cettire.com/collections/manu-atelier" TargetMode="External"/><Relationship Id="rId2022" Type="http://schemas.openxmlformats.org/officeDocument/2006/relationships/hyperlink" Target="https://www.cettire.com/collections/extreme-cashmere" TargetMode="External"/><Relationship Id="rId2979" Type="http://schemas.openxmlformats.org/officeDocument/2006/relationships/hyperlink" Target="https://www.cettire.com/collections/tom-ford" TargetMode="External"/><Relationship Id="rId201" Type="http://schemas.openxmlformats.org/officeDocument/2006/relationships/hyperlink" Target="https://www.cettire.com/collections/ermenegildo-zegna" TargetMode="External"/><Relationship Id="rId1788" Type="http://schemas.openxmlformats.org/officeDocument/2006/relationships/hyperlink" Target="https://www.cettire.com/collections/veja-kids" TargetMode="External"/><Relationship Id="rId1995" Type="http://schemas.openxmlformats.org/officeDocument/2006/relationships/hyperlink" Target="https://www.cettire.com/collections/dolce-gabbana-eyewear" TargetMode="External"/><Relationship Id="rId2839" Type="http://schemas.openxmlformats.org/officeDocument/2006/relationships/hyperlink" Target="https://www.cettire.com/collections/north-sails-x-prada-cup" TargetMode="External"/><Relationship Id="rId4194" Type="http://schemas.openxmlformats.org/officeDocument/2006/relationships/hyperlink" Target="https://www.cettire.com/collections/woolrich-kids" TargetMode="External"/><Relationship Id="rId1648" Type="http://schemas.openxmlformats.org/officeDocument/2006/relationships/hyperlink" Target="https://www.cettire.com/collections/philipp-plein" TargetMode="External"/><Relationship Id="rId4054" Type="http://schemas.openxmlformats.org/officeDocument/2006/relationships/hyperlink" Target="https://www.cettire.com/collections/proenza-schouler" TargetMode="External"/><Relationship Id="rId4261" Type="http://schemas.openxmlformats.org/officeDocument/2006/relationships/hyperlink" Target="https://www.cettire.com/collections/aragona" TargetMode="External"/><Relationship Id="rId1508" Type="http://schemas.openxmlformats.org/officeDocument/2006/relationships/hyperlink" Target="https://www.cettire.com/collections/karl-lagerfeld-kids" TargetMode="External"/><Relationship Id="rId1855" Type="http://schemas.openxmlformats.org/officeDocument/2006/relationships/hyperlink" Target="https://www.cettire.com/collections/alexandre-vauthier" TargetMode="External"/><Relationship Id="rId2906" Type="http://schemas.openxmlformats.org/officeDocument/2006/relationships/hyperlink" Target="https://www.cettire.com/collections/retrosuperfuture" TargetMode="External"/><Relationship Id="rId3070" Type="http://schemas.openxmlformats.org/officeDocument/2006/relationships/hyperlink" Target="https://www.cettire.com/collections/alpha-industries" TargetMode="External"/><Relationship Id="rId4121" Type="http://schemas.openxmlformats.org/officeDocument/2006/relationships/hyperlink" Target="https://www.cettire.com/collections/stand-studio" TargetMode="External"/><Relationship Id="rId1715" Type="http://schemas.openxmlformats.org/officeDocument/2006/relationships/hyperlink" Target="https://www.cettire.com/collections/salvatore-ferragamo-eyewear" TargetMode="External"/><Relationship Id="rId1922" Type="http://schemas.openxmlformats.org/officeDocument/2006/relationships/hyperlink" Target="https://www.cettire.com/collections/buttero" TargetMode="External"/><Relationship Id="rId3887" Type="http://schemas.openxmlformats.org/officeDocument/2006/relationships/hyperlink" Target="https://www.cettire.com/collections/k-way" TargetMode="External"/><Relationship Id="rId2489" Type="http://schemas.openxmlformats.org/officeDocument/2006/relationships/hyperlink" Target="https://www.cettire.com/collections/balenciaga" TargetMode="External"/><Relationship Id="rId2696" Type="http://schemas.openxmlformats.org/officeDocument/2006/relationships/hyperlink" Target="https://www.cettire.com/collections/issey-miyake-men" TargetMode="External"/><Relationship Id="rId3747" Type="http://schemas.openxmlformats.org/officeDocument/2006/relationships/hyperlink" Target="https://www.cettire.com/collections/converse" TargetMode="External"/><Relationship Id="rId3954" Type="http://schemas.openxmlformats.org/officeDocument/2006/relationships/hyperlink" Target="https://www.cettire.com/collections/max-mara-pianoforte" TargetMode="External"/><Relationship Id="rId668" Type="http://schemas.openxmlformats.org/officeDocument/2006/relationships/hyperlink" Target="https://www.cettire.com/collections/au-depart" TargetMode="External"/><Relationship Id="rId875" Type="http://schemas.openxmlformats.org/officeDocument/2006/relationships/hyperlink" Target="https://www.cettire.com/collections/incotex" TargetMode="External"/><Relationship Id="rId1298" Type="http://schemas.openxmlformats.org/officeDocument/2006/relationships/hyperlink" Target="https://www.cettire.com/collections/bobo-choses" TargetMode="External"/><Relationship Id="rId2349" Type="http://schemas.openxmlformats.org/officeDocument/2006/relationships/hyperlink" Target="https://www.cettire.com/collections/suicoke" TargetMode="External"/><Relationship Id="rId2556" Type="http://schemas.openxmlformats.org/officeDocument/2006/relationships/hyperlink" Target="https://www.cettire.com/collections/christian-louboutin" TargetMode="External"/><Relationship Id="rId2763" Type="http://schemas.openxmlformats.org/officeDocument/2006/relationships/hyperlink" Target="https://www.cettire.com/collections/marc-jacobs" TargetMode="External"/><Relationship Id="rId2970" Type="http://schemas.openxmlformats.org/officeDocument/2006/relationships/hyperlink" Target="https://www.cettire.com/collections/the-north-face" TargetMode="External"/><Relationship Id="rId3607" Type="http://schemas.openxmlformats.org/officeDocument/2006/relationships/hyperlink" Target="https://www.cettire.com/collections/adidas" TargetMode="External"/><Relationship Id="rId3814" Type="http://schemas.openxmlformats.org/officeDocument/2006/relationships/hyperlink" Target="https://www.cettire.com/collections/fila" TargetMode="External"/><Relationship Id="rId528" Type="http://schemas.openxmlformats.org/officeDocument/2006/relationships/hyperlink" Target="https://www.cettire.com/collections/stella-mccartney-kids" TargetMode="External"/><Relationship Id="rId735" Type="http://schemas.openxmlformats.org/officeDocument/2006/relationships/hyperlink" Target="https://www.cettire.com/collections/chlo%C3%A9%20kids" TargetMode="External"/><Relationship Id="rId942" Type="http://schemas.openxmlformats.org/officeDocument/2006/relationships/hyperlink" Target="https://www.cettire.com/collections/manolo-blahnik" TargetMode="External"/><Relationship Id="rId1158" Type="http://schemas.openxmlformats.org/officeDocument/2006/relationships/hyperlink" Target="https://www.cettire.com/collections/tods" TargetMode="External"/><Relationship Id="rId1365" Type="http://schemas.openxmlformats.org/officeDocument/2006/relationships/hyperlink" Target="https://www.cettire.com/collections/corneliani" TargetMode="External"/><Relationship Id="rId1572" Type="http://schemas.openxmlformats.org/officeDocument/2006/relationships/hyperlink" Target="https://www.cettire.com/collections/mcm" TargetMode="External"/><Relationship Id="rId2209" Type="http://schemas.openxmlformats.org/officeDocument/2006/relationships/hyperlink" Target="https://www.cettire.com/collections/mulberry" TargetMode="External"/><Relationship Id="rId2416" Type="http://schemas.openxmlformats.org/officeDocument/2006/relationships/hyperlink" Target="https://www.cettire.com/collections/yuzefi" TargetMode="External"/><Relationship Id="rId2623" Type="http://schemas.openxmlformats.org/officeDocument/2006/relationships/hyperlink" Target="https://www.cettire.com/collections/ermanno-scervino" TargetMode="External"/><Relationship Id="rId1018" Type="http://schemas.openxmlformats.org/officeDocument/2006/relationships/hyperlink" Target="https://www.cettire.com/collections/norse-projects" TargetMode="External"/><Relationship Id="rId1225" Type="http://schemas.openxmlformats.org/officeDocument/2006/relationships/hyperlink" Target="https://www.cettire.com/collections/adidas-by-danielle-cathari" TargetMode="External"/><Relationship Id="rId1432" Type="http://schemas.openxmlformats.org/officeDocument/2006/relationships/hyperlink" Target="https://www.cettire.com/collections/flat-apartment" TargetMode="External"/><Relationship Id="rId2830" Type="http://schemas.openxmlformats.org/officeDocument/2006/relationships/hyperlink" Target="https://www.cettire.com/collections/new-balance" TargetMode="External"/><Relationship Id="rId4588" Type="http://schemas.openxmlformats.org/officeDocument/2006/relationships/hyperlink" Target="https://www.cettire.com/collections/molo" TargetMode="External"/><Relationship Id="rId71" Type="http://schemas.openxmlformats.org/officeDocument/2006/relationships/hyperlink" Target="https://www.cettire.com/collections/balmain" TargetMode="External"/><Relationship Id="rId802" Type="http://schemas.openxmlformats.org/officeDocument/2006/relationships/hyperlink" Target="https://www.cettire.com/collections/enfants-riches-deprimes" TargetMode="External"/><Relationship Id="rId3397" Type="http://schemas.openxmlformats.org/officeDocument/2006/relationships/hyperlink" Target="https://www.cettire.com/collections/mykita" TargetMode="External"/><Relationship Id="rId4795" Type="http://schemas.openxmlformats.org/officeDocument/2006/relationships/hyperlink" Target="https://www.cettire.com/collections/vision-of-super" TargetMode="External"/><Relationship Id="rId4448" Type="http://schemas.openxmlformats.org/officeDocument/2006/relationships/hyperlink" Target="https://www.cettire.com/collections/givenchy" TargetMode="External"/><Relationship Id="rId4655" Type="http://schemas.openxmlformats.org/officeDocument/2006/relationships/hyperlink" Target="https://www.cettire.com/collections/pierre-louis-mascia" TargetMode="External"/><Relationship Id="rId178" Type="http://schemas.openxmlformats.org/officeDocument/2006/relationships/hyperlink" Target="https://www.cettire.com/collections/dolce-gabbana" TargetMode="External"/><Relationship Id="rId3257" Type="http://schemas.openxmlformats.org/officeDocument/2006/relationships/hyperlink" Target="https://www.cettire.com/collections/gucci-kids" TargetMode="External"/><Relationship Id="rId3464" Type="http://schemas.openxmlformats.org/officeDocument/2006/relationships/hyperlink" Target="https://www.cettire.com/collections/ralph-lauren-kids" TargetMode="External"/><Relationship Id="rId3671" Type="http://schemas.openxmlformats.org/officeDocument/2006/relationships/hyperlink" Target="https://www.cettire.com/collections/barena" TargetMode="External"/><Relationship Id="rId4308" Type="http://schemas.openxmlformats.org/officeDocument/2006/relationships/hyperlink" Target="https://www.cettire.com/collections/burberry" TargetMode="External"/><Relationship Id="rId4515" Type="http://schemas.openxmlformats.org/officeDocument/2006/relationships/hyperlink" Target="https://www.cettire.com/collections/la-doublej" TargetMode="External"/><Relationship Id="rId4722" Type="http://schemas.openxmlformats.org/officeDocument/2006/relationships/hyperlink" Target="https://www.cettire.com/collections/si-rossi" TargetMode="External"/><Relationship Id="rId385" Type="http://schemas.openxmlformats.org/officeDocument/2006/relationships/hyperlink" Target="https://www.cettire.com/collections/moncler-grenoble" TargetMode="External"/><Relationship Id="rId592" Type="http://schemas.openxmlformats.org/officeDocument/2006/relationships/hyperlink" Target="https://www.cettire.com/collections/white-mountaineering" TargetMode="External"/><Relationship Id="rId2066" Type="http://schemas.openxmlformats.org/officeDocument/2006/relationships/hyperlink" Target="https://www.cettire.com/collections/haider-ackermann" TargetMode="External"/><Relationship Id="rId2273" Type="http://schemas.openxmlformats.org/officeDocument/2006/relationships/hyperlink" Target="https://www.cettire.com/collections/pt-torino" TargetMode="External"/><Relationship Id="rId2480" Type="http://schemas.openxmlformats.org/officeDocument/2006/relationships/hyperlink" Target="https://www.cettire.com/collections/arma" TargetMode="External"/><Relationship Id="rId3117" Type="http://schemas.openxmlformats.org/officeDocument/2006/relationships/hyperlink" Target="https://www.cettire.com/collections/bottega-veneta-eyewear" TargetMode="External"/><Relationship Id="rId3324" Type="http://schemas.openxmlformats.org/officeDocument/2006/relationships/hyperlink" Target="https://www.cettire.com/collections/linda-farrow" TargetMode="External"/><Relationship Id="rId3531" Type="http://schemas.openxmlformats.org/officeDocument/2006/relationships/hyperlink" Target="https://www.cettire.com/collections/tagliatore" TargetMode="External"/><Relationship Id="rId245" Type="http://schemas.openxmlformats.org/officeDocument/2006/relationships/hyperlink" Target="https://www.cettire.com/collections/grevi" TargetMode="External"/><Relationship Id="rId452" Type="http://schemas.openxmlformats.org/officeDocument/2006/relationships/hyperlink" Target="https://www.cettire.com/collections/porter-yoshida-co" TargetMode="External"/><Relationship Id="rId1082" Type="http://schemas.openxmlformats.org/officeDocument/2006/relationships/hyperlink" Target="https://www.cettire.com/collections/reike-nen" TargetMode="External"/><Relationship Id="rId2133" Type="http://schemas.openxmlformats.org/officeDocument/2006/relationships/hyperlink" Target="https://www.cettire.com/collections/linda-farrow" TargetMode="External"/><Relationship Id="rId2340" Type="http://schemas.openxmlformats.org/officeDocument/2006/relationships/hyperlink" Target="https://www.cettire.com/collections/stella-mccartney" TargetMode="External"/><Relationship Id="rId105" Type="http://schemas.openxmlformats.org/officeDocument/2006/relationships/hyperlink" Target="https://www.cettire.com/collections/buttero" TargetMode="External"/><Relationship Id="rId312" Type="http://schemas.openxmlformats.org/officeDocument/2006/relationships/hyperlink" Target="https://www.cettire.com/collections/lauren-ralph-lauren" TargetMode="External"/><Relationship Id="rId2200" Type="http://schemas.openxmlformats.org/officeDocument/2006/relationships/hyperlink" Target="https://www.cettire.com/collections/montblanc" TargetMode="External"/><Relationship Id="rId4098" Type="http://schemas.openxmlformats.org/officeDocument/2006/relationships/hyperlink" Target="https://www.cettire.com/collections/saks-potts" TargetMode="External"/><Relationship Id="rId1899" Type="http://schemas.openxmlformats.org/officeDocument/2006/relationships/hyperlink" Target="https://www.cettire.com/collections/berluti" TargetMode="External"/><Relationship Id="rId4165" Type="http://schemas.openxmlformats.org/officeDocument/2006/relationships/hyperlink" Target="https://www.cettire.com/collections/uh-nom-uh-nit" TargetMode="External"/><Relationship Id="rId4372" Type="http://schemas.openxmlformats.org/officeDocument/2006/relationships/hyperlink" Target="https://www.cettire.com/collections/desa-1972" TargetMode="External"/><Relationship Id="rId1759" Type="http://schemas.openxmlformats.org/officeDocument/2006/relationships/hyperlink" Target="https://www.cettire.com/collections/the-row" TargetMode="External"/><Relationship Id="rId1966" Type="http://schemas.openxmlformats.org/officeDocument/2006/relationships/hyperlink" Target="https://www.cettire.com/collections/comme-des-garcons-shirt-boys" TargetMode="External"/><Relationship Id="rId3181" Type="http://schemas.openxmlformats.org/officeDocument/2006/relationships/hyperlink" Target="https://www.cettire.com/collections/diadora" TargetMode="External"/><Relationship Id="rId4025" Type="http://schemas.openxmlformats.org/officeDocument/2006/relationships/hyperlink" Target="https://www.cettire.com/collections/p-a-r-o-s-h" TargetMode="External"/><Relationship Id="rId1619" Type="http://schemas.openxmlformats.org/officeDocument/2006/relationships/hyperlink" Target="https://www.cettire.com/collections/nicomede" TargetMode="External"/><Relationship Id="rId1826" Type="http://schemas.openxmlformats.org/officeDocument/2006/relationships/hyperlink" Target="https://www.cettire.com/collections/a-cold-wall" TargetMode="External"/><Relationship Id="rId4232" Type="http://schemas.openxmlformats.org/officeDocument/2006/relationships/hyperlink" Target="https://www.cettire.com/collections/agnona" TargetMode="External"/><Relationship Id="rId3041" Type="http://schemas.openxmlformats.org/officeDocument/2006/relationships/hyperlink" Target="https://www.cettire.com/collections/a-p-c" TargetMode="External"/><Relationship Id="rId3998" Type="http://schemas.openxmlformats.org/officeDocument/2006/relationships/hyperlink" Target="https://www.cettire.com/collections/napa-by-martine-rose" TargetMode="External"/><Relationship Id="rId3858" Type="http://schemas.openxmlformats.org/officeDocument/2006/relationships/hyperlink" Target="https://www.cettire.com/collections/howlin" TargetMode="External"/><Relationship Id="rId779" Type="http://schemas.openxmlformats.org/officeDocument/2006/relationships/hyperlink" Target="https://www.cettire.com/collections/dita-eyewear" TargetMode="External"/><Relationship Id="rId986" Type="http://schemas.openxmlformats.org/officeDocument/2006/relationships/hyperlink" Target="https://www.cettire.com/collections/moncler-gamme-rouge" TargetMode="External"/><Relationship Id="rId2667" Type="http://schemas.openxmlformats.org/officeDocument/2006/relationships/hyperlink" Target="https://www.cettire.com/collections/gucci" TargetMode="External"/><Relationship Id="rId3718" Type="http://schemas.openxmlformats.org/officeDocument/2006/relationships/hyperlink" Target="https://www.cettire.com/collections/champion" TargetMode="External"/><Relationship Id="rId639" Type="http://schemas.openxmlformats.org/officeDocument/2006/relationships/hyperlink" Target="https://www.cettire.com/collections/alessia-xoccato" TargetMode="External"/><Relationship Id="rId1269" Type="http://schemas.openxmlformats.org/officeDocument/2006/relationships/hyperlink" Target="https://www.cettire.com/collections/arma" TargetMode="External"/><Relationship Id="rId1476" Type="http://schemas.openxmlformats.org/officeDocument/2006/relationships/hyperlink" Target="https://www.cettire.com/collections/ienki-ienki" TargetMode="External"/><Relationship Id="rId2874" Type="http://schemas.openxmlformats.org/officeDocument/2006/relationships/hyperlink" Target="https://www.cettire.com/collections/polo-ralph-lauren-kids" TargetMode="External"/><Relationship Id="rId3925" Type="http://schemas.openxmlformats.org/officeDocument/2006/relationships/hyperlink" Target="https://www.cettire.com/collections/mackintosh" TargetMode="External"/><Relationship Id="rId846" Type="http://schemas.openxmlformats.org/officeDocument/2006/relationships/hyperlink" Target="https://www.cettire.com/collections/golden-goose-deluxe-brand" TargetMode="External"/><Relationship Id="rId1129" Type="http://schemas.openxmlformats.org/officeDocument/2006/relationships/hyperlink" Target="https://www.cettire.com/collections/staud" TargetMode="External"/><Relationship Id="rId1683" Type="http://schemas.openxmlformats.org/officeDocument/2006/relationships/hyperlink" Target="https://www.cettire.com/collections/rebecca-minkoff" TargetMode="External"/><Relationship Id="rId1890" Type="http://schemas.openxmlformats.org/officeDocument/2006/relationships/hyperlink" Target="https://www.cettire.com/collections/balmain-kids" TargetMode="External"/><Relationship Id="rId2527" Type="http://schemas.openxmlformats.org/officeDocument/2006/relationships/hyperlink" Target="https://www.cettire.com/collections/buttero" TargetMode="External"/><Relationship Id="rId2734" Type="http://schemas.openxmlformats.org/officeDocument/2006/relationships/hyperlink" Target="https://www.cettire.com/collections/lauren-ralph-lauren" TargetMode="External"/><Relationship Id="rId2941" Type="http://schemas.openxmlformats.org/officeDocument/2006/relationships/hyperlink" Target="https://www.cettire.com/collections/simone-rocha" TargetMode="External"/><Relationship Id="rId706" Type="http://schemas.openxmlformats.org/officeDocument/2006/relationships/hyperlink" Target="https://www.cettire.com/collections/burberry-eyewear" TargetMode="External"/><Relationship Id="rId913" Type="http://schemas.openxmlformats.org/officeDocument/2006/relationships/hyperlink" Target="https://www.cettire.com/collections/laneus" TargetMode="External"/><Relationship Id="rId1336" Type="http://schemas.openxmlformats.org/officeDocument/2006/relationships/hyperlink" Target="https://www.cettire.com/collections/chanel" TargetMode="External"/><Relationship Id="rId1543" Type="http://schemas.openxmlformats.org/officeDocument/2006/relationships/hyperlink" Target="https://www.cettire.com/collections/maison-margiela" TargetMode="External"/><Relationship Id="rId1750" Type="http://schemas.openxmlformats.org/officeDocument/2006/relationships/hyperlink" Target="https://www.cettire.com/collections/tagliatore" TargetMode="External"/><Relationship Id="rId2801" Type="http://schemas.openxmlformats.org/officeDocument/2006/relationships/hyperlink" Target="https://www.cettire.com/collections/moncler" TargetMode="External"/><Relationship Id="rId4699" Type="http://schemas.openxmlformats.org/officeDocument/2006/relationships/hyperlink" Target="https://www.cettire.com/collections/roberto-collina" TargetMode="External"/><Relationship Id="rId42" Type="http://schemas.openxmlformats.org/officeDocument/2006/relationships/hyperlink" Target="https://www.cettire.com/collections/ami" TargetMode="External"/><Relationship Id="rId1403" Type="http://schemas.openxmlformats.org/officeDocument/2006/relationships/hyperlink" Target="https://www.cettire.com/collections/elisabetta-franchi" TargetMode="External"/><Relationship Id="rId1610" Type="http://schemas.openxmlformats.org/officeDocument/2006/relationships/hyperlink" Target="https://www.cettire.com/collections/nanushka" TargetMode="External"/><Relationship Id="rId4559" Type="http://schemas.openxmlformats.org/officeDocument/2006/relationships/hyperlink" Target="https://www.cettire.com/collections/marquesalmeida" TargetMode="External"/><Relationship Id="rId4766" Type="http://schemas.openxmlformats.org/officeDocument/2006/relationships/hyperlink" Target="https://www.cettire.com/collections/tom-ford-eyewear" TargetMode="External"/><Relationship Id="rId3368" Type="http://schemas.openxmlformats.org/officeDocument/2006/relationships/hyperlink" Target="https://www.cettire.com/collections/michael-kors" TargetMode="External"/><Relationship Id="rId3575" Type="http://schemas.openxmlformats.org/officeDocument/2006/relationships/hyperlink" Target="https://www.cettire.com/collections/visvim" TargetMode="External"/><Relationship Id="rId3782" Type="http://schemas.openxmlformats.org/officeDocument/2006/relationships/hyperlink" Target="https://www.cettire.com/collections/eckhaus-latta" TargetMode="External"/><Relationship Id="rId4419" Type="http://schemas.openxmlformats.org/officeDocument/2006/relationships/hyperlink" Target="https://www.cettire.com/collections/faith-connexion" TargetMode="External"/><Relationship Id="rId4626" Type="http://schemas.openxmlformats.org/officeDocument/2006/relationships/hyperlink" Target="https://www.cettire.com/collections/nudie-jeans" TargetMode="External"/><Relationship Id="rId289" Type="http://schemas.openxmlformats.org/officeDocument/2006/relationships/hyperlink" Target="https://www.cettire.com/collections/junya-watanabe-comme-des-garcons" TargetMode="External"/><Relationship Id="rId496" Type="http://schemas.openxmlformats.org/officeDocument/2006/relationships/hyperlink" Target="https://www.cettire.com/collections/rotate" TargetMode="External"/><Relationship Id="rId2177" Type="http://schemas.openxmlformats.org/officeDocument/2006/relationships/hyperlink" Target="https://www.cettire.com/collections/mcq-alexander-mcqueen" TargetMode="External"/><Relationship Id="rId2384" Type="http://schemas.openxmlformats.org/officeDocument/2006/relationships/hyperlink" Target="https://www.cettire.com/collections/undercover" TargetMode="External"/><Relationship Id="rId2591" Type="http://schemas.openxmlformats.org/officeDocument/2006/relationships/hyperlink" Target="https://www.cettire.com/collections/diesel-black-gold" TargetMode="External"/><Relationship Id="rId3228" Type="http://schemas.openxmlformats.org/officeDocument/2006/relationships/hyperlink" Target="https://www.cettire.com/collections/fendi" TargetMode="External"/><Relationship Id="rId3435" Type="http://schemas.openxmlformats.org/officeDocument/2006/relationships/hyperlink" Target="https://www.cettire.com/collections/philipp-plein" TargetMode="External"/><Relationship Id="rId3642" Type="http://schemas.openxmlformats.org/officeDocument/2006/relationships/hyperlink" Target="https://www.cettire.com/collections/aniye-by" TargetMode="External"/><Relationship Id="rId149" Type="http://schemas.openxmlformats.org/officeDocument/2006/relationships/hyperlink" Target="https://www.cettire.com/collections/comme-des-garcons-shirt" TargetMode="External"/><Relationship Id="rId356" Type="http://schemas.openxmlformats.org/officeDocument/2006/relationships/hyperlink" Target="https://www.cettire.com/collections/maurizio-miri" TargetMode="External"/><Relationship Id="rId563" Type="http://schemas.openxmlformats.org/officeDocument/2006/relationships/hyperlink" Target="https://www.cettire.com/collections/twinset-kids" TargetMode="External"/><Relationship Id="rId770" Type="http://schemas.openxmlformats.org/officeDocument/2006/relationships/hyperlink" Target="https://www.cettire.com/collections/diane-von-furstenberg" TargetMode="External"/><Relationship Id="rId1193" Type="http://schemas.openxmlformats.org/officeDocument/2006/relationships/hyperlink" Target="https://www.cettire.com/collections/wandler" TargetMode="External"/><Relationship Id="rId2037" Type="http://schemas.openxmlformats.org/officeDocument/2006/relationships/hyperlink" Target="https://www.cettire.com/collections/finamore-1925-napoli" TargetMode="External"/><Relationship Id="rId2244" Type="http://schemas.openxmlformats.org/officeDocument/2006/relationships/hyperlink" Target="https://www.cettire.com/collections/palm-angels" TargetMode="External"/><Relationship Id="rId2451" Type="http://schemas.openxmlformats.org/officeDocument/2006/relationships/hyperlink" Target="https://www.cettire.com/collections/alanui" TargetMode="External"/><Relationship Id="rId216" Type="http://schemas.openxmlformats.org/officeDocument/2006/relationships/hyperlink" Target="https://www.cettire.com/collections/fendi-kids" TargetMode="External"/><Relationship Id="rId423" Type="http://schemas.openxmlformats.org/officeDocument/2006/relationships/hyperlink" Target="https://www.cettire.com/collections/officine-creative" TargetMode="External"/><Relationship Id="rId1053" Type="http://schemas.openxmlformats.org/officeDocument/2006/relationships/hyperlink" Target="https://www.cettire.com/collections/polo-ralph-lauren" TargetMode="External"/><Relationship Id="rId1260" Type="http://schemas.openxmlformats.org/officeDocument/2006/relationships/hyperlink" Target="https://www.cettire.com/collections/ann-demeulemeester" TargetMode="External"/><Relationship Id="rId2104" Type="http://schemas.openxmlformats.org/officeDocument/2006/relationships/hyperlink" Target="https://www.cettire.com/collections/junya-watanabe-comme-des-garcons" TargetMode="External"/><Relationship Id="rId3502" Type="http://schemas.openxmlformats.org/officeDocument/2006/relationships/hyperlink" Target="https://www.cettire.com/collections/save-the-duck-kids" TargetMode="External"/><Relationship Id="rId630" Type="http://schemas.openxmlformats.org/officeDocument/2006/relationships/hyperlink" Target="https://www.cettire.com/collections/aeyd%C4%93" TargetMode="External"/><Relationship Id="rId2311" Type="http://schemas.openxmlformats.org/officeDocument/2006/relationships/hyperlink" Target="https://www.cettire.com/collections/ruslan-baginskiy" TargetMode="External"/><Relationship Id="rId4069" Type="http://schemas.openxmlformats.org/officeDocument/2006/relationships/hyperlink" Target="https://www.cettire.com/collections/readymade" TargetMode="External"/><Relationship Id="rId1120" Type="http://schemas.openxmlformats.org/officeDocument/2006/relationships/hyperlink" Target="https://www.cettire.com/collections/simon-miller" TargetMode="External"/><Relationship Id="rId4276" Type="http://schemas.openxmlformats.org/officeDocument/2006/relationships/hyperlink" Target="https://www.cettire.com/collections/balenciaga-kids" TargetMode="External"/><Relationship Id="rId4483" Type="http://schemas.openxmlformats.org/officeDocument/2006/relationships/hyperlink" Target="https://www.cettire.com/collections/issey-miyake" TargetMode="External"/><Relationship Id="rId4690" Type="http://schemas.openxmlformats.org/officeDocument/2006/relationships/hyperlink" Target="https://www.cettire.com/collections/represent" TargetMode="External"/><Relationship Id="rId1937" Type="http://schemas.openxmlformats.org/officeDocument/2006/relationships/hyperlink" Target="https://www.cettire.com/collections/carven" TargetMode="External"/><Relationship Id="rId3085" Type="http://schemas.openxmlformats.org/officeDocument/2006/relationships/hyperlink" Target="https://www.cettire.com/collections/aries" TargetMode="External"/><Relationship Id="rId3292" Type="http://schemas.openxmlformats.org/officeDocument/2006/relationships/hyperlink" Target="https://www.cettire.com/collections/junya-watanabe-comme-des-garcons" TargetMode="External"/><Relationship Id="rId4136" Type="http://schemas.openxmlformats.org/officeDocument/2006/relationships/hyperlink" Target="https://www.cettire.com/collections/t-by-alexander-wang" TargetMode="External"/><Relationship Id="rId4343" Type="http://schemas.openxmlformats.org/officeDocument/2006/relationships/hyperlink" Target="https://www.cettire.com/collections/churchs" TargetMode="External"/><Relationship Id="rId4550" Type="http://schemas.openxmlformats.org/officeDocument/2006/relationships/hyperlink" Target="https://www.cettire.com/collections/manu-atelier" TargetMode="External"/><Relationship Id="rId3152" Type="http://schemas.openxmlformats.org/officeDocument/2006/relationships/hyperlink" Target="https://www.cettire.com/collections/chopova-lowena" TargetMode="External"/><Relationship Id="rId4203" Type="http://schemas.openxmlformats.org/officeDocument/2006/relationships/hyperlink" Target="https://www.cettire.com/collections/z-zegna" TargetMode="External"/><Relationship Id="rId4410" Type="http://schemas.openxmlformats.org/officeDocument/2006/relationships/hyperlink" Target="https://www.cettire.com/collections/ermenegildo-zegna" TargetMode="External"/><Relationship Id="rId280" Type="http://schemas.openxmlformats.org/officeDocument/2006/relationships/hyperlink" Target="https://www.cettire.com/collections/jejia" TargetMode="External"/><Relationship Id="rId3012" Type="http://schemas.openxmlformats.org/officeDocument/2006/relationships/hyperlink" Target="https://www.cettire.com/collections/vivienne-westwood" TargetMode="External"/><Relationship Id="rId140" Type="http://schemas.openxmlformats.org/officeDocument/2006/relationships/hyperlink" Target="https://www.cettire.com/collections/coliac" TargetMode="External"/><Relationship Id="rId3969" Type="http://schemas.openxmlformats.org/officeDocument/2006/relationships/hyperlink" Target="https://www.cettire.com/collections/missoni-mare" TargetMode="External"/><Relationship Id="rId6" Type="http://schemas.openxmlformats.org/officeDocument/2006/relationships/hyperlink" Target="https://www.cettire.com/collections/lvin-l-in-kids" TargetMode="External"/><Relationship Id="rId2778" Type="http://schemas.openxmlformats.org/officeDocument/2006/relationships/hyperlink" Target="https://www.cettire.com/collections/max-mara" TargetMode="External"/><Relationship Id="rId2985" Type="http://schemas.openxmlformats.org/officeDocument/2006/relationships/hyperlink" Target="https://www.cettire.com/collections/trippen" TargetMode="External"/><Relationship Id="rId3829" Type="http://schemas.openxmlformats.org/officeDocument/2006/relationships/hyperlink" Target="https://www.cettire.com/collections/gcds-kids" TargetMode="External"/><Relationship Id="rId957" Type="http://schemas.openxmlformats.org/officeDocument/2006/relationships/hyperlink" Target="https://www.cettire.com/collections/materiel" TargetMode="External"/><Relationship Id="rId1587" Type="http://schemas.openxmlformats.org/officeDocument/2006/relationships/hyperlink" Target="https://www.cettire.com/collections/molo" TargetMode="External"/><Relationship Id="rId1794" Type="http://schemas.openxmlformats.org/officeDocument/2006/relationships/hyperlink" Target="https://www.cettire.com/collections/vince" TargetMode="External"/><Relationship Id="rId2638" Type="http://schemas.openxmlformats.org/officeDocument/2006/relationships/hyperlink" Target="https://www.cettire.com/collections/fendi-eyewear" TargetMode="External"/><Relationship Id="rId2845" Type="http://schemas.openxmlformats.org/officeDocument/2006/relationships/hyperlink" Target="https://www.cettire.com/collections/officine-creative" TargetMode="External"/><Relationship Id="rId86" Type="http://schemas.openxmlformats.org/officeDocument/2006/relationships/hyperlink" Target="https://www.cettire.com/collections/bobo-choses" TargetMode="External"/><Relationship Id="rId817" Type="http://schemas.openxmlformats.org/officeDocument/2006/relationships/hyperlink" Target="https://www.cettire.com/collections/fear-of-god" TargetMode="External"/><Relationship Id="rId1447" Type="http://schemas.openxmlformats.org/officeDocument/2006/relationships/hyperlink" Target="https://www.cettire.com/collections/giambattista-valli" TargetMode="External"/><Relationship Id="rId1654" Type="http://schemas.openxmlformats.org/officeDocument/2006/relationships/hyperlink" Target="https://www.cettire.com/collections/pierre-hardy" TargetMode="External"/><Relationship Id="rId1861" Type="http://schemas.openxmlformats.org/officeDocument/2006/relationships/hyperlink" Target="https://www.cettire.com/collections/amina-muaddi" TargetMode="External"/><Relationship Id="rId2705" Type="http://schemas.openxmlformats.org/officeDocument/2006/relationships/hyperlink" Target="https://www.cettire.com/collections/john-elliott" TargetMode="External"/><Relationship Id="rId2912" Type="http://schemas.openxmlformats.org/officeDocument/2006/relationships/hyperlink" Target="https://www.cettire.com/collections/rick-owens-x-veja" TargetMode="External"/><Relationship Id="rId4060" Type="http://schemas.openxmlformats.org/officeDocument/2006/relationships/hyperlink" Target="https://www.cettire.com/collections/r-m-williams" TargetMode="External"/><Relationship Id="rId1307" Type="http://schemas.openxmlformats.org/officeDocument/2006/relationships/hyperlink" Target="https://www.cettire.com/collections/brian-dales" TargetMode="External"/><Relationship Id="rId1514" Type="http://schemas.openxmlformats.org/officeDocument/2006/relationships/hyperlink" Target="https://www.cettire.com/collections/kuboraum" TargetMode="External"/><Relationship Id="rId1721" Type="http://schemas.openxmlformats.org/officeDocument/2006/relationships/hyperlink" Target="https://www.cettire.com/collections/see-by-chloe" TargetMode="External"/><Relationship Id="rId13" Type="http://schemas.openxmlformats.org/officeDocument/2006/relationships/hyperlink" Target="https://www.cettire.com/collections/adidas" TargetMode="External"/><Relationship Id="rId3479" Type="http://schemas.openxmlformats.org/officeDocument/2006/relationships/hyperlink" Target="https://www.cettire.com/collections/rhude" TargetMode="External"/><Relationship Id="rId3686" Type="http://schemas.openxmlformats.org/officeDocument/2006/relationships/hyperlink" Target="https://www.cettire.com/collections/bottega-veneta-eyewear" TargetMode="External"/><Relationship Id="rId2288" Type="http://schemas.openxmlformats.org/officeDocument/2006/relationships/hyperlink" Target="https://www.cettire.com/collections/red-valentino" TargetMode="External"/><Relationship Id="rId2495" Type="http://schemas.openxmlformats.org/officeDocument/2006/relationships/hyperlink" Target="https://www.cettire.com/collections/balmain-kids" TargetMode="External"/><Relationship Id="rId3339" Type="http://schemas.openxmlformats.org/officeDocument/2006/relationships/hyperlink" Target="https://www.cettire.com/collections/maison-michel" TargetMode="External"/><Relationship Id="rId3893" Type="http://schemas.openxmlformats.org/officeDocument/2006/relationships/hyperlink" Target="https://www.cettire.com/collections/kenzo" TargetMode="External"/><Relationship Id="rId4737" Type="http://schemas.openxmlformats.org/officeDocument/2006/relationships/hyperlink" Target="https://www.cettire.com/collections/stone-island" TargetMode="External"/><Relationship Id="rId467" Type="http://schemas.openxmlformats.org/officeDocument/2006/relationships/hyperlink" Target="https://www.cettire.com/collections/ralph-lauren" TargetMode="External"/><Relationship Id="rId1097" Type="http://schemas.openxmlformats.org/officeDocument/2006/relationships/hyperlink" Target="https://www.cettire.com/collections/roger-vivier" TargetMode="External"/><Relationship Id="rId2148" Type="http://schemas.openxmlformats.org/officeDocument/2006/relationships/hyperlink" Target="https://www.cettire.com/collections/maison-michel" TargetMode="External"/><Relationship Id="rId3546" Type="http://schemas.openxmlformats.org/officeDocument/2006/relationships/hyperlink" Target="https://www.cettire.com/collections/tom-ford-eyewear" TargetMode="External"/><Relationship Id="rId3753" Type="http://schemas.openxmlformats.org/officeDocument/2006/relationships/hyperlink" Target="https://www.cettire.com/collections/current-elliott" TargetMode="External"/><Relationship Id="rId3960" Type="http://schemas.openxmlformats.org/officeDocument/2006/relationships/hyperlink" Target="https://www.cettire.com/collections/mcq-alexander-mcqueen" TargetMode="External"/><Relationship Id="rId4804" Type="http://schemas.openxmlformats.org/officeDocument/2006/relationships/hyperlink" Target="https://www.cettire.com/collections/woolrich" TargetMode="External"/><Relationship Id="rId674" Type="http://schemas.openxmlformats.org/officeDocument/2006/relationships/hyperlink" Target="https://www.cettire.com/collections/ballantyne" TargetMode="External"/><Relationship Id="rId881" Type="http://schemas.openxmlformats.org/officeDocument/2006/relationships/hyperlink" Target="https://www.cettire.com/collections/j-brand" TargetMode="External"/><Relationship Id="rId2355" Type="http://schemas.openxmlformats.org/officeDocument/2006/relationships/hyperlink" Target="https://www.cettire.com/collections/telfar" TargetMode="External"/><Relationship Id="rId2562" Type="http://schemas.openxmlformats.org/officeDocument/2006/relationships/hyperlink" Target="https://www.cettire.com/collections/collina-strada" TargetMode="External"/><Relationship Id="rId3406" Type="http://schemas.openxmlformats.org/officeDocument/2006/relationships/hyperlink" Target="https://www.cettire.com/collections/neil-barrett-kids" TargetMode="External"/><Relationship Id="rId3613" Type="http://schemas.openxmlformats.org/officeDocument/2006/relationships/hyperlink" Target="https://www.cettire.com/collections/adidas-by-wales-bonner" TargetMode="External"/><Relationship Id="rId3820" Type="http://schemas.openxmlformats.org/officeDocument/2006/relationships/hyperlink" Target="https://www.cettire.com/collections/freedomday" TargetMode="External"/><Relationship Id="rId327" Type="http://schemas.openxmlformats.org/officeDocument/2006/relationships/hyperlink" Target="https://www.cettire.com/collections/low-classic" TargetMode="External"/><Relationship Id="rId534" Type="http://schemas.openxmlformats.org/officeDocument/2006/relationships/hyperlink" Target="https://www.cettire.com/collections/stussy" TargetMode="External"/><Relationship Id="rId741" Type="http://schemas.openxmlformats.org/officeDocument/2006/relationships/hyperlink" Target="https://www.cettire.com/collections/citizens-of-humanity" TargetMode="External"/><Relationship Id="rId1164" Type="http://schemas.openxmlformats.org/officeDocument/2006/relationships/hyperlink" Target="https://www.cettire.com/collections/trickers" TargetMode="External"/><Relationship Id="rId1371" Type="http://schemas.openxmlformats.org/officeDocument/2006/relationships/hyperlink" Target="https://www.cettire.com/collections/daily-paper" TargetMode="External"/><Relationship Id="rId2008" Type="http://schemas.openxmlformats.org/officeDocument/2006/relationships/hyperlink" Target="https://www.cettire.com/collections/elie-saab-junior" TargetMode="External"/><Relationship Id="rId2215" Type="http://schemas.openxmlformats.org/officeDocument/2006/relationships/hyperlink" Target="https://www.cettire.com/collections/napa-by-martine-rose" TargetMode="External"/><Relationship Id="rId2422" Type="http://schemas.openxmlformats.org/officeDocument/2006/relationships/hyperlink" Target="https://www.cettire.com/collections/s-max-mara" TargetMode="External"/><Relationship Id="rId601" Type="http://schemas.openxmlformats.org/officeDocument/2006/relationships/hyperlink" Target="https://www.cettire.com/collections/yuzefi" TargetMode="External"/><Relationship Id="rId1024" Type="http://schemas.openxmlformats.org/officeDocument/2006/relationships/hyperlink" Target="https://www.cettire.com/collections/off-white-kids" TargetMode="External"/><Relationship Id="rId1231" Type="http://schemas.openxmlformats.org/officeDocument/2006/relationships/hyperlink" Target="https://www.cettire.com/collections/adidas-kids" TargetMode="External"/><Relationship Id="rId4387" Type="http://schemas.openxmlformats.org/officeDocument/2006/relationships/hyperlink" Target="https://www.cettire.com/collections/dolce-gabbana-kids" TargetMode="External"/><Relationship Id="rId4594" Type="http://schemas.openxmlformats.org/officeDocument/2006/relationships/hyperlink" Target="https://www.cettire.com/collections/moncler-grenoble" TargetMode="External"/><Relationship Id="rId3196" Type="http://schemas.openxmlformats.org/officeDocument/2006/relationships/hyperlink" Target="https://www.cettire.com/collections/dr-martens" TargetMode="External"/><Relationship Id="rId4247" Type="http://schemas.openxmlformats.org/officeDocument/2006/relationships/hyperlink" Target="https://www.cettire.com/collections/ambush" TargetMode="External"/><Relationship Id="rId4454" Type="http://schemas.openxmlformats.org/officeDocument/2006/relationships/hyperlink" Target="https://www.cettire.com/collections/grevi" TargetMode="External"/><Relationship Id="rId4661" Type="http://schemas.openxmlformats.org/officeDocument/2006/relationships/hyperlink" Target="https://www.cettire.com/collections/ports-1961" TargetMode="External"/><Relationship Id="rId3056" Type="http://schemas.openxmlformats.org/officeDocument/2006/relationships/hyperlink" Target="https://www.cettire.com/collections/aeyd%C4%93" TargetMode="External"/><Relationship Id="rId3263" Type="http://schemas.openxmlformats.org/officeDocument/2006/relationships/hyperlink" Target="https://www.cettire.com/collections/herno" TargetMode="External"/><Relationship Id="rId3470" Type="http://schemas.openxmlformats.org/officeDocument/2006/relationships/hyperlink" Target="https://www.cettire.com/collections/red-valentino" TargetMode="External"/><Relationship Id="rId4107" Type="http://schemas.openxmlformats.org/officeDocument/2006/relationships/hyperlink" Target="https://www.cettire.com/collections/save-the-duck-kids" TargetMode="External"/><Relationship Id="rId4314" Type="http://schemas.openxmlformats.org/officeDocument/2006/relationships/hyperlink" Target="https://www.cettire.com/collections/c-p-company" TargetMode="External"/><Relationship Id="rId184" Type="http://schemas.openxmlformats.org/officeDocument/2006/relationships/hyperlink" Target="https://www.cettire.com/collections/dsquared2-eyewear" TargetMode="External"/><Relationship Id="rId391" Type="http://schemas.openxmlformats.org/officeDocument/2006/relationships/hyperlink" Target="https://www.cettire.com/collections/moschino-kids" TargetMode="External"/><Relationship Id="rId1908" Type="http://schemas.openxmlformats.org/officeDocument/2006/relationships/hyperlink" Target="https://www.cettire.com/collections/bottega-veneta" TargetMode="External"/><Relationship Id="rId2072" Type="http://schemas.openxmlformats.org/officeDocument/2006/relationships/hyperlink" Target="https://www.cettire.com/collections/heron-preston" TargetMode="External"/><Relationship Id="rId3123" Type="http://schemas.openxmlformats.org/officeDocument/2006/relationships/hyperlink" Target="https://www.cettire.com/collections/burberry" TargetMode="External"/><Relationship Id="rId4521" Type="http://schemas.openxmlformats.org/officeDocument/2006/relationships/hyperlink" Target="https://www.cettire.com/collections/lauren-ralph-lauren" TargetMode="External"/><Relationship Id="rId251" Type="http://schemas.openxmlformats.org/officeDocument/2006/relationships/hyperlink" Target="https://www.cettire.com/collections/harris-wharf-london" TargetMode="External"/><Relationship Id="rId3330" Type="http://schemas.openxmlformats.org/officeDocument/2006/relationships/hyperlink" Target="https://www.cettire.com/collections/loulou-studio" TargetMode="External"/><Relationship Id="rId2889" Type="http://schemas.openxmlformats.org/officeDocument/2006/relationships/hyperlink" Target="https://www.cettire.com/collections/raf-simons" TargetMode="External"/><Relationship Id="rId111" Type="http://schemas.openxmlformats.org/officeDocument/2006/relationships/hyperlink" Target="https://www.cettire.com/collections/calvin-klein-jeans-est-1978" TargetMode="External"/><Relationship Id="rId1698" Type="http://schemas.openxmlformats.org/officeDocument/2006/relationships/hyperlink" Target="https://www.cettire.com/collections/rick-owens-x-veja" TargetMode="External"/><Relationship Id="rId2749" Type="http://schemas.openxmlformats.org/officeDocument/2006/relationships/hyperlink" Target="https://www.cettire.com/collections/low-classic" TargetMode="External"/><Relationship Id="rId2956" Type="http://schemas.openxmlformats.org/officeDocument/2006/relationships/hyperlink" Target="https://www.cettire.com/collections/stuart-weitzman" TargetMode="External"/><Relationship Id="rId928" Type="http://schemas.openxmlformats.org/officeDocument/2006/relationships/hyperlink" Target="https://www.cettire.com/collections/loro-piana" TargetMode="External"/><Relationship Id="rId1558" Type="http://schemas.openxmlformats.org/officeDocument/2006/relationships/hyperlink" Target="https://www.cettire.com/collections/marni-kids" TargetMode="External"/><Relationship Id="rId1765" Type="http://schemas.openxmlformats.org/officeDocument/2006/relationships/hyperlink" Target="https://www.cettire.com/collections/tom-ford" TargetMode="External"/><Relationship Id="rId2609" Type="http://schemas.openxmlformats.org/officeDocument/2006/relationships/hyperlink" Target="https://www.cettire.com/collections/ea7-emporio-armani" TargetMode="External"/><Relationship Id="rId4171" Type="http://schemas.openxmlformats.org/officeDocument/2006/relationships/hyperlink" Target="https://www.cettire.com/collections/valentino" TargetMode="External"/><Relationship Id="rId57" Type="http://schemas.openxmlformats.org/officeDocument/2006/relationships/hyperlink" Target="https://www.cettire.com/collections/arma" TargetMode="External"/><Relationship Id="rId1418" Type="http://schemas.openxmlformats.org/officeDocument/2006/relationships/hyperlink" Target="https://www.cettire.com/collections/eytys" TargetMode="External"/><Relationship Id="rId1972" Type="http://schemas.openxmlformats.org/officeDocument/2006/relationships/hyperlink" Target="https://www.cettire.com/collections/courreges-eyewear" TargetMode="External"/><Relationship Id="rId2816" Type="http://schemas.openxmlformats.org/officeDocument/2006/relationships/hyperlink" Target="https://www.cettire.com/collections/msgm" TargetMode="External"/><Relationship Id="rId4031" Type="http://schemas.openxmlformats.org/officeDocument/2006/relationships/hyperlink" Target="https://www.cettire.com/collections/parajumpers" TargetMode="External"/><Relationship Id="rId1625" Type="http://schemas.openxmlformats.org/officeDocument/2006/relationships/hyperlink" Target="https://www.cettire.com/collections/north-sails-x-prada-cup" TargetMode="External"/><Relationship Id="rId1832" Type="http://schemas.openxmlformats.org/officeDocument/2006/relationships/hyperlink" Target="https://www.cettire.com/collections/adidas-by-danielle-cathari" TargetMode="External"/><Relationship Id="rId3797" Type="http://schemas.openxmlformats.org/officeDocument/2006/relationships/hyperlink" Target="https://www.cettire.com/collections/etre-cecile" TargetMode="External"/><Relationship Id="rId2399" Type="http://schemas.openxmlformats.org/officeDocument/2006/relationships/hyperlink" Target="https://www.cettire.com/collections/vision-of-super" TargetMode="External"/><Relationship Id="rId3657" Type="http://schemas.openxmlformats.org/officeDocument/2006/relationships/hyperlink" Target="https://www.cettire.com/collections/au-depart" TargetMode="External"/><Relationship Id="rId3864" Type="http://schemas.openxmlformats.org/officeDocument/2006/relationships/hyperlink" Target="https://www.cettire.com/collections/incotex" TargetMode="External"/><Relationship Id="rId4708" Type="http://schemas.openxmlformats.org/officeDocument/2006/relationships/hyperlink" Target="https://www.cettire.com/collections/saint-laurent" TargetMode="External"/><Relationship Id="rId578" Type="http://schemas.openxmlformats.org/officeDocument/2006/relationships/hyperlink" Target="https://www.cettire.com/collections/veja-kids" TargetMode="External"/><Relationship Id="rId785" Type="http://schemas.openxmlformats.org/officeDocument/2006/relationships/hyperlink" Target="https://www.cettire.com/collections/dr-martens" TargetMode="External"/><Relationship Id="rId992" Type="http://schemas.openxmlformats.org/officeDocument/2006/relationships/hyperlink" Target="https://www.cettire.com/collections/moschino" TargetMode="External"/><Relationship Id="rId2259" Type="http://schemas.openxmlformats.org/officeDocument/2006/relationships/hyperlink" Target="https://www.cettire.com/collections/pierre-louis-mascia" TargetMode="External"/><Relationship Id="rId2466" Type="http://schemas.openxmlformats.org/officeDocument/2006/relationships/hyperlink" Target="https://www.cettire.com/collections/amina-muaddi" TargetMode="External"/><Relationship Id="rId2673" Type="http://schemas.openxmlformats.org/officeDocument/2006/relationships/hyperlink" Target="https://www.cettire.com/collections/helmut-lang" TargetMode="External"/><Relationship Id="rId2880" Type="http://schemas.openxmlformats.org/officeDocument/2006/relationships/hyperlink" Target="https://www.cettire.com/collections/pressure" TargetMode="External"/><Relationship Id="rId3517" Type="http://schemas.openxmlformats.org/officeDocument/2006/relationships/hyperlink" Target="https://www.cettire.com/collections/stella-mccartney" TargetMode="External"/><Relationship Id="rId3724" Type="http://schemas.openxmlformats.org/officeDocument/2006/relationships/hyperlink" Target="https://www.cettire.com/collections/chloe" TargetMode="External"/><Relationship Id="rId3931" Type="http://schemas.openxmlformats.org/officeDocument/2006/relationships/hyperlink" Target="https://www.cettire.com/collections/malone-souliers" TargetMode="External"/><Relationship Id="rId438" Type="http://schemas.openxmlformats.org/officeDocument/2006/relationships/hyperlink" Target="https://www.cettire.com/collections/persol" TargetMode="External"/><Relationship Id="rId645" Type="http://schemas.openxmlformats.org/officeDocument/2006/relationships/hyperlink" Target="https://www.cettire.com/collections/alpha-industries" TargetMode="External"/><Relationship Id="rId852" Type="http://schemas.openxmlformats.org/officeDocument/2006/relationships/hyperlink" Target="https://www.cettire.com/collections/gucci-kids" TargetMode="External"/><Relationship Id="rId1068" Type="http://schemas.openxmlformats.org/officeDocument/2006/relationships/hyperlink" Target="https://www.cettire.com/collections/r13" TargetMode="External"/><Relationship Id="rId1275" Type="http://schemas.openxmlformats.org/officeDocument/2006/relationships/hyperlink" Target="https://www.cettire.com/collections/au-depart" TargetMode="External"/><Relationship Id="rId1482" Type="http://schemas.openxmlformats.org/officeDocument/2006/relationships/hyperlink" Target="https://www.cettire.com/collections/isabel-marant" TargetMode="External"/><Relationship Id="rId2119" Type="http://schemas.openxmlformats.org/officeDocument/2006/relationships/hyperlink" Target="https://www.cettire.com/collections/kuboraum" TargetMode="External"/><Relationship Id="rId2326" Type="http://schemas.openxmlformats.org/officeDocument/2006/relationships/hyperlink" Target="https://www.cettire.com/collections/self-portrait" TargetMode="External"/><Relationship Id="rId2533" Type="http://schemas.openxmlformats.org/officeDocument/2006/relationships/hyperlink" Target="https://www.cettire.com/collections/calvin-klein-jeans-est-1978" TargetMode="External"/><Relationship Id="rId2740" Type="http://schemas.openxmlformats.org/officeDocument/2006/relationships/hyperlink" Target="https://www.cettire.com/collections/li-ning" TargetMode="External"/><Relationship Id="rId505" Type="http://schemas.openxmlformats.org/officeDocument/2006/relationships/hyperlink" Target="https://www.cettire.com/collections/salvatore-ferragamo-eyewear" TargetMode="External"/><Relationship Id="rId712" Type="http://schemas.openxmlformats.org/officeDocument/2006/relationships/hyperlink" Target="https://www.cettire.com/collections/c-p-company-kids" TargetMode="External"/><Relationship Id="rId1135" Type="http://schemas.openxmlformats.org/officeDocument/2006/relationships/hyperlink" Target="https://www.cettire.com/collections/stone-island-shadow-project" TargetMode="External"/><Relationship Id="rId1342" Type="http://schemas.openxmlformats.org/officeDocument/2006/relationships/hyperlink" Target="https://www.cettire.com/collections/chlo%C3%A9%20kids" TargetMode="External"/><Relationship Id="rId4498" Type="http://schemas.openxmlformats.org/officeDocument/2006/relationships/hyperlink" Target="https://www.cettire.com/collections/junya-watanabe-man" TargetMode="External"/><Relationship Id="rId1202" Type="http://schemas.openxmlformats.org/officeDocument/2006/relationships/hyperlink" Target="https://www.cettire.com/collections/y-project" TargetMode="External"/><Relationship Id="rId2600" Type="http://schemas.openxmlformats.org/officeDocument/2006/relationships/hyperlink" Target="https://www.cettire.com/collections/dolce-gabbana" TargetMode="External"/><Relationship Id="rId4358" Type="http://schemas.openxmlformats.org/officeDocument/2006/relationships/hyperlink" Target="https://www.cettire.com/collections/comme-des-garcons-wallet" TargetMode="External"/><Relationship Id="rId3167" Type="http://schemas.openxmlformats.org/officeDocument/2006/relationships/hyperlink" Target="https://www.cettire.com/collections/comme-des-garcons-shirt" TargetMode="External"/><Relationship Id="rId4565" Type="http://schemas.openxmlformats.org/officeDocument/2006/relationships/hyperlink" Target="https://www.cettire.com/collections/maurizio-miri" TargetMode="External"/><Relationship Id="rId4772" Type="http://schemas.openxmlformats.org/officeDocument/2006/relationships/hyperlink" Target="https://www.cettire.com/collections/twinset" TargetMode="External"/><Relationship Id="rId295" Type="http://schemas.openxmlformats.org/officeDocument/2006/relationships/hyperlink" Target="https://www.cettire.com/collections/kappa-kontroll" TargetMode="External"/><Relationship Id="rId3374" Type="http://schemas.openxmlformats.org/officeDocument/2006/relationships/hyperlink" Target="https://www.cettire.com/collections/missoni-home" TargetMode="External"/><Relationship Id="rId3581" Type="http://schemas.openxmlformats.org/officeDocument/2006/relationships/hyperlink" Target="https://www.cettire.com/collections/white-mountaineering" TargetMode="External"/><Relationship Id="rId4218" Type="http://schemas.openxmlformats.org/officeDocument/2006/relationships/hyperlink" Target="https://www.cettire.com/collections/abra" TargetMode="External"/><Relationship Id="rId4425" Type="http://schemas.openxmlformats.org/officeDocument/2006/relationships/hyperlink" Target="https://www.cettire.com/collections/fendi-kids" TargetMode="External"/><Relationship Id="rId4632" Type="http://schemas.openxmlformats.org/officeDocument/2006/relationships/hyperlink" Target="https://www.cettire.com/collections/oliver-peoples" TargetMode="External"/><Relationship Id="rId2183" Type="http://schemas.openxmlformats.org/officeDocument/2006/relationships/hyperlink" Target="https://www.cettire.com/collections/misbhv" TargetMode="External"/><Relationship Id="rId2390" Type="http://schemas.openxmlformats.org/officeDocument/2006/relationships/hyperlink" Target="https://www.cettire.com/collections/vans-vault" TargetMode="External"/><Relationship Id="rId3027" Type="http://schemas.openxmlformats.org/officeDocument/2006/relationships/hyperlink" Target="https://www.cettire.com/collections/yves-salomon" TargetMode="External"/><Relationship Id="rId3234" Type="http://schemas.openxmlformats.org/officeDocument/2006/relationships/hyperlink" Target="https://www.cettire.com/collections/forte-forte" TargetMode="External"/><Relationship Id="rId3441" Type="http://schemas.openxmlformats.org/officeDocument/2006/relationships/hyperlink" Target="https://www.cettire.com/collections/pierre-hardy" TargetMode="External"/><Relationship Id="rId155" Type="http://schemas.openxmlformats.org/officeDocument/2006/relationships/hyperlink" Target="https://www.cettire.com/collections/corneliani" TargetMode="External"/><Relationship Id="rId362" Type="http://schemas.openxmlformats.org/officeDocument/2006/relationships/hyperlink" Target="https://www.cettire.com/collections/mc2-saint-barth-kids" TargetMode="External"/><Relationship Id="rId2043" Type="http://schemas.openxmlformats.org/officeDocument/2006/relationships/hyperlink" Target="https://www.cettire.com/collections/freedomday" TargetMode="External"/><Relationship Id="rId2250" Type="http://schemas.openxmlformats.org/officeDocument/2006/relationships/hyperlink" Target="https://www.cettire.com/collections/paura-x-kappa" TargetMode="External"/><Relationship Id="rId3301" Type="http://schemas.openxmlformats.org/officeDocument/2006/relationships/hyperlink" Target="https://www.cettire.com/collections/karl-lagerfeld" TargetMode="External"/><Relationship Id="rId222" Type="http://schemas.openxmlformats.org/officeDocument/2006/relationships/hyperlink" Target="https://www.cettire.com/collections/forte-dei-marmi-couture" TargetMode="External"/><Relationship Id="rId2110" Type="http://schemas.openxmlformats.org/officeDocument/2006/relationships/hyperlink" Target="https://www.cettire.com/collections/kappa-kontroll" TargetMode="External"/><Relationship Id="rId4075" Type="http://schemas.openxmlformats.org/officeDocument/2006/relationships/hyperlink" Target="https://www.cettire.com/collections/reike-nen" TargetMode="External"/><Relationship Id="rId4282" Type="http://schemas.openxmlformats.org/officeDocument/2006/relationships/hyperlink" Target="https://www.cettire.com/collections/barba" TargetMode="External"/><Relationship Id="rId1669" Type="http://schemas.openxmlformats.org/officeDocument/2006/relationships/hyperlink" Target="https://www.cettire.com/collections/pt-torino" TargetMode="External"/><Relationship Id="rId1876" Type="http://schemas.openxmlformats.org/officeDocument/2006/relationships/hyperlink" Target="https://www.cettire.com/collections/art-dealer" TargetMode="External"/><Relationship Id="rId2927" Type="http://schemas.openxmlformats.org/officeDocument/2006/relationships/hyperlink" Target="https://www.cettire.com/collections/saloni" TargetMode="External"/><Relationship Id="rId3091" Type="http://schemas.openxmlformats.org/officeDocument/2006/relationships/hyperlink" Target="https://www.cettire.com/collections/au-depart" TargetMode="External"/><Relationship Id="rId4142" Type="http://schemas.openxmlformats.org/officeDocument/2006/relationships/hyperlink" Target="https://www.cettire.com/collections/the-gigi" TargetMode="External"/><Relationship Id="rId1529" Type="http://schemas.openxmlformats.org/officeDocument/2006/relationships/hyperlink" Target="https://www.cettire.com/collections/linda-farrow" TargetMode="External"/><Relationship Id="rId1736" Type="http://schemas.openxmlformats.org/officeDocument/2006/relationships/hyperlink" Target="https://www.cettire.com/collections/stella-mccartney" TargetMode="External"/><Relationship Id="rId1943" Type="http://schemas.openxmlformats.org/officeDocument/2006/relationships/hyperlink" Target="https://www.cettire.com/collections/chiara-ferragni" TargetMode="External"/><Relationship Id="rId28" Type="http://schemas.openxmlformats.org/officeDocument/2006/relationships/hyperlink" Target="https://www.cettire.com/collections/alanui" TargetMode="External"/><Relationship Id="rId1803" Type="http://schemas.openxmlformats.org/officeDocument/2006/relationships/hyperlink" Target="https://www.cettire.com/collections/white-mountaineering" TargetMode="External"/><Relationship Id="rId4002" Type="http://schemas.openxmlformats.org/officeDocument/2006/relationships/hyperlink" Target="https://www.cettire.com/collections/neil-barrett-kids" TargetMode="External"/><Relationship Id="rId3768" Type="http://schemas.openxmlformats.org/officeDocument/2006/relationships/hyperlink" Target="https://www.cettire.com/collections/dior-homme" TargetMode="External"/><Relationship Id="rId3975" Type="http://schemas.openxmlformats.org/officeDocument/2006/relationships/hyperlink" Target="https://www.cettire.com/collections/molo" TargetMode="External"/><Relationship Id="rId4819" Type="http://schemas.openxmlformats.org/officeDocument/2006/relationships/hyperlink" Target="https://www.similarweb.com/website/cettire.com/" TargetMode="External"/><Relationship Id="rId689" Type="http://schemas.openxmlformats.org/officeDocument/2006/relationships/hyperlink" Target="https://www.cettire.com/collections/billionaire-boys-club" TargetMode="External"/><Relationship Id="rId896" Type="http://schemas.openxmlformats.org/officeDocument/2006/relationships/hyperlink" Target="https://www.cettire.com/collections/juun-j" TargetMode="External"/><Relationship Id="rId2577" Type="http://schemas.openxmlformats.org/officeDocument/2006/relationships/hyperlink" Target="https://www.cettire.com/collections/courreges-eyewear" TargetMode="External"/><Relationship Id="rId2784" Type="http://schemas.openxmlformats.org/officeDocument/2006/relationships/hyperlink" Target="https://www.cettire.com/collections/mc2-saint-barth-kids" TargetMode="External"/><Relationship Id="rId3628" Type="http://schemas.openxmlformats.org/officeDocument/2006/relationships/hyperlink" Target="https://www.cettire.com/collections/alexander-mcqueen-eyewear" TargetMode="External"/><Relationship Id="rId549" Type="http://schemas.openxmlformats.org/officeDocument/2006/relationships/hyperlink" Target="https://www.cettire.com/collections/the-row" TargetMode="External"/><Relationship Id="rId756" Type="http://schemas.openxmlformats.org/officeDocument/2006/relationships/hyperlink" Target="https://www.cettire.com/collections/common-projects" TargetMode="External"/><Relationship Id="rId1179" Type="http://schemas.openxmlformats.org/officeDocument/2006/relationships/hyperlink" Target="https://www.cettire.com/collections/vans" TargetMode="External"/><Relationship Id="rId1386" Type="http://schemas.openxmlformats.org/officeDocument/2006/relationships/hyperlink" Target="https://www.cettire.com/collections/dkny-kids" TargetMode="External"/><Relationship Id="rId1593" Type="http://schemas.openxmlformats.org/officeDocument/2006/relationships/hyperlink" Target="https://www.cettire.com/collections/moncler-genius" TargetMode="External"/><Relationship Id="rId2437" Type="http://schemas.openxmlformats.org/officeDocument/2006/relationships/hyperlink" Target="https://www.cettire.com/collections/adidas-by-danielle-cathari" TargetMode="External"/><Relationship Id="rId2991" Type="http://schemas.openxmlformats.org/officeDocument/2006/relationships/hyperlink" Target="https://www.cettire.com/collections/ulla-johnson" TargetMode="External"/><Relationship Id="rId3835" Type="http://schemas.openxmlformats.org/officeDocument/2006/relationships/hyperlink" Target="https://www.cettire.com/collections/givenchy-kids" TargetMode="External"/><Relationship Id="rId409" Type="http://schemas.openxmlformats.org/officeDocument/2006/relationships/hyperlink" Target="https://www.cettire.com/collections/new-york-industrie" TargetMode="External"/><Relationship Id="rId963" Type="http://schemas.openxmlformats.org/officeDocument/2006/relationships/hyperlink" Target="https://www.cettire.com/collections/max-mara-the-cube" TargetMode="External"/><Relationship Id="rId1039" Type="http://schemas.openxmlformats.org/officeDocument/2006/relationships/hyperlink" Target="https://www.cettire.com/collections/paul-smith" TargetMode="External"/><Relationship Id="rId1246" Type="http://schemas.openxmlformats.org/officeDocument/2006/relationships/hyperlink" Target="https://www.cettire.com/collections/alexander-mcqueen-eyewear" TargetMode="External"/><Relationship Id="rId2644" Type="http://schemas.openxmlformats.org/officeDocument/2006/relationships/hyperlink" Target="https://www.cettire.com/collections/forte-dei-marmi-couture" TargetMode="External"/><Relationship Id="rId2851" Type="http://schemas.openxmlformats.org/officeDocument/2006/relationships/hyperlink" Target="https://www.cettire.com/collections/p-a-r-o-s-h" TargetMode="External"/><Relationship Id="rId3902" Type="http://schemas.openxmlformats.org/officeDocument/2006/relationships/hyperlink" Target="https://www.cettire.com/collections/la-doublej" TargetMode="External"/><Relationship Id="rId92" Type="http://schemas.openxmlformats.org/officeDocument/2006/relationships/hyperlink" Target="https://www.cettire.com/collections/bottega-veneta-eyewear" TargetMode="External"/><Relationship Id="rId616" Type="http://schemas.openxmlformats.org/officeDocument/2006/relationships/hyperlink" Target="https://www.cettire.com/collections/a-w-a-k-e-mode" TargetMode="External"/><Relationship Id="rId823" Type="http://schemas.openxmlformats.org/officeDocument/2006/relationships/hyperlink" Target="https://www.cettire.com/collections/fila" TargetMode="External"/><Relationship Id="rId1453" Type="http://schemas.openxmlformats.org/officeDocument/2006/relationships/hyperlink" Target="https://www.cettire.com/collections/golden-goose-kids" TargetMode="External"/><Relationship Id="rId1660" Type="http://schemas.openxmlformats.org/officeDocument/2006/relationships/hyperlink" Target="https://www.cettire.com/collections/polo-ralph-lauren-kids" TargetMode="External"/><Relationship Id="rId2504" Type="http://schemas.openxmlformats.org/officeDocument/2006/relationships/hyperlink" Target="https://www.cettire.com/collections/berluti" TargetMode="External"/><Relationship Id="rId2711" Type="http://schemas.openxmlformats.org/officeDocument/2006/relationships/hyperlink" Target="https://www.cettire.com/collections/just-don" TargetMode="External"/><Relationship Id="rId1106" Type="http://schemas.openxmlformats.org/officeDocument/2006/relationships/hyperlink" Target="https://www.cettire.com/collections/salomon-s-lab" TargetMode="External"/><Relationship Id="rId1313" Type="http://schemas.openxmlformats.org/officeDocument/2006/relationships/hyperlink" Target="https://www.cettire.com/collections/burberry-eyewear" TargetMode="External"/><Relationship Id="rId1520" Type="http://schemas.openxmlformats.org/officeDocument/2006/relationships/hyperlink" Target="https://www.cettire.com/collections/lanvin" TargetMode="External"/><Relationship Id="rId4469" Type="http://schemas.openxmlformats.org/officeDocument/2006/relationships/hyperlink" Target="https://www.cettire.com/collections/hogan-rebel" TargetMode="External"/><Relationship Id="rId4676" Type="http://schemas.openxmlformats.org/officeDocument/2006/relationships/hyperlink" Target="https://www.cettire.com/collections/ralph-lauren" TargetMode="External"/><Relationship Id="rId3278" Type="http://schemas.openxmlformats.org/officeDocument/2006/relationships/hyperlink" Target="https://www.cettire.com/collections/isabel-marant-etoile" TargetMode="External"/><Relationship Id="rId3485" Type="http://schemas.openxmlformats.org/officeDocument/2006/relationships/hyperlink" Target="https://www.cettire.com/collections/rixo" TargetMode="External"/><Relationship Id="rId3692" Type="http://schemas.openxmlformats.org/officeDocument/2006/relationships/hyperlink" Target="https://www.cettire.com/collections/brunello-cucinelli-kids" TargetMode="External"/><Relationship Id="rId4329" Type="http://schemas.openxmlformats.org/officeDocument/2006/relationships/hyperlink" Target="https://www.cettire.com/collections/cc-collection-corneliani" TargetMode="External"/><Relationship Id="rId4536" Type="http://schemas.openxmlformats.org/officeDocument/2006/relationships/hyperlink" Target="https://www.cettire.com/collections/low-classic" TargetMode="External"/><Relationship Id="rId4743" Type="http://schemas.openxmlformats.org/officeDocument/2006/relationships/hyperlink" Target="https://www.cettire.com/collections/suicoke" TargetMode="External"/><Relationship Id="rId199" Type="http://schemas.openxmlformats.org/officeDocument/2006/relationships/hyperlink" Target="https://www.cettire.com/collections/engineered-garments" TargetMode="External"/><Relationship Id="rId2087" Type="http://schemas.openxmlformats.org/officeDocument/2006/relationships/hyperlink" Target="https://www.cettire.com/collections/isabel-marant" TargetMode="External"/><Relationship Id="rId2294" Type="http://schemas.openxmlformats.org/officeDocument/2006/relationships/hyperlink" Target="https://www.cettire.com/collections/rene-caovilla" TargetMode="External"/><Relationship Id="rId3138" Type="http://schemas.openxmlformats.org/officeDocument/2006/relationships/hyperlink" Target="https://www.cettire.com/collections/carhartt-wip" TargetMode="External"/><Relationship Id="rId3345" Type="http://schemas.openxmlformats.org/officeDocument/2006/relationships/hyperlink" Target="https://www.cettire.com/collections/manu-atelier" TargetMode="External"/><Relationship Id="rId3552" Type="http://schemas.openxmlformats.org/officeDocument/2006/relationships/hyperlink" Target="https://www.cettire.com/collections/twinset-kids" TargetMode="External"/><Relationship Id="rId4603" Type="http://schemas.openxmlformats.org/officeDocument/2006/relationships/hyperlink" Target="https://www.cettire.com/collections/msgm" TargetMode="External"/><Relationship Id="rId266" Type="http://schemas.openxmlformats.org/officeDocument/2006/relationships/hyperlink" Target="https://www.cettire.com/collections/ienki-ienki" TargetMode="External"/><Relationship Id="rId473" Type="http://schemas.openxmlformats.org/officeDocument/2006/relationships/hyperlink" Target="https://www.cettire.com/collections/rebecca-minkoff" TargetMode="External"/><Relationship Id="rId680" Type="http://schemas.openxmlformats.org/officeDocument/2006/relationships/hyperlink" Target="https://www.cettire.com/collections/barbour" TargetMode="External"/><Relationship Id="rId2154" Type="http://schemas.openxmlformats.org/officeDocument/2006/relationships/hyperlink" Target="https://www.cettire.com/collections/manu-atelier" TargetMode="External"/><Relationship Id="rId2361" Type="http://schemas.openxmlformats.org/officeDocument/2006/relationships/hyperlink" Target="https://www.cettire.com/collections/the-north-face-black-series" TargetMode="External"/><Relationship Id="rId3205" Type="http://schemas.openxmlformats.org/officeDocument/2006/relationships/hyperlink" Target="https://www.cettire.com/collections/elie-saab-junior" TargetMode="External"/><Relationship Id="rId3412" Type="http://schemas.openxmlformats.org/officeDocument/2006/relationships/hyperlink" Target="https://www.cettire.com/collections/noon-goons" TargetMode="External"/><Relationship Id="rId4810" Type="http://schemas.openxmlformats.org/officeDocument/2006/relationships/hyperlink" Target="https://www.cettire.com/collections/ymc" TargetMode="External"/><Relationship Id="rId126" Type="http://schemas.openxmlformats.org/officeDocument/2006/relationships/hyperlink" Target="https://www.cettire.com/collections/chiara-ferragni" TargetMode="External"/><Relationship Id="rId333" Type="http://schemas.openxmlformats.org/officeDocument/2006/relationships/hyperlink" Target="https://www.cettire.com/collections/maison-margiela" TargetMode="External"/><Relationship Id="rId540" Type="http://schemas.openxmlformats.org/officeDocument/2006/relationships/hyperlink" Target="https://www.cettire.com/collections/tagliatore" TargetMode="External"/><Relationship Id="rId1170" Type="http://schemas.openxmlformats.org/officeDocument/2006/relationships/hyperlink" Target="https://www.cettire.com/collections/uh-nom-uh-nit" TargetMode="External"/><Relationship Id="rId2014" Type="http://schemas.openxmlformats.org/officeDocument/2006/relationships/hyperlink" Target="https://www.cettire.com/collections/enfants-riches-deprimes" TargetMode="External"/><Relationship Id="rId2221" Type="http://schemas.openxmlformats.org/officeDocument/2006/relationships/hyperlink" Target="https://www.cettire.com/collections/new-york-industrie" TargetMode="External"/><Relationship Id="rId1030" Type="http://schemas.openxmlformats.org/officeDocument/2006/relationships/hyperlink" Target="https://www.cettire.com/collections/our-legacy" TargetMode="External"/><Relationship Id="rId4186" Type="http://schemas.openxmlformats.org/officeDocument/2006/relationships/hyperlink" Target="https://www.cettire.com/collections/visvim" TargetMode="External"/><Relationship Id="rId400" Type="http://schemas.openxmlformats.org/officeDocument/2006/relationships/hyperlink" Target="https://www.cettire.com/collections/n-21-kids" TargetMode="External"/><Relationship Id="rId1987" Type="http://schemas.openxmlformats.org/officeDocument/2006/relationships/hyperlink" Target="https://www.cettire.com/collections/diesel-red-tag" TargetMode="External"/><Relationship Id="rId4393" Type="http://schemas.openxmlformats.org/officeDocument/2006/relationships/hyperlink" Target="https://www.cettire.com/collections/ea7-emporio-armani" TargetMode="External"/><Relationship Id="rId1847" Type="http://schemas.openxmlformats.org/officeDocument/2006/relationships/hyperlink" Target="https://www.cettire.com/collections/alberta-ferretti" TargetMode="External"/><Relationship Id="rId4046" Type="http://schemas.openxmlformats.org/officeDocument/2006/relationships/hyperlink" Target="https://www.cettire.com/collections/pleats-please-by-issey-miyake" TargetMode="External"/><Relationship Id="rId4253" Type="http://schemas.openxmlformats.org/officeDocument/2006/relationships/hyperlink" Target="https://www.cettire.com/collections/andersson-bell" TargetMode="External"/><Relationship Id="rId4460" Type="http://schemas.openxmlformats.org/officeDocument/2006/relationships/hyperlink" Target="https://www.cettire.com/collections/harris-wharf-london" TargetMode="External"/><Relationship Id="rId1707" Type="http://schemas.openxmlformats.org/officeDocument/2006/relationships/hyperlink" Target="https://www.cettire.com/collections/ruslan-baginskiy" TargetMode="External"/><Relationship Id="rId3062" Type="http://schemas.openxmlformats.org/officeDocument/2006/relationships/hyperlink" Target="https://www.cettire.com/collections/alberta-ferretti-kids" TargetMode="External"/><Relationship Id="rId4113" Type="http://schemas.openxmlformats.org/officeDocument/2006/relationships/hyperlink" Target="https://www.cettire.com/collections/simon-miller" TargetMode="External"/><Relationship Id="rId4320" Type="http://schemas.openxmlformats.org/officeDocument/2006/relationships/hyperlink" Target="https://www.cettire.com/collections/canada-goose-kids" TargetMode="External"/><Relationship Id="rId190" Type="http://schemas.openxmlformats.org/officeDocument/2006/relationships/hyperlink" Target="https://www.cettire.com/collections/eden-power-corp" TargetMode="External"/><Relationship Id="rId1914" Type="http://schemas.openxmlformats.org/officeDocument/2006/relationships/hyperlink" Target="https://www.cettire.com/collections/brunello-cucinelli" TargetMode="External"/><Relationship Id="rId3879" Type="http://schemas.openxmlformats.org/officeDocument/2006/relationships/hyperlink" Target="https://www.cettire.com/collections/john-lobb" TargetMode="External"/><Relationship Id="rId2688" Type="http://schemas.openxmlformats.org/officeDocument/2006/relationships/hyperlink" Target="https://www.cettire.com/collections/ih-nom-uh-nit" TargetMode="External"/><Relationship Id="rId2895" Type="http://schemas.openxmlformats.org/officeDocument/2006/relationships/hyperlink" Target="https://www.cettire.com/collections/re-done" TargetMode="External"/><Relationship Id="rId3739" Type="http://schemas.openxmlformats.org/officeDocument/2006/relationships/hyperlink" Target="https://www.cettire.com/collections/comme-des-garcons-homme-plus" TargetMode="External"/><Relationship Id="rId3946" Type="http://schemas.openxmlformats.org/officeDocument/2006/relationships/hyperlink" Target="https://www.cettire.com/collections/marsell" TargetMode="External"/><Relationship Id="rId867" Type="http://schemas.openxmlformats.org/officeDocument/2006/relationships/hyperlink" Target="https://www.cettire.com/collections/honey-fucking-dijon" TargetMode="External"/><Relationship Id="rId1497" Type="http://schemas.openxmlformats.org/officeDocument/2006/relationships/hyperlink" Target="https://www.cettire.com/collections/john-smedley" TargetMode="External"/><Relationship Id="rId2548" Type="http://schemas.openxmlformats.org/officeDocument/2006/relationships/hyperlink" Target="https://www.cettire.com/collections/chiara-ferragni" TargetMode="External"/><Relationship Id="rId2755" Type="http://schemas.openxmlformats.org/officeDocument/2006/relationships/hyperlink" Target="https://www.cettire.com/collections/maison-margiela" TargetMode="External"/><Relationship Id="rId2962" Type="http://schemas.openxmlformats.org/officeDocument/2006/relationships/hyperlink" Target="https://www.cettire.com/collections/swarovski" TargetMode="External"/><Relationship Id="rId3806" Type="http://schemas.openxmlformats.org/officeDocument/2006/relationships/hyperlink" Target="https://www.cettire.com/collections/fay" TargetMode="External"/><Relationship Id="rId727" Type="http://schemas.openxmlformats.org/officeDocument/2006/relationships/hyperlink" Target="https://www.cettire.com/collections/cecilie-bahnsen" TargetMode="External"/><Relationship Id="rId934" Type="http://schemas.openxmlformats.org/officeDocument/2006/relationships/hyperlink" Target="https://www.cettire.com/collections/magda-butrym" TargetMode="External"/><Relationship Id="rId1357" Type="http://schemas.openxmlformats.org/officeDocument/2006/relationships/hyperlink" Target="https://www.cettire.com/collections/comme-des-garcons-play" TargetMode="External"/><Relationship Id="rId1564" Type="http://schemas.openxmlformats.org/officeDocument/2006/relationships/hyperlink" Target="https://www.cettire.com/collections/mauna-kea" TargetMode="External"/><Relationship Id="rId1771" Type="http://schemas.openxmlformats.org/officeDocument/2006/relationships/hyperlink" Target="https://www.cettire.com/collections/trippen" TargetMode="External"/><Relationship Id="rId2408" Type="http://schemas.openxmlformats.org/officeDocument/2006/relationships/hyperlink" Target="https://www.cettire.com/collections/woolrich" TargetMode="External"/><Relationship Id="rId2615" Type="http://schemas.openxmlformats.org/officeDocument/2006/relationships/hyperlink" Target="https://www.cettire.com/collections/elisabetta-franchi" TargetMode="External"/><Relationship Id="rId2822" Type="http://schemas.openxmlformats.org/officeDocument/2006/relationships/hyperlink" Target="https://www.cettire.com/collections/nana-nana" TargetMode="External"/><Relationship Id="rId63" Type="http://schemas.openxmlformats.org/officeDocument/2006/relationships/hyperlink" Target="https://www.cettire.com/collections/au-depart" TargetMode="External"/><Relationship Id="rId1217" Type="http://schemas.openxmlformats.org/officeDocument/2006/relationships/hyperlink" Target="https://www.cettire.com/collections/lvin-l-in-kids" TargetMode="External"/><Relationship Id="rId1424" Type="http://schemas.openxmlformats.org/officeDocument/2006/relationships/hyperlink" Target="https://www.cettire.com/collections/fear-of-god" TargetMode="External"/><Relationship Id="rId1631" Type="http://schemas.openxmlformats.org/officeDocument/2006/relationships/hyperlink" Target="https://www.cettire.com/collections/officine-creative" TargetMode="External"/><Relationship Id="rId4787" Type="http://schemas.openxmlformats.org/officeDocument/2006/relationships/hyperlink" Target="https://www.cettire.com/collections/veja" TargetMode="External"/><Relationship Id="rId3389" Type="http://schemas.openxmlformats.org/officeDocument/2006/relationships/hyperlink" Target="https://www.cettire.com/collections/moschino" TargetMode="External"/><Relationship Id="rId3596" Type="http://schemas.openxmlformats.org/officeDocument/2006/relationships/hyperlink" Target="https://www.cettire.com/collections/3-1-phillip-lim" TargetMode="External"/><Relationship Id="rId4647" Type="http://schemas.openxmlformats.org/officeDocument/2006/relationships/hyperlink" Target="https://www.cettire.com/collections/persol" TargetMode="External"/><Relationship Id="rId2198" Type="http://schemas.openxmlformats.org/officeDocument/2006/relationships/hyperlink" Target="https://www.cettire.com/collections/moncler-grenoble" TargetMode="External"/><Relationship Id="rId3249" Type="http://schemas.openxmlformats.org/officeDocument/2006/relationships/hyperlink" Target="https://www.cettire.com/collections/givenchy" TargetMode="External"/><Relationship Id="rId3456" Type="http://schemas.openxmlformats.org/officeDocument/2006/relationships/hyperlink" Target="https://www.cettire.com/collections/pt01" TargetMode="External"/><Relationship Id="rId377" Type="http://schemas.openxmlformats.org/officeDocument/2006/relationships/hyperlink" Target="https://www.cettire.com/collections/mm6-maison-margiela-kids" TargetMode="External"/><Relationship Id="rId584" Type="http://schemas.openxmlformats.org/officeDocument/2006/relationships/hyperlink" Target="https://www.cettire.com/collections/vince" TargetMode="External"/><Relationship Id="rId2058" Type="http://schemas.openxmlformats.org/officeDocument/2006/relationships/hyperlink" Target="https://www.cettire.com/collections/golden-goose-deluxe-brand" TargetMode="External"/><Relationship Id="rId2265" Type="http://schemas.openxmlformats.org/officeDocument/2006/relationships/hyperlink" Target="https://www.cettire.com/collections/porter-yoshida-co" TargetMode="External"/><Relationship Id="rId3109" Type="http://schemas.openxmlformats.org/officeDocument/2006/relationships/hyperlink" Target="https://www.cettire.com/collections/billionaire" TargetMode="External"/><Relationship Id="rId3663" Type="http://schemas.openxmlformats.org/officeDocument/2006/relationships/hyperlink" Target="https://www.cettire.com/collections/balenciaga-kids" TargetMode="External"/><Relationship Id="rId3870" Type="http://schemas.openxmlformats.org/officeDocument/2006/relationships/hyperlink" Target="https://www.cettire.com/collections/j-brand" TargetMode="External"/><Relationship Id="rId4507" Type="http://schemas.openxmlformats.org/officeDocument/2006/relationships/hyperlink" Target="https://www.cettire.com/collections/karl-lagerfeld-kids" TargetMode="External"/><Relationship Id="rId4714" Type="http://schemas.openxmlformats.org/officeDocument/2006/relationships/hyperlink" Target="https://www.cettire.com/collections/salvatore-ferragamo-eyewear" TargetMode="External"/><Relationship Id="rId237" Type="http://schemas.openxmlformats.org/officeDocument/2006/relationships/hyperlink" Target="https://www.cettire.com/collections/giambattista-valli" TargetMode="External"/><Relationship Id="rId791" Type="http://schemas.openxmlformats.org/officeDocument/2006/relationships/hyperlink" Target="https://www.cettire.com/collections/ea7-emporio-armani" TargetMode="External"/><Relationship Id="rId1074" Type="http://schemas.openxmlformats.org/officeDocument/2006/relationships/hyperlink" Target="https://www.cettire.com/collections/ray-ban" TargetMode="External"/><Relationship Id="rId2472" Type="http://schemas.openxmlformats.org/officeDocument/2006/relationships/hyperlink" Target="https://www.cettire.com/collections/antonino-valenti" TargetMode="External"/><Relationship Id="rId3316" Type="http://schemas.openxmlformats.org/officeDocument/2006/relationships/hyperlink" Target="https://www.cettire.com/collections/lanvin-enfant" TargetMode="External"/><Relationship Id="rId3523" Type="http://schemas.openxmlformats.org/officeDocument/2006/relationships/hyperlink" Target="https://www.cettire.com/collections/stuart-weitzman" TargetMode="External"/><Relationship Id="rId3730" Type="http://schemas.openxmlformats.org/officeDocument/2006/relationships/hyperlink" Target="https://www.cettire.com/collections/churchs" TargetMode="External"/><Relationship Id="rId444" Type="http://schemas.openxmlformats.org/officeDocument/2006/relationships/hyperlink" Target="https://www.cettire.com/collections/philosophy-di-lorenzo-serafini-kids" TargetMode="External"/><Relationship Id="rId651" Type="http://schemas.openxmlformats.org/officeDocument/2006/relationships/hyperlink" Target="https://www.cettire.com/collections/ancient-greek-sandals" TargetMode="External"/><Relationship Id="rId1281" Type="http://schemas.openxmlformats.org/officeDocument/2006/relationships/hyperlink" Target="https://www.cettire.com/collections/ballantyne" TargetMode="External"/><Relationship Id="rId2125" Type="http://schemas.openxmlformats.org/officeDocument/2006/relationships/hyperlink" Target="https://www.cettire.com/collections/lanvin-enfant" TargetMode="External"/><Relationship Id="rId2332" Type="http://schemas.openxmlformats.org/officeDocument/2006/relationships/hyperlink" Target="https://www.cettire.com/collections/simonetta" TargetMode="External"/><Relationship Id="rId304" Type="http://schemas.openxmlformats.org/officeDocument/2006/relationships/hyperlink" Target="https://www.cettire.com/collections/kuboraum" TargetMode="External"/><Relationship Id="rId511" Type="http://schemas.openxmlformats.org/officeDocument/2006/relationships/hyperlink" Target="https://www.cettire.com/collections/see-by-chloe" TargetMode="External"/><Relationship Id="rId1141" Type="http://schemas.openxmlformats.org/officeDocument/2006/relationships/hyperlink" Target="https://www.cettire.com/collections/sunnei" TargetMode="External"/><Relationship Id="rId4297" Type="http://schemas.openxmlformats.org/officeDocument/2006/relationships/hyperlink" Target="https://www.cettire.com/collections/bonpoint" TargetMode="External"/><Relationship Id="rId1001" Type="http://schemas.openxmlformats.org/officeDocument/2006/relationships/hyperlink" Target="https://www.cettire.com/collections/n-21" TargetMode="External"/><Relationship Id="rId4157" Type="http://schemas.openxmlformats.org/officeDocument/2006/relationships/hyperlink" Target="https://www.cettire.com/collections/tory-burch" TargetMode="External"/><Relationship Id="rId4364" Type="http://schemas.openxmlformats.org/officeDocument/2006/relationships/hyperlink" Target="https://www.cettire.com/collections/craig-green" TargetMode="External"/><Relationship Id="rId4571" Type="http://schemas.openxmlformats.org/officeDocument/2006/relationships/hyperlink" Target="https://www.cettire.com/collections/mc2-saint-barth" TargetMode="External"/><Relationship Id="rId1958" Type="http://schemas.openxmlformats.org/officeDocument/2006/relationships/hyperlink" Target="https://www.cettire.com/collections/comme-des-garcons" TargetMode="External"/><Relationship Id="rId3173" Type="http://schemas.openxmlformats.org/officeDocument/2006/relationships/hyperlink" Target="https://www.cettire.com/collections/courreges-eyewear" TargetMode="External"/><Relationship Id="rId3380" Type="http://schemas.openxmlformats.org/officeDocument/2006/relationships/hyperlink" Target="https://www.cettire.com/collections/moncler" TargetMode="External"/><Relationship Id="rId4017" Type="http://schemas.openxmlformats.org/officeDocument/2006/relationships/hyperlink" Target="https://www.cettire.com/collections/off-white" TargetMode="External"/><Relationship Id="rId4224" Type="http://schemas.openxmlformats.org/officeDocument/2006/relationships/hyperlink" Target="https://www.cettire.com/collections/adidas-by-raf-simons" TargetMode="External"/><Relationship Id="rId4431" Type="http://schemas.openxmlformats.org/officeDocument/2006/relationships/hyperlink" Target="https://www.cettire.com/collections/forte-forte" TargetMode="External"/><Relationship Id="rId1818" Type="http://schemas.openxmlformats.org/officeDocument/2006/relationships/hyperlink" Target="https://www.cettire.com/collections/s-max-mara" TargetMode="External"/><Relationship Id="rId3033" Type="http://schemas.openxmlformats.org/officeDocument/2006/relationships/hyperlink" Target="https://www.cettire.com/collections/1017-alyx-9sm" TargetMode="External"/><Relationship Id="rId3240" Type="http://schemas.openxmlformats.org/officeDocument/2006/relationships/hyperlink" Target="https://www.cettire.com/collections/gabriela-hearst" TargetMode="External"/><Relationship Id="rId161" Type="http://schemas.openxmlformats.org/officeDocument/2006/relationships/hyperlink" Target="https://www.cettire.com/collections/daily-paper" TargetMode="External"/><Relationship Id="rId2799" Type="http://schemas.openxmlformats.org/officeDocument/2006/relationships/hyperlink" Target="https://www.cettire.com/collections/mm6-maison-margiela-kids" TargetMode="External"/><Relationship Id="rId3100" Type="http://schemas.openxmlformats.org/officeDocument/2006/relationships/hyperlink" Target="https://www.cettire.com/collections/balmain-kids" TargetMode="External"/><Relationship Id="rId978" Type="http://schemas.openxmlformats.org/officeDocument/2006/relationships/hyperlink" Target="https://www.cettire.com/collections/mjb-marc-jacques-burton" TargetMode="External"/><Relationship Id="rId2659" Type="http://schemas.openxmlformats.org/officeDocument/2006/relationships/hyperlink" Target="https://www.cettire.com/collections/giorgio-armani" TargetMode="External"/><Relationship Id="rId2866" Type="http://schemas.openxmlformats.org/officeDocument/2006/relationships/hyperlink" Target="https://www.cettire.com/collections/philosophy-di-lorenzo-serafini" TargetMode="External"/><Relationship Id="rId3917" Type="http://schemas.openxmlformats.org/officeDocument/2006/relationships/hyperlink" Target="https://www.cettire.com/collections/liu-jo" TargetMode="External"/><Relationship Id="rId838" Type="http://schemas.openxmlformats.org/officeDocument/2006/relationships/hyperlink" Target="https://www.cettire.com/collections/gcds-kids" TargetMode="External"/><Relationship Id="rId1468" Type="http://schemas.openxmlformats.org/officeDocument/2006/relationships/hyperlink" Target="https://www.cettire.com/collections/hogan" TargetMode="External"/><Relationship Id="rId1675" Type="http://schemas.openxmlformats.org/officeDocument/2006/relationships/hyperlink" Target="https://www.cettire.com/collections/raf-simons" TargetMode="External"/><Relationship Id="rId1882" Type="http://schemas.openxmlformats.org/officeDocument/2006/relationships/hyperlink" Target="https://www.cettire.com/collections/autry" TargetMode="External"/><Relationship Id="rId2519" Type="http://schemas.openxmlformats.org/officeDocument/2006/relationships/hyperlink" Target="https://www.cettire.com/collections/brunello-cucinelli" TargetMode="External"/><Relationship Id="rId2726" Type="http://schemas.openxmlformats.org/officeDocument/2006/relationships/hyperlink" Target="https://www.cettire.com/collections/kwaidan-editions" TargetMode="External"/><Relationship Id="rId4081" Type="http://schemas.openxmlformats.org/officeDocument/2006/relationships/hyperlink" Target="https://www.cettire.com/collections/rick-owens" TargetMode="External"/><Relationship Id="rId1328" Type="http://schemas.openxmlformats.org/officeDocument/2006/relationships/hyperlink" Target="https://www.cettire.com/collections/carhartt-wip" TargetMode="External"/><Relationship Id="rId1535" Type="http://schemas.openxmlformats.org/officeDocument/2006/relationships/hyperlink" Target="https://www.cettire.com/collections/loulou-studio" TargetMode="External"/><Relationship Id="rId2933" Type="http://schemas.openxmlformats.org/officeDocument/2006/relationships/hyperlink" Target="https://www.cettire.com/collections/save-the-duck" TargetMode="External"/><Relationship Id="rId905" Type="http://schemas.openxmlformats.org/officeDocument/2006/relationships/hyperlink" Target="https://www.cettire.com/collections/khaite" TargetMode="External"/><Relationship Id="rId1742" Type="http://schemas.openxmlformats.org/officeDocument/2006/relationships/hyperlink" Target="https://www.cettire.com/collections/stuart-weitzman" TargetMode="External"/><Relationship Id="rId34" Type="http://schemas.openxmlformats.org/officeDocument/2006/relationships/hyperlink" Target="https://www.cettire.com/collections/alexander-mcqueen" TargetMode="External"/><Relationship Id="rId1602" Type="http://schemas.openxmlformats.org/officeDocument/2006/relationships/hyperlink" Target="https://www.cettire.com/collections/mou-kids" TargetMode="External"/><Relationship Id="rId4758" Type="http://schemas.openxmlformats.org/officeDocument/2006/relationships/hyperlink" Target="https://www.cettire.com/collections/the-row" TargetMode="External"/><Relationship Id="rId3567" Type="http://schemas.openxmlformats.org/officeDocument/2006/relationships/hyperlink" Target="https://www.cettire.com/collections/versace" TargetMode="External"/><Relationship Id="rId3774" Type="http://schemas.openxmlformats.org/officeDocument/2006/relationships/hyperlink" Target="https://www.cettire.com/collections/dolce-gabbana-kids" TargetMode="External"/><Relationship Id="rId3981" Type="http://schemas.openxmlformats.org/officeDocument/2006/relationships/hyperlink" Target="https://www.cettire.com/collections/moncler-grenoble" TargetMode="External"/><Relationship Id="rId4618" Type="http://schemas.openxmlformats.org/officeDocument/2006/relationships/hyperlink" Target="https://www.cettire.com/collections/nicholas-kirkwood" TargetMode="External"/><Relationship Id="rId488" Type="http://schemas.openxmlformats.org/officeDocument/2006/relationships/hyperlink" Target="https://www.cettire.com/collections/rick-owens-x-veja" TargetMode="External"/><Relationship Id="rId695" Type="http://schemas.openxmlformats.org/officeDocument/2006/relationships/hyperlink" Target="https://www.cettire.com/collections/bottega-veneta" TargetMode="External"/><Relationship Id="rId2169" Type="http://schemas.openxmlformats.org/officeDocument/2006/relationships/hyperlink" Target="https://www.cettire.com/collections/maurizio-miri" TargetMode="External"/><Relationship Id="rId2376" Type="http://schemas.openxmlformats.org/officeDocument/2006/relationships/hyperlink" Target="https://www.cettire.com/collections/twinset" TargetMode="External"/><Relationship Id="rId2583" Type="http://schemas.openxmlformats.org/officeDocument/2006/relationships/hyperlink" Target="https://www.cettire.com/collections/danse-lente" TargetMode="External"/><Relationship Id="rId2790" Type="http://schemas.openxmlformats.org/officeDocument/2006/relationships/hyperlink" Target="https://www.cettire.com/collections/midnight-00" TargetMode="External"/><Relationship Id="rId3427" Type="http://schemas.openxmlformats.org/officeDocument/2006/relationships/hyperlink" Target="https://www.cettire.com/collections/paco-rabanne" TargetMode="External"/><Relationship Id="rId3634" Type="http://schemas.openxmlformats.org/officeDocument/2006/relationships/hyperlink" Target="https://www.cettire.com/collections/ambush" TargetMode="External"/><Relationship Id="rId3841" Type="http://schemas.openxmlformats.org/officeDocument/2006/relationships/hyperlink" Target="https://www.cettire.com/collections/gucci-eyewear" TargetMode="External"/><Relationship Id="rId348" Type="http://schemas.openxmlformats.org/officeDocument/2006/relationships/hyperlink" Target="https://www.cettire.com/collections/marni-eyewear" TargetMode="External"/><Relationship Id="rId555" Type="http://schemas.openxmlformats.org/officeDocument/2006/relationships/hyperlink" Target="https://www.cettire.com/collections/tom-ford" TargetMode="External"/><Relationship Id="rId762" Type="http://schemas.openxmlformats.org/officeDocument/2006/relationships/hyperlink" Target="https://www.cettire.com/collections/cult-gaia" TargetMode="External"/><Relationship Id="rId1185" Type="http://schemas.openxmlformats.org/officeDocument/2006/relationships/hyperlink" Target="https://www.cettire.com/collections/versace-eyewear" TargetMode="External"/><Relationship Id="rId1392" Type="http://schemas.openxmlformats.org/officeDocument/2006/relationships/hyperlink" Target="https://www.cettire.com/collections/drole-de-monsieur" TargetMode="External"/><Relationship Id="rId2029" Type="http://schemas.openxmlformats.org/officeDocument/2006/relationships/hyperlink" Target="https://www.cettire.com/collections/fay-kids" TargetMode="External"/><Relationship Id="rId2236" Type="http://schemas.openxmlformats.org/officeDocument/2006/relationships/hyperlink" Target="https://www.cettire.com/collections/oliver-peoples" TargetMode="External"/><Relationship Id="rId2443" Type="http://schemas.openxmlformats.org/officeDocument/2006/relationships/hyperlink" Target="https://www.cettire.com/collections/adidas-kids" TargetMode="External"/><Relationship Id="rId2650" Type="http://schemas.openxmlformats.org/officeDocument/2006/relationships/hyperlink" Target="https://www.cettire.com/collections/furla" TargetMode="External"/><Relationship Id="rId3701" Type="http://schemas.openxmlformats.org/officeDocument/2006/relationships/hyperlink" Target="https://www.cettire.com/collections/c-p-company" TargetMode="External"/><Relationship Id="rId208" Type="http://schemas.openxmlformats.org/officeDocument/2006/relationships/hyperlink" Target="https://www.cettire.com/collections/fabiana-filippi" TargetMode="External"/><Relationship Id="rId415" Type="http://schemas.openxmlformats.org/officeDocument/2006/relationships/hyperlink" Target="https://www.cettire.com/collections/noon-goons" TargetMode="External"/><Relationship Id="rId622" Type="http://schemas.openxmlformats.org/officeDocument/2006/relationships/hyperlink" Target="https://www.cettire.com/collections/adidas-by-pharrell-williams" TargetMode="External"/><Relationship Id="rId1045" Type="http://schemas.openxmlformats.org/officeDocument/2006/relationships/hyperlink" Target="https://www.cettire.com/collections/philippe-model-paris" TargetMode="External"/><Relationship Id="rId1252" Type="http://schemas.openxmlformats.org/officeDocument/2006/relationships/hyperlink" Target="https://www.cettire.com/collections/ambush" TargetMode="External"/><Relationship Id="rId2303" Type="http://schemas.openxmlformats.org/officeDocument/2006/relationships/hyperlink" Target="https://www.cettire.com/collections/rixo" TargetMode="External"/><Relationship Id="rId2510" Type="http://schemas.openxmlformats.org/officeDocument/2006/relationships/hyperlink" Target="https://www.cettire.com/collections/bode" TargetMode="External"/><Relationship Id="rId1112" Type="http://schemas.openxmlformats.org/officeDocument/2006/relationships/hyperlink" Target="https://www.cettire.com/collections/sara-battaglia" TargetMode="External"/><Relationship Id="rId4268" Type="http://schemas.openxmlformats.org/officeDocument/2006/relationships/hyperlink" Target="https://www.cettire.com/collections/asics" TargetMode="External"/><Relationship Id="rId4475" Type="http://schemas.openxmlformats.org/officeDocument/2006/relationships/hyperlink" Target="https://www.cettire.com/collections/ienki-ienki" TargetMode="External"/><Relationship Id="rId3077" Type="http://schemas.openxmlformats.org/officeDocument/2006/relationships/hyperlink" Target="https://www.cettire.com/collections/anita-bilardi" TargetMode="External"/><Relationship Id="rId3284" Type="http://schemas.openxmlformats.org/officeDocument/2006/relationships/hyperlink" Target="https://www.cettire.com/collections/jejia" TargetMode="External"/><Relationship Id="rId4128" Type="http://schemas.openxmlformats.org/officeDocument/2006/relationships/hyperlink" Target="https://www.cettire.com/collections/stone-island-shadow-project" TargetMode="External"/><Relationship Id="rId4682" Type="http://schemas.openxmlformats.org/officeDocument/2006/relationships/hyperlink" Target="https://www.cettire.com/collections/rebecca-minkoff" TargetMode="External"/><Relationship Id="rId1929" Type="http://schemas.openxmlformats.org/officeDocument/2006/relationships/hyperlink" Target="https://www.cettire.com/collections/canada-goose" TargetMode="External"/><Relationship Id="rId2093" Type="http://schemas.openxmlformats.org/officeDocument/2006/relationships/hyperlink" Target="https://www.cettire.com/collections/jacquemus" TargetMode="External"/><Relationship Id="rId3491" Type="http://schemas.openxmlformats.org/officeDocument/2006/relationships/hyperlink" Target="https://www.cettire.com/collections/rotate" TargetMode="External"/><Relationship Id="rId4335" Type="http://schemas.openxmlformats.org/officeDocument/2006/relationships/hyperlink" Target="https://www.cettire.com/collections/chie-mihara" TargetMode="External"/><Relationship Id="rId4542" Type="http://schemas.openxmlformats.org/officeDocument/2006/relationships/hyperlink" Target="https://www.cettire.com/collections/maison-margiela" TargetMode="External"/><Relationship Id="rId3144" Type="http://schemas.openxmlformats.org/officeDocument/2006/relationships/hyperlink" Target="https://www.cettire.com/collections/chanel" TargetMode="External"/><Relationship Id="rId3351" Type="http://schemas.openxmlformats.org/officeDocument/2006/relationships/hyperlink" Target="https://www.cettire.com/collections/marni" TargetMode="External"/><Relationship Id="rId4402" Type="http://schemas.openxmlformats.org/officeDocument/2006/relationships/hyperlink" Target="https://www.cettire.com/collections/emilio-pucci-junior" TargetMode="External"/><Relationship Id="rId272" Type="http://schemas.openxmlformats.org/officeDocument/2006/relationships/hyperlink" Target="https://www.cettire.com/collections/isabel-marant" TargetMode="External"/><Relationship Id="rId2160" Type="http://schemas.openxmlformats.org/officeDocument/2006/relationships/hyperlink" Target="https://www.cettire.com/collections/marni" TargetMode="External"/><Relationship Id="rId3004" Type="http://schemas.openxmlformats.org/officeDocument/2006/relationships/hyperlink" Target="https://www.cettire.com/collections/versace-collection" TargetMode="External"/><Relationship Id="rId3211" Type="http://schemas.openxmlformats.org/officeDocument/2006/relationships/hyperlink" Target="https://www.cettire.com/collections/emporio-armani-kids" TargetMode="External"/><Relationship Id="rId132" Type="http://schemas.openxmlformats.org/officeDocument/2006/relationships/hyperlink" Target="https://www.cettire.com/collections/chopard-eyewear" TargetMode="External"/><Relationship Id="rId2020" Type="http://schemas.openxmlformats.org/officeDocument/2006/relationships/hyperlink" Target="https://www.cettire.com/collections/etro" TargetMode="External"/><Relationship Id="rId1579" Type="http://schemas.openxmlformats.org/officeDocument/2006/relationships/hyperlink" Target="https://www.cettire.com/collections/misbhv" TargetMode="External"/><Relationship Id="rId2977" Type="http://schemas.openxmlformats.org/officeDocument/2006/relationships/hyperlink" Target="https://www.cettire.com/collections/thom-browne-eyewear" TargetMode="External"/><Relationship Id="rId4192" Type="http://schemas.openxmlformats.org/officeDocument/2006/relationships/hyperlink" Target="https://www.cettire.com/collections/white-mountaineering" TargetMode="External"/><Relationship Id="rId949" Type="http://schemas.openxmlformats.org/officeDocument/2006/relationships/hyperlink" Target="https://www.cettire.com/collections/marine-serre" TargetMode="External"/><Relationship Id="rId1786" Type="http://schemas.openxmlformats.org/officeDocument/2006/relationships/hyperlink" Target="https://www.cettire.com/collections/vans-vault" TargetMode="External"/><Relationship Id="rId1993" Type="http://schemas.openxmlformats.org/officeDocument/2006/relationships/hyperlink" Target="https://www.cettire.com/collections/dodo-bar-or" TargetMode="External"/><Relationship Id="rId2837" Type="http://schemas.openxmlformats.org/officeDocument/2006/relationships/hyperlink" Target="https://www.cettire.com/collections/noon-goons" TargetMode="External"/><Relationship Id="rId4052" Type="http://schemas.openxmlformats.org/officeDocument/2006/relationships/hyperlink" Target="https://www.cettire.com/collections/premiata" TargetMode="External"/><Relationship Id="rId78" Type="http://schemas.openxmlformats.org/officeDocument/2006/relationships/hyperlink" Target="https://www.cettire.com/collections/barrow" TargetMode="External"/><Relationship Id="rId809" Type="http://schemas.openxmlformats.org/officeDocument/2006/relationships/hyperlink" Target="https://www.cettire.com/collections/extreme-cashmere" TargetMode="External"/><Relationship Id="rId1439" Type="http://schemas.openxmlformats.org/officeDocument/2006/relationships/hyperlink" Target="https://www.cettire.com/collections/furla" TargetMode="External"/><Relationship Id="rId1646" Type="http://schemas.openxmlformats.org/officeDocument/2006/relationships/hyperlink" Target="https://www.cettire.com/collections/paura-x-kappa" TargetMode="External"/><Relationship Id="rId1853" Type="http://schemas.openxmlformats.org/officeDocument/2006/relationships/hyperlink" Target="https://www.cettire.com/collections/alexander-mcqueen-kids" TargetMode="External"/><Relationship Id="rId2904" Type="http://schemas.openxmlformats.org/officeDocument/2006/relationships/hyperlink" Target="https://www.cettire.com/collections/rene-caovilla" TargetMode="External"/><Relationship Id="rId1506" Type="http://schemas.openxmlformats.org/officeDocument/2006/relationships/hyperlink" Target="https://www.cettire.com/collections/kara" TargetMode="External"/><Relationship Id="rId1713" Type="http://schemas.openxmlformats.org/officeDocument/2006/relationships/hyperlink" Target="https://www.cettire.com/collections/saloni" TargetMode="External"/><Relationship Id="rId1920" Type="http://schemas.openxmlformats.org/officeDocument/2006/relationships/hyperlink" Target="https://www.cettire.com/collections/burberry-kids" TargetMode="External"/><Relationship Id="rId3678" Type="http://schemas.openxmlformats.org/officeDocument/2006/relationships/hyperlink" Target="https://www.cettire.com/collections/billionaire" TargetMode="External"/><Relationship Id="rId3885" Type="http://schemas.openxmlformats.org/officeDocument/2006/relationships/hyperlink" Target="https://www.cettire.com/collections/juun-j" TargetMode="External"/><Relationship Id="rId4729" Type="http://schemas.openxmlformats.org/officeDocument/2006/relationships/hyperlink" Target="https://www.cettire.com/collections/spalwart" TargetMode="External"/><Relationship Id="rId599" Type="http://schemas.openxmlformats.org/officeDocument/2006/relationships/hyperlink" Target="https://www.cettire.com/collections/ymc" TargetMode="External"/><Relationship Id="rId2487" Type="http://schemas.openxmlformats.org/officeDocument/2006/relationships/hyperlink" Target="https://www.cettire.com/collections/autry" TargetMode="External"/><Relationship Id="rId2694" Type="http://schemas.openxmlformats.org/officeDocument/2006/relationships/hyperlink" Target="https://www.cettire.com/collections/isaia" TargetMode="External"/><Relationship Id="rId3538" Type="http://schemas.openxmlformats.org/officeDocument/2006/relationships/hyperlink" Target="https://www.cettire.com/collections/the-north-face-kids" TargetMode="External"/><Relationship Id="rId3745" Type="http://schemas.openxmlformats.org/officeDocument/2006/relationships/hyperlink" Target="https://www.cettire.com/collections/comme-des-garcons-wallet" TargetMode="External"/><Relationship Id="rId459" Type="http://schemas.openxmlformats.org/officeDocument/2006/relationships/hyperlink" Target="https://www.cettire.com/collections/proenza-schouler-white-label" TargetMode="External"/><Relationship Id="rId666" Type="http://schemas.openxmlformats.org/officeDocument/2006/relationships/hyperlink" Target="https://www.cettire.com/collections/aspesi" TargetMode="External"/><Relationship Id="rId873" Type="http://schemas.openxmlformats.org/officeDocument/2006/relationships/hyperlink" Target="https://www.cettire.com/collections/il-gufo" TargetMode="External"/><Relationship Id="rId1089" Type="http://schemas.openxmlformats.org/officeDocument/2006/relationships/hyperlink" Target="https://www.cettire.com/collections/rick-owens-drkshdw" TargetMode="External"/><Relationship Id="rId1296" Type="http://schemas.openxmlformats.org/officeDocument/2006/relationships/hyperlink" Target="https://www.cettire.com/collections/billionaire-boys-club" TargetMode="External"/><Relationship Id="rId2347" Type="http://schemas.openxmlformats.org/officeDocument/2006/relationships/hyperlink" Target="https://www.cettire.com/collections/studio-amelia" TargetMode="External"/><Relationship Id="rId2554" Type="http://schemas.openxmlformats.org/officeDocument/2006/relationships/hyperlink" Target="https://www.cettire.com/collections/chopard-eyewear" TargetMode="External"/><Relationship Id="rId3952" Type="http://schemas.openxmlformats.org/officeDocument/2006/relationships/hyperlink" Target="https://www.cettire.com/collections/max-mara" TargetMode="External"/><Relationship Id="rId319" Type="http://schemas.openxmlformats.org/officeDocument/2006/relationships/hyperlink" Target="https://www.cettire.com/collections/linda-farrow" TargetMode="External"/><Relationship Id="rId526" Type="http://schemas.openxmlformats.org/officeDocument/2006/relationships/hyperlink" Target="https://www.cettire.com/collections/stella-mccartney" TargetMode="External"/><Relationship Id="rId1156" Type="http://schemas.openxmlformats.org/officeDocument/2006/relationships/hyperlink" Target="https://www.cettire.com/collections/thom-browne" TargetMode="External"/><Relationship Id="rId1363" Type="http://schemas.openxmlformats.org/officeDocument/2006/relationships/hyperlink" Target="https://www.cettire.com/collections/converse" TargetMode="External"/><Relationship Id="rId2207" Type="http://schemas.openxmlformats.org/officeDocument/2006/relationships/hyperlink" Target="https://www.cettire.com/collections/msgm" TargetMode="External"/><Relationship Id="rId2761" Type="http://schemas.openxmlformats.org/officeDocument/2006/relationships/hyperlink" Target="https://www.cettire.com/collections/mansur-gavriel" TargetMode="External"/><Relationship Id="rId3605" Type="http://schemas.openxmlformats.org/officeDocument/2006/relationships/hyperlink" Target="https://www.cettire.com/collections/abra" TargetMode="External"/><Relationship Id="rId3812" Type="http://schemas.openxmlformats.org/officeDocument/2006/relationships/hyperlink" Target="https://www.cettire.com/collections/feng-chen-wang" TargetMode="External"/><Relationship Id="rId733" Type="http://schemas.openxmlformats.org/officeDocument/2006/relationships/hyperlink" Target="https://www.cettire.com/collections/chloe" TargetMode="External"/><Relationship Id="rId940" Type="http://schemas.openxmlformats.org/officeDocument/2006/relationships/hyperlink" Target="https://www.cettire.com/collections/manebi" TargetMode="External"/><Relationship Id="rId1016" Type="http://schemas.openxmlformats.org/officeDocument/2006/relationships/hyperlink" Target="https://www.cettire.com/collections/noir-kei-ninomiya" TargetMode="External"/><Relationship Id="rId1570" Type="http://schemas.openxmlformats.org/officeDocument/2006/relationships/hyperlink" Target="https://www.cettire.com/collections/mc2-saint-barth" TargetMode="External"/><Relationship Id="rId2414" Type="http://schemas.openxmlformats.org/officeDocument/2006/relationships/hyperlink" Target="https://www.cettire.com/collections/ymc" TargetMode="External"/><Relationship Id="rId2621" Type="http://schemas.openxmlformats.org/officeDocument/2006/relationships/hyperlink" Target="https://www.cettire.com/collections/engineered-garments" TargetMode="External"/><Relationship Id="rId800" Type="http://schemas.openxmlformats.org/officeDocument/2006/relationships/hyperlink" Target="https://www.cettire.com/collections/emporio-armani" TargetMode="External"/><Relationship Id="rId1223" Type="http://schemas.openxmlformats.org/officeDocument/2006/relationships/hyperlink" Target="https://www.cettire.com/collections/ader-error" TargetMode="External"/><Relationship Id="rId1430" Type="http://schemas.openxmlformats.org/officeDocument/2006/relationships/hyperlink" Target="https://www.cettire.com/collections/fila" TargetMode="External"/><Relationship Id="rId4379" Type="http://schemas.openxmlformats.org/officeDocument/2006/relationships/hyperlink" Target="https://www.cettire.com/collections/dior" TargetMode="External"/><Relationship Id="rId4586" Type="http://schemas.openxmlformats.org/officeDocument/2006/relationships/hyperlink" Target="https://www.cettire.com/collections/mm6-maison-margiela" TargetMode="External"/><Relationship Id="rId4793" Type="http://schemas.openxmlformats.org/officeDocument/2006/relationships/hyperlink" Target="https://www.cettire.com/collections/versace-kids" TargetMode="External"/><Relationship Id="rId3188" Type="http://schemas.openxmlformats.org/officeDocument/2006/relationships/hyperlink" Target="https://www.cettire.com/collections/dior-eyewear" TargetMode="External"/><Relationship Id="rId3395" Type="http://schemas.openxmlformats.org/officeDocument/2006/relationships/hyperlink" Target="https://www.cettire.com/collections/msgm-kids" TargetMode="External"/><Relationship Id="rId4239" Type="http://schemas.openxmlformats.org/officeDocument/2006/relationships/hyperlink" Target="https://www.cettire.com/collections/alessandra-rich" TargetMode="External"/><Relationship Id="rId4446" Type="http://schemas.openxmlformats.org/officeDocument/2006/relationships/hyperlink" Target="https://www.cettire.com/collections/giambattista-valli" TargetMode="External"/><Relationship Id="rId4653" Type="http://schemas.openxmlformats.org/officeDocument/2006/relationships/hyperlink" Target="https://www.cettire.com/collections/philosophy-di-lorenzo-serafini-kids" TargetMode="External"/><Relationship Id="rId3048" Type="http://schemas.openxmlformats.org/officeDocument/2006/relationships/hyperlink" Target="https://www.cettire.com/collections/adidas-by-pharrell-williams" TargetMode="External"/><Relationship Id="rId3255" Type="http://schemas.openxmlformats.org/officeDocument/2006/relationships/hyperlink" Target="https://www.cettire.com/collections/gucci" TargetMode="External"/><Relationship Id="rId3462" Type="http://schemas.openxmlformats.org/officeDocument/2006/relationships/hyperlink" Target="https://www.cettire.com/collections/rag-bone" TargetMode="External"/><Relationship Id="rId4306" Type="http://schemas.openxmlformats.org/officeDocument/2006/relationships/hyperlink" Target="https://www.cettire.com/collections/building-block" TargetMode="External"/><Relationship Id="rId4513" Type="http://schemas.openxmlformats.org/officeDocument/2006/relationships/hyperlink" Target="https://www.cettire.com/collections/kwaidan-editions" TargetMode="External"/><Relationship Id="rId4720" Type="http://schemas.openxmlformats.org/officeDocument/2006/relationships/hyperlink" Target="https://www.cettire.com/collections/self-portrait" TargetMode="External"/><Relationship Id="rId176" Type="http://schemas.openxmlformats.org/officeDocument/2006/relationships/hyperlink" Target="https://www.cettire.com/collections/dkny-kids" TargetMode="External"/><Relationship Id="rId383" Type="http://schemas.openxmlformats.org/officeDocument/2006/relationships/hyperlink" Target="https://www.cettire.com/collections/moncler-gamme-rouge" TargetMode="External"/><Relationship Id="rId590" Type="http://schemas.openxmlformats.org/officeDocument/2006/relationships/hyperlink" Target="https://www.cettire.com/collections/we11done" TargetMode="External"/><Relationship Id="rId2064" Type="http://schemas.openxmlformats.org/officeDocument/2006/relationships/hyperlink" Target="https://www.cettire.com/collections/gucci-kids" TargetMode="External"/><Relationship Id="rId2271" Type="http://schemas.openxmlformats.org/officeDocument/2006/relationships/hyperlink" Target="https://www.cettire.com/collections/proenza-schouler" TargetMode="External"/><Relationship Id="rId3115" Type="http://schemas.openxmlformats.org/officeDocument/2006/relationships/hyperlink" Target="https://www.cettire.com/collections/bonpoint" TargetMode="External"/><Relationship Id="rId3322" Type="http://schemas.openxmlformats.org/officeDocument/2006/relationships/hyperlink" Target="https://www.cettire.com/collections/levis" TargetMode="External"/><Relationship Id="rId243" Type="http://schemas.openxmlformats.org/officeDocument/2006/relationships/hyperlink" Target="https://www.cettire.com/collections/golden-goose-kids" TargetMode="External"/><Relationship Id="rId450" Type="http://schemas.openxmlformats.org/officeDocument/2006/relationships/hyperlink" Target="https://www.cettire.com/collections/polo-ralph-lauren" TargetMode="External"/><Relationship Id="rId1080" Type="http://schemas.openxmlformats.org/officeDocument/2006/relationships/hyperlink" Target="https://www.cettire.com/collections/reebok" TargetMode="External"/><Relationship Id="rId2131" Type="http://schemas.openxmlformats.org/officeDocument/2006/relationships/hyperlink" Target="https://www.cettire.com/collections/levis" TargetMode="External"/><Relationship Id="rId103" Type="http://schemas.openxmlformats.org/officeDocument/2006/relationships/hyperlink" Target="https://www.cettire.com/collections/burberry-kids" TargetMode="External"/><Relationship Id="rId310" Type="http://schemas.openxmlformats.org/officeDocument/2006/relationships/hyperlink" Target="https://www.cettire.com/collections/lanvin" TargetMode="External"/><Relationship Id="rId4096" Type="http://schemas.openxmlformats.org/officeDocument/2006/relationships/hyperlink" Target="https://www.cettire.com/collections/saint-laurent" TargetMode="External"/><Relationship Id="rId1897" Type="http://schemas.openxmlformats.org/officeDocument/2006/relationships/hyperlink" Target="https://www.cettire.com/collections/baum-und-pferdgarten" TargetMode="External"/><Relationship Id="rId2948" Type="http://schemas.openxmlformats.org/officeDocument/2006/relationships/hyperlink" Target="https://www.cettire.com/collections/stand-studio" TargetMode="External"/><Relationship Id="rId1757" Type="http://schemas.openxmlformats.org/officeDocument/2006/relationships/hyperlink" Target="https://www.cettire.com/collections/the-north-face-black-series" TargetMode="External"/><Relationship Id="rId1964" Type="http://schemas.openxmlformats.org/officeDocument/2006/relationships/hyperlink" Target="https://www.cettire.com/collections/comme-des-garcons-play-kids" TargetMode="External"/><Relationship Id="rId2808" Type="http://schemas.openxmlformats.org/officeDocument/2006/relationships/hyperlink" Target="https://www.cettire.com/collections/monnalisa" TargetMode="External"/><Relationship Id="rId4163" Type="http://schemas.openxmlformats.org/officeDocument/2006/relationships/hyperlink" Target="https://www.cettire.com/collections/ugg" TargetMode="External"/><Relationship Id="rId4370" Type="http://schemas.openxmlformats.org/officeDocument/2006/relationships/hyperlink" Target="https://www.cettire.com/collections/delvaux" TargetMode="External"/><Relationship Id="rId49" Type="http://schemas.openxmlformats.org/officeDocument/2006/relationships/hyperlink" Target="https://www.cettire.com/collections/antonino-valenti" TargetMode="External"/><Relationship Id="rId1617" Type="http://schemas.openxmlformats.org/officeDocument/2006/relationships/hyperlink" Target="https://www.cettire.com/collections/new-york-industrie" TargetMode="External"/><Relationship Id="rId1824" Type="http://schemas.openxmlformats.org/officeDocument/2006/relationships/hyperlink" Target="https://www.cettire.com/collections/lvin-l-in-kids" TargetMode="External"/><Relationship Id="rId4023" Type="http://schemas.openxmlformats.org/officeDocument/2006/relationships/hyperlink" Target="https://www.cettire.com/collections/osoi" TargetMode="External"/><Relationship Id="rId4230" Type="http://schemas.openxmlformats.org/officeDocument/2006/relationships/hyperlink" Target="https://www.cettire.com/collections/adriana-degreas" TargetMode="External"/><Relationship Id="rId3789" Type="http://schemas.openxmlformats.org/officeDocument/2006/relationships/hyperlink" Target="https://www.cettire.com/collections/emilio-pucci-junior" TargetMode="External"/><Relationship Id="rId2598" Type="http://schemas.openxmlformats.org/officeDocument/2006/relationships/hyperlink" Target="https://www.cettire.com/collections/dkny-kids" TargetMode="External"/><Relationship Id="rId3996" Type="http://schemas.openxmlformats.org/officeDocument/2006/relationships/hyperlink" Target="https://www.cettire.com/collections/nana-nana" TargetMode="External"/><Relationship Id="rId3649" Type="http://schemas.openxmlformats.org/officeDocument/2006/relationships/hyperlink" Target="https://www.cettire.com/collections/area" TargetMode="External"/><Relationship Id="rId3856" Type="http://schemas.openxmlformats.org/officeDocument/2006/relationships/hyperlink" Target="https://www.cettire.com/collections/homme-plisse-issey-miyake" TargetMode="External"/><Relationship Id="rId777" Type="http://schemas.openxmlformats.org/officeDocument/2006/relationships/hyperlink" Target="https://www.cettire.com/collections/dior-eyewear" TargetMode="External"/><Relationship Id="rId984" Type="http://schemas.openxmlformats.org/officeDocument/2006/relationships/hyperlink" Target="https://www.cettire.com/collections/moncler-enfant" TargetMode="External"/><Relationship Id="rId2458" Type="http://schemas.openxmlformats.org/officeDocument/2006/relationships/hyperlink" Target="https://www.cettire.com/collections/alexander-mcqueen-kids" TargetMode="External"/><Relationship Id="rId2665" Type="http://schemas.openxmlformats.org/officeDocument/2006/relationships/hyperlink" Target="https://www.cettire.com/collections/greg-lauren" TargetMode="External"/><Relationship Id="rId2872" Type="http://schemas.openxmlformats.org/officeDocument/2006/relationships/hyperlink" Target="https://www.cettire.com/collections/pleats-please-by-issey-miyake" TargetMode="External"/><Relationship Id="rId3509" Type="http://schemas.openxmlformats.org/officeDocument/2006/relationships/hyperlink" Target="https://www.cettire.com/collections/simonetta" TargetMode="External"/><Relationship Id="rId3716" Type="http://schemas.openxmlformats.org/officeDocument/2006/relationships/hyperlink" Target="https://www.cettire.com/collections/cc-collection-corneliani" TargetMode="External"/><Relationship Id="rId3923" Type="http://schemas.openxmlformats.org/officeDocument/2006/relationships/hyperlink" Target="https://www.cettire.com/collections/low-classic" TargetMode="External"/><Relationship Id="rId637" Type="http://schemas.openxmlformats.org/officeDocument/2006/relationships/hyperlink" Target="https://www.cettire.com/collections/alberto-biani" TargetMode="External"/><Relationship Id="rId844" Type="http://schemas.openxmlformats.org/officeDocument/2006/relationships/hyperlink" Target="https://www.cettire.com/collections/givenchy-eyewear" TargetMode="External"/><Relationship Id="rId1267" Type="http://schemas.openxmlformats.org/officeDocument/2006/relationships/hyperlink" Target="https://www.cettire.com/collections/aries" TargetMode="External"/><Relationship Id="rId1474" Type="http://schemas.openxmlformats.org/officeDocument/2006/relationships/hyperlink" Target="https://www.cettire.com/collections/howlin" TargetMode="External"/><Relationship Id="rId1681" Type="http://schemas.openxmlformats.org/officeDocument/2006/relationships/hyperlink" Target="https://www.cettire.com/collections/re-done" TargetMode="External"/><Relationship Id="rId2318" Type="http://schemas.openxmlformats.org/officeDocument/2006/relationships/hyperlink" Target="https://www.cettire.com/collections/salvatore-ferragamo" TargetMode="External"/><Relationship Id="rId2525" Type="http://schemas.openxmlformats.org/officeDocument/2006/relationships/hyperlink" Target="https://www.cettire.com/collections/burberry-kids" TargetMode="External"/><Relationship Id="rId2732" Type="http://schemas.openxmlformats.org/officeDocument/2006/relationships/hyperlink" Target="https://www.cettire.com/collections/lanvin" TargetMode="External"/><Relationship Id="rId704" Type="http://schemas.openxmlformats.org/officeDocument/2006/relationships/hyperlink" Target="https://www.cettire.com/collections/bulgari" TargetMode="External"/><Relationship Id="rId911" Type="http://schemas.openxmlformats.org/officeDocument/2006/relationships/hyperlink" Target="https://www.cettire.com/collections/lautre-chose" TargetMode="External"/><Relationship Id="rId1127" Type="http://schemas.openxmlformats.org/officeDocument/2006/relationships/hyperlink" Target="https://www.cettire.com/collections/sporty-rich" TargetMode="External"/><Relationship Id="rId1334" Type="http://schemas.openxmlformats.org/officeDocument/2006/relationships/hyperlink" Target="https://www.cettire.com/collections/cecilie-bahnsen" TargetMode="External"/><Relationship Id="rId1541" Type="http://schemas.openxmlformats.org/officeDocument/2006/relationships/hyperlink" Target="https://www.cettire.com/collections/maisie-wilen" TargetMode="External"/><Relationship Id="rId4697" Type="http://schemas.openxmlformats.org/officeDocument/2006/relationships/hyperlink" Target="https://www.cettire.com/collections/rixo" TargetMode="External"/><Relationship Id="rId40" Type="http://schemas.openxmlformats.org/officeDocument/2006/relationships/hyperlink" Target="https://www.cettire.com/collections/ambush" TargetMode="External"/><Relationship Id="rId1401" Type="http://schemas.openxmlformats.org/officeDocument/2006/relationships/hyperlink" Target="https://www.cettire.com/collections/edward-green" TargetMode="External"/><Relationship Id="rId3299" Type="http://schemas.openxmlformats.org/officeDocument/2006/relationships/hyperlink" Target="https://www.cettire.com/collections/kappa-kontroll" TargetMode="External"/><Relationship Id="rId4557" Type="http://schemas.openxmlformats.org/officeDocument/2006/relationships/hyperlink" Target="https://www.cettire.com/collections/marni-eyewear" TargetMode="External"/><Relationship Id="rId4764" Type="http://schemas.openxmlformats.org/officeDocument/2006/relationships/hyperlink" Target="https://www.cettire.com/collections/tods" TargetMode="External"/><Relationship Id="rId3159" Type="http://schemas.openxmlformats.org/officeDocument/2006/relationships/hyperlink" Target="https://www.cettire.com/collections/collina-strada" TargetMode="External"/><Relationship Id="rId3366" Type="http://schemas.openxmlformats.org/officeDocument/2006/relationships/hyperlink" Target="https://www.cettire.com/collections/mcm" TargetMode="External"/><Relationship Id="rId3573" Type="http://schemas.openxmlformats.org/officeDocument/2006/relationships/hyperlink" Target="https://www.cettire.com/collections/vision-of-super" TargetMode="External"/><Relationship Id="rId4417" Type="http://schemas.openxmlformats.org/officeDocument/2006/relationships/hyperlink" Target="https://www.cettire.com/collections/fabiana-filippi" TargetMode="External"/><Relationship Id="rId287" Type="http://schemas.openxmlformats.org/officeDocument/2006/relationships/hyperlink" Target="https://www.cettire.com/collections/john-smedley" TargetMode="External"/><Relationship Id="rId494" Type="http://schemas.openxmlformats.org/officeDocument/2006/relationships/hyperlink" Target="https://www.cettire.com/collections/rombaut" TargetMode="External"/><Relationship Id="rId2175" Type="http://schemas.openxmlformats.org/officeDocument/2006/relationships/hyperlink" Target="https://www.cettire.com/collections/mc2-saint-barth-kids" TargetMode="External"/><Relationship Id="rId2382" Type="http://schemas.openxmlformats.org/officeDocument/2006/relationships/hyperlink" Target="https://www.cettire.com/collections/ultrachic" TargetMode="External"/><Relationship Id="rId3019" Type="http://schemas.openxmlformats.org/officeDocument/2006/relationships/hyperlink" Target="https://www.cettire.com/collections/woolrich-kids" TargetMode="External"/><Relationship Id="rId3226" Type="http://schemas.openxmlformats.org/officeDocument/2006/relationships/hyperlink" Target="https://www.cettire.com/collections/fay-kids" TargetMode="External"/><Relationship Id="rId3780" Type="http://schemas.openxmlformats.org/officeDocument/2006/relationships/hyperlink" Target="https://www.cettire.com/collections/ea7-emporio-armani" TargetMode="External"/><Relationship Id="rId4624" Type="http://schemas.openxmlformats.org/officeDocument/2006/relationships/hyperlink" Target="https://www.cettire.com/collections/norse-projects" TargetMode="External"/><Relationship Id="rId147" Type="http://schemas.openxmlformats.org/officeDocument/2006/relationships/hyperlink" Target="https://www.cettire.com/collections/comme-des-garcons-play" TargetMode="External"/><Relationship Id="rId354" Type="http://schemas.openxmlformats.org/officeDocument/2006/relationships/hyperlink" Target="https://www.cettire.com/collections/materiel" TargetMode="External"/><Relationship Id="rId1191" Type="http://schemas.openxmlformats.org/officeDocument/2006/relationships/hyperlink" Target="https://www.cettire.com/collections/vivienne-westwood" TargetMode="External"/><Relationship Id="rId2035" Type="http://schemas.openxmlformats.org/officeDocument/2006/relationships/hyperlink" Target="https://www.cettire.com/collections/fenty-x-puma" TargetMode="External"/><Relationship Id="rId3433" Type="http://schemas.openxmlformats.org/officeDocument/2006/relationships/hyperlink" Target="https://www.cettire.com/collections/paura-x-kappa" TargetMode="External"/><Relationship Id="rId3640" Type="http://schemas.openxmlformats.org/officeDocument/2006/relationships/hyperlink" Target="https://www.cettire.com/collections/andersson-bell" TargetMode="External"/><Relationship Id="rId561" Type="http://schemas.openxmlformats.org/officeDocument/2006/relationships/hyperlink" Target="https://www.cettire.com/collections/trippen" TargetMode="External"/><Relationship Id="rId2242" Type="http://schemas.openxmlformats.org/officeDocument/2006/relationships/hyperlink" Target="https://www.cettire.com/collections/paccbet" TargetMode="External"/><Relationship Id="rId3500" Type="http://schemas.openxmlformats.org/officeDocument/2006/relationships/hyperlink" Target="https://www.cettire.com/collections/santoni" TargetMode="External"/><Relationship Id="rId214" Type="http://schemas.openxmlformats.org/officeDocument/2006/relationships/hyperlink" Target="https://www.cettire.com/collections/fendi" TargetMode="External"/><Relationship Id="rId421" Type="http://schemas.openxmlformats.org/officeDocument/2006/relationships/hyperlink" Target="https://www.cettire.com/collections/off-white" TargetMode="External"/><Relationship Id="rId1051" Type="http://schemas.openxmlformats.org/officeDocument/2006/relationships/hyperlink" Target="https://www.cettire.com/collections/plan-c" TargetMode="External"/><Relationship Id="rId2102" Type="http://schemas.openxmlformats.org/officeDocument/2006/relationships/hyperlink" Target="https://www.cettire.com/collections/john-smedley" TargetMode="External"/><Relationship Id="rId1868" Type="http://schemas.openxmlformats.org/officeDocument/2006/relationships/hyperlink" Target="https://www.cettire.com/collections/anya-hindmarch" TargetMode="External"/><Relationship Id="rId4067" Type="http://schemas.openxmlformats.org/officeDocument/2006/relationships/hyperlink" Target="https://www.cettire.com/collections/ray-ban" TargetMode="External"/><Relationship Id="rId4274" Type="http://schemas.openxmlformats.org/officeDocument/2006/relationships/hyperlink" Target="https://www.cettire.com/collections/balenciaga" TargetMode="External"/><Relationship Id="rId4481" Type="http://schemas.openxmlformats.org/officeDocument/2006/relationships/hyperlink" Target="https://www.cettire.com/collections/isabel-marant-etoile" TargetMode="External"/><Relationship Id="rId2919" Type="http://schemas.openxmlformats.org/officeDocument/2006/relationships/hyperlink" Target="https://www.cettire.com/collections/rosantica" TargetMode="External"/><Relationship Id="rId3083" Type="http://schemas.openxmlformats.org/officeDocument/2006/relationships/hyperlink" Target="https://www.cettire.com/collections/aragona" TargetMode="External"/><Relationship Id="rId3290" Type="http://schemas.openxmlformats.org/officeDocument/2006/relationships/hyperlink" Target="https://www.cettire.com/collections/john-smedley" TargetMode="External"/><Relationship Id="rId4134" Type="http://schemas.openxmlformats.org/officeDocument/2006/relationships/hyperlink" Target="https://www.cettire.com/collections/sunnei" TargetMode="External"/><Relationship Id="rId4341" Type="http://schemas.openxmlformats.org/officeDocument/2006/relationships/hyperlink" Target="https://www.cettire.com/collections/chopova-lowena" TargetMode="External"/><Relationship Id="rId1728" Type="http://schemas.openxmlformats.org/officeDocument/2006/relationships/hyperlink" Target="https://www.cettire.com/collections/simonetta" TargetMode="External"/><Relationship Id="rId1935" Type="http://schemas.openxmlformats.org/officeDocument/2006/relationships/hyperlink" Target="https://www.cettire.com/collections/carrera" TargetMode="External"/><Relationship Id="rId3150" Type="http://schemas.openxmlformats.org/officeDocument/2006/relationships/hyperlink" Target="https://www.cettire.com/collections/chlo%C3%A9%20kids" TargetMode="External"/><Relationship Id="rId4201" Type="http://schemas.openxmlformats.org/officeDocument/2006/relationships/hyperlink" Target="https://www.cettire.com/collections/yuzefi" TargetMode="External"/><Relationship Id="rId3010" Type="http://schemas.openxmlformats.org/officeDocument/2006/relationships/hyperlink" Target="https://www.cettire.com/collections/vision-of-super-kids" TargetMode="External"/><Relationship Id="rId3967" Type="http://schemas.openxmlformats.org/officeDocument/2006/relationships/hyperlink" Target="https://www.cettire.com/collections/missoni" TargetMode="External"/><Relationship Id="rId4" Type="http://schemas.openxmlformats.org/officeDocument/2006/relationships/hyperlink" Target="https://www.cettire.com/collections/424" TargetMode="External"/><Relationship Id="rId888" Type="http://schemas.openxmlformats.org/officeDocument/2006/relationships/hyperlink" Target="https://www.cettire.com/collections/jimmy-choo-eyewear" TargetMode="External"/><Relationship Id="rId2569" Type="http://schemas.openxmlformats.org/officeDocument/2006/relationships/hyperlink" Target="https://www.cettire.com/collections/comme-des-garcons-play-kids" TargetMode="External"/><Relationship Id="rId2776" Type="http://schemas.openxmlformats.org/officeDocument/2006/relationships/hyperlink" Target="https://www.cettire.com/collections/mauna-kea" TargetMode="External"/><Relationship Id="rId2983" Type="http://schemas.openxmlformats.org/officeDocument/2006/relationships/hyperlink" Target="https://www.cettire.com/collections/toteme" TargetMode="External"/><Relationship Id="rId3827" Type="http://schemas.openxmlformats.org/officeDocument/2006/relationships/hyperlink" Target="https://www.cettire.com/collections/gauge81" TargetMode="External"/><Relationship Id="rId748" Type="http://schemas.openxmlformats.org/officeDocument/2006/relationships/hyperlink" Target="https://www.cettire.com/collections/comme-des-garcons-girl" TargetMode="External"/><Relationship Id="rId955" Type="http://schemas.openxmlformats.org/officeDocument/2006/relationships/hyperlink" Target="https://www.cettire.com/collections/martine-rose" TargetMode="External"/><Relationship Id="rId1378" Type="http://schemas.openxmlformats.org/officeDocument/2006/relationships/hyperlink" Target="https://www.cettire.com/collections/diesel" TargetMode="External"/><Relationship Id="rId1585" Type="http://schemas.openxmlformats.org/officeDocument/2006/relationships/hyperlink" Target="https://www.cettire.com/collections/mm6-maison-margiela" TargetMode="External"/><Relationship Id="rId1792" Type="http://schemas.openxmlformats.org/officeDocument/2006/relationships/hyperlink" Target="https://www.cettire.com/collections/versace-jeans-couture" TargetMode="External"/><Relationship Id="rId2429" Type="http://schemas.openxmlformats.org/officeDocument/2006/relationships/hyperlink" Target="https://www.cettire.com/collections/lvin-l-in-kids" TargetMode="External"/><Relationship Id="rId2636" Type="http://schemas.openxmlformats.org/officeDocument/2006/relationships/hyperlink" Target="https://www.cettire.com/collections/fear-of-god" TargetMode="External"/><Relationship Id="rId2843" Type="http://schemas.openxmlformats.org/officeDocument/2006/relationships/hyperlink" Target="https://www.cettire.com/collections/off-white" TargetMode="External"/><Relationship Id="rId84" Type="http://schemas.openxmlformats.org/officeDocument/2006/relationships/hyperlink" Target="https://www.cettire.com/collections/billionaire-boys-club" TargetMode="External"/><Relationship Id="rId608" Type="http://schemas.openxmlformats.org/officeDocument/2006/relationships/hyperlink" Target="https://www.cettire.com/collections/1017-alyx-9sm" TargetMode="External"/><Relationship Id="rId815" Type="http://schemas.openxmlformats.org/officeDocument/2006/relationships/hyperlink" Target="https://www.cettire.com/collections/fay" TargetMode="External"/><Relationship Id="rId1238" Type="http://schemas.openxmlformats.org/officeDocument/2006/relationships/hyperlink" Target="https://www.cettire.com/collections/alaia" TargetMode="External"/><Relationship Id="rId1445" Type="http://schemas.openxmlformats.org/officeDocument/2006/relationships/hyperlink" Target="https://www.cettire.com/collections/gcds-kids" TargetMode="External"/><Relationship Id="rId1652" Type="http://schemas.openxmlformats.org/officeDocument/2006/relationships/hyperlink" Target="https://www.cettire.com/collections/philosophy-di-lorenzo-serafini" TargetMode="External"/><Relationship Id="rId1305" Type="http://schemas.openxmlformats.org/officeDocument/2006/relationships/hyperlink" Target="https://www.cettire.com/collections/boutique-moschino" TargetMode="External"/><Relationship Id="rId2703" Type="http://schemas.openxmlformats.org/officeDocument/2006/relationships/hyperlink" Target="https://www.cettire.com/collections/jimmy-choo" TargetMode="External"/><Relationship Id="rId2910" Type="http://schemas.openxmlformats.org/officeDocument/2006/relationships/hyperlink" Target="https://www.cettire.com/collections/rick-owens-lilies" TargetMode="External"/><Relationship Id="rId1512" Type="http://schemas.openxmlformats.org/officeDocument/2006/relationships/hyperlink" Target="https://www.cettire.com/collections/khrisjoy" TargetMode="External"/><Relationship Id="rId4668" Type="http://schemas.openxmlformats.org/officeDocument/2006/relationships/hyperlink" Target="https://www.cettire.com/collections/pt-torino" TargetMode="External"/><Relationship Id="rId11" Type="http://schemas.openxmlformats.org/officeDocument/2006/relationships/hyperlink" Target="https://www.cettire.com/collections/abra" TargetMode="External"/><Relationship Id="rId398" Type="http://schemas.openxmlformats.org/officeDocument/2006/relationships/hyperlink" Target="https://www.cettire.com/collections/mykita" TargetMode="External"/><Relationship Id="rId2079" Type="http://schemas.openxmlformats.org/officeDocument/2006/relationships/hyperlink" Target="https://www.cettire.com/collections/honey-fucking-dijon" TargetMode="External"/><Relationship Id="rId3477" Type="http://schemas.openxmlformats.org/officeDocument/2006/relationships/hyperlink" Target="https://www.cettire.com/collections/represent" TargetMode="External"/><Relationship Id="rId3684" Type="http://schemas.openxmlformats.org/officeDocument/2006/relationships/hyperlink" Target="https://www.cettire.com/collections/bonpoint" TargetMode="External"/><Relationship Id="rId3891" Type="http://schemas.openxmlformats.org/officeDocument/2006/relationships/hyperlink" Target="https://www.cettire.com/collections/karl-lagerfeld" TargetMode="External"/><Relationship Id="rId4528" Type="http://schemas.openxmlformats.org/officeDocument/2006/relationships/hyperlink" Target="https://www.cettire.com/collections/linda-farrow" TargetMode="External"/><Relationship Id="rId4735" Type="http://schemas.openxmlformats.org/officeDocument/2006/relationships/hyperlink" Target="https://www.cettire.com/collections/stella-mccartney-eyewear" TargetMode="External"/><Relationship Id="rId2286" Type="http://schemas.openxmlformats.org/officeDocument/2006/relationships/hyperlink" Target="https://www.cettire.com/collections/readymade" TargetMode="External"/><Relationship Id="rId2493" Type="http://schemas.openxmlformats.org/officeDocument/2006/relationships/hyperlink" Target="https://www.cettire.com/collections/bally" TargetMode="External"/><Relationship Id="rId3337" Type="http://schemas.openxmlformats.org/officeDocument/2006/relationships/hyperlink" Target="https://www.cettire.com/collections/maison-kitsune" TargetMode="External"/><Relationship Id="rId3544" Type="http://schemas.openxmlformats.org/officeDocument/2006/relationships/hyperlink" Target="https://www.cettire.com/collections/tods" TargetMode="External"/><Relationship Id="rId3751" Type="http://schemas.openxmlformats.org/officeDocument/2006/relationships/hyperlink" Target="https://www.cettire.com/collections/craig-green" TargetMode="External"/><Relationship Id="rId4802" Type="http://schemas.openxmlformats.org/officeDocument/2006/relationships/hyperlink" Target="https://www.cettire.com/collections/weekend-max-mara" TargetMode="External"/><Relationship Id="rId258" Type="http://schemas.openxmlformats.org/officeDocument/2006/relationships/hyperlink" Target="https://www.cettire.com/collections/hogan" TargetMode="External"/><Relationship Id="rId465" Type="http://schemas.openxmlformats.org/officeDocument/2006/relationships/hyperlink" Target="https://www.cettire.com/collections/raf-simons" TargetMode="External"/><Relationship Id="rId672" Type="http://schemas.openxmlformats.org/officeDocument/2006/relationships/hyperlink" Target="https://www.cettire.com/collections/balenciaga-eyewear" TargetMode="External"/><Relationship Id="rId1095" Type="http://schemas.openxmlformats.org/officeDocument/2006/relationships/hyperlink" Target="https://www.cettire.com/collections/rochas" TargetMode="External"/><Relationship Id="rId2146" Type="http://schemas.openxmlformats.org/officeDocument/2006/relationships/hyperlink" Target="https://www.cettire.com/collections/maison-kitsune" TargetMode="External"/><Relationship Id="rId2353" Type="http://schemas.openxmlformats.org/officeDocument/2006/relationships/hyperlink" Target="https://www.cettire.com/collections/t-by-alexander-wang" TargetMode="External"/><Relationship Id="rId2560" Type="http://schemas.openxmlformats.org/officeDocument/2006/relationships/hyperlink" Target="https://www.cettire.com/collections/coach" TargetMode="External"/><Relationship Id="rId3404" Type="http://schemas.openxmlformats.org/officeDocument/2006/relationships/hyperlink" Target="https://www.cettire.com/collections/needles" TargetMode="External"/><Relationship Id="rId3611" Type="http://schemas.openxmlformats.org/officeDocument/2006/relationships/hyperlink" Target="https://www.cettire.com/collections/adidas-by-raf-simons" TargetMode="External"/><Relationship Id="rId118" Type="http://schemas.openxmlformats.org/officeDocument/2006/relationships/hyperlink" Target="https://www.cettire.com/collections/carrera" TargetMode="External"/><Relationship Id="rId325" Type="http://schemas.openxmlformats.org/officeDocument/2006/relationships/hyperlink" Target="https://www.cettire.com/collections/loulou-studio" TargetMode="External"/><Relationship Id="rId532" Type="http://schemas.openxmlformats.org/officeDocument/2006/relationships/hyperlink" Target="https://www.cettire.com/collections/stuart-weitzman" TargetMode="External"/><Relationship Id="rId1162" Type="http://schemas.openxmlformats.org/officeDocument/2006/relationships/hyperlink" Target="https://www.cettire.com/collections/tory-burch" TargetMode="External"/><Relationship Id="rId2006" Type="http://schemas.openxmlformats.org/officeDocument/2006/relationships/hyperlink" Target="https://www.cettire.com/collections/eden-power-corp" TargetMode="External"/><Relationship Id="rId2213" Type="http://schemas.openxmlformats.org/officeDocument/2006/relationships/hyperlink" Target="https://www.cettire.com/collections/nana-nana" TargetMode="External"/><Relationship Id="rId2420" Type="http://schemas.openxmlformats.org/officeDocument/2006/relationships/hyperlink" Target="https://www.cettire.com/collections/zadig-voltaire-kids" TargetMode="External"/><Relationship Id="rId1022" Type="http://schemas.openxmlformats.org/officeDocument/2006/relationships/hyperlink" Target="https://www.cettire.com/collections/oamc" TargetMode="External"/><Relationship Id="rId4178" Type="http://schemas.openxmlformats.org/officeDocument/2006/relationships/hyperlink" Target="https://www.cettire.com/collections/versace" TargetMode="External"/><Relationship Id="rId4385" Type="http://schemas.openxmlformats.org/officeDocument/2006/relationships/hyperlink" Target="https://www.cettire.com/collections/dolce-gabbana" TargetMode="External"/><Relationship Id="rId4592" Type="http://schemas.openxmlformats.org/officeDocument/2006/relationships/hyperlink" Target="https://www.cettire.com/collections/moncler-eyewear" TargetMode="External"/><Relationship Id="rId1979" Type="http://schemas.openxmlformats.org/officeDocument/2006/relationships/hyperlink" Target="https://www.cettire.com/collections/department-5" TargetMode="External"/><Relationship Id="rId3194" Type="http://schemas.openxmlformats.org/officeDocument/2006/relationships/hyperlink" Target="https://www.cettire.com/collections/dolce-gabbana-eyewear" TargetMode="External"/><Relationship Id="rId4038" Type="http://schemas.openxmlformats.org/officeDocument/2006/relationships/hyperlink" Target="https://www.cettire.com/collections/philippe-model" TargetMode="External"/><Relationship Id="rId4245" Type="http://schemas.openxmlformats.org/officeDocument/2006/relationships/hyperlink" Target="https://www.cettire.com/collections/allude" TargetMode="External"/><Relationship Id="rId1839" Type="http://schemas.openxmlformats.org/officeDocument/2006/relationships/hyperlink" Target="https://www.cettire.com/collections/adidas-originals" TargetMode="External"/><Relationship Id="rId3054" Type="http://schemas.openxmlformats.org/officeDocument/2006/relationships/hyperlink" Target="https://www.cettire.com/collections/adidas-originals-by-alexander-wang" TargetMode="External"/><Relationship Id="rId4452" Type="http://schemas.openxmlformats.org/officeDocument/2006/relationships/hyperlink" Target="https://www.cettire.com/collections/golden-goose-kids" TargetMode="External"/><Relationship Id="rId182" Type="http://schemas.openxmlformats.org/officeDocument/2006/relationships/hyperlink" Target="https://www.cettire.com/collections/drole-de-monsieur" TargetMode="External"/><Relationship Id="rId1906" Type="http://schemas.openxmlformats.org/officeDocument/2006/relationships/hyperlink" Target="https://www.cettire.com/collections/boglioli" TargetMode="External"/><Relationship Id="rId3261" Type="http://schemas.openxmlformats.org/officeDocument/2006/relationships/hyperlink" Target="https://www.cettire.com/collections/helmut-lang" TargetMode="External"/><Relationship Id="rId4105" Type="http://schemas.openxmlformats.org/officeDocument/2006/relationships/hyperlink" Target="https://www.cettire.com/collections/sara-battaglia" TargetMode="External"/><Relationship Id="rId4312" Type="http://schemas.openxmlformats.org/officeDocument/2006/relationships/hyperlink" Target="https://www.cettire.com/collections/buttero" TargetMode="External"/><Relationship Id="rId2070" Type="http://schemas.openxmlformats.org/officeDocument/2006/relationships/hyperlink" Target="https://www.cettire.com/collections/herno" TargetMode="External"/><Relationship Id="rId3121" Type="http://schemas.openxmlformats.org/officeDocument/2006/relationships/hyperlink" Target="https://www.cettire.com/collections/brunello-cucinelli-kids" TargetMode="External"/><Relationship Id="rId999" Type="http://schemas.openxmlformats.org/officeDocument/2006/relationships/hyperlink" Target="https://www.cettire.com/collections/mulberry" TargetMode="External"/><Relationship Id="rId2887" Type="http://schemas.openxmlformats.org/officeDocument/2006/relationships/hyperlink" Target="https://www.cettire.com/collections/r-m-williams" TargetMode="External"/><Relationship Id="rId859" Type="http://schemas.openxmlformats.org/officeDocument/2006/relationships/hyperlink" Target="https://www.cettire.com/collections/herno-kids" TargetMode="External"/><Relationship Id="rId1489" Type="http://schemas.openxmlformats.org/officeDocument/2006/relationships/hyperlink" Target="https://www.cettire.com/collections/jacques-marie-mage" TargetMode="External"/><Relationship Id="rId1696" Type="http://schemas.openxmlformats.org/officeDocument/2006/relationships/hyperlink" Target="https://www.cettire.com/collections/rick-owens-lilies" TargetMode="External"/><Relationship Id="rId3938" Type="http://schemas.openxmlformats.org/officeDocument/2006/relationships/hyperlink" Target="https://www.cettire.com/collections/marc-jacobs-eyewear" TargetMode="External"/><Relationship Id="rId1349" Type="http://schemas.openxmlformats.org/officeDocument/2006/relationships/hyperlink" Target="https://www.cettire.com/collections/coach" TargetMode="External"/><Relationship Id="rId2747" Type="http://schemas.openxmlformats.org/officeDocument/2006/relationships/hyperlink" Target="https://www.cettire.com/collections/loulou-studio" TargetMode="External"/><Relationship Id="rId2954" Type="http://schemas.openxmlformats.org/officeDocument/2006/relationships/hyperlink" Target="https://www.cettire.com/collections/stone-island-junior" TargetMode="External"/><Relationship Id="rId719" Type="http://schemas.openxmlformats.org/officeDocument/2006/relationships/hyperlink" Target="https://www.cettire.com/collections/car-shoe" TargetMode="External"/><Relationship Id="rId926" Type="http://schemas.openxmlformats.org/officeDocument/2006/relationships/hyperlink" Target="https://www.cettire.com/collections/loewe" TargetMode="External"/><Relationship Id="rId1556" Type="http://schemas.openxmlformats.org/officeDocument/2006/relationships/hyperlink" Target="https://www.cettire.com/collections/marni" TargetMode="External"/><Relationship Id="rId1763" Type="http://schemas.openxmlformats.org/officeDocument/2006/relationships/hyperlink" Target="https://www.cettire.com/collections/thom-browne-eyewear" TargetMode="External"/><Relationship Id="rId1970" Type="http://schemas.openxmlformats.org/officeDocument/2006/relationships/hyperlink" Target="https://www.cettire.com/collections/coperni" TargetMode="External"/><Relationship Id="rId2607" Type="http://schemas.openxmlformats.org/officeDocument/2006/relationships/hyperlink" Target="https://www.cettire.com/collections/dsquared2-kids" TargetMode="External"/><Relationship Id="rId2814" Type="http://schemas.openxmlformats.org/officeDocument/2006/relationships/hyperlink" Target="https://www.cettire.com/collections/mother" TargetMode="External"/><Relationship Id="rId55" Type="http://schemas.openxmlformats.org/officeDocument/2006/relationships/hyperlink" Target="https://www.cettire.com/collections/aries" TargetMode="External"/><Relationship Id="rId1209" Type="http://schemas.openxmlformats.org/officeDocument/2006/relationships/hyperlink" Target="https://www.cettire.com/collections/zadig-voltaire-kids" TargetMode="External"/><Relationship Id="rId1416" Type="http://schemas.openxmlformats.org/officeDocument/2006/relationships/hyperlink" Target="https://www.cettire.com/collections/extreme-cashmere" TargetMode="External"/><Relationship Id="rId1623" Type="http://schemas.openxmlformats.org/officeDocument/2006/relationships/hyperlink" Target="https://www.cettire.com/collections/noon-goons" TargetMode="External"/><Relationship Id="rId1830" Type="http://schemas.openxmlformats.org/officeDocument/2006/relationships/hyperlink" Target="https://www.cettire.com/collections/ader-error" TargetMode="External"/><Relationship Id="rId4779" Type="http://schemas.openxmlformats.org/officeDocument/2006/relationships/hyperlink" Target="https://www.cettire.com/collections/uma-wang" TargetMode="External"/><Relationship Id="rId3588" Type="http://schemas.openxmlformats.org/officeDocument/2006/relationships/hyperlink" Target="https://www.cettire.com/collections/yohji-yamamoto" TargetMode="External"/><Relationship Id="rId3795" Type="http://schemas.openxmlformats.org/officeDocument/2006/relationships/hyperlink" Target="https://www.cettire.com/collections/ermanno-scervino" TargetMode="External"/><Relationship Id="rId4639" Type="http://schemas.openxmlformats.org/officeDocument/2006/relationships/hyperlink" Target="https://www.cettire.com/collections/paco-rabanne" TargetMode="External"/><Relationship Id="rId2397" Type="http://schemas.openxmlformats.org/officeDocument/2006/relationships/hyperlink" Target="https://www.cettire.com/collections/versace-kids" TargetMode="External"/><Relationship Id="rId3448" Type="http://schemas.openxmlformats.org/officeDocument/2006/relationships/hyperlink" Target="https://www.cettire.com/collections/porter-yoshida-co" TargetMode="External"/><Relationship Id="rId3655" Type="http://schemas.openxmlformats.org/officeDocument/2006/relationships/hyperlink" Target="https://www.cettire.com/collections/asics" TargetMode="External"/><Relationship Id="rId3862" Type="http://schemas.openxmlformats.org/officeDocument/2006/relationships/hyperlink" Target="https://www.cettire.com/collections/il-gufo" TargetMode="External"/><Relationship Id="rId4706" Type="http://schemas.openxmlformats.org/officeDocument/2006/relationships/hyperlink" Target="https://www.cettire.com/collections/ruslan-baginskiy" TargetMode="External"/><Relationship Id="rId369" Type="http://schemas.openxmlformats.org/officeDocument/2006/relationships/hyperlink" Target="https://www.cettire.com/collections/mini-rodini" TargetMode="External"/><Relationship Id="rId576" Type="http://schemas.openxmlformats.org/officeDocument/2006/relationships/hyperlink" Target="https://www.cettire.com/collections/vans-vault" TargetMode="External"/><Relationship Id="rId783" Type="http://schemas.openxmlformats.org/officeDocument/2006/relationships/hyperlink" Target="https://www.cettire.com/collections/dolce-gabbana-eyewear" TargetMode="External"/><Relationship Id="rId990" Type="http://schemas.openxmlformats.org/officeDocument/2006/relationships/hyperlink" Target="https://www.cettire.com/collections/montblanc" TargetMode="External"/><Relationship Id="rId2257" Type="http://schemas.openxmlformats.org/officeDocument/2006/relationships/hyperlink" Target="https://www.cettire.com/collections/philosophy-di-lorenzo-serafini-kids" TargetMode="External"/><Relationship Id="rId2464" Type="http://schemas.openxmlformats.org/officeDocument/2006/relationships/hyperlink" Target="https://www.cettire.com/collections/amen" TargetMode="External"/><Relationship Id="rId2671" Type="http://schemas.openxmlformats.org/officeDocument/2006/relationships/hyperlink" Target="https://www.cettire.com/collections/haider-ackermann" TargetMode="External"/><Relationship Id="rId3308" Type="http://schemas.openxmlformats.org/officeDocument/2006/relationships/hyperlink" Target="https://www.cettire.com/collections/kuboraum" TargetMode="External"/><Relationship Id="rId3515" Type="http://schemas.openxmlformats.org/officeDocument/2006/relationships/hyperlink" Target="https://www.cettire.com/collections/stand-studio" TargetMode="External"/><Relationship Id="rId229" Type="http://schemas.openxmlformats.org/officeDocument/2006/relationships/hyperlink" Target="https://www.cettire.com/collections/gabriela-hearst" TargetMode="External"/><Relationship Id="rId436" Type="http://schemas.openxmlformats.org/officeDocument/2006/relationships/hyperlink" Target="https://www.cettire.com/collections/paul-smith" TargetMode="External"/><Relationship Id="rId643" Type="http://schemas.openxmlformats.org/officeDocument/2006/relationships/hyperlink" Target="https://www.cettire.com/collections/alexander-wang" TargetMode="External"/><Relationship Id="rId1066" Type="http://schemas.openxmlformats.org/officeDocument/2006/relationships/hyperlink" Target="https://www.cettire.com/collections/puma" TargetMode="External"/><Relationship Id="rId1273" Type="http://schemas.openxmlformats.org/officeDocument/2006/relationships/hyperlink" Target="https://www.cettire.com/collections/aspesi" TargetMode="External"/><Relationship Id="rId1480" Type="http://schemas.openxmlformats.org/officeDocument/2006/relationships/hyperlink" Target="https://www.cettire.com/collections/in-the-mood-for-love" TargetMode="External"/><Relationship Id="rId2117" Type="http://schemas.openxmlformats.org/officeDocument/2006/relationships/hyperlink" Target="https://www.cettire.com/collections/khrisjoy" TargetMode="External"/><Relationship Id="rId2324" Type="http://schemas.openxmlformats.org/officeDocument/2006/relationships/hyperlink" Target="https://www.cettire.com/collections/save-the-duck-kids" TargetMode="External"/><Relationship Id="rId3722" Type="http://schemas.openxmlformats.org/officeDocument/2006/relationships/hyperlink" Target="https://www.cettire.com/collections/chie-mihara" TargetMode="External"/><Relationship Id="rId850" Type="http://schemas.openxmlformats.org/officeDocument/2006/relationships/hyperlink" Target="https://www.cettire.com/collections/gucci" TargetMode="External"/><Relationship Id="rId1133" Type="http://schemas.openxmlformats.org/officeDocument/2006/relationships/hyperlink" Target="https://www.cettire.com/collections/stone-island" TargetMode="External"/><Relationship Id="rId2531" Type="http://schemas.openxmlformats.org/officeDocument/2006/relationships/hyperlink" Target="https://www.cettire.com/collections/c2h4" TargetMode="External"/><Relationship Id="rId4289" Type="http://schemas.openxmlformats.org/officeDocument/2006/relationships/hyperlink" Target="https://www.cettire.com/collections/berluti" TargetMode="External"/><Relationship Id="rId503" Type="http://schemas.openxmlformats.org/officeDocument/2006/relationships/hyperlink" Target="https://www.cettire.com/collections/saloni" TargetMode="External"/><Relationship Id="rId710" Type="http://schemas.openxmlformats.org/officeDocument/2006/relationships/hyperlink" Target="https://www.cettire.com/collections/by-far" TargetMode="External"/><Relationship Id="rId1340" Type="http://schemas.openxmlformats.org/officeDocument/2006/relationships/hyperlink" Target="https://www.cettire.com/collections/chloe" TargetMode="External"/><Relationship Id="rId3098" Type="http://schemas.openxmlformats.org/officeDocument/2006/relationships/hyperlink" Target="https://www.cettire.com/collections/bally" TargetMode="External"/><Relationship Id="rId4496" Type="http://schemas.openxmlformats.org/officeDocument/2006/relationships/hyperlink" Target="https://www.cettire.com/collections/junya-watanabe" TargetMode="External"/><Relationship Id="rId1200" Type="http://schemas.openxmlformats.org/officeDocument/2006/relationships/hyperlink" Target="https://www.cettire.com/collections/y-3" TargetMode="External"/><Relationship Id="rId4149" Type="http://schemas.openxmlformats.org/officeDocument/2006/relationships/hyperlink" Target="https://www.cettire.com/collections/theory" TargetMode="External"/><Relationship Id="rId4356" Type="http://schemas.openxmlformats.org/officeDocument/2006/relationships/hyperlink" Target="https://www.cettire.com/collections/comme-des-garcons-shirt" TargetMode="External"/><Relationship Id="rId4563" Type="http://schemas.openxmlformats.org/officeDocument/2006/relationships/hyperlink" Target="https://www.cettire.com/collections/materiel" TargetMode="External"/><Relationship Id="rId4770" Type="http://schemas.openxmlformats.org/officeDocument/2006/relationships/hyperlink" Target="https://www.cettire.com/collections/trickers" TargetMode="External"/><Relationship Id="rId3165" Type="http://schemas.openxmlformats.org/officeDocument/2006/relationships/hyperlink" Target="https://www.cettire.com/collections/comme-des-garcons-play" TargetMode="External"/><Relationship Id="rId3372" Type="http://schemas.openxmlformats.org/officeDocument/2006/relationships/hyperlink" Target="https://www.cettire.com/collections/misbhv" TargetMode="External"/><Relationship Id="rId4009" Type="http://schemas.openxmlformats.org/officeDocument/2006/relationships/hyperlink" Target="https://www.cettire.com/collections/nodaleto" TargetMode="External"/><Relationship Id="rId4216" Type="http://schemas.openxmlformats.org/officeDocument/2006/relationships/hyperlink" Target="https://www.cettire.com/collections/a-p-c" TargetMode="External"/><Relationship Id="rId4423" Type="http://schemas.openxmlformats.org/officeDocument/2006/relationships/hyperlink" Target="https://www.cettire.com/collections/fendi" TargetMode="External"/><Relationship Id="rId4630" Type="http://schemas.openxmlformats.org/officeDocument/2006/relationships/hyperlink" Target="https://www.cettire.com/collections/off-white-kids" TargetMode="External"/><Relationship Id="rId293" Type="http://schemas.openxmlformats.org/officeDocument/2006/relationships/hyperlink" Target="https://www.cettire.com/collections/jw-anderson" TargetMode="External"/><Relationship Id="rId2181" Type="http://schemas.openxmlformats.org/officeDocument/2006/relationships/hyperlink" Target="https://www.cettire.com/collections/midnight-00" TargetMode="External"/><Relationship Id="rId3025" Type="http://schemas.openxmlformats.org/officeDocument/2006/relationships/hyperlink" Target="https://www.cettire.com/collections/yohji-yamamoto" TargetMode="External"/><Relationship Id="rId3232" Type="http://schemas.openxmlformats.org/officeDocument/2006/relationships/hyperlink" Target="https://www.cettire.com/collections/fila" TargetMode="External"/><Relationship Id="rId153" Type="http://schemas.openxmlformats.org/officeDocument/2006/relationships/hyperlink" Target="https://www.cettire.com/collections/converse" TargetMode="External"/><Relationship Id="rId360" Type="http://schemas.openxmlformats.org/officeDocument/2006/relationships/hyperlink" Target="https://www.cettire.com/collections/max-mara-the-cube" TargetMode="External"/><Relationship Id="rId2041" Type="http://schemas.openxmlformats.org/officeDocument/2006/relationships/hyperlink" Target="https://www.cettire.com/collections/frame" TargetMode="External"/><Relationship Id="rId220" Type="http://schemas.openxmlformats.org/officeDocument/2006/relationships/hyperlink" Target="https://www.cettire.com/collections/finamore-1925-napoli" TargetMode="External"/><Relationship Id="rId2998" Type="http://schemas.openxmlformats.org/officeDocument/2006/relationships/hyperlink" Target="https://www.cettire.com/collections/valextra" TargetMode="External"/><Relationship Id="rId2858" Type="http://schemas.openxmlformats.org/officeDocument/2006/relationships/hyperlink" Target="https://www.cettire.com/collections/paris-texas" TargetMode="External"/><Relationship Id="rId3909" Type="http://schemas.openxmlformats.org/officeDocument/2006/relationships/hyperlink" Target="https://www.cettire.com/collections/le%20beb%C3%A9%20enfant" TargetMode="External"/><Relationship Id="rId4073" Type="http://schemas.openxmlformats.org/officeDocument/2006/relationships/hyperlink" Target="https://www.cettire.com/collections/reebok" TargetMode="External"/><Relationship Id="rId99" Type="http://schemas.openxmlformats.org/officeDocument/2006/relationships/hyperlink" Target="https://www.cettire.com/collections/building-block" TargetMode="External"/><Relationship Id="rId1667" Type="http://schemas.openxmlformats.org/officeDocument/2006/relationships/hyperlink" Target="https://www.cettire.com/collections/proenza-schouler" TargetMode="External"/><Relationship Id="rId1874" Type="http://schemas.openxmlformats.org/officeDocument/2006/relationships/hyperlink" Target="https://www.cettire.com/collections/arizona-love" TargetMode="External"/><Relationship Id="rId2718" Type="http://schemas.openxmlformats.org/officeDocument/2006/relationships/hyperlink" Target="https://www.cettire.com/collections/karl-lagerfeld" TargetMode="External"/><Relationship Id="rId2925" Type="http://schemas.openxmlformats.org/officeDocument/2006/relationships/hyperlink" Target="https://www.cettire.com/collections/saks-potts" TargetMode="External"/><Relationship Id="rId4280" Type="http://schemas.openxmlformats.org/officeDocument/2006/relationships/hyperlink" Target="https://www.cettire.com/collections/balmain-kids" TargetMode="External"/><Relationship Id="rId1527" Type="http://schemas.openxmlformats.org/officeDocument/2006/relationships/hyperlink" Target="https://www.cettire.com/collections/levis" TargetMode="External"/><Relationship Id="rId1734" Type="http://schemas.openxmlformats.org/officeDocument/2006/relationships/hyperlink" Target="https://www.cettire.com/collections/stand-studio" TargetMode="External"/><Relationship Id="rId1941" Type="http://schemas.openxmlformats.org/officeDocument/2006/relationships/hyperlink" Target="https://www.cettire.com/collections/champion" TargetMode="External"/><Relationship Id="rId4140" Type="http://schemas.openxmlformats.org/officeDocument/2006/relationships/hyperlink" Target="https://www.cettire.com/collections/ten-c" TargetMode="External"/><Relationship Id="rId26" Type="http://schemas.openxmlformats.org/officeDocument/2006/relationships/hyperlink" Target="https://www.cettire.com/collections/agolde" TargetMode="External"/><Relationship Id="rId3699" Type="http://schemas.openxmlformats.org/officeDocument/2006/relationships/hyperlink" Target="https://www.cettire.com/collections/buttero" TargetMode="External"/><Relationship Id="rId4000" Type="http://schemas.openxmlformats.org/officeDocument/2006/relationships/hyperlink" Target="https://www.cettire.com/collections/needles" TargetMode="External"/><Relationship Id="rId1801" Type="http://schemas.openxmlformats.org/officeDocument/2006/relationships/hyperlink" Target="https://www.cettire.com/collections/we11done" TargetMode="External"/><Relationship Id="rId3559" Type="http://schemas.openxmlformats.org/officeDocument/2006/relationships/hyperlink" Target="https://www.cettire.com/collections/unravel-project" TargetMode="External"/><Relationship Id="rId687" Type="http://schemas.openxmlformats.org/officeDocument/2006/relationships/hyperlink" Target="https://www.cettire.com/collections/billieblush" TargetMode="External"/><Relationship Id="rId2368" Type="http://schemas.openxmlformats.org/officeDocument/2006/relationships/hyperlink" Target="https://www.cettire.com/collections/tods" TargetMode="External"/><Relationship Id="rId3766" Type="http://schemas.openxmlformats.org/officeDocument/2006/relationships/hyperlink" Target="https://www.cettire.com/collections/dior" TargetMode="External"/><Relationship Id="rId3973" Type="http://schemas.openxmlformats.org/officeDocument/2006/relationships/hyperlink" Target="https://www.cettire.com/collections/mm6-maison-margiela" TargetMode="External"/><Relationship Id="rId4817" Type="http://schemas.openxmlformats.org/officeDocument/2006/relationships/hyperlink" Target="https://www.cettire.com/collections/zimmermann" TargetMode="External"/><Relationship Id="rId894" Type="http://schemas.openxmlformats.org/officeDocument/2006/relationships/hyperlink" Target="https://www.cettire.com/collections/junya-watanabe-man" TargetMode="External"/><Relationship Id="rId1177" Type="http://schemas.openxmlformats.org/officeDocument/2006/relationships/hyperlink" Target="https://www.cettire.com/collections/valentino-eyewear" TargetMode="External"/><Relationship Id="rId2575" Type="http://schemas.openxmlformats.org/officeDocument/2006/relationships/hyperlink" Target="https://www.cettire.com/collections/coperni" TargetMode="External"/><Relationship Id="rId2782" Type="http://schemas.openxmlformats.org/officeDocument/2006/relationships/hyperlink" Target="https://www.cettire.com/collections/max-mara-the-cube" TargetMode="External"/><Relationship Id="rId3419" Type="http://schemas.openxmlformats.org/officeDocument/2006/relationships/hyperlink" Target="https://www.cettire.com/collections/officine-creative" TargetMode="External"/><Relationship Id="rId3626" Type="http://schemas.openxmlformats.org/officeDocument/2006/relationships/hyperlink" Target="https://www.cettire.com/collections/alessandra-rich" TargetMode="External"/><Relationship Id="rId3833" Type="http://schemas.openxmlformats.org/officeDocument/2006/relationships/hyperlink" Target="https://www.cettire.com/collections/givenchy" TargetMode="External"/><Relationship Id="rId547" Type="http://schemas.openxmlformats.org/officeDocument/2006/relationships/hyperlink" Target="https://www.cettire.com/collections/the-north-face-black-series" TargetMode="External"/><Relationship Id="rId754" Type="http://schemas.openxmlformats.org/officeDocument/2006/relationships/hyperlink" Target="https://www.cettire.com/collections/comme-des-garcons-shirt-boys" TargetMode="External"/><Relationship Id="rId961" Type="http://schemas.openxmlformats.org/officeDocument/2006/relationships/hyperlink" Target="https://www.cettire.com/collections/max-mara-atelier" TargetMode="External"/><Relationship Id="rId1384" Type="http://schemas.openxmlformats.org/officeDocument/2006/relationships/hyperlink" Target="https://www.cettire.com/collections/dior-homme" TargetMode="External"/><Relationship Id="rId1591" Type="http://schemas.openxmlformats.org/officeDocument/2006/relationships/hyperlink" Target="https://www.cettire.com/collections/moncler-eyewear" TargetMode="External"/><Relationship Id="rId2228" Type="http://schemas.openxmlformats.org/officeDocument/2006/relationships/hyperlink" Target="https://www.cettire.com/collections/norse-projects" TargetMode="External"/><Relationship Id="rId2435" Type="http://schemas.openxmlformats.org/officeDocument/2006/relationships/hyperlink" Target="https://www.cettire.com/collections/ader-error" TargetMode="External"/><Relationship Id="rId2642" Type="http://schemas.openxmlformats.org/officeDocument/2006/relationships/hyperlink" Target="https://www.cettire.com/collections/fila" TargetMode="External"/><Relationship Id="rId3900" Type="http://schemas.openxmlformats.org/officeDocument/2006/relationships/hyperlink" Target="https://www.cettire.com/collections/l-b-m-1911" TargetMode="External"/><Relationship Id="rId90" Type="http://schemas.openxmlformats.org/officeDocument/2006/relationships/hyperlink" Target="https://www.cettire.com/collections/bonpoint" TargetMode="External"/><Relationship Id="rId407" Type="http://schemas.openxmlformats.org/officeDocument/2006/relationships/hyperlink" Target="https://www.cettire.com/collections/neil-barrett-kids" TargetMode="External"/><Relationship Id="rId614" Type="http://schemas.openxmlformats.org/officeDocument/2006/relationships/hyperlink" Target="https://www.cettire.com/collections/a-cold-wall" TargetMode="External"/><Relationship Id="rId821" Type="http://schemas.openxmlformats.org/officeDocument/2006/relationships/hyperlink" Target="https://www.cettire.com/collections/feng-chen-wang" TargetMode="External"/><Relationship Id="rId1037" Type="http://schemas.openxmlformats.org/officeDocument/2006/relationships/hyperlink" Target="https://www.cettire.com/collections/parajumpers" TargetMode="External"/><Relationship Id="rId1244" Type="http://schemas.openxmlformats.org/officeDocument/2006/relationships/hyperlink" Target="https://www.cettire.com/collections/alessia-xoccato" TargetMode="External"/><Relationship Id="rId1451" Type="http://schemas.openxmlformats.org/officeDocument/2006/relationships/hyperlink" Target="https://www.cettire.com/collections/givenchy-kids" TargetMode="External"/><Relationship Id="rId2502" Type="http://schemas.openxmlformats.org/officeDocument/2006/relationships/hyperlink" Target="https://www.cettire.com/collections/baum-und-pferdgarten" TargetMode="External"/><Relationship Id="rId1104" Type="http://schemas.openxmlformats.org/officeDocument/2006/relationships/hyperlink" Target="https://www.cettire.com/collections/saint-laurent-eyewear" TargetMode="External"/><Relationship Id="rId1311" Type="http://schemas.openxmlformats.org/officeDocument/2006/relationships/hyperlink" Target="https://www.cettire.com/collections/bulgari" TargetMode="External"/><Relationship Id="rId4467" Type="http://schemas.openxmlformats.org/officeDocument/2006/relationships/hyperlink" Target="https://www.cettire.com/collections/hogan" TargetMode="External"/><Relationship Id="rId4674" Type="http://schemas.openxmlformats.org/officeDocument/2006/relationships/hyperlink" Target="https://www.cettire.com/collections/raf-simons" TargetMode="External"/><Relationship Id="rId3069" Type="http://schemas.openxmlformats.org/officeDocument/2006/relationships/hyperlink" Target="https://www.cettire.com/collections/allude" TargetMode="External"/><Relationship Id="rId3276" Type="http://schemas.openxmlformats.org/officeDocument/2006/relationships/hyperlink" Target="https://www.cettire.com/collections/il-gufo" TargetMode="External"/><Relationship Id="rId3483" Type="http://schemas.openxmlformats.org/officeDocument/2006/relationships/hyperlink" Target="https://www.cettire.com/collections/rick-owens-x-birkenstock" TargetMode="External"/><Relationship Id="rId3690" Type="http://schemas.openxmlformats.org/officeDocument/2006/relationships/hyperlink" Target="https://www.cettire.com/collections/brian-dales" TargetMode="External"/><Relationship Id="rId4327" Type="http://schemas.openxmlformats.org/officeDocument/2006/relationships/hyperlink" Target="https://www.cettire.com/collections/casablanca" TargetMode="External"/><Relationship Id="rId4534" Type="http://schemas.openxmlformats.org/officeDocument/2006/relationships/hyperlink" Target="https://www.cettire.com/collections/loulou-studio" TargetMode="External"/><Relationship Id="rId197" Type="http://schemas.openxmlformats.org/officeDocument/2006/relationships/hyperlink" Target="https://www.cettire.com/collections/emporio-armani-kids" TargetMode="External"/><Relationship Id="rId2085" Type="http://schemas.openxmlformats.org/officeDocument/2006/relationships/hyperlink" Target="https://www.cettire.com/collections/in-the-mood-for-love" TargetMode="External"/><Relationship Id="rId2292" Type="http://schemas.openxmlformats.org/officeDocument/2006/relationships/hyperlink" Target="https://www.cettire.com/collections/reike-nen" TargetMode="External"/><Relationship Id="rId3136" Type="http://schemas.openxmlformats.org/officeDocument/2006/relationships/hyperlink" Target="https://www.cettire.com/collections/car-shoe" TargetMode="External"/><Relationship Id="rId3343" Type="http://schemas.openxmlformats.org/officeDocument/2006/relationships/hyperlink" Target="https://www.cettire.com/collections/manolo-blahnik" TargetMode="External"/><Relationship Id="rId4741" Type="http://schemas.openxmlformats.org/officeDocument/2006/relationships/hyperlink" Target="https://www.cettire.com/collections/studio-amelia" TargetMode="External"/><Relationship Id="rId264" Type="http://schemas.openxmlformats.org/officeDocument/2006/relationships/hyperlink" Target="https://www.cettire.com/collections/howlin" TargetMode="External"/><Relationship Id="rId471" Type="http://schemas.openxmlformats.org/officeDocument/2006/relationships/hyperlink" Target="https://www.cettire.com/collections/re-done" TargetMode="External"/><Relationship Id="rId2152" Type="http://schemas.openxmlformats.org/officeDocument/2006/relationships/hyperlink" Target="https://www.cettire.com/collections/manolo-blahnik" TargetMode="External"/><Relationship Id="rId3550" Type="http://schemas.openxmlformats.org/officeDocument/2006/relationships/hyperlink" Target="https://www.cettire.com/collections/trippen" TargetMode="External"/><Relationship Id="rId4601" Type="http://schemas.openxmlformats.org/officeDocument/2006/relationships/hyperlink" Target="https://www.cettire.com/collections/mother" TargetMode="External"/><Relationship Id="rId124" Type="http://schemas.openxmlformats.org/officeDocument/2006/relationships/hyperlink" Target="https://www.cettire.com/collections/champion" TargetMode="External"/><Relationship Id="rId3203" Type="http://schemas.openxmlformats.org/officeDocument/2006/relationships/hyperlink" Target="https://www.cettire.com/collections/eden-power-corp" TargetMode="External"/><Relationship Id="rId3410" Type="http://schemas.openxmlformats.org/officeDocument/2006/relationships/hyperlink" Target="https://www.cettire.com/collections/nodaleto" TargetMode="External"/><Relationship Id="rId331" Type="http://schemas.openxmlformats.org/officeDocument/2006/relationships/hyperlink" Target="https://www.cettire.com/collections/maisie-wilen" TargetMode="External"/><Relationship Id="rId2012" Type="http://schemas.openxmlformats.org/officeDocument/2006/relationships/hyperlink" Target="https://www.cettire.com/collections/emporio-armani" TargetMode="External"/><Relationship Id="rId2969" Type="http://schemas.openxmlformats.org/officeDocument/2006/relationships/hyperlink" Target="https://www.cettire.com/collections/the-marc-jacobs-kids" TargetMode="External"/><Relationship Id="rId1778" Type="http://schemas.openxmlformats.org/officeDocument/2006/relationships/hyperlink" Target="https://www.cettire.com/collections/ultrachic" TargetMode="External"/><Relationship Id="rId1985" Type="http://schemas.openxmlformats.org/officeDocument/2006/relationships/hyperlink" Target="https://www.cettire.com/collections/diesel-black-gold" TargetMode="External"/><Relationship Id="rId2829" Type="http://schemas.openxmlformats.org/officeDocument/2006/relationships/hyperlink" Target="https://www.cettire.com/collections/neous" TargetMode="External"/><Relationship Id="rId4184" Type="http://schemas.openxmlformats.org/officeDocument/2006/relationships/hyperlink" Target="https://www.cettire.com/collections/vision-of-super" TargetMode="External"/><Relationship Id="rId4391" Type="http://schemas.openxmlformats.org/officeDocument/2006/relationships/hyperlink" Target="https://www.cettire.com/collections/dsquared2-eyewear" TargetMode="External"/><Relationship Id="rId1638" Type="http://schemas.openxmlformats.org/officeDocument/2006/relationships/hyperlink" Target="https://www.cettire.com/collections/paccbet" TargetMode="External"/><Relationship Id="rId4044" Type="http://schemas.openxmlformats.org/officeDocument/2006/relationships/hyperlink" Target="https://www.cettire.com/collections/pinko" TargetMode="External"/><Relationship Id="rId4251" Type="http://schemas.openxmlformats.org/officeDocument/2006/relationships/hyperlink" Target="https://www.cettire.com/collections/amiri" TargetMode="External"/><Relationship Id="rId1845" Type="http://schemas.openxmlformats.org/officeDocument/2006/relationships/hyperlink" Target="https://www.cettire.com/collections/alaia" TargetMode="External"/><Relationship Id="rId3060" Type="http://schemas.openxmlformats.org/officeDocument/2006/relationships/hyperlink" Target="https://www.cettire.com/collections/alanui" TargetMode="External"/><Relationship Id="rId4111" Type="http://schemas.openxmlformats.org/officeDocument/2006/relationships/hyperlink" Target="https://www.cettire.com/collections/si-rossi" TargetMode="External"/><Relationship Id="rId1705" Type="http://schemas.openxmlformats.org/officeDocument/2006/relationships/hyperlink" Target="https://www.cettire.com/collections/rosantica" TargetMode="External"/><Relationship Id="rId1912" Type="http://schemas.openxmlformats.org/officeDocument/2006/relationships/hyperlink" Target="https://www.cettire.com/collections/boyy" TargetMode="External"/><Relationship Id="rId3877" Type="http://schemas.openxmlformats.org/officeDocument/2006/relationships/hyperlink" Target="https://www.cettire.com/collections/jimmy-choo-eyewear" TargetMode="External"/><Relationship Id="rId798" Type="http://schemas.openxmlformats.org/officeDocument/2006/relationships/hyperlink" Target="https://www.cettire.com/collections/emile-et-ida" TargetMode="External"/><Relationship Id="rId2479" Type="http://schemas.openxmlformats.org/officeDocument/2006/relationships/hyperlink" Target="https://www.cettire.com/collections/arizona-love" TargetMode="External"/><Relationship Id="rId2686" Type="http://schemas.openxmlformats.org/officeDocument/2006/relationships/hyperlink" Target="https://www.cettire.com/collections/hugo-boss-kids" TargetMode="External"/><Relationship Id="rId2893" Type="http://schemas.openxmlformats.org/officeDocument/2006/relationships/hyperlink" Target="https://www.cettire.com/collections/rave-review" TargetMode="External"/><Relationship Id="rId3737" Type="http://schemas.openxmlformats.org/officeDocument/2006/relationships/hyperlink" Target="https://www.cettire.com/collections/comme-des-garcons-comme-des-garcons" TargetMode="External"/><Relationship Id="rId3944" Type="http://schemas.openxmlformats.org/officeDocument/2006/relationships/hyperlink" Target="https://www.cettire.com/collections/marni-kids" TargetMode="External"/><Relationship Id="rId658" Type="http://schemas.openxmlformats.org/officeDocument/2006/relationships/hyperlink" Target="https://www.cettire.com/collections/aquazzura" TargetMode="External"/><Relationship Id="rId865" Type="http://schemas.openxmlformats.org/officeDocument/2006/relationships/hyperlink" Target="https://www.cettire.com/collections/hoka-one-one" TargetMode="External"/><Relationship Id="rId1288" Type="http://schemas.openxmlformats.org/officeDocument/2006/relationships/hyperlink" Target="https://www.cettire.com/collections/barena" TargetMode="External"/><Relationship Id="rId1495" Type="http://schemas.openxmlformats.org/officeDocument/2006/relationships/hyperlink" Target="https://www.cettire.com/collections/john-elliott" TargetMode="External"/><Relationship Id="rId2339" Type="http://schemas.openxmlformats.org/officeDocument/2006/relationships/hyperlink" Target="https://www.cettire.com/collections/staud" TargetMode="External"/><Relationship Id="rId2546" Type="http://schemas.openxmlformats.org/officeDocument/2006/relationships/hyperlink" Target="https://www.cettire.com/collections/champion" TargetMode="External"/><Relationship Id="rId2753" Type="http://schemas.openxmlformats.org/officeDocument/2006/relationships/hyperlink" Target="https://www.cettire.com/collections/maisie-wilen" TargetMode="External"/><Relationship Id="rId2960" Type="http://schemas.openxmlformats.org/officeDocument/2006/relationships/hyperlink" Target="https://www.cettire.com/collections/sunflower" TargetMode="External"/><Relationship Id="rId3804" Type="http://schemas.openxmlformats.org/officeDocument/2006/relationships/hyperlink" Target="https://www.cettire.com/collections/facetasm" TargetMode="External"/><Relationship Id="rId518" Type="http://schemas.openxmlformats.org/officeDocument/2006/relationships/hyperlink" Target="https://www.cettire.com/collections/simonetta" TargetMode="External"/><Relationship Id="rId725" Type="http://schemas.openxmlformats.org/officeDocument/2006/relationships/hyperlink" Target="https://www.cettire.com/collections/casablanca" TargetMode="External"/><Relationship Id="rId932" Type="http://schemas.openxmlformats.org/officeDocument/2006/relationships/hyperlink" Target="https://www.cettire.com/collections/m-missoni" TargetMode="External"/><Relationship Id="rId1148" Type="http://schemas.openxmlformats.org/officeDocument/2006/relationships/hyperlink" Target="https://www.cettire.com/collections/the-gigi" TargetMode="External"/><Relationship Id="rId1355" Type="http://schemas.openxmlformats.org/officeDocument/2006/relationships/hyperlink" Target="https://www.cettire.com/collections/comme-des-garcons-homme-plus" TargetMode="External"/><Relationship Id="rId1562" Type="http://schemas.openxmlformats.org/officeDocument/2006/relationships/hyperlink" Target="https://www.cettire.com/collections/mastermind-world" TargetMode="External"/><Relationship Id="rId2406" Type="http://schemas.openxmlformats.org/officeDocument/2006/relationships/hyperlink" Target="https://www.cettire.com/collections/weekend-max-mara" TargetMode="External"/><Relationship Id="rId2613" Type="http://schemas.openxmlformats.org/officeDocument/2006/relationships/hyperlink" Target="https://www.cettire.com/collections/edward-green" TargetMode="External"/><Relationship Id="rId1008" Type="http://schemas.openxmlformats.org/officeDocument/2006/relationships/hyperlink" Target="https://www.cettire.com/collections/neil-barrett" TargetMode="External"/><Relationship Id="rId1215" Type="http://schemas.openxmlformats.org/officeDocument/2006/relationships/hyperlink" Target="https://www.cettire.com/collections/7-for-all-mankind" TargetMode="External"/><Relationship Id="rId1422" Type="http://schemas.openxmlformats.org/officeDocument/2006/relationships/hyperlink" Target="https://www.cettire.com/collections/fay" TargetMode="External"/><Relationship Id="rId2820" Type="http://schemas.openxmlformats.org/officeDocument/2006/relationships/hyperlink" Target="https://www.cettire.com/collections/n-21" TargetMode="External"/><Relationship Id="rId4578" Type="http://schemas.openxmlformats.org/officeDocument/2006/relationships/hyperlink" Target="https://www.cettire.com/collections/midnight-00" TargetMode="External"/><Relationship Id="rId61" Type="http://schemas.openxmlformats.org/officeDocument/2006/relationships/hyperlink" Target="https://www.cettire.com/collections/aspesi" TargetMode="External"/><Relationship Id="rId3387" Type="http://schemas.openxmlformats.org/officeDocument/2006/relationships/hyperlink" Target="https://www.cettire.com/collections/montblanc" TargetMode="External"/><Relationship Id="rId4785" Type="http://schemas.openxmlformats.org/officeDocument/2006/relationships/hyperlink" Target="https://www.cettire.com/collections/vans" TargetMode="External"/><Relationship Id="rId2196" Type="http://schemas.openxmlformats.org/officeDocument/2006/relationships/hyperlink" Target="https://www.cettire.com/collections/moncler-gamme-rouge" TargetMode="External"/><Relationship Id="rId3594" Type="http://schemas.openxmlformats.org/officeDocument/2006/relationships/hyperlink" Target="https://www.cettire.com/collections/s-max-mara" TargetMode="External"/><Relationship Id="rId4438" Type="http://schemas.openxmlformats.org/officeDocument/2006/relationships/hyperlink" Target="https://www.cettire.com/collections/gallery-dept" TargetMode="External"/><Relationship Id="rId4645" Type="http://schemas.openxmlformats.org/officeDocument/2006/relationships/hyperlink" Target="https://www.cettire.com/collections/paul-smith" TargetMode="External"/><Relationship Id="rId168" Type="http://schemas.openxmlformats.org/officeDocument/2006/relationships/hyperlink" Target="https://www.cettire.com/collections/diesel" TargetMode="External"/><Relationship Id="rId3247" Type="http://schemas.openxmlformats.org/officeDocument/2006/relationships/hyperlink" Target="https://www.cettire.com/collections/giambattista-valli" TargetMode="External"/><Relationship Id="rId3454" Type="http://schemas.openxmlformats.org/officeDocument/2006/relationships/hyperlink" Target="https://www.cettire.com/collections/proenza-schouler-white-label" TargetMode="External"/><Relationship Id="rId3661" Type="http://schemas.openxmlformats.org/officeDocument/2006/relationships/hyperlink" Target="https://www.cettire.com/collections/balenciaga" TargetMode="External"/><Relationship Id="rId4505" Type="http://schemas.openxmlformats.org/officeDocument/2006/relationships/hyperlink" Target="https://www.cettire.com/collections/kara" TargetMode="External"/><Relationship Id="rId4712" Type="http://schemas.openxmlformats.org/officeDocument/2006/relationships/hyperlink" Target="https://www.cettire.com/collections/saloni" TargetMode="External"/><Relationship Id="rId375" Type="http://schemas.openxmlformats.org/officeDocument/2006/relationships/hyperlink" Target="https://www.cettire.com/collections/mjb-marc-jacques-burton" TargetMode="External"/><Relationship Id="rId582" Type="http://schemas.openxmlformats.org/officeDocument/2006/relationships/hyperlink" Target="https://www.cettire.com/collections/versace-jeans-couture" TargetMode="External"/><Relationship Id="rId2056" Type="http://schemas.openxmlformats.org/officeDocument/2006/relationships/hyperlink" Target="https://www.cettire.com/collections/givenchy-eyewear" TargetMode="External"/><Relationship Id="rId2263" Type="http://schemas.openxmlformats.org/officeDocument/2006/relationships/hyperlink" Target="https://www.cettire.com/collections/polo-ralph-lauren" TargetMode="External"/><Relationship Id="rId2470" Type="http://schemas.openxmlformats.org/officeDocument/2006/relationships/hyperlink" Target="https://www.cettire.com/collections/aniye-by" TargetMode="External"/><Relationship Id="rId3107" Type="http://schemas.openxmlformats.org/officeDocument/2006/relationships/hyperlink" Target="https://www.cettire.com/collections/berluti" TargetMode="External"/><Relationship Id="rId3314" Type="http://schemas.openxmlformats.org/officeDocument/2006/relationships/hyperlink" Target="https://www.cettire.com/collections/la-stupenderia" TargetMode="External"/><Relationship Id="rId3521" Type="http://schemas.openxmlformats.org/officeDocument/2006/relationships/hyperlink" Target="https://www.cettire.com/collections/stone-island-junior" TargetMode="External"/><Relationship Id="rId235" Type="http://schemas.openxmlformats.org/officeDocument/2006/relationships/hyperlink" Target="https://www.cettire.com/collections/gia-borghini" TargetMode="External"/><Relationship Id="rId442" Type="http://schemas.openxmlformats.org/officeDocument/2006/relationships/hyperlink" Target="https://www.cettire.com/collections/philippe-model-paris" TargetMode="External"/><Relationship Id="rId1072" Type="http://schemas.openxmlformats.org/officeDocument/2006/relationships/hyperlink" Target="https://www.cettire.com/collections/ralph-lauren-kids" TargetMode="External"/><Relationship Id="rId2123" Type="http://schemas.openxmlformats.org/officeDocument/2006/relationships/hyperlink" Target="https://www.cettire.com/collections/laneus" TargetMode="External"/><Relationship Id="rId2330" Type="http://schemas.openxmlformats.org/officeDocument/2006/relationships/hyperlink" Target="https://www.cettire.com/collections/simon-miller" TargetMode="External"/><Relationship Id="rId302" Type="http://schemas.openxmlformats.org/officeDocument/2006/relationships/hyperlink" Target="https://www.cettire.com/collections/khrisjoy" TargetMode="External"/><Relationship Id="rId4088" Type="http://schemas.openxmlformats.org/officeDocument/2006/relationships/hyperlink" Target="https://www.cettire.com/collections/rochas" TargetMode="External"/><Relationship Id="rId4295" Type="http://schemas.openxmlformats.org/officeDocument/2006/relationships/hyperlink" Target="https://www.cettire.com/collections/bode" TargetMode="External"/><Relationship Id="rId1889" Type="http://schemas.openxmlformats.org/officeDocument/2006/relationships/hyperlink" Target="https://www.cettire.com/collections/balmain" TargetMode="External"/><Relationship Id="rId4155" Type="http://schemas.openxmlformats.org/officeDocument/2006/relationships/hyperlink" Target="https://www.cettire.com/collections/tom-ford-eyewear" TargetMode="External"/><Relationship Id="rId4362" Type="http://schemas.openxmlformats.org/officeDocument/2006/relationships/hyperlink" Target="https://www.cettire.com/collections/corneliani" TargetMode="External"/><Relationship Id="rId1749" Type="http://schemas.openxmlformats.org/officeDocument/2006/relationships/hyperlink" Target="https://www.cettire.com/collections/t-by-alexander-wang" TargetMode="External"/><Relationship Id="rId1956" Type="http://schemas.openxmlformats.org/officeDocument/2006/relationships/hyperlink" Target="https://www.cettire.com/collections/coliac" TargetMode="External"/><Relationship Id="rId3171" Type="http://schemas.openxmlformats.org/officeDocument/2006/relationships/hyperlink" Target="https://www.cettire.com/collections/coperni" TargetMode="External"/><Relationship Id="rId4015" Type="http://schemas.openxmlformats.org/officeDocument/2006/relationships/hyperlink" Target="https://www.cettire.com/collections/oakley" TargetMode="External"/><Relationship Id="rId1609" Type="http://schemas.openxmlformats.org/officeDocument/2006/relationships/hyperlink" Target="https://www.cettire.com/collections/nana-nana" TargetMode="External"/><Relationship Id="rId1816" Type="http://schemas.openxmlformats.org/officeDocument/2006/relationships/hyperlink" Target="https://www.cettire.com/collections/zadig-voltaire-kids" TargetMode="External"/><Relationship Id="rId4222" Type="http://schemas.openxmlformats.org/officeDocument/2006/relationships/hyperlink" Target="https://www.cettire.com/collections/adidas-by-human-made" TargetMode="External"/><Relationship Id="rId3031" Type="http://schemas.openxmlformats.org/officeDocument/2006/relationships/hyperlink" Target="https://www.cettire.com/collections/zimmermann" TargetMode="External"/><Relationship Id="rId3988" Type="http://schemas.openxmlformats.org/officeDocument/2006/relationships/hyperlink" Target="https://www.cettire.com/collections/mother" TargetMode="External"/><Relationship Id="rId2797" Type="http://schemas.openxmlformats.org/officeDocument/2006/relationships/hyperlink" Target="https://www.cettire.com/collections/mjb-marc-jacques-burton" TargetMode="External"/><Relationship Id="rId3848" Type="http://schemas.openxmlformats.org/officeDocument/2006/relationships/hyperlink" Target="https://www.cettire.com/collections/herno" TargetMode="External"/><Relationship Id="rId769" Type="http://schemas.openxmlformats.org/officeDocument/2006/relationships/hyperlink" Target="https://www.cettire.com/collections/diadora" TargetMode="External"/><Relationship Id="rId976" Type="http://schemas.openxmlformats.org/officeDocument/2006/relationships/hyperlink" Target="https://www.cettire.com/collections/miu-miu" TargetMode="External"/><Relationship Id="rId1399" Type="http://schemas.openxmlformats.org/officeDocument/2006/relationships/hyperlink" Target="https://www.cettire.com/collections/eckhaus-latta" TargetMode="External"/><Relationship Id="rId2657" Type="http://schemas.openxmlformats.org/officeDocument/2006/relationships/hyperlink" Target="https://www.cettire.com/collections/gia-borghini" TargetMode="External"/><Relationship Id="rId629" Type="http://schemas.openxmlformats.org/officeDocument/2006/relationships/hyperlink" Target="https://www.cettire.com/collections/adriana-degreas" TargetMode="External"/><Relationship Id="rId1259" Type="http://schemas.openxmlformats.org/officeDocument/2006/relationships/hyperlink" Target="https://www.cettire.com/collections/aniye-by" TargetMode="External"/><Relationship Id="rId1466" Type="http://schemas.openxmlformats.org/officeDocument/2006/relationships/hyperlink" Target="https://www.cettire.com/collections/heron-preston" TargetMode="External"/><Relationship Id="rId2864" Type="http://schemas.openxmlformats.org/officeDocument/2006/relationships/hyperlink" Target="https://www.cettire.com/collections/philippe-model" TargetMode="External"/><Relationship Id="rId3708" Type="http://schemas.openxmlformats.org/officeDocument/2006/relationships/hyperlink" Target="https://www.cettire.com/collections/canali" TargetMode="External"/><Relationship Id="rId3915" Type="http://schemas.openxmlformats.org/officeDocument/2006/relationships/hyperlink" Target="https://www.cettire.com/collections/linda-farrow" TargetMode="External"/><Relationship Id="rId836" Type="http://schemas.openxmlformats.org/officeDocument/2006/relationships/hyperlink" Target="https://www.cettire.com/collections/garrett-leight" TargetMode="External"/><Relationship Id="rId1119" Type="http://schemas.openxmlformats.org/officeDocument/2006/relationships/hyperlink" Target="https://www.cettire.com/collections/sies-marjan" TargetMode="External"/><Relationship Id="rId1673" Type="http://schemas.openxmlformats.org/officeDocument/2006/relationships/hyperlink" Target="https://www.cettire.com/collections/r-m-williams" TargetMode="External"/><Relationship Id="rId1880" Type="http://schemas.openxmlformats.org/officeDocument/2006/relationships/hyperlink" Target="https://www.cettire.com/collections/attico" TargetMode="External"/><Relationship Id="rId2517" Type="http://schemas.openxmlformats.org/officeDocument/2006/relationships/hyperlink" Target="https://www.cettire.com/collections/boyy" TargetMode="External"/><Relationship Id="rId2724" Type="http://schemas.openxmlformats.org/officeDocument/2006/relationships/hyperlink" Target="https://www.cettire.com/collections/khrisjoy-kids" TargetMode="External"/><Relationship Id="rId2931" Type="http://schemas.openxmlformats.org/officeDocument/2006/relationships/hyperlink" Target="https://www.cettire.com/collections/santoni" TargetMode="External"/><Relationship Id="rId903" Type="http://schemas.openxmlformats.org/officeDocument/2006/relationships/hyperlink" Target="https://www.cettire.com/collections/kenzo" TargetMode="External"/><Relationship Id="rId1326" Type="http://schemas.openxmlformats.org/officeDocument/2006/relationships/hyperlink" Target="https://www.cettire.com/collections/car-shoe" TargetMode="External"/><Relationship Id="rId1533" Type="http://schemas.openxmlformats.org/officeDocument/2006/relationships/hyperlink" Target="https://www.cettire.com/collections/longchamp" TargetMode="External"/><Relationship Id="rId1740" Type="http://schemas.openxmlformats.org/officeDocument/2006/relationships/hyperlink" Target="https://www.cettire.com/collections/stone-island-junior" TargetMode="External"/><Relationship Id="rId4689" Type="http://schemas.openxmlformats.org/officeDocument/2006/relationships/hyperlink" Target="https://www.cettire.com/collections/rene-caovilla" TargetMode="External"/><Relationship Id="rId32" Type="http://schemas.openxmlformats.org/officeDocument/2006/relationships/hyperlink" Target="https://www.cettire.com/collections/alessandra-rich" TargetMode="External"/><Relationship Id="rId1600" Type="http://schemas.openxmlformats.org/officeDocument/2006/relationships/hyperlink" Target="https://www.cettire.com/collections/moschino-kids" TargetMode="External"/><Relationship Id="rId3498" Type="http://schemas.openxmlformats.org/officeDocument/2006/relationships/hyperlink" Target="https://www.cettire.com/collections/salvatore-ferragamo" TargetMode="External"/><Relationship Id="rId4549" Type="http://schemas.openxmlformats.org/officeDocument/2006/relationships/hyperlink" Target="https://www.cettire.com/collections/mansur-gavriel" TargetMode="External"/><Relationship Id="rId4756" Type="http://schemas.openxmlformats.org/officeDocument/2006/relationships/hyperlink" Target="https://www.cettire.com/collections/the-north-face-black-series" TargetMode="External"/><Relationship Id="rId3358" Type="http://schemas.openxmlformats.org/officeDocument/2006/relationships/hyperlink" Target="https://www.cettire.com/collections/mauna-kea" TargetMode="External"/><Relationship Id="rId3565" Type="http://schemas.openxmlformats.org/officeDocument/2006/relationships/hyperlink" Target="https://www.cettire.com/collections/veja" TargetMode="External"/><Relationship Id="rId3772" Type="http://schemas.openxmlformats.org/officeDocument/2006/relationships/hyperlink" Target="https://www.cettire.com/collections/dolce-gabbana" TargetMode="External"/><Relationship Id="rId4409" Type="http://schemas.openxmlformats.org/officeDocument/2006/relationships/hyperlink" Target="https://www.cettire.com/collections/ermanno-scervino" TargetMode="External"/><Relationship Id="rId4616" Type="http://schemas.openxmlformats.org/officeDocument/2006/relationships/hyperlink" Target="https://www.cettire.com/collections/neous" TargetMode="External"/><Relationship Id="rId4823" Type="http://schemas.microsoft.com/office/2017/10/relationships/threadedComment" Target="../threadedComments/threadedComment9.xml"/><Relationship Id="rId279" Type="http://schemas.openxmlformats.org/officeDocument/2006/relationships/hyperlink" Target="https://www.cettire.com/collections/jacques-marie-mage" TargetMode="External"/><Relationship Id="rId486" Type="http://schemas.openxmlformats.org/officeDocument/2006/relationships/hyperlink" Target="https://www.cettire.com/collections/rick-owens-lilies" TargetMode="External"/><Relationship Id="rId693" Type="http://schemas.openxmlformats.org/officeDocument/2006/relationships/hyperlink" Target="https://www.cettire.com/collections/boglioli" TargetMode="External"/><Relationship Id="rId2167" Type="http://schemas.openxmlformats.org/officeDocument/2006/relationships/hyperlink" Target="https://www.cettire.com/collections/materiel" TargetMode="External"/><Relationship Id="rId2374" Type="http://schemas.openxmlformats.org/officeDocument/2006/relationships/hyperlink" Target="https://www.cettire.com/collections/trickers" TargetMode="External"/><Relationship Id="rId2581" Type="http://schemas.openxmlformats.org/officeDocument/2006/relationships/hyperlink" Target="https://www.cettire.com/collections/cutler-gross" TargetMode="External"/><Relationship Id="rId3218" Type="http://schemas.openxmlformats.org/officeDocument/2006/relationships/hyperlink" Target="https://www.cettire.com/collections/eudon-choi" TargetMode="External"/><Relationship Id="rId3425" Type="http://schemas.openxmlformats.org/officeDocument/2006/relationships/hyperlink" Target="https://www.cettire.com/collections/p-a-r-o-s-h" TargetMode="External"/><Relationship Id="rId3632" Type="http://schemas.openxmlformats.org/officeDocument/2006/relationships/hyperlink" Target="https://www.cettire.com/collections/allude" TargetMode="External"/><Relationship Id="rId139" Type="http://schemas.openxmlformats.org/officeDocument/2006/relationships/hyperlink" Target="https://www.cettire.com/collections/coach" TargetMode="External"/><Relationship Id="rId346" Type="http://schemas.openxmlformats.org/officeDocument/2006/relationships/hyperlink" Target="https://www.cettire.com/collections/marine-serre" TargetMode="External"/><Relationship Id="rId553" Type="http://schemas.openxmlformats.org/officeDocument/2006/relationships/hyperlink" Target="https://www.cettire.com/collections/thom-browne-eyewear" TargetMode="External"/><Relationship Id="rId760" Type="http://schemas.openxmlformats.org/officeDocument/2006/relationships/hyperlink" Target="https://www.cettire.com/collections/courreges-eyewear" TargetMode="External"/><Relationship Id="rId1183" Type="http://schemas.openxmlformats.org/officeDocument/2006/relationships/hyperlink" Target="https://www.cettire.com/collections/versace" TargetMode="External"/><Relationship Id="rId1390" Type="http://schemas.openxmlformats.org/officeDocument/2006/relationships/hyperlink" Target="https://www.cettire.com/collections/dolce-gabbana-kids" TargetMode="External"/><Relationship Id="rId2027" Type="http://schemas.openxmlformats.org/officeDocument/2006/relationships/hyperlink" Target="https://www.cettire.com/collections/faith-connexion" TargetMode="External"/><Relationship Id="rId2234" Type="http://schemas.openxmlformats.org/officeDocument/2006/relationships/hyperlink" Target="https://www.cettire.com/collections/off-white-kids" TargetMode="External"/><Relationship Id="rId2441" Type="http://schemas.openxmlformats.org/officeDocument/2006/relationships/hyperlink" Target="https://www.cettire.com/collections/adidas-by-stella-mccartney" TargetMode="External"/><Relationship Id="rId206" Type="http://schemas.openxmlformats.org/officeDocument/2006/relationships/hyperlink" Target="https://www.cettire.com/collections/eyevan-7285" TargetMode="External"/><Relationship Id="rId413" Type="http://schemas.openxmlformats.org/officeDocument/2006/relationships/hyperlink" Target="https://www.cettire.com/collections/nodaleto" TargetMode="External"/><Relationship Id="rId1043" Type="http://schemas.openxmlformats.org/officeDocument/2006/relationships/hyperlink" Target="https://www.cettire.com/collections/philipp-plein-junior" TargetMode="External"/><Relationship Id="rId4199" Type="http://schemas.openxmlformats.org/officeDocument/2006/relationships/hyperlink" Target="https://www.cettire.com/collections/ymc" TargetMode="External"/><Relationship Id="rId620" Type="http://schemas.openxmlformats.org/officeDocument/2006/relationships/hyperlink" Target="https://www.cettire.com/collections/adidas-by-danielle-cathari" TargetMode="External"/><Relationship Id="rId1250" Type="http://schemas.openxmlformats.org/officeDocument/2006/relationships/hyperlink" Target="https://www.cettire.com/collections/allude" TargetMode="External"/><Relationship Id="rId2301" Type="http://schemas.openxmlformats.org/officeDocument/2006/relationships/hyperlink" Target="https://www.cettire.com/collections/rick-owens-x-birkenstock" TargetMode="External"/><Relationship Id="rId4059" Type="http://schemas.openxmlformats.org/officeDocument/2006/relationships/hyperlink" Target="https://www.cettire.com/collections/puma" TargetMode="External"/><Relationship Id="rId1110" Type="http://schemas.openxmlformats.org/officeDocument/2006/relationships/hyperlink" Target="https://www.cettire.com/collections/salvatore-santoro" TargetMode="External"/><Relationship Id="rId4266" Type="http://schemas.openxmlformats.org/officeDocument/2006/relationships/hyperlink" Target="https://www.cettire.com/collections/art-dealer" TargetMode="External"/><Relationship Id="rId4473" Type="http://schemas.openxmlformats.org/officeDocument/2006/relationships/hyperlink" Target="https://www.cettire.com/collections/howlin" TargetMode="External"/><Relationship Id="rId4680" Type="http://schemas.openxmlformats.org/officeDocument/2006/relationships/hyperlink" Target="https://www.cettire.com/collections/re-done" TargetMode="External"/><Relationship Id="rId1927" Type="http://schemas.openxmlformats.org/officeDocument/2006/relationships/hyperlink" Target="https://www.cettire.com/collections/calvin-klein" TargetMode="External"/><Relationship Id="rId3075" Type="http://schemas.openxmlformats.org/officeDocument/2006/relationships/hyperlink" Target="https://www.cettire.com/collections/ancient-greek-sandals" TargetMode="External"/><Relationship Id="rId3282" Type="http://schemas.openxmlformats.org/officeDocument/2006/relationships/hyperlink" Target="https://www.cettire.com/collections/jacquemus" TargetMode="External"/><Relationship Id="rId4126" Type="http://schemas.openxmlformats.org/officeDocument/2006/relationships/hyperlink" Target="https://www.cettire.com/collections/stone-island" TargetMode="External"/><Relationship Id="rId4333" Type="http://schemas.openxmlformats.org/officeDocument/2006/relationships/hyperlink" Target="https://www.cettire.com/collections/chiara-ferragni" TargetMode="External"/><Relationship Id="rId4540" Type="http://schemas.openxmlformats.org/officeDocument/2006/relationships/hyperlink" Target="https://www.cettire.com/collections/maisie-wilen" TargetMode="External"/><Relationship Id="rId2091" Type="http://schemas.openxmlformats.org/officeDocument/2006/relationships/hyperlink" Target="https://www.cettire.com/collections/issey-miyake-men" TargetMode="External"/><Relationship Id="rId3142" Type="http://schemas.openxmlformats.org/officeDocument/2006/relationships/hyperlink" Target="https://www.cettire.com/collections/cc-collection-corneliani" TargetMode="External"/><Relationship Id="rId4400" Type="http://schemas.openxmlformats.org/officeDocument/2006/relationships/hyperlink" Target="https://www.cettire.com/collections/emile-et-ida" TargetMode="External"/><Relationship Id="rId270" Type="http://schemas.openxmlformats.org/officeDocument/2006/relationships/hyperlink" Target="https://www.cettire.com/collections/in-the-mood-for-love" TargetMode="External"/><Relationship Id="rId3002" Type="http://schemas.openxmlformats.org/officeDocument/2006/relationships/hyperlink" Target="https://www.cettire.com/collections/veja-kids" TargetMode="External"/><Relationship Id="rId130" Type="http://schemas.openxmlformats.org/officeDocument/2006/relationships/hyperlink" Target="https://www.cettire.com/collections/chloe-eyewear" TargetMode="External"/><Relationship Id="rId3959" Type="http://schemas.openxmlformats.org/officeDocument/2006/relationships/hyperlink" Target="https://www.cettire.com/collections/mcm" TargetMode="External"/><Relationship Id="rId2768" Type="http://schemas.openxmlformats.org/officeDocument/2006/relationships/hyperlink" Target="https://www.cettire.com/collections/marni" TargetMode="External"/><Relationship Id="rId2975" Type="http://schemas.openxmlformats.org/officeDocument/2006/relationships/hyperlink" Target="https://www.cettire.com/collections/theory" TargetMode="External"/><Relationship Id="rId3819" Type="http://schemas.openxmlformats.org/officeDocument/2006/relationships/hyperlink" Target="https://www.cettire.com/collections/francesco-russo" TargetMode="External"/><Relationship Id="rId947" Type="http://schemas.openxmlformats.org/officeDocument/2006/relationships/hyperlink" Target="https://www.cettire.com/collections/marcelo-burlon-county-of-milan" TargetMode="External"/><Relationship Id="rId1577" Type="http://schemas.openxmlformats.org/officeDocument/2006/relationships/hyperlink" Target="https://www.cettire.com/collections/midnight-00" TargetMode="External"/><Relationship Id="rId1784" Type="http://schemas.openxmlformats.org/officeDocument/2006/relationships/hyperlink" Target="https://www.cettire.com/collections/valextra" TargetMode="External"/><Relationship Id="rId1991" Type="http://schemas.openxmlformats.org/officeDocument/2006/relationships/hyperlink" Target="https://www.cettire.com/collections/dita-eyewear" TargetMode="External"/><Relationship Id="rId2628" Type="http://schemas.openxmlformats.org/officeDocument/2006/relationships/hyperlink" Target="https://www.cettire.com/collections/extreme-cashmere" TargetMode="External"/><Relationship Id="rId2835" Type="http://schemas.openxmlformats.org/officeDocument/2006/relationships/hyperlink" Target="https://www.cettire.com/collections/nodaleto" TargetMode="External"/><Relationship Id="rId4190" Type="http://schemas.openxmlformats.org/officeDocument/2006/relationships/hyperlink" Target="https://www.cettire.com/collections/we11done" TargetMode="External"/><Relationship Id="rId76" Type="http://schemas.openxmlformats.org/officeDocument/2006/relationships/hyperlink" Target="https://www.cettire.com/collections/barena" TargetMode="External"/><Relationship Id="rId807" Type="http://schemas.openxmlformats.org/officeDocument/2006/relationships/hyperlink" Target="https://www.cettire.com/collections/etro" TargetMode="External"/><Relationship Id="rId1437" Type="http://schemas.openxmlformats.org/officeDocument/2006/relationships/hyperlink" Target="https://www.cettire.com/collections/freedomday" TargetMode="External"/><Relationship Id="rId1644" Type="http://schemas.openxmlformats.org/officeDocument/2006/relationships/hyperlink" Target="https://www.cettire.com/collections/paris-texas" TargetMode="External"/><Relationship Id="rId1851" Type="http://schemas.openxmlformats.org/officeDocument/2006/relationships/hyperlink" Target="https://www.cettire.com/collections/alexander-mcqueen" TargetMode="External"/><Relationship Id="rId2902" Type="http://schemas.openxmlformats.org/officeDocument/2006/relationships/hyperlink" Target="https://www.cettire.com/collections/reike-nen" TargetMode="External"/><Relationship Id="rId4050" Type="http://schemas.openxmlformats.org/officeDocument/2006/relationships/hyperlink" Target="https://www.cettire.com/collections/prada" TargetMode="External"/><Relationship Id="rId1504" Type="http://schemas.openxmlformats.org/officeDocument/2006/relationships/hyperlink" Target="https://www.cettire.com/collections/kappa" TargetMode="External"/><Relationship Id="rId1711" Type="http://schemas.openxmlformats.org/officeDocument/2006/relationships/hyperlink" Target="https://www.cettire.com/collections/saks-potts" TargetMode="External"/><Relationship Id="rId3469" Type="http://schemas.openxmlformats.org/officeDocument/2006/relationships/hyperlink" Target="https://www.cettire.com/collections/rebecca-minkoff" TargetMode="External"/><Relationship Id="rId3676" Type="http://schemas.openxmlformats.org/officeDocument/2006/relationships/hyperlink" Target="https://www.cettire.com/collections/berluti" TargetMode="External"/><Relationship Id="rId597" Type="http://schemas.openxmlformats.org/officeDocument/2006/relationships/hyperlink" Target="https://www.cettire.com/collections/ys" TargetMode="External"/><Relationship Id="rId2278" Type="http://schemas.openxmlformats.org/officeDocument/2006/relationships/hyperlink" Target="https://www.cettire.com/collections/r13" TargetMode="External"/><Relationship Id="rId2485" Type="http://schemas.openxmlformats.org/officeDocument/2006/relationships/hyperlink" Target="https://www.cettire.com/collections/attico" TargetMode="External"/><Relationship Id="rId3329" Type="http://schemas.openxmlformats.org/officeDocument/2006/relationships/hyperlink" Target="https://www.cettire.com/collections/loro-piana" TargetMode="External"/><Relationship Id="rId3883" Type="http://schemas.openxmlformats.org/officeDocument/2006/relationships/hyperlink" Target="https://www.cettire.com/collections/junya-watanabe-man" TargetMode="External"/><Relationship Id="rId4727" Type="http://schemas.openxmlformats.org/officeDocument/2006/relationships/hyperlink" Target="https://www.cettire.com/collections/sofie-dhoore" TargetMode="External"/><Relationship Id="rId457" Type="http://schemas.openxmlformats.org/officeDocument/2006/relationships/hyperlink" Target="https://www.cettire.com/collections/pressure" TargetMode="External"/><Relationship Id="rId1087" Type="http://schemas.openxmlformats.org/officeDocument/2006/relationships/hyperlink" Target="https://www.cettire.com/collections/rhude" TargetMode="External"/><Relationship Id="rId1294" Type="http://schemas.openxmlformats.org/officeDocument/2006/relationships/hyperlink" Target="https://www.cettire.com/collections/billieblush" TargetMode="External"/><Relationship Id="rId2138" Type="http://schemas.openxmlformats.org/officeDocument/2006/relationships/hyperlink" Target="https://www.cettire.com/collections/loro-piana" TargetMode="External"/><Relationship Id="rId2692" Type="http://schemas.openxmlformats.org/officeDocument/2006/relationships/hyperlink" Target="https://www.cettire.com/collections/isabel-marant" TargetMode="External"/><Relationship Id="rId3536" Type="http://schemas.openxmlformats.org/officeDocument/2006/relationships/hyperlink" Target="https://www.cettire.com/collections/the-north-face" TargetMode="External"/><Relationship Id="rId3743" Type="http://schemas.openxmlformats.org/officeDocument/2006/relationships/hyperlink" Target="https://www.cettire.com/collections/comme-des-garcons-shirt" TargetMode="External"/><Relationship Id="rId3950" Type="http://schemas.openxmlformats.org/officeDocument/2006/relationships/hyperlink" Target="https://www.cettire.com/collections/mauna-kea" TargetMode="External"/><Relationship Id="rId664" Type="http://schemas.openxmlformats.org/officeDocument/2006/relationships/hyperlink" Target="https://www.cettire.com/collections/ash" TargetMode="External"/><Relationship Id="rId871" Type="http://schemas.openxmlformats.org/officeDocument/2006/relationships/hyperlink" Target="https://www.cettire.com/collections/ih-nom-uh-nit" TargetMode="External"/><Relationship Id="rId2345" Type="http://schemas.openxmlformats.org/officeDocument/2006/relationships/hyperlink" Target="https://www.cettire.com/collections/stone-island-shadow-project" TargetMode="External"/><Relationship Id="rId2552" Type="http://schemas.openxmlformats.org/officeDocument/2006/relationships/hyperlink" Target="https://www.cettire.com/collections/chloe-eyewear" TargetMode="External"/><Relationship Id="rId3603" Type="http://schemas.openxmlformats.org/officeDocument/2006/relationships/hyperlink" Target="https://www.cettire.com/collections/a-p-c" TargetMode="External"/><Relationship Id="rId3810" Type="http://schemas.openxmlformats.org/officeDocument/2006/relationships/hyperlink" Target="https://www.cettire.com/collections/fendi-eyewear" TargetMode="External"/><Relationship Id="rId317" Type="http://schemas.openxmlformats.org/officeDocument/2006/relationships/hyperlink" Target="https://www.cettire.com/collections/levis" TargetMode="External"/><Relationship Id="rId524" Type="http://schemas.openxmlformats.org/officeDocument/2006/relationships/hyperlink" Target="https://www.cettire.com/collections/stand-studio" TargetMode="External"/><Relationship Id="rId731" Type="http://schemas.openxmlformats.org/officeDocument/2006/relationships/hyperlink" Target="https://www.cettire.com/collections/chiara-ferragni-kids" TargetMode="External"/><Relationship Id="rId1154" Type="http://schemas.openxmlformats.org/officeDocument/2006/relationships/hyperlink" Target="https://www.cettire.com/collections/themoire" TargetMode="External"/><Relationship Id="rId1361" Type="http://schemas.openxmlformats.org/officeDocument/2006/relationships/hyperlink" Target="https://www.cettire.com/collections/comme-des-garcons-wallet" TargetMode="External"/><Relationship Id="rId2205" Type="http://schemas.openxmlformats.org/officeDocument/2006/relationships/hyperlink" Target="https://www.cettire.com/collections/mother" TargetMode="External"/><Relationship Id="rId2412" Type="http://schemas.openxmlformats.org/officeDocument/2006/relationships/hyperlink" Target="https://www.cettire.com/collections/ys" TargetMode="External"/><Relationship Id="rId1014" Type="http://schemas.openxmlformats.org/officeDocument/2006/relationships/hyperlink" Target="https://www.cettire.com/collections/nike" TargetMode="External"/><Relationship Id="rId1221" Type="http://schemas.openxmlformats.org/officeDocument/2006/relationships/hyperlink" Target="https://www.cettire.com/collections/a-w-a-k-e-mode" TargetMode="External"/><Relationship Id="rId4377" Type="http://schemas.openxmlformats.org/officeDocument/2006/relationships/hyperlink" Target="https://www.cettire.com/collections/diesel-kids" TargetMode="External"/><Relationship Id="rId4584" Type="http://schemas.openxmlformats.org/officeDocument/2006/relationships/hyperlink" Target="https://www.cettire.com/collections/miu-miu" TargetMode="External"/><Relationship Id="rId4791" Type="http://schemas.openxmlformats.org/officeDocument/2006/relationships/hyperlink" Target="https://www.cettire.com/collections/versace-eyewear" TargetMode="External"/><Relationship Id="rId3186" Type="http://schemas.openxmlformats.org/officeDocument/2006/relationships/hyperlink" Target="https://www.cettire.com/collections/diesel-red-tag" TargetMode="External"/><Relationship Id="rId3393" Type="http://schemas.openxmlformats.org/officeDocument/2006/relationships/hyperlink" Target="https://www.cettire.com/collections/mou-kids" TargetMode="External"/><Relationship Id="rId4237" Type="http://schemas.openxmlformats.org/officeDocument/2006/relationships/hyperlink" Target="https://www.cettire.com/collections/alberta-ferretti-kids" TargetMode="External"/><Relationship Id="rId4444" Type="http://schemas.openxmlformats.org/officeDocument/2006/relationships/hyperlink" Target="https://www.cettire.com/collections/gedebe" TargetMode="External"/><Relationship Id="rId4651" Type="http://schemas.openxmlformats.org/officeDocument/2006/relationships/hyperlink" Target="https://www.cettire.com/collections/philippe-model-paris" TargetMode="External"/><Relationship Id="rId3046" Type="http://schemas.openxmlformats.org/officeDocument/2006/relationships/hyperlink" Target="https://www.cettire.com/collections/adidas-by-danielle-cathari" TargetMode="External"/><Relationship Id="rId3253" Type="http://schemas.openxmlformats.org/officeDocument/2006/relationships/hyperlink" Target="https://www.cettire.com/collections/greg-lauren" TargetMode="External"/><Relationship Id="rId3460" Type="http://schemas.openxmlformats.org/officeDocument/2006/relationships/hyperlink" Target="https://www.cettire.com/collections/r13" TargetMode="External"/><Relationship Id="rId4304" Type="http://schemas.openxmlformats.org/officeDocument/2006/relationships/hyperlink" Target="https://www.cettire.com/collections/brunello-cucinelli" TargetMode="External"/><Relationship Id="rId174" Type="http://schemas.openxmlformats.org/officeDocument/2006/relationships/hyperlink" Target="https://www.cettire.com/collections/dior-homme" TargetMode="External"/><Relationship Id="rId381" Type="http://schemas.openxmlformats.org/officeDocument/2006/relationships/hyperlink" Target="https://www.cettire.com/collections/moncler-enfant" TargetMode="External"/><Relationship Id="rId2062" Type="http://schemas.openxmlformats.org/officeDocument/2006/relationships/hyperlink" Target="https://www.cettire.com/collections/gucci" TargetMode="External"/><Relationship Id="rId3113" Type="http://schemas.openxmlformats.org/officeDocument/2006/relationships/hyperlink" Target="https://www.cettire.com/collections/bode" TargetMode="External"/><Relationship Id="rId4511" Type="http://schemas.openxmlformats.org/officeDocument/2006/relationships/hyperlink" Target="https://www.cettire.com/collections/khrisjoy" TargetMode="External"/><Relationship Id="rId241" Type="http://schemas.openxmlformats.org/officeDocument/2006/relationships/hyperlink" Target="https://www.cettire.com/collections/givenchy-kids" TargetMode="External"/><Relationship Id="rId3320" Type="http://schemas.openxmlformats.org/officeDocument/2006/relationships/hyperlink" Target="https://www.cettire.com/collections/lemaire" TargetMode="External"/><Relationship Id="rId2879" Type="http://schemas.openxmlformats.org/officeDocument/2006/relationships/hyperlink" Target="https://www.cettire.com/collections/premiata" TargetMode="External"/><Relationship Id="rId101" Type="http://schemas.openxmlformats.org/officeDocument/2006/relationships/hyperlink" Target="https://www.cettire.com/collections/burberry" TargetMode="External"/><Relationship Id="rId1688" Type="http://schemas.openxmlformats.org/officeDocument/2006/relationships/hyperlink" Target="https://www.cettire.com/collections/reike-nen" TargetMode="External"/><Relationship Id="rId1895" Type="http://schemas.openxmlformats.org/officeDocument/2006/relationships/hyperlink" Target="https://www.cettire.com/collections/bark-b-rules" TargetMode="External"/><Relationship Id="rId2739" Type="http://schemas.openxmlformats.org/officeDocument/2006/relationships/hyperlink" Target="https://www.cettire.com/collections/levis" TargetMode="External"/><Relationship Id="rId2946" Type="http://schemas.openxmlformats.org/officeDocument/2006/relationships/hyperlink" Target="https://www.cettire.com/collections/sportmax" TargetMode="External"/><Relationship Id="rId4094" Type="http://schemas.openxmlformats.org/officeDocument/2006/relationships/hyperlink" Target="https://www.cettire.com/collections/ruslan-baginskiy" TargetMode="External"/><Relationship Id="rId918" Type="http://schemas.openxmlformats.org/officeDocument/2006/relationships/hyperlink" Target="https://www.cettire.com/collections/le-kasha" TargetMode="External"/><Relationship Id="rId1548" Type="http://schemas.openxmlformats.org/officeDocument/2006/relationships/hyperlink" Target="https://www.cettire.com/collections/manolo-blahnik" TargetMode="External"/><Relationship Id="rId1755" Type="http://schemas.openxmlformats.org/officeDocument/2006/relationships/hyperlink" Target="https://www.cettire.com/collections/the-marc-jacobs-kids" TargetMode="External"/><Relationship Id="rId4161" Type="http://schemas.openxmlformats.org/officeDocument/2006/relationships/hyperlink" Target="https://www.cettire.com/collections/twinset" TargetMode="External"/><Relationship Id="rId1408" Type="http://schemas.openxmlformats.org/officeDocument/2006/relationships/hyperlink" Target="https://www.cettire.com/collections/enfants-riches-deprimes" TargetMode="External"/><Relationship Id="rId1962" Type="http://schemas.openxmlformats.org/officeDocument/2006/relationships/hyperlink" Target="https://www.cettire.com/collections/comme-des-garcons-noir-kei-ninomiya" TargetMode="External"/><Relationship Id="rId2806" Type="http://schemas.openxmlformats.org/officeDocument/2006/relationships/hyperlink" Target="https://www.cettire.com/collections/moncler-genius" TargetMode="External"/><Relationship Id="rId4021" Type="http://schemas.openxmlformats.org/officeDocument/2006/relationships/hyperlink" Target="https://www.cettire.com/collections/opening-ceremony" TargetMode="External"/><Relationship Id="rId47" Type="http://schemas.openxmlformats.org/officeDocument/2006/relationships/hyperlink" Target="https://www.cettire.com/collections/aniye-by" TargetMode="External"/><Relationship Id="rId1615" Type="http://schemas.openxmlformats.org/officeDocument/2006/relationships/hyperlink" Target="https://www.cettire.com/collections/neil-barrett-kids" TargetMode="External"/><Relationship Id="rId1822" Type="http://schemas.openxmlformats.org/officeDocument/2006/relationships/hyperlink" Target="https://www.cettire.com/collections/7-for-all-mankind" TargetMode="External"/><Relationship Id="rId3787" Type="http://schemas.openxmlformats.org/officeDocument/2006/relationships/hyperlink" Target="https://www.cettire.com/collections/emile-et-ida" TargetMode="External"/><Relationship Id="rId3994" Type="http://schemas.openxmlformats.org/officeDocument/2006/relationships/hyperlink" Target="https://www.cettire.com/collections/n-21" TargetMode="External"/><Relationship Id="rId2389" Type="http://schemas.openxmlformats.org/officeDocument/2006/relationships/hyperlink" Target="https://www.cettire.com/collections/vans" TargetMode="External"/><Relationship Id="rId2596" Type="http://schemas.openxmlformats.org/officeDocument/2006/relationships/hyperlink" Target="https://www.cettire.com/collections/dior-homme" TargetMode="External"/><Relationship Id="rId3647" Type="http://schemas.openxmlformats.org/officeDocument/2006/relationships/hyperlink" Target="https://www.cettire.com/collections/aquazzura" TargetMode="External"/><Relationship Id="rId3854" Type="http://schemas.openxmlformats.org/officeDocument/2006/relationships/hyperlink" Target="https://www.cettire.com/collections/hogan-rebel" TargetMode="External"/><Relationship Id="rId568" Type="http://schemas.openxmlformats.org/officeDocument/2006/relationships/hyperlink" Target="https://www.cettire.com/collections/ultrachic" TargetMode="External"/><Relationship Id="rId775" Type="http://schemas.openxmlformats.org/officeDocument/2006/relationships/hyperlink" Target="https://www.cettire.com/collections/diesel-red-tag" TargetMode="External"/><Relationship Id="rId982" Type="http://schemas.openxmlformats.org/officeDocument/2006/relationships/hyperlink" Target="https://www.cettire.com/collections/moncler" TargetMode="External"/><Relationship Id="rId1198" Type="http://schemas.openxmlformats.org/officeDocument/2006/relationships/hyperlink" Target="https://www.cettire.com/collections/woolrich-kids" TargetMode="External"/><Relationship Id="rId2249" Type="http://schemas.openxmlformats.org/officeDocument/2006/relationships/hyperlink" Target="https://www.cettire.com/collections/paul-smith" TargetMode="External"/><Relationship Id="rId2456" Type="http://schemas.openxmlformats.org/officeDocument/2006/relationships/hyperlink" Target="https://www.cettire.com/collections/alexander-mcqueen" TargetMode="External"/><Relationship Id="rId2663" Type="http://schemas.openxmlformats.org/officeDocument/2006/relationships/hyperlink" Target="https://www.cettire.com/collections/golden-goose-deluxe-brand" TargetMode="External"/><Relationship Id="rId2870" Type="http://schemas.openxmlformats.org/officeDocument/2006/relationships/hyperlink" Target="https://www.cettire.com/collections/pinko" TargetMode="External"/><Relationship Id="rId3507" Type="http://schemas.openxmlformats.org/officeDocument/2006/relationships/hyperlink" Target="https://www.cettire.com/collections/simon-miller" TargetMode="External"/><Relationship Id="rId3714" Type="http://schemas.openxmlformats.org/officeDocument/2006/relationships/hyperlink" Target="https://www.cettire.com/collections/casablanca" TargetMode="External"/><Relationship Id="rId3921" Type="http://schemas.openxmlformats.org/officeDocument/2006/relationships/hyperlink" Target="https://www.cettire.com/collections/loulou-studio" TargetMode="External"/><Relationship Id="rId428" Type="http://schemas.openxmlformats.org/officeDocument/2006/relationships/hyperlink" Target="https://www.cettire.com/collections/p-a-r-o-s-h" TargetMode="External"/><Relationship Id="rId635" Type="http://schemas.openxmlformats.org/officeDocument/2006/relationships/hyperlink" Target="https://www.cettire.com/collections/alberta-ferretti" TargetMode="External"/><Relationship Id="rId842" Type="http://schemas.openxmlformats.org/officeDocument/2006/relationships/hyperlink" Target="https://www.cettire.com/collections/giorgio-armani" TargetMode="External"/><Relationship Id="rId1058" Type="http://schemas.openxmlformats.org/officeDocument/2006/relationships/hyperlink" Target="https://www.cettire.com/collections/prada-eyewear" TargetMode="External"/><Relationship Id="rId1265" Type="http://schemas.openxmlformats.org/officeDocument/2006/relationships/hyperlink" Target="https://www.cettire.com/collections/aragona" TargetMode="External"/><Relationship Id="rId1472" Type="http://schemas.openxmlformats.org/officeDocument/2006/relationships/hyperlink" Target="https://www.cettire.com/collections/homme-plisse-issey-miyake" TargetMode="External"/><Relationship Id="rId2109" Type="http://schemas.openxmlformats.org/officeDocument/2006/relationships/hyperlink" Target="https://www.cettire.com/collections/kappa" TargetMode="External"/><Relationship Id="rId2316" Type="http://schemas.openxmlformats.org/officeDocument/2006/relationships/hyperlink" Target="https://www.cettire.com/collections/salomon-s-lab" TargetMode="External"/><Relationship Id="rId2523" Type="http://schemas.openxmlformats.org/officeDocument/2006/relationships/hyperlink" Target="https://www.cettire.com/collections/burberry" TargetMode="External"/><Relationship Id="rId2730" Type="http://schemas.openxmlformats.org/officeDocument/2006/relationships/hyperlink" Target="https://www.cettire.com/collections/la-stupenderia" TargetMode="External"/><Relationship Id="rId702" Type="http://schemas.openxmlformats.org/officeDocument/2006/relationships/hyperlink" Target="https://www.cettire.com/collections/brunello-cucinelli-kids" TargetMode="External"/><Relationship Id="rId1125" Type="http://schemas.openxmlformats.org/officeDocument/2006/relationships/hyperlink" Target="https://www.cettire.com/collections/spalwart" TargetMode="External"/><Relationship Id="rId1332" Type="http://schemas.openxmlformats.org/officeDocument/2006/relationships/hyperlink" Target="https://www.cettire.com/collections/casablanca" TargetMode="External"/><Relationship Id="rId4488" Type="http://schemas.openxmlformats.org/officeDocument/2006/relationships/hyperlink" Target="https://www.cettire.com/collections/jejia" TargetMode="External"/><Relationship Id="rId4695" Type="http://schemas.openxmlformats.org/officeDocument/2006/relationships/hyperlink" Target="https://www.cettire.com/collections/rick-owens-x-birkenstock" TargetMode="External"/><Relationship Id="rId3297" Type="http://schemas.openxmlformats.org/officeDocument/2006/relationships/hyperlink" Target="https://www.cettire.com/collections/k-way" TargetMode="External"/><Relationship Id="rId4348" Type="http://schemas.openxmlformats.org/officeDocument/2006/relationships/hyperlink" Target="https://www.cettire.com/collections/collina-strada" TargetMode="External"/><Relationship Id="rId3157" Type="http://schemas.openxmlformats.org/officeDocument/2006/relationships/hyperlink" Target="https://www.cettire.com/collections/coach" TargetMode="External"/><Relationship Id="rId4555" Type="http://schemas.openxmlformats.org/officeDocument/2006/relationships/hyperlink" Target="https://www.cettire.com/collections/marine-serre" TargetMode="External"/><Relationship Id="rId4762" Type="http://schemas.openxmlformats.org/officeDocument/2006/relationships/hyperlink" Target="https://www.cettire.com/collections/thom-browne-eyewear" TargetMode="External"/><Relationship Id="rId285" Type="http://schemas.openxmlformats.org/officeDocument/2006/relationships/hyperlink" Target="https://www.cettire.com/collections/john-elliott" TargetMode="External"/><Relationship Id="rId3364" Type="http://schemas.openxmlformats.org/officeDocument/2006/relationships/hyperlink" Target="https://www.cettire.com/collections/mc2-saint-barth" TargetMode="External"/><Relationship Id="rId3571" Type="http://schemas.openxmlformats.org/officeDocument/2006/relationships/hyperlink" Target="https://www.cettire.com/collections/versace-kids" TargetMode="External"/><Relationship Id="rId4208" Type="http://schemas.openxmlformats.org/officeDocument/2006/relationships/hyperlink" Target="https://www.cettire.com/collections/1017-alyx-9sm" TargetMode="External"/><Relationship Id="rId4415" Type="http://schemas.openxmlformats.org/officeDocument/2006/relationships/hyperlink" Target="https://www.cettire.com/collections/eyevan-7285" TargetMode="External"/><Relationship Id="rId4622" Type="http://schemas.openxmlformats.org/officeDocument/2006/relationships/hyperlink" Target="https://www.cettire.com/collections/noir-kei-ninomiya" TargetMode="External"/><Relationship Id="rId492" Type="http://schemas.openxmlformats.org/officeDocument/2006/relationships/hyperlink" Target="https://www.cettire.com/collections/rodebjer" TargetMode="External"/><Relationship Id="rId2173" Type="http://schemas.openxmlformats.org/officeDocument/2006/relationships/hyperlink" Target="https://www.cettire.com/collections/max-mara-the-cube" TargetMode="External"/><Relationship Id="rId2380" Type="http://schemas.openxmlformats.org/officeDocument/2006/relationships/hyperlink" Target="https://www.cettire.com/collections/uh-nom-uh-nit" TargetMode="External"/><Relationship Id="rId3017" Type="http://schemas.openxmlformats.org/officeDocument/2006/relationships/hyperlink" Target="https://www.cettire.com/collections/white-mountaineering" TargetMode="External"/><Relationship Id="rId3224" Type="http://schemas.openxmlformats.org/officeDocument/2006/relationships/hyperlink" Target="https://www.cettire.com/collections/faith-connexion" TargetMode="External"/><Relationship Id="rId3431" Type="http://schemas.openxmlformats.org/officeDocument/2006/relationships/hyperlink" Target="https://www.cettire.com/collections/parajumpers" TargetMode="External"/><Relationship Id="rId145" Type="http://schemas.openxmlformats.org/officeDocument/2006/relationships/hyperlink" Target="https://www.cettire.com/collections/comme-des-garcons-homme-plus" TargetMode="External"/><Relationship Id="rId352" Type="http://schemas.openxmlformats.org/officeDocument/2006/relationships/hyperlink" Target="https://www.cettire.com/collections/martine-rose" TargetMode="External"/><Relationship Id="rId2033" Type="http://schemas.openxmlformats.org/officeDocument/2006/relationships/hyperlink" Target="https://www.cettire.com/collections/fendi-kids" TargetMode="External"/><Relationship Id="rId2240" Type="http://schemas.openxmlformats.org/officeDocument/2006/relationships/hyperlink" Target="https://www.cettire.com/collections/our-legacy" TargetMode="External"/><Relationship Id="rId212" Type="http://schemas.openxmlformats.org/officeDocument/2006/relationships/hyperlink" Target="https://www.cettire.com/collections/fay-kids" TargetMode="External"/><Relationship Id="rId1799" Type="http://schemas.openxmlformats.org/officeDocument/2006/relationships/hyperlink" Target="https://www.cettire.com/collections/wales-bonner" TargetMode="External"/><Relationship Id="rId2100" Type="http://schemas.openxmlformats.org/officeDocument/2006/relationships/hyperlink" Target="https://www.cettire.com/collections/john-elliott" TargetMode="External"/><Relationship Id="rId4065" Type="http://schemas.openxmlformats.org/officeDocument/2006/relationships/hyperlink" Target="https://www.cettire.com/collections/ralph-lauren-kids" TargetMode="External"/><Relationship Id="rId4272" Type="http://schemas.openxmlformats.org/officeDocument/2006/relationships/hyperlink" Target="https://www.cettire.com/collections/axel-arigato" TargetMode="External"/><Relationship Id="rId1659" Type="http://schemas.openxmlformats.org/officeDocument/2006/relationships/hyperlink" Target="https://www.cettire.com/collections/polo-ralph-lauren" TargetMode="External"/><Relationship Id="rId1866" Type="http://schemas.openxmlformats.org/officeDocument/2006/relationships/hyperlink" Target="https://www.cettire.com/collections/ann-demeulemeester" TargetMode="External"/><Relationship Id="rId2917" Type="http://schemas.openxmlformats.org/officeDocument/2006/relationships/hyperlink" Target="https://www.cettire.com/collections/roger-vivier" TargetMode="External"/><Relationship Id="rId3081" Type="http://schemas.openxmlformats.org/officeDocument/2006/relationships/hyperlink" Target="https://www.cettire.com/collections/apesi" TargetMode="External"/><Relationship Id="rId4132" Type="http://schemas.openxmlformats.org/officeDocument/2006/relationships/hyperlink" Target="https://www.cettire.com/collections/suicoke" TargetMode="External"/><Relationship Id="rId1519" Type="http://schemas.openxmlformats.org/officeDocument/2006/relationships/hyperlink" Target="https://www.cettire.com/collections/laneus" TargetMode="External"/><Relationship Id="rId1726" Type="http://schemas.openxmlformats.org/officeDocument/2006/relationships/hyperlink" Target="https://www.cettire.com/collections/simon-miller" TargetMode="External"/><Relationship Id="rId1933" Type="http://schemas.openxmlformats.org/officeDocument/2006/relationships/hyperlink" Target="https://www.cettire.com/collections/carhartt" TargetMode="External"/><Relationship Id="rId18" Type="http://schemas.openxmlformats.org/officeDocument/2006/relationships/hyperlink" Target="https://www.cettire.com/collections/adidas-by-stella-mccartney" TargetMode="External"/><Relationship Id="rId3898" Type="http://schemas.openxmlformats.org/officeDocument/2006/relationships/hyperlink" Target="https://www.cettire.com/collections/kuboraum" TargetMode="External"/><Relationship Id="rId3758" Type="http://schemas.openxmlformats.org/officeDocument/2006/relationships/hyperlink" Target="https://www.cettire.com/collections/department-5" TargetMode="External"/><Relationship Id="rId3965" Type="http://schemas.openxmlformats.org/officeDocument/2006/relationships/hyperlink" Target="https://www.cettire.com/collections/mini-rodini" TargetMode="External"/><Relationship Id="rId4809" Type="http://schemas.openxmlformats.org/officeDocument/2006/relationships/hyperlink" Target="https://www.cettire.com/collections/y-project" TargetMode="External"/><Relationship Id="rId679" Type="http://schemas.openxmlformats.org/officeDocument/2006/relationships/hyperlink" Target="https://www.cettire.com/collections/barba" TargetMode="External"/><Relationship Id="rId886" Type="http://schemas.openxmlformats.org/officeDocument/2006/relationships/hyperlink" Target="https://www.cettire.com/collections/jil-sander" TargetMode="External"/><Relationship Id="rId2567" Type="http://schemas.openxmlformats.org/officeDocument/2006/relationships/hyperlink" Target="https://www.cettire.com/collections/comme-des-garcons-noir-kei-ninomiya" TargetMode="External"/><Relationship Id="rId2774" Type="http://schemas.openxmlformats.org/officeDocument/2006/relationships/hyperlink" Target="https://www.cettire.com/collections/mastermind-world" TargetMode="External"/><Relationship Id="rId3618" Type="http://schemas.openxmlformats.org/officeDocument/2006/relationships/hyperlink" Target="https://www.cettire.com/collections/aeyd%C4%93" TargetMode="External"/><Relationship Id="rId2" Type="http://schemas.openxmlformats.org/officeDocument/2006/relationships/hyperlink" Target="https://www.cettire.com/collections/1017-alyx-9sm" TargetMode="External"/><Relationship Id="rId539" Type="http://schemas.openxmlformats.org/officeDocument/2006/relationships/hyperlink" Target="https://www.cettire.com/collections/t-by-alexander-wang" TargetMode="External"/><Relationship Id="rId746" Type="http://schemas.openxmlformats.org/officeDocument/2006/relationships/hyperlink" Target="https://www.cettire.com/collections/comme-des-garcons" TargetMode="External"/><Relationship Id="rId1169" Type="http://schemas.openxmlformats.org/officeDocument/2006/relationships/hyperlink" Target="https://www.cettire.com/collections/ugg-kids" TargetMode="External"/><Relationship Id="rId1376" Type="http://schemas.openxmlformats.org/officeDocument/2006/relationships/hyperlink" Target="https://www.cettire.com/collections/diane-von-furstenberg" TargetMode="External"/><Relationship Id="rId1583" Type="http://schemas.openxmlformats.org/officeDocument/2006/relationships/hyperlink" Target="https://www.cettire.com/collections/miu-miu-eyewear" TargetMode="External"/><Relationship Id="rId2427" Type="http://schemas.openxmlformats.org/officeDocument/2006/relationships/hyperlink" Target="https://www.cettire.com/collections/7-for-all-mankind" TargetMode="External"/><Relationship Id="rId2981" Type="http://schemas.openxmlformats.org/officeDocument/2006/relationships/hyperlink" Target="https://www.cettire.com/collections/tommy-hilfiger" TargetMode="External"/><Relationship Id="rId3825" Type="http://schemas.openxmlformats.org/officeDocument/2006/relationships/hyperlink" Target="https://www.cettire.com/collections/ganni" TargetMode="External"/><Relationship Id="rId953" Type="http://schemas.openxmlformats.org/officeDocument/2006/relationships/hyperlink" Target="https://www.cettire.com/collections/marquesalmeida" TargetMode="External"/><Relationship Id="rId1029" Type="http://schemas.openxmlformats.org/officeDocument/2006/relationships/hyperlink" Target="https://www.cettire.com/collections/osoi" TargetMode="External"/><Relationship Id="rId1236" Type="http://schemas.openxmlformats.org/officeDocument/2006/relationships/hyperlink" Target="https://www.cettire.com/collections/agnona" TargetMode="External"/><Relationship Id="rId1790" Type="http://schemas.openxmlformats.org/officeDocument/2006/relationships/hyperlink" Target="https://www.cettire.com/collections/versace-collection" TargetMode="External"/><Relationship Id="rId2634" Type="http://schemas.openxmlformats.org/officeDocument/2006/relationships/hyperlink" Target="https://www.cettire.com/collections/fay" TargetMode="External"/><Relationship Id="rId2841" Type="http://schemas.openxmlformats.org/officeDocument/2006/relationships/hyperlink" Target="https://www.cettire.com/collections/oakley" TargetMode="External"/><Relationship Id="rId82" Type="http://schemas.openxmlformats.org/officeDocument/2006/relationships/hyperlink" Target="https://www.cettire.com/collections/billieblush" TargetMode="External"/><Relationship Id="rId606" Type="http://schemas.openxmlformats.org/officeDocument/2006/relationships/hyperlink" Target="https://www.cettire.com/collections/zimmermann" TargetMode="External"/><Relationship Id="rId813" Type="http://schemas.openxmlformats.org/officeDocument/2006/relationships/hyperlink" Target="https://www.cettire.com/collections/facetasm" TargetMode="External"/><Relationship Id="rId1443" Type="http://schemas.openxmlformats.org/officeDocument/2006/relationships/hyperlink" Target="https://www.cettire.com/collections/garrett-leight" TargetMode="External"/><Relationship Id="rId1650" Type="http://schemas.openxmlformats.org/officeDocument/2006/relationships/hyperlink" Target="https://www.cettire.com/collections/philippe-model" TargetMode="External"/><Relationship Id="rId2701" Type="http://schemas.openxmlformats.org/officeDocument/2006/relationships/hyperlink" Target="https://www.cettire.com/collections/jessie-western" TargetMode="External"/><Relationship Id="rId4599" Type="http://schemas.openxmlformats.org/officeDocument/2006/relationships/hyperlink" Target="https://www.cettire.com/collections/moschino-eyewear" TargetMode="External"/><Relationship Id="rId1303" Type="http://schemas.openxmlformats.org/officeDocument/2006/relationships/hyperlink" Target="https://www.cettire.com/collections/bottega-veneta-eyewear" TargetMode="External"/><Relationship Id="rId1510" Type="http://schemas.openxmlformats.org/officeDocument/2006/relationships/hyperlink" Target="https://www.cettire.com/collections/kenzo-kids" TargetMode="External"/><Relationship Id="rId4459" Type="http://schemas.openxmlformats.org/officeDocument/2006/relationships/hyperlink" Target="https://www.cettire.com/collections/haider-ackermann" TargetMode="External"/><Relationship Id="rId4666" Type="http://schemas.openxmlformats.org/officeDocument/2006/relationships/hyperlink" Target="https://www.cettire.com/collections/proenza-schouler" TargetMode="External"/><Relationship Id="rId3268" Type="http://schemas.openxmlformats.org/officeDocument/2006/relationships/hyperlink" Target="https://www.cettire.com/collections/hogan-rebel" TargetMode="External"/><Relationship Id="rId3475" Type="http://schemas.openxmlformats.org/officeDocument/2006/relationships/hyperlink" Target="https://www.cettire.com/collections/rejina-pyo" TargetMode="External"/><Relationship Id="rId3682" Type="http://schemas.openxmlformats.org/officeDocument/2006/relationships/hyperlink" Target="https://www.cettire.com/collections/bode" TargetMode="External"/><Relationship Id="rId4319" Type="http://schemas.openxmlformats.org/officeDocument/2006/relationships/hyperlink" Target="https://www.cettire.com/collections/canada-goose" TargetMode="External"/><Relationship Id="rId4526" Type="http://schemas.openxmlformats.org/officeDocument/2006/relationships/hyperlink" Target="https://www.cettire.com/collections/levis" TargetMode="External"/><Relationship Id="rId4733" Type="http://schemas.openxmlformats.org/officeDocument/2006/relationships/hyperlink" Target="https://www.cettire.com/collections/staud" TargetMode="External"/><Relationship Id="rId189" Type="http://schemas.openxmlformats.org/officeDocument/2006/relationships/hyperlink" Target="https://www.cettire.com/collections/eckhaus-latta" TargetMode="External"/><Relationship Id="rId396" Type="http://schemas.openxmlformats.org/officeDocument/2006/relationships/hyperlink" Target="https://www.cettire.com/collections/msgm-kids" TargetMode="External"/><Relationship Id="rId2077" Type="http://schemas.openxmlformats.org/officeDocument/2006/relationships/hyperlink" Target="https://www.cettire.com/collections/hoka-one-one" TargetMode="External"/><Relationship Id="rId2284" Type="http://schemas.openxmlformats.org/officeDocument/2006/relationships/hyperlink" Target="https://www.cettire.com/collections/ray-ban" TargetMode="External"/><Relationship Id="rId2491" Type="http://schemas.openxmlformats.org/officeDocument/2006/relationships/hyperlink" Target="https://www.cettire.com/collections/balenciaga-kids" TargetMode="External"/><Relationship Id="rId3128" Type="http://schemas.openxmlformats.org/officeDocument/2006/relationships/hyperlink" Target="https://www.cettire.com/collections/by-far" TargetMode="External"/><Relationship Id="rId3335" Type="http://schemas.openxmlformats.org/officeDocument/2006/relationships/hyperlink" Target="https://www.cettire.com/collections/magda-butrym" TargetMode="External"/><Relationship Id="rId3542" Type="http://schemas.openxmlformats.org/officeDocument/2006/relationships/hyperlink" Target="https://www.cettire.com/collections/thom-browne" TargetMode="External"/><Relationship Id="rId256" Type="http://schemas.openxmlformats.org/officeDocument/2006/relationships/hyperlink" Target="https://www.cettire.com/collections/heron-preston" TargetMode="External"/><Relationship Id="rId463" Type="http://schemas.openxmlformats.org/officeDocument/2006/relationships/hyperlink" Target="https://www.cettire.com/collections/puma" TargetMode="External"/><Relationship Id="rId670" Type="http://schemas.openxmlformats.org/officeDocument/2006/relationships/hyperlink" Target="https://www.cettire.com/collections/axel-arigato" TargetMode="External"/><Relationship Id="rId1093" Type="http://schemas.openxmlformats.org/officeDocument/2006/relationships/hyperlink" Target="https://www.cettire.com/collections/rixo" TargetMode="External"/><Relationship Id="rId2144" Type="http://schemas.openxmlformats.org/officeDocument/2006/relationships/hyperlink" Target="https://www.cettire.com/collections/magda-butrym" TargetMode="External"/><Relationship Id="rId2351" Type="http://schemas.openxmlformats.org/officeDocument/2006/relationships/hyperlink" Target="https://www.cettire.com/collections/sunnei" TargetMode="External"/><Relationship Id="rId3402" Type="http://schemas.openxmlformats.org/officeDocument/2006/relationships/hyperlink" Target="https://www.cettire.com/collections/napa-by-martine-rose" TargetMode="External"/><Relationship Id="rId4800" Type="http://schemas.openxmlformats.org/officeDocument/2006/relationships/hyperlink" Target="https://www.cettire.com/collections/wandler" TargetMode="External"/><Relationship Id="rId116" Type="http://schemas.openxmlformats.org/officeDocument/2006/relationships/hyperlink" Target="https://www.cettire.com/collections/carhartt" TargetMode="External"/><Relationship Id="rId323" Type="http://schemas.openxmlformats.org/officeDocument/2006/relationships/hyperlink" Target="https://www.cettire.com/collections/longchamp" TargetMode="External"/><Relationship Id="rId530" Type="http://schemas.openxmlformats.org/officeDocument/2006/relationships/hyperlink" Target="https://www.cettire.com/collections/stone-island-junior" TargetMode="External"/><Relationship Id="rId1160" Type="http://schemas.openxmlformats.org/officeDocument/2006/relationships/hyperlink" Target="https://www.cettire.com/collections/tom-ford-eyewear" TargetMode="External"/><Relationship Id="rId2004" Type="http://schemas.openxmlformats.org/officeDocument/2006/relationships/hyperlink" Target="https://www.cettire.com/collections/eastpak" TargetMode="External"/><Relationship Id="rId2211" Type="http://schemas.openxmlformats.org/officeDocument/2006/relationships/hyperlink" Target="https://www.cettire.com/collections/n-21" TargetMode="External"/><Relationship Id="rId4176" Type="http://schemas.openxmlformats.org/officeDocument/2006/relationships/hyperlink" Target="https://www.cettire.com/collections/veja" TargetMode="External"/><Relationship Id="rId1020" Type="http://schemas.openxmlformats.org/officeDocument/2006/relationships/hyperlink" Target="https://www.cettire.com/collections/nudie-jeans" TargetMode="External"/><Relationship Id="rId1977" Type="http://schemas.openxmlformats.org/officeDocument/2006/relationships/hyperlink" Target="https://www.cettire.com/collections/daily-paper" TargetMode="External"/><Relationship Id="rId4383" Type="http://schemas.openxmlformats.org/officeDocument/2006/relationships/hyperlink" Target="https://www.cettire.com/collections/dkny-kids" TargetMode="External"/><Relationship Id="rId4590" Type="http://schemas.openxmlformats.org/officeDocument/2006/relationships/hyperlink" Target="https://www.cettire.com/collections/moncler-rick-owens" TargetMode="External"/><Relationship Id="rId1837" Type="http://schemas.openxmlformats.org/officeDocument/2006/relationships/hyperlink" Target="https://www.cettire.com/collections/adidas-by-wales-bonner" TargetMode="External"/><Relationship Id="rId3192" Type="http://schemas.openxmlformats.org/officeDocument/2006/relationships/hyperlink" Target="https://www.cettire.com/collections/dodo-bar-or" TargetMode="External"/><Relationship Id="rId4036" Type="http://schemas.openxmlformats.org/officeDocument/2006/relationships/hyperlink" Target="https://www.cettire.com/collections/philipp-plein" TargetMode="External"/><Relationship Id="rId4243" Type="http://schemas.openxmlformats.org/officeDocument/2006/relationships/hyperlink" Target="https://www.cettire.com/collections/alexander-wang" TargetMode="External"/><Relationship Id="rId4450" Type="http://schemas.openxmlformats.org/officeDocument/2006/relationships/hyperlink" Target="https://www.cettire.com/collections/givenchy-kids" TargetMode="External"/><Relationship Id="rId3052" Type="http://schemas.openxmlformats.org/officeDocument/2006/relationships/hyperlink" Target="https://www.cettire.com/collections/adidas-kids" TargetMode="External"/><Relationship Id="rId4103" Type="http://schemas.openxmlformats.org/officeDocument/2006/relationships/hyperlink" Target="https://www.cettire.com/collections/salvatore-santoro" TargetMode="External"/><Relationship Id="rId4310" Type="http://schemas.openxmlformats.org/officeDocument/2006/relationships/hyperlink" Target="https://www.cettire.com/collections/burberry-kids" TargetMode="External"/><Relationship Id="rId180" Type="http://schemas.openxmlformats.org/officeDocument/2006/relationships/hyperlink" Target="https://www.cettire.com/collections/dolce-gabbana-kids" TargetMode="External"/><Relationship Id="rId1904" Type="http://schemas.openxmlformats.org/officeDocument/2006/relationships/hyperlink" Target="https://www.cettire.com/collections/bobo-choses" TargetMode="External"/><Relationship Id="rId3869" Type="http://schemas.openxmlformats.org/officeDocument/2006/relationships/hyperlink" Target="https://www.cettire.com/collections/issey-miyake-men" TargetMode="External"/><Relationship Id="rId997" Type="http://schemas.openxmlformats.org/officeDocument/2006/relationships/hyperlink" Target="https://www.cettire.com/collections/msgm" TargetMode="External"/><Relationship Id="rId2678" Type="http://schemas.openxmlformats.org/officeDocument/2006/relationships/hyperlink" Target="https://www.cettire.com/collections/herschel-supply-co" TargetMode="External"/><Relationship Id="rId2885" Type="http://schemas.openxmlformats.org/officeDocument/2006/relationships/hyperlink" Target="https://www.cettire.com/collections/pt05" TargetMode="External"/><Relationship Id="rId3729" Type="http://schemas.openxmlformats.org/officeDocument/2006/relationships/hyperlink" Target="https://www.cettire.com/collections/christian-louboutin" TargetMode="External"/><Relationship Id="rId3936" Type="http://schemas.openxmlformats.org/officeDocument/2006/relationships/hyperlink" Target="https://www.cettire.com/collections/manu-atelier" TargetMode="External"/><Relationship Id="rId857" Type="http://schemas.openxmlformats.org/officeDocument/2006/relationships/hyperlink" Target="https://www.cettire.com/collections/hereu" TargetMode="External"/><Relationship Id="rId1487" Type="http://schemas.openxmlformats.org/officeDocument/2006/relationships/hyperlink" Target="https://www.cettire.com/collections/j-brand" TargetMode="External"/><Relationship Id="rId1694" Type="http://schemas.openxmlformats.org/officeDocument/2006/relationships/hyperlink" Target="https://www.cettire.com/collections/rick-owens" TargetMode="External"/><Relationship Id="rId2538" Type="http://schemas.openxmlformats.org/officeDocument/2006/relationships/hyperlink" Target="https://www.cettire.com/collections/carhartt" TargetMode="External"/><Relationship Id="rId2745" Type="http://schemas.openxmlformats.org/officeDocument/2006/relationships/hyperlink" Target="https://www.cettire.com/collections/longchamp" TargetMode="External"/><Relationship Id="rId2952" Type="http://schemas.openxmlformats.org/officeDocument/2006/relationships/hyperlink" Target="https://www.cettire.com/collections/stella-mccartney-kids" TargetMode="External"/><Relationship Id="rId717" Type="http://schemas.openxmlformats.org/officeDocument/2006/relationships/hyperlink" Target="https://www.cettire.com/collections/canada-goose-kids" TargetMode="External"/><Relationship Id="rId924" Type="http://schemas.openxmlformats.org/officeDocument/2006/relationships/hyperlink" Target="https://www.cettire.com/collections/lisa-marie-fernandez" TargetMode="External"/><Relationship Id="rId1347" Type="http://schemas.openxmlformats.org/officeDocument/2006/relationships/hyperlink" Target="https://www.cettire.com/collections/citizens-of-humanity" TargetMode="External"/><Relationship Id="rId1554" Type="http://schemas.openxmlformats.org/officeDocument/2006/relationships/hyperlink" Target="https://www.cettire.com/collections/marcelo-burlon-county-of-milan-kids" TargetMode="External"/><Relationship Id="rId1761" Type="http://schemas.openxmlformats.org/officeDocument/2006/relationships/hyperlink" Target="https://www.cettire.com/collections/theory" TargetMode="External"/><Relationship Id="rId2605" Type="http://schemas.openxmlformats.org/officeDocument/2006/relationships/hyperlink" Target="https://www.cettire.com/collections/dsquared2" TargetMode="External"/><Relationship Id="rId2812" Type="http://schemas.openxmlformats.org/officeDocument/2006/relationships/hyperlink" Target="https://www.cettire.com/collections/moschino-eyewear" TargetMode="External"/><Relationship Id="rId53" Type="http://schemas.openxmlformats.org/officeDocument/2006/relationships/hyperlink" Target="https://www.cettire.com/collections/arcteryx" TargetMode="External"/><Relationship Id="rId1207" Type="http://schemas.openxmlformats.org/officeDocument/2006/relationships/hyperlink" Target="https://www.cettire.com/collections/z-zegna" TargetMode="External"/><Relationship Id="rId1414" Type="http://schemas.openxmlformats.org/officeDocument/2006/relationships/hyperlink" Target="https://www.cettire.com/collections/etro" TargetMode="External"/><Relationship Id="rId1621" Type="http://schemas.openxmlformats.org/officeDocument/2006/relationships/hyperlink" Target="https://www.cettire.com/collections/nodaleto" TargetMode="External"/><Relationship Id="rId4777" Type="http://schemas.openxmlformats.org/officeDocument/2006/relationships/hyperlink" Target="https://www.cettire.com/collections/ulla-johnson" TargetMode="External"/><Relationship Id="rId3379" Type="http://schemas.openxmlformats.org/officeDocument/2006/relationships/hyperlink" Target="https://www.cettire.com/collections/molo" TargetMode="External"/><Relationship Id="rId3586" Type="http://schemas.openxmlformats.org/officeDocument/2006/relationships/hyperlink" Target="https://www.cettire.com/collections/y-project" TargetMode="External"/><Relationship Id="rId3793" Type="http://schemas.openxmlformats.org/officeDocument/2006/relationships/hyperlink" Target="https://www.cettire.com/collections/engineered-garments" TargetMode="External"/><Relationship Id="rId4637" Type="http://schemas.openxmlformats.org/officeDocument/2006/relationships/hyperlink" Target="https://www.cettire.com/collections/p-a-r-o-s-h" TargetMode="External"/><Relationship Id="rId2188" Type="http://schemas.openxmlformats.org/officeDocument/2006/relationships/hyperlink" Target="https://www.cettire.com/collections/mjb-marc-jacques-burton" TargetMode="External"/><Relationship Id="rId2395" Type="http://schemas.openxmlformats.org/officeDocument/2006/relationships/hyperlink" Target="https://www.cettire.com/collections/versace-eyewear" TargetMode="External"/><Relationship Id="rId3239" Type="http://schemas.openxmlformats.org/officeDocument/2006/relationships/hyperlink" Target="https://www.cettire.com/collections/furla" TargetMode="External"/><Relationship Id="rId3446" Type="http://schemas.openxmlformats.org/officeDocument/2006/relationships/hyperlink" Target="https://www.cettire.com/collections/polo-ralph-lauren" TargetMode="External"/><Relationship Id="rId367" Type="http://schemas.openxmlformats.org/officeDocument/2006/relationships/hyperlink" Target="https://www.cettire.com/collections/michael-michael-kors" TargetMode="External"/><Relationship Id="rId574" Type="http://schemas.openxmlformats.org/officeDocument/2006/relationships/hyperlink" Target="https://www.cettire.com/collections/valextra" TargetMode="External"/><Relationship Id="rId2048" Type="http://schemas.openxmlformats.org/officeDocument/2006/relationships/hyperlink" Target="https://www.cettire.com/collections/ganni" TargetMode="External"/><Relationship Id="rId2255" Type="http://schemas.openxmlformats.org/officeDocument/2006/relationships/hyperlink" Target="https://www.cettire.com/collections/philippe-model-paris" TargetMode="External"/><Relationship Id="rId3653" Type="http://schemas.openxmlformats.org/officeDocument/2006/relationships/hyperlink" Target="https://www.cettire.com/collections/art-dealer" TargetMode="External"/><Relationship Id="rId3860" Type="http://schemas.openxmlformats.org/officeDocument/2006/relationships/hyperlink" Target="https://www.cettire.com/collections/ienki-ienki" TargetMode="External"/><Relationship Id="rId4704" Type="http://schemas.openxmlformats.org/officeDocument/2006/relationships/hyperlink" Target="https://www.cettire.com/collections/rosantica" TargetMode="External"/><Relationship Id="rId227" Type="http://schemas.openxmlformats.org/officeDocument/2006/relationships/hyperlink" Target="https://www.cettire.com/collections/fucking-awesome" TargetMode="External"/><Relationship Id="rId781" Type="http://schemas.openxmlformats.org/officeDocument/2006/relationships/hyperlink" Target="https://www.cettire.com/collections/dodo-bar-or" TargetMode="External"/><Relationship Id="rId2462" Type="http://schemas.openxmlformats.org/officeDocument/2006/relationships/hyperlink" Target="https://www.cettire.com/collections/alpha-industries" TargetMode="External"/><Relationship Id="rId3306" Type="http://schemas.openxmlformats.org/officeDocument/2006/relationships/hyperlink" Target="https://www.cettire.com/collections/khrisjoy" TargetMode="External"/><Relationship Id="rId3513" Type="http://schemas.openxmlformats.org/officeDocument/2006/relationships/hyperlink" Target="https://www.cettire.com/collections/sportmax" TargetMode="External"/><Relationship Id="rId3720" Type="http://schemas.openxmlformats.org/officeDocument/2006/relationships/hyperlink" Target="https://www.cettire.com/collections/chiara-ferragni" TargetMode="External"/><Relationship Id="rId434" Type="http://schemas.openxmlformats.org/officeDocument/2006/relationships/hyperlink" Target="https://www.cettire.com/collections/parajumpers" TargetMode="External"/><Relationship Id="rId641" Type="http://schemas.openxmlformats.org/officeDocument/2006/relationships/hyperlink" Target="https://www.cettire.com/collections/alexander-mcqueen-eyewear" TargetMode="External"/><Relationship Id="rId1064" Type="http://schemas.openxmlformats.org/officeDocument/2006/relationships/hyperlink" Target="https://www.cettire.com/collections/pt01" TargetMode="External"/><Relationship Id="rId1271" Type="http://schemas.openxmlformats.org/officeDocument/2006/relationships/hyperlink" Target="https://www.cettire.com/collections/ash" TargetMode="External"/><Relationship Id="rId2115" Type="http://schemas.openxmlformats.org/officeDocument/2006/relationships/hyperlink" Target="https://www.cettire.com/collections/kenzo-kids" TargetMode="External"/><Relationship Id="rId2322" Type="http://schemas.openxmlformats.org/officeDocument/2006/relationships/hyperlink" Target="https://www.cettire.com/collections/sara-battaglia" TargetMode="External"/><Relationship Id="rId501" Type="http://schemas.openxmlformats.org/officeDocument/2006/relationships/hyperlink" Target="https://www.cettire.com/collections/saks-potts" TargetMode="External"/><Relationship Id="rId1131" Type="http://schemas.openxmlformats.org/officeDocument/2006/relationships/hyperlink" Target="https://www.cettire.com/collections/stella-mccartney-eyewear" TargetMode="External"/><Relationship Id="rId4287" Type="http://schemas.openxmlformats.org/officeDocument/2006/relationships/hyperlink" Target="https://www.cettire.com/collections/baum-und-pferdgarten" TargetMode="External"/><Relationship Id="rId4494" Type="http://schemas.openxmlformats.org/officeDocument/2006/relationships/hyperlink" Target="https://www.cettire.com/collections/john-lobb" TargetMode="External"/><Relationship Id="rId3096" Type="http://schemas.openxmlformats.org/officeDocument/2006/relationships/hyperlink" Target="https://www.cettire.com/collections/balenciaga-eyewear" TargetMode="External"/><Relationship Id="rId4147" Type="http://schemas.openxmlformats.org/officeDocument/2006/relationships/hyperlink" Target="https://www.cettire.com/collections/the-row" TargetMode="External"/><Relationship Id="rId4354" Type="http://schemas.openxmlformats.org/officeDocument/2006/relationships/hyperlink" Target="https://www.cettire.com/collections/comme-des-garcons-play" TargetMode="External"/><Relationship Id="rId4561" Type="http://schemas.openxmlformats.org/officeDocument/2006/relationships/hyperlink" Target="https://www.cettire.com/collections/martine-rose" TargetMode="External"/><Relationship Id="rId1948" Type="http://schemas.openxmlformats.org/officeDocument/2006/relationships/hyperlink" Target="https://www.cettire.com/collections/chlo%C3%A9%20kids" TargetMode="External"/><Relationship Id="rId3163" Type="http://schemas.openxmlformats.org/officeDocument/2006/relationships/hyperlink" Target="https://www.cettire.com/collections/comme-des-garcons-homme-plus" TargetMode="External"/><Relationship Id="rId3370" Type="http://schemas.openxmlformats.org/officeDocument/2006/relationships/hyperlink" Target="https://www.cettire.com/collections/michael-michael-kors" TargetMode="External"/><Relationship Id="rId4007" Type="http://schemas.openxmlformats.org/officeDocument/2006/relationships/hyperlink" Target="https://www.cettire.com/collections/nicomede" TargetMode="External"/><Relationship Id="rId4214" Type="http://schemas.openxmlformats.org/officeDocument/2006/relationships/hyperlink" Target="https://www.cettire.com/collections/mm-ilfig-r-kids" TargetMode="External"/><Relationship Id="rId4421" Type="http://schemas.openxmlformats.org/officeDocument/2006/relationships/hyperlink" Target="https://www.cettire.com/collections/fay-kids" TargetMode="External"/><Relationship Id="rId291" Type="http://schemas.openxmlformats.org/officeDocument/2006/relationships/hyperlink" Target="https://www.cettire.com/collections/just-don" TargetMode="External"/><Relationship Id="rId1808" Type="http://schemas.openxmlformats.org/officeDocument/2006/relationships/hyperlink" Target="https://www.cettire.com/collections/ys" TargetMode="External"/><Relationship Id="rId3023" Type="http://schemas.openxmlformats.org/officeDocument/2006/relationships/hyperlink" Target="https://www.cettire.com/collections/y-project" TargetMode="External"/><Relationship Id="rId151" Type="http://schemas.openxmlformats.org/officeDocument/2006/relationships/hyperlink" Target="https://www.cettire.com/collections/comme-des-garcons-wallet" TargetMode="External"/><Relationship Id="rId3230" Type="http://schemas.openxmlformats.org/officeDocument/2006/relationships/hyperlink" Target="https://www.cettire.com/collections/fendi-kids" TargetMode="External"/><Relationship Id="rId2789" Type="http://schemas.openxmlformats.org/officeDocument/2006/relationships/hyperlink" Target="https://www.cettire.com/collections/michael-michael-kors" TargetMode="External"/><Relationship Id="rId2996" Type="http://schemas.openxmlformats.org/officeDocument/2006/relationships/hyperlink" Target="https://www.cettire.com/collections/valentino" TargetMode="External"/><Relationship Id="rId968" Type="http://schemas.openxmlformats.org/officeDocument/2006/relationships/hyperlink" Target="https://www.cettire.com/collections/michael-kors" TargetMode="External"/><Relationship Id="rId1598" Type="http://schemas.openxmlformats.org/officeDocument/2006/relationships/hyperlink" Target="https://www.cettire.com/collections/moschino" TargetMode="External"/><Relationship Id="rId2649" Type="http://schemas.openxmlformats.org/officeDocument/2006/relationships/hyperlink" Target="https://www.cettire.com/collections/fucking-awesome" TargetMode="External"/><Relationship Id="rId2856" Type="http://schemas.openxmlformats.org/officeDocument/2006/relationships/hyperlink" Target="https://www.cettire.com/collections/paraboot" TargetMode="External"/><Relationship Id="rId3907" Type="http://schemas.openxmlformats.org/officeDocument/2006/relationships/hyperlink" Target="https://www.cettire.com/collections/lanvin-enfant" TargetMode="External"/><Relationship Id="rId97" Type="http://schemas.openxmlformats.org/officeDocument/2006/relationships/hyperlink" Target="https://www.cettire.com/collections/brunello-cucinelli" TargetMode="External"/><Relationship Id="rId828" Type="http://schemas.openxmlformats.org/officeDocument/2006/relationships/hyperlink" Target="https://www.cettire.com/collections/frame" TargetMode="External"/><Relationship Id="rId1458" Type="http://schemas.openxmlformats.org/officeDocument/2006/relationships/hyperlink" Target="https://www.cettire.com/collections/gucci-kids" TargetMode="External"/><Relationship Id="rId1665" Type="http://schemas.openxmlformats.org/officeDocument/2006/relationships/hyperlink" Target="https://www.cettire.com/collections/premiata" TargetMode="External"/><Relationship Id="rId1872" Type="http://schemas.openxmlformats.org/officeDocument/2006/relationships/hyperlink" Target="https://www.cettire.com/collections/area" TargetMode="External"/><Relationship Id="rId2509" Type="http://schemas.openxmlformats.org/officeDocument/2006/relationships/hyperlink" Target="https://www.cettire.com/collections/bobo-choses" TargetMode="External"/><Relationship Id="rId2716" Type="http://schemas.openxmlformats.org/officeDocument/2006/relationships/hyperlink" Target="https://www.cettire.com/collections/kappa-kontroll" TargetMode="External"/><Relationship Id="rId4071" Type="http://schemas.openxmlformats.org/officeDocument/2006/relationships/hyperlink" Target="https://www.cettire.com/collections/red-valentino" TargetMode="External"/><Relationship Id="rId1318" Type="http://schemas.openxmlformats.org/officeDocument/2006/relationships/hyperlink" Target="https://www.cettire.com/collections/c-p-company" TargetMode="External"/><Relationship Id="rId1525" Type="http://schemas.openxmlformats.org/officeDocument/2006/relationships/hyperlink" Target="https://www.cettire.com/collections/lemaire" TargetMode="External"/><Relationship Id="rId2923" Type="http://schemas.openxmlformats.org/officeDocument/2006/relationships/hyperlink" Target="https://www.cettire.com/collections/saint-laurent" TargetMode="External"/><Relationship Id="rId1732" Type="http://schemas.openxmlformats.org/officeDocument/2006/relationships/hyperlink" Target="https://www.cettire.com/collections/sportmax" TargetMode="External"/><Relationship Id="rId24" Type="http://schemas.openxmlformats.org/officeDocument/2006/relationships/hyperlink" Target="https://www.cettire.com/collections/aeyd%C4%93" TargetMode="External"/><Relationship Id="rId2299" Type="http://schemas.openxmlformats.org/officeDocument/2006/relationships/hyperlink" Target="https://www.cettire.com/collections/rick-owens-drkshdw" TargetMode="External"/><Relationship Id="rId3697" Type="http://schemas.openxmlformats.org/officeDocument/2006/relationships/hyperlink" Target="https://www.cettire.com/collections/burberry-kids" TargetMode="External"/><Relationship Id="rId4748" Type="http://schemas.openxmlformats.org/officeDocument/2006/relationships/hyperlink" Target="https://www.cettire.com/collections/tagliatore" TargetMode="External"/><Relationship Id="rId3557" Type="http://schemas.openxmlformats.org/officeDocument/2006/relationships/hyperlink" Target="https://www.cettire.com/collections/uma-wang" TargetMode="External"/><Relationship Id="rId3764" Type="http://schemas.openxmlformats.org/officeDocument/2006/relationships/hyperlink" Target="https://www.cettire.com/collections/diesel-kids" TargetMode="External"/><Relationship Id="rId3971" Type="http://schemas.openxmlformats.org/officeDocument/2006/relationships/hyperlink" Target="https://www.cettire.com/collections/miu-miu-eyewear" TargetMode="External"/><Relationship Id="rId4608" Type="http://schemas.openxmlformats.org/officeDocument/2006/relationships/hyperlink" Target="https://www.cettire.com/collections/n-21-kids" TargetMode="External"/><Relationship Id="rId4815" Type="http://schemas.openxmlformats.org/officeDocument/2006/relationships/hyperlink" Target="https://www.cettire.com/collections/zadig-voltaire" TargetMode="External"/><Relationship Id="rId478" Type="http://schemas.openxmlformats.org/officeDocument/2006/relationships/hyperlink" Target="https://www.cettire.com/collections/reike-nen" TargetMode="External"/><Relationship Id="rId685" Type="http://schemas.openxmlformats.org/officeDocument/2006/relationships/hyperlink" Target="https://www.cettire.com/collections/belstaff" TargetMode="External"/><Relationship Id="rId892" Type="http://schemas.openxmlformats.org/officeDocument/2006/relationships/hyperlink" Target="https://www.cettire.com/collections/junya-watanabe" TargetMode="External"/><Relationship Id="rId2159" Type="http://schemas.openxmlformats.org/officeDocument/2006/relationships/hyperlink" Target="https://www.cettire.com/collections/marine-serre" TargetMode="External"/><Relationship Id="rId2366" Type="http://schemas.openxmlformats.org/officeDocument/2006/relationships/hyperlink" Target="https://www.cettire.com/collections/thom-browne" TargetMode="External"/><Relationship Id="rId2573" Type="http://schemas.openxmlformats.org/officeDocument/2006/relationships/hyperlink" Target="https://www.cettire.com/collections/common-projects" TargetMode="External"/><Relationship Id="rId2780" Type="http://schemas.openxmlformats.org/officeDocument/2006/relationships/hyperlink" Target="https://www.cettire.com/collections/max-mara-pianoforte" TargetMode="External"/><Relationship Id="rId3417" Type="http://schemas.openxmlformats.org/officeDocument/2006/relationships/hyperlink" Target="https://www.cettire.com/collections/off-white" TargetMode="External"/><Relationship Id="rId3624" Type="http://schemas.openxmlformats.org/officeDocument/2006/relationships/hyperlink" Target="https://www.cettire.com/collections/alberta-ferretti-kids" TargetMode="External"/><Relationship Id="rId3831" Type="http://schemas.openxmlformats.org/officeDocument/2006/relationships/hyperlink" Target="https://www.cettire.com/collections/giambattista-valli" TargetMode="External"/><Relationship Id="rId338" Type="http://schemas.openxmlformats.org/officeDocument/2006/relationships/hyperlink" Target="https://www.cettire.com/collections/manokhi" TargetMode="External"/><Relationship Id="rId545" Type="http://schemas.openxmlformats.org/officeDocument/2006/relationships/hyperlink" Target="https://www.cettire.com/collections/the-marc-jacobs-kids" TargetMode="External"/><Relationship Id="rId752" Type="http://schemas.openxmlformats.org/officeDocument/2006/relationships/hyperlink" Target="https://www.cettire.com/collections/comme-des-garcons-play-kids" TargetMode="External"/><Relationship Id="rId1175" Type="http://schemas.openxmlformats.org/officeDocument/2006/relationships/hyperlink" Target="https://www.cettire.com/collections/unravel-project" TargetMode="External"/><Relationship Id="rId1382" Type="http://schemas.openxmlformats.org/officeDocument/2006/relationships/hyperlink" Target="https://www.cettire.com/collections/dior" TargetMode="External"/><Relationship Id="rId2019" Type="http://schemas.openxmlformats.org/officeDocument/2006/relationships/hyperlink" Target="https://www.cettire.com/collections/etre-cecile" TargetMode="External"/><Relationship Id="rId2226" Type="http://schemas.openxmlformats.org/officeDocument/2006/relationships/hyperlink" Target="https://www.cettire.com/collections/noir-kei-ninomiya" TargetMode="External"/><Relationship Id="rId2433" Type="http://schemas.openxmlformats.org/officeDocument/2006/relationships/hyperlink" Target="https://www.cettire.com/collections/a-w-a-k-e-mode" TargetMode="External"/><Relationship Id="rId2640" Type="http://schemas.openxmlformats.org/officeDocument/2006/relationships/hyperlink" Target="https://www.cettire.com/collections/feng-chen-wang" TargetMode="External"/><Relationship Id="rId405" Type="http://schemas.openxmlformats.org/officeDocument/2006/relationships/hyperlink" Target="https://www.cettire.com/collections/needles" TargetMode="External"/><Relationship Id="rId612" Type="http://schemas.openxmlformats.org/officeDocument/2006/relationships/hyperlink" Target="https://www.cettire.com/collections/lvin-l-in-kids" TargetMode="External"/><Relationship Id="rId1035" Type="http://schemas.openxmlformats.org/officeDocument/2006/relationships/hyperlink" Target="https://www.cettire.com/collections/palm-angels-kids" TargetMode="External"/><Relationship Id="rId1242" Type="http://schemas.openxmlformats.org/officeDocument/2006/relationships/hyperlink" Target="https://www.cettire.com/collections/alberto-biani" TargetMode="External"/><Relationship Id="rId2500" Type="http://schemas.openxmlformats.org/officeDocument/2006/relationships/hyperlink" Target="https://www.cettire.com/collections/bark-b-rules" TargetMode="External"/><Relationship Id="rId4398" Type="http://schemas.openxmlformats.org/officeDocument/2006/relationships/hyperlink" Target="https://www.cettire.com/collections/elie-saab-junior" TargetMode="External"/><Relationship Id="rId1102" Type="http://schemas.openxmlformats.org/officeDocument/2006/relationships/hyperlink" Target="https://www.cettire.com/collections/sacai" TargetMode="External"/><Relationship Id="rId4258" Type="http://schemas.openxmlformats.org/officeDocument/2006/relationships/hyperlink" Target="https://www.cettire.com/collections/anya-hindmarch" TargetMode="External"/><Relationship Id="rId4465" Type="http://schemas.openxmlformats.org/officeDocument/2006/relationships/hyperlink" Target="https://www.cettire.com/collections/heron-preston" TargetMode="External"/><Relationship Id="rId3067" Type="http://schemas.openxmlformats.org/officeDocument/2006/relationships/hyperlink" Target="https://www.cettire.com/collections/alexander-wang" TargetMode="External"/><Relationship Id="rId3274" Type="http://schemas.openxmlformats.org/officeDocument/2006/relationships/hyperlink" Target="https://www.cettire.com/collections/ienki-ienki" TargetMode="External"/><Relationship Id="rId4118" Type="http://schemas.openxmlformats.org/officeDocument/2006/relationships/hyperlink" Target="https://www.cettire.com/collections/spalwart" TargetMode="External"/><Relationship Id="rId4672" Type="http://schemas.openxmlformats.org/officeDocument/2006/relationships/hyperlink" Target="https://www.cettire.com/collections/r-m-williams" TargetMode="External"/><Relationship Id="rId195" Type="http://schemas.openxmlformats.org/officeDocument/2006/relationships/hyperlink" Target="https://www.cettire.com/collections/emilio-pucci-junior" TargetMode="External"/><Relationship Id="rId1919" Type="http://schemas.openxmlformats.org/officeDocument/2006/relationships/hyperlink" Target="https://www.cettire.com/collections/burberry-eyewear" TargetMode="External"/><Relationship Id="rId3481" Type="http://schemas.openxmlformats.org/officeDocument/2006/relationships/hyperlink" Target="https://www.cettire.com/collections/rick-owens-drkshdw" TargetMode="External"/><Relationship Id="rId4325" Type="http://schemas.openxmlformats.org/officeDocument/2006/relationships/hyperlink" Target="https://www.cettire.com/collections/carrera" TargetMode="External"/><Relationship Id="rId4532" Type="http://schemas.openxmlformats.org/officeDocument/2006/relationships/hyperlink" Target="https://www.cettire.com/collections/longchamp" TargetMode="External"/><Relationship Id="rId2083" Type="http://schemas.openxmlformats.org/officeDocument/2006/relationships/hyperlink" Target="https://www.cettire.com/collections/ih-nom-uh-nit" TargetMode="External"/><Relationship Id="rId2290" Type="http://schemas.openxmlformats.org/officeDocument/2006/relationships/hyperlink" Target="https://www.cettire.com/collections/reebok" TargetMode="External"/><Relationship Id="rId3134" Type="http://schemas.openxmlformats.org/officeDocument/2006/relationships/hyperlink" Target="https://www.cettire.com/collections/canada-goose-kids" TargetMode="External"/><Relationship Id="rId3341" Type="http://schemas.openxmlformats.org/officeDocument/2006/relationships/hyperlink" Target="https://www.cettire.com/collections/manebi" TargetMode="External"/><Relationship Id="rId262" Type="http://schemas.openxmlformats.org/officeDocument/2006/relationships/hyperlink" Target="https://www.cettire.com/collections/homme-plisse-issey-miyake" TargetMode="External"/><Relationship Id="rId2150" Type="http://schemas.openxmlformats.org/officeDocument/2006/relationships/hyperlink" Target="https://www.cettire.com/collections/manebi" TargetMode="External"/><Relationship Id="rId3201" Type="http://schemas.openxmlformats.org/officeDocument/2006/relationships/hyperlink" Target="https://www.cettire.com/collections/eastpak" TargetMode="External"/><Relationship Id="rId122" Type="http://schemas.openxmlformats.org/officeDocument/2006/relationships/hyperlink" Target="https://www.cettire.com/collections/cc-collection-corneliani" TargetMode="External"/><Relationship Id="rId2010" Type="http://schemas.openxmlformats.org/officeDocument/2006/relationships/hyperlink" Target="https://www.cettire.com/collections/emile-et-ida" TargetMode="External"/><Relationship Id="rId1569" Type="http://schemas.openxmlformats.org/officeDocument/2006/relationships/hyperlink" Target="https://www.cettire.com/collections/max-mara-the-cube" TargetMode="External"/><Relationship Id="rId2967" Type="http://schemas.openxmlformats.org/officeDocument/2006/relationships/hyperlink" Target="https://www.cettire.com/collections/the-attico" TargetMode="External"/><Relationship Id="rId4182" Type="http://schemas.openxmlformats.org/officeDocument/2006/relationships/hyperlink" Target="https://www.cettire.com/collections/versace-kids" TargetMode="External"/><Relationship Id="rId939" Type="http://schemas.openxmlformats.org/officeDocument/2006/relationships/hyperlink" Target="https://www.cettire.com/collections/malone-souliers" TargetMode="External"/><Relationship Id="rId1776" Type="http://schemas.openxmlformats.org/officeDocument/2006/relationships/hyperlink" Target="https://www.cettire.com/collections/uh-nom-uh-nit" TargetMode="External"/><Relationship Id="rId1983" Type="http://schemas.openxmlformats.org/officeDocument/2006/relationships/hyperlink" Target="https://www.cettire.com/collections/diemme" TargetMode="External"/><Relationship Id="rId2827" Type="http://schemas.openxmlformats.org/officeDocument/2006/relationships/hyperlink" Target="https://www.cettire.com/collections/neil-barrett" TargetMode="External"/><Relationship Id="rId4042" Type="http://schemas.openxmlformats.org/officeDocument/2006/relationships/hyperlink" Target="https://www.cettire.com/collections/pierre-hardy" TargetMode="External"/><Relationship Id="rId68" Type="http://schemas.openxmlformats.org/officeDocument/2006/relationships/hyperlink" Target="https://www.cettire.com/collections/balenciaga-kids" TargetMode="External"/><Relationship Id="rId1429" Type="http://schemas.openxmlformats.org/officeDocument/2006/relationships/hyperlink" Target="https://www.cettire.com/collections/fenty-x-puma" TargetMode="External"/><Relationship Id="rId1636" Type="http://schemas.openxmlformats.org/officeDocument/2006/relationships/hyperlink" Target="https://www.cettire.com/collections/our-legacy" TargetMode="External"/><Relationship Id="rId1843" Type="http://schemas.openxmlformats.org/officeDocument/2006/relationships/hyperlink" Target="https://www.cettire.com/collections/agnona" TargetMode="External"/><Relationship Id="rId1703" Type="http://schemas.openxmlformats.org/officeDocument/2006/relationships/hyperlink" Target="https://www.cettire.com/collections/roger-vivier" TargetMode="External"/><Relationship Id="rId1910" Type="http://schemas.openxmlformats.org/officeDocument/2006/relationships/hyperlink" Target="https://www.cettire.com/collections/botter" TargetMode="External"/><Relationship Id="rId3668" Type="http://schemas.openxmlformats.org/officeDocument/2006/relationships/hyperlink" Target="https://www.cettire.com/collections/bao-bao-issey-miyake" TargetMode="External"/><Relationship Id="rId3875" Type="http://schemas.openxmlformats.org/officeDocument/2006/relationships/hyperlink" Target="https://www.cettire.com/collections/jil-sander" TargetMode="External"/><Relationship Id="rId4719" Type="http://schemas.openxmlformats.org/officeDocument/2006/relationships/hyperlink" Target="https://www.cettire.com/collections/see-by-chloe" TargetMode="External"/><Relationship Id="rId589" Type="http://schemas.openxmlformats.org/officeDocument/2006/relationships/hyperlink" Target="https://www.cettire.com/collections/wandler" TargetMode="External"/><Relationship Id="rId796" Type="http://schemas.openxmlformats.org/officeDocument/2006/relationships/hyperlink" Target="https://www.cettire.com/collections/elie-saab-junior" TargetMode="External"/><Relationship Id="rId2477" Type="http://schemas.openxmlformats.org/officeDocument/2006/relationships/hyperlink" Target="https://www.cettire.com/collections/area" TargetMode="External"/><Relationship Id="rId2684" Type="http://schemas.openxmlformats.org/officeDocument/2006/relationships/hyperlink" Target="https://www.cettire.com/collections/honey-fucking-dijon" TargetMode="External"/><Relationship Id="rId3528" Type="http://schemas.openxmlformats.org/officeDocument/2006/relationships/hyperlink" Target="https://www.cettire.com/collections/sunnei" TargetMode="External"/><Relationship Id="rId3735" Type="http://schemas.openxmlformats.org/officeDocument/2006/relationships/hyperlink" Target="https://www.cettire.com/collections/collina-strada" TargetMode="External"/><Relationship Id="rId449" Type="http://schemas.openxmlformats.org/officeDocument/2006/relationships/hyperlink" Target="https://www.cettire.com/collections/pleats-please-by-issey-miyake" TargetMode="External"/><Relationship Id="rId656" Type="http://schemas.openxmlformats.org/officeDocument/2006/relationships/hyperlink" Target="https://www.cettire.com/collections/anya-hindmarch" TargetMode="External"/><Relationship Id="rId863" Type="http://schemas.openxmlformats.org/officeDocument/2006/relationships/hyperlink" Target="https://www.cettire.com/collections/hogan-kids" TargetMode="External"/><Relationship Id="rId1079" Type="http://schemas.openxmlformats.org/officeDocument/2006/relationships/hyperlink" Target="https://www.cettire.com/collections/red-wing-shoes" TargetMode="External"/><Relationship Id="rId1286" Type="http://schemas.openxmlformats.org/officeDocument/2006/relationships/hyperlink" Target="https://www.cettire.com/collections/barba" TargetMode="External"/><Relationship Id="rId1493" Type="http://schemas.openxmlformats.org/officeDocument/2006/relationships/hyperlink" Target="https://www.cettire.com/collections/jimmy-choo" TargetMode="External"/><Relationship Id="rId2337" Type="http://schemas.openxmlformats.org/officeDocument/2006/relationships/hyperlink" Target="https://www.cettire.com/collections/sporty-rich" TargetMode="External"/><Relationship Id="rId2544" Type="http://schemas.openxmlformats.org/officeDocument/2006/relationships/hyperlink" Target="https://www.cettire.com/collections/cc-collection-corneliani" TargetMode="External"/><Relationship Id="rId2891" Type="http://schemas.openxmlformats.org/officeDocument/2006/relationships/hyperlink" Target="https://www.cettire.com/collections/ralph-lauren" TargetMode="External"/><Relationship Id="rId3942" Type="http://schemas.openxmlformats.org/officeDocument/2006/relationships/hyperlink" Target="https://www.cettire.com/collections/marni" TargetMode="External"/><Relationship Id="rId309" Type="http://schemas.openxmlformats.org/officeDocument/2006/relationships/hyperlink" Target="https://www.cettire.com/collections/laneus" TargetMode="External"/><Relationship Id="rId516" Type="http://schemas.openxmlformats.org/officeDocument/2006/relationships/hyperlink" Target="https://www.cettire.com/collections/simon-miller" TargetMode="External"/><Relationship Id="rId1146" Type="http://schemas.openxmlformats.org/officeDocument/2006/relationships/hyperlink" Target="https://www.cettire.com/collections/ten-c" TargetMode="External"/><Relationship Id="rId2751" Type="http://schemas.openxmlformats.org/officeDocument/2006/relationships/hyperlink" Target="https://www.cettire.com/collections/mackintosh" TargetMode="External"/><Relationship Id="rId3802" Type="http://schemas.openxmlformats.org/officeDocument/2006/relationships/hyperlink" Target="https://www.cettire.com/collections/eytys" TargetMode="External"/><Relationship Id="rId723" Type="http://schemas.openxmlformats.org/officeDocument/2006/relationships/hyperlink" Target="https://www.cettire.com/collections/cartier" TargetMode="External"/><Relationship Id="rId930" Type="http://schemas.openxmlformats.org/officeDocument/2006/relationships/hyperlink" Target="https://www.cettire.com/collections/love-moschino" TargetMode="External"/><Relationship Id="rId1006" Type="http://schemas.openxmlformats.org/officeDocument/2006/relationships/hyperlink" Target="https://www.cettire.com/collections/natasha-zinko" TargetMode="External"/><Relationship Id="rId1353" Type="http://schemas.openxmlformats.org/officeDocument/2006/relationships/hyperlink" Target="https://www.cettire.com/collections/comme-des-garcons-comme-des-garcons" TargetMode="External"/><Relationship Id="rId1560" Type="http://schemas.openxmlformats.org/officeDocument/2006/relationships/hyperlink" Target="https://www.cettire.com/collections/marsell" TargetMode="External"/><Relationship Id="rId2404" Type="http://schemas.openxmlformats.org/officeDocument/2006/relationships/hyperlink" Target="https://www.cettire.com/collections/wandler" TargetMode="External"/><Relationship Id="rId2611" Type="http://schemas.openxmlformats.org/officeDocument/2006/relationships/hyperlink" Target="https://www.cettire.com/collections/eckhaus-latta" TargetMode="External"/><Relationship Id="rId1213" Type="http://schemas.openxmlformats.org/officeDocument/2006/relationships/hyperlink" Target="https://www.cettire.com/collections/3-1-phillip-lim" TargetMode="External"/><Relationship Id="rId1420" Type="http://schemas.openxmlformats.org/officeDocument/2006/relationships/hyperlink" Target="https://www.cettire.com/collections/facetasm" TargetMode="External"/><Relationship Id="rId4369" Type="http://schemas.openxmlformats.org/officeDocument/2006/relationships/hyperlink" Target="https://www.cettire.com/collections/danse-lente" TargetMode="External"/><Relationship Id="rId4576" Type="http://schemas.openxmlformats.org/officeDocument/2006/relationships/hyperlink" Target="https://www.cettire.com/collections/michael-kors-collection" TargetMode="External"/><Relationship Id="rId4783" Type="http://schemas.openxmlformats.org/officeDocument/2006/relationships/hyperlink" Target="https://www.cettire.com/collections/valentino-eyewear" TargetMode="External"/><Relationship Id="rId3178" Type="http://schemas.openxmlformats.org/officeDocument/2006/relationships/hyperlink" Target="https://www.cettire.com/collections/danse-lente" TargetMode="External"/><Relationship Id="rId3385" Type="http://schemas.openxmlformats.org/officeDocument/2006/relationships/hyperlink" Target="https://www.cettire.com/collections/moncler-grenoble" TargetMode="External"/><Relationship Id="rId3592" Type="http://schemas.openxmlformats.org/officeDocument/2006/relationships/hyperlink" Target="https://www.cettire.com/collections/zadig-voltaire-kids" TargetMode="External"/><Relationship Id="rId4229" Type="http://schemas.openxmlformats.org/officeDocument/2006/relationships/hyperlink" Target="https://www.cettire.com/collections/adidas-originals-by-alexander-wang" TargetMode="External"/><Relationship Id="rId4436" Type="http://schemas.openxmlformats.org/officeDocument/2006/relationships/hyperlink" Target="https://www.cettire.com/collections/furla" TargetMode="External"/><Relationship Id="rId4643" Type="http://schemas.openxmlformats.org/officeDocument/2006/relationships/hyperlink" Target="https://www.cettire.com/collections/parajumpers" TargetMode="External"/><Relationship Id="rId2194" Type="http://schemas.openxmlformats.org/officeDocument/2006/relationships/hyperlink" Target="https://www.cettire.com/collections/moncler-enfant" TargetMode="External"/><Relationship Id="rId3038" Type="http://schemas.openxmlformats.org/officeDocument/2006/relationships/hyperlink" Target="https://www.cettire.com/collections/lvin-l-in-kids" TargetMode="External"/><Relationship Id="rId3245" Type="http://schemas.openxmlformats.org/officeDocument/2006/relationships/hyperlink" Target="https://www.cettire.com/collections/gcds-kids" TargetMode="External"/><Relationship Id="rId3452" Type="http://schemas.openxmlformats.org/officeDocument/2006/relationships/hyperlink" Target="https://www.cettire.com/collections/pressure" TargetMode="External"/><Relationship Id="rId4503" Type="http://schemas.openxmlformats.org/officeDocument/2006/relationships/hyperlink" Target="https://www.cettire.com/collections/kappa" TargetMode="External"/><Relationship Id="rId4710" Type="http://schemas.openxmlformats.org/officeDocument/2006/relationships/hyperlink" Target="https://www.cettire.com/collections/saks-potts" TargetMode="External"/><Relationship Id="rId166" Type="http://schemas.openxmlformats.org/officeDocument/2006/relationships/hyperlink" Target="https://www.cettire.com/collections/diane-von-furstenberg" TargetMode="External"/><Relationship Id="rId373" Type="http://schemas.openxmlformats.org/officeDocument/2006/relationships/hyperlink" Target="https://www.cettire.com/collections/miu-miu" TargetMode="External"/><Relationship Id="rId580" Type="http://schemas.openxmlformats.org/officeDocument/2006/relationships/hyperlink" Target="https://www.cettire.com/collections/versace-collection" TargetMode="External"/><Relationship Id="rId2054" Type="http://schemas.openxmlformats.org/officeDocument/2006/relationships/hyperlink" Target="https://www.cettire.com/collections/giorgio-armani" TargetMode="External"/><Relationship Id="rId2261" Type="http://schemas.openxmlformats.org/officeDocument/2006/relationships/hyperlink" Target="https://www.cettire.com/collections/plan-c" TargetMode="External"/><Relationship Id="rId3105" Type="http://schemas.openxmlformats.org/officeDocument/2006/relationships/hyperlink" Target="https://www.cettire.com/collections/baum-und-pferdgarten" TargetMode="External"/><Relationship Id="rId3312" Type="http://schemas.openxmlformats.org/officeDocument/2006/relationships/hyperlink" Target="https://www.cettire.com/collections/la-doublej" TargetMode="External"/><Relationship Id="rId233" Type="http://schemas.openxmlformats.org/officeDocument/2006/relationships/hyperlink" Target="https://www.cettire.com/collections/gcds" TargetMode="External"/><Relationship Id="rId440" Type="http://schemas.openxmlformats.org/officeDocument/2006/relationships/hyperlink" Target="https://www.cettire.com/collections/philipp-plein-junior" TargetMode="External"/><Relationship Id="rId1070" Type="http://schemas.openxmlformats.org/officeDocument/2006/relationships/hyperlink" Target="https://www.cettire.com/collections/rag-bone" TargetMode="External"/><Relationship Id="rId2121" Type="http://schemas.openxmlformats.org/officeDocument/2006/relationships/hyperlink" Target="https://www.cettire.com/collections/lautre-chose" TargetMode="External"/><Relationship Id="rId300" Type="http://schemas.openxmlformats.org/officeDocument/2006/relationships/hyperlink" Target="https://www.cettire.com/collections/kenzo-kids" TargetMode="External"/><Relationship Id="rId4086" Type="http://schemas.openxmlformats.org/officeDocument/2006/relationships/hyperlink" Target="https://www.cettire.com/collections/rixo" TargetMode="External"/><Relationship Id="rId1887" Type="http://schemas.openxmlformats.org/officeDocument/2006/relationships/hyperlink" Target="https://www.cettire.com/collections/ballantyne" TargetMode="External"/><Relationship Id="rId2938" Type="http://schemas.openxmlformats.org/officeDocument/2006/relationships/hyperlink" Target="https://www.cettire.com/collections/si-rossi" TargetMode="External"/><Relationship Id="rId4293" Type="http://schemas.openxmlformats.org/officeDocument/2006/relationships/hyperlink" Target="https://www.cettire.com/collections/birkenstock" TargetMode="External"/><Relationship Id="rId1747" Type="http://schemas.openxmlformats.org/officeDocument/2006/relationships/hyperlink" Target="https://www.cettire.com/collections/sunnei" TargetMode="External"/><Relationship Id="rId1954" Type="http://schemas.openxmlformats.org/officeDocument/2006/relationships/hyperlink" Target="https://www.cettire.com/collections/co" TargetMode="External"/><Relationship Id="rId4153" Type="http://schemas.openxmlformats.org/officeDocument/2006/relationships/hyperlink" Target="https://www.cettire.com/collections/tods" TargetMode="External"/><Relationship Id="rId4360" Type="http://schemas.openxmlformats.org/officeDocument/2006/relationships/hyperlink" Target="https://www.cettire.com/collections/converse" TargetMode="External"/><Relationship Id="rId39" Type="http://schemas.openxmlformats.org/officeDocument/2006/relationships/hyperlink" Target="https://www.cettire.com/collections/alpha-industries" TargetMode="External"/><Relationship Id="rId1607" Type="http://schemas.openxmlformats.org/officeDocument/2006/relationships/hyperlink" Target="https://www.cettire.com/collections/n-21" TargetMode="External"/><Relationship Id="rId1814" Type="http://schemas.openxmlformats.org/officeDocument/2006/relationships/hyperlink" Target="https://www.cettire.com/collections/z-zegna" TargetMode="External"/><Relationship Id="rId4013" Type="http://schemas.openxmlformats.org/officeDocument/2006/relationships/hyperlink" Target="https://www.cettire.com/collections/north-sails-x-prada-cup" TargetMode="External"/><Relationship Id="rId4220" Type="http://schemas.openxmlformats.org/officeDocument/2006/relationships/hyperlink" Target="https://www.cettire.com/collections/adidas" TargetMode="External"/><Relationship Id="rId3779" Type="http://schemas.openxmlformats.org/officeDocument/2006/relationships/hyperlink" Target="https://www.cettire.com/collections/dsquared2-kids" TargetMode="External"/><Relationship Id="rId2588" Type="http://schemas.openxmlformats.org/officeDocument/2006/relationships/hyperlink" Target="https://www.cettire.com/collections/diane-von-furstenberg" TargetMode="External"/><Relationship Id="rId3986" Type="http://schemas.openxmlformats.org/officeDocument/2006/relationships/hyperlink" Target="https://www.cettire.com/collections/moschino-eyewear" TargetMode="External"/><Relationship Id="rId1397" Type="http://schemas.openxmlformats.org/officeDocument/2006/relationships/hyperlink" Target="https://www.cettire.com/collections/ea7-emporio-armani" TargetMode="External"/><Relationship Id="rId2795" Type="http://schemas.openxmlformats.org/officeDocument/2006/relationships/hyperlink" Target="https://www.cettire.com/collections/miu-miu" TargetMode="External"/><Relationship Id="rId3639" Type="http://schemas.openxmlformats.org/officeDocument/2006/relationships/hyperlink" Target="https://www.cettire.com/collections/ancient-greek-sandals" TargetMode="External"/><Relationship Id="rId3846" Type="http://schemas.openxmlformats.org/officeDocument/2006/relationships/hyperlink" Target="https://www.cettire.com/collections/helmut-lang" TargetMode="External"/><Relationship Id="rId767" Type="http://schemas.openxmlformats.org/officeDocument/2006/relationships/hyperlink" Target="https://www.cettire.com/collections/department-5" TargetMode="External"/><Relationship Id="rId974" Type="http://schemas.openxmlformats.org/officeDocument/2006/relationships/hyperlink" Target="https://www.cettire.com/collections/missoni" TargetMode="External"/><Relationship Id="rId2448" Type="http://schemas.openxmlformats.org/officeDocument/2006/relationships/hyperlink" Target="https://www.cettire.com/collections/agnona" TargetMode="External"/><Relationship Id="rId2655" Type="http://schemas.openxmlformats.org/officeDocument/2006/relationships/hyperlink" Target="https://www.cettire.com/collections/gcds" TargetMode="External"/><Relationship Id="rId2862" Type="http://schemas.openxmlformats.org/officeDocument/2006/relationships/hyperlink" Target="https://www.cettire.com/collections/philipp-plein" TargetMode="External"/><Relationship Id="rId3706" Type="http://schemas.openxmlformats.org/officeDocument/2006/relationships/hyperlink" Target="https://www.cettire.com/collections/canada-goose" TargetMode="External"/><Relationship Id="rId3913" Type="http://schemas.openxmlformats.org/officeDocument/2006/relationships/hyperlink" Target="https://www.cettire.com/collections/levis" TargetMode="External"/><Relationship Id="rId627" Type="http://schemas.openxmlformats.org/officeDocument/2006/relationships/hyperlink" Target="https://www.cettire.com/collections/adidas-originals" TargetMode="External"/><Relationship Id="rId834" Type="http://schemas.openxmlformats.org/officeDocument/2006/relationships/hyperlink" Target="https://www.cettire.com/collections/gallery-dept" TargetMode="External"/><Relationship Id="rId1257" Type="http://schemas.openxmlformats.org/officeDocument/2006/relationships/hyperlink" Target="https://www.cettire.com/collections/ancient-greek-sandals" TargetMode="External"/><Relationship Id="rId1464" Type="http://schemas.openxmlformats.org/officeDocument/2006/relationships/hyperlink" Target="https://www.cettire.com/collections/herno" TargetMode="External"/><Relationship Id="rId1671" Type="http://schemas.openxmlformats.org/officeDocument/2006/relationships/hyperlink" Target="https://www.cettire.com/collections/pt05" TargetMode="External"/><Relationship Id="rId2308" Type="http://schemas.openxmlformats.org/officeDocument/2006/relationships/hyperlink" Target="https://www.cettire.com/collections/rombaut" TargetMode="External"/><Relationship Id="rId2515" Type="http://schemas.openxmlformats.org/officeDocument/2006/relationships/hyperlink" Target="https://www.cettire.com/collections/botter" TargetMode="External"/><Relationship Id="rId2722" Type="http://schemas.openxmlformats.org/officeDocument/2006/relationships/hyperlink" Target="https://www.cettire.com/collections/khaite" TargetMode="External"/><Relationship Id="rId901" Type="http://schemas.openxmlformats.org/officeDocument/2006/relationships/hyperlink" Target="https://www.cettire.com/collections/karl-lagerfeld" TargetMode="External"/><Relationship Id="rId1117" Type="http://schemas.openxmlformats.org/officeDocument/2006/relationships/hyperlink" Target="https://www.cettire.com/collections/sergio-rossi" TargetMode="External"/><Relationship Id="rId1324" Type="http://schemas.openxmlformats.org/officeDocument/2006/relationships/hyperlink" Target="https://www.cettire.com/collections/canada-goose-kids" TargetMode="External"/><Relationship Id="rId1531" Type="http://schemas.openxmlformats.org/officeDocument/2006/relationships/hyperlink" Target="https://www.cettire.com/collections/liu-jo" TargetMode="External"/><Relationship Id="rId4687" Type="http://schemas.openxmlformats.org/officeDocument/2006/relationships/hyperlink" Target="https://www.cettire.com/collections/reike-nen" TargetMode="External"/><Relationship Id="rId30" Type="http://schemas.openxmlformats.org/officeDocument/2006/relationships/hyperlink" Target="https://www.cettire.com/collections/alberta-ferretti-kids" TargetMode="External"/><Relationship Id="rId3289" Type="http://schemas.openxmlformats.org/officeDocument/2006/relationships/hyperlink" Target="https://www.cettire.com/collections/john-lobb" TargetMode="External"/><Relationship Id="rId3496" Type="http://schemas.openxmlformats.org/officeDocument/2006/relationships/hyperlink" Target="https://www.cettire.com/collections/saks-potts" TargetMode="External"/><Relationship Id="rId4547" Type="http://schemas.openxmlformats.org/officeDocument/2006/relationships/hyperlink" Target="https://www.cettire.com/collections/manokhi" TargetMode="External"/><Relationship Id="rId4754" Type="http://schemas.openxmlformats.org/officeDocument/2006/relationships/hyperlink" Target="https://www.cettire.com/collections/the-marc-jacobs-kids" TargetMode="External"/><Relationship Id="rId2098" Type="http://schemas.openxmlformats.org/officeDocument/2006/relationships/hyperlink" Target="https://www.cettire.com/collections/jimmy-choo" TargetMode="External"/><Relationship Id="rId3149" Type="http://schemas.openxmlformats.org/officeDocument/2006/relationships/hyperlink" Target="https://www.cettire.com/collections/chloe-eyewear" TargetMode="External"/><Relationship Id="rId3356" Type="http://schemas.openxmlformats.org/officeDocument/2006/relationships/hyperlink" Target="https://www.cettire.com/collections/mastermind-world" TargetMode="External"/><Relationship Id="rId3563" Type="http://schemas.openxmlformats.org/officeDocument/2006/relationships/hyperlink" Target="https://www.cettire.com/collections/vans" TargetMode="External"/><Relationship Id="rId4407" Type="http://schemas.openxmlformats.org/officeDocument/2006/relationships/hyperlink" Target="https://www.cettire.com/collections/enterprise-japan" TargetMode="External"/><Relationship Id="rId277" Type="http://schemas.openxmlformats.org/officeDocument/2006/relationships/hyperlink" Target="https://www.cettire.com/collections/j-brand" TargetMode="External"/><Relationship Id="rId484" Type="http://schemas.openxmlformats.org/officeDocument/2006/relationships/hyperlink" Target="https://www.cettire.com/collections/rick-owens" TargetMode="External"/><Relationship Id="rId2165" Type="http://schemas.openxmlformats.org/officeDocument/2006/relationships/hyperlink" Target="https://www.cettire.com/collections/martine-rose" TargetMode="External"/><Relationship Id="rId3009" Type="http://schemas.openxmlformats.org/officeDocument/2006/relationships/hyperlink" Target="https://www.cettire.com/collections/vision-of-super" TargetMode="External"/><Relationship Id="rId3216" Type="http://schemas.openxmlformats.org/officeDocument/2006/relationships/hyperlink" Target="https://www.cettire.com/collections/etre-cecile" TargetMode="External"/><Relationship Id="rId3770" Type="http://schemas.openxmlformats.org/officeDocument/2006/relationships/hyperlink" Target="https://www.cettire.com/collections/dkny-kids" TargetMode="External"/><Relationship Id="rId4614" Type="http://schemas.openxmlformats.org/officeDocument/2006/relationships/hyperlink" Target="https://www.cettire.com/collections/neil-barrett" TargetMode="External"/><Relationship Id="rId4821" Type="http://schemas.openxmlformats.org/officeDocument/2006/relationships/vmlDrawing" Target="../drawings/vmlDrawing9.vml"/><Relationship Id="rId137" Type="http://schemas.openxmlformats.org/officeDocument/2006/relationships/hyperlink" Target="https://www.cettire.com/collections/citizens-of-humanity" TargetMode="External"/><Relationship Id="rId344" Type="http://schemas.openxmlformats.org/officeDocument/2006/relationships/hyperlink" Target="https://www.cettire.com/collections/marcelo-burlon-county-of-milan" TargetMode="External"/><Relationship Id="rId691" Type="http://schemas.openxmlformats.org/officeDocument/2006/relationships/hyperlink" Target="https://www.cettire.com/collections/bobo-choses" TargetMode="External"/><Relationship Id="rId2025" Type="http://schemas.openxmlformats.org/officeDocument/2006/relationships/hyperlink" Target="https://www.cettire.com/collections/fabiana-filippi" TargetMode="External"/><Relationship Id="rId2372" Type="http://schemas.openxmlformats.org/officeDocument/2006/relationships/hyperlink" Target="https://www.cettire.com/collections/tory-burch" TargetMode="External"/><Relationship Id="rId3423" Type="http://schemas.openxmlformats.org/officeDocument/2006/relationships/hyperlink" Target="https://www.cettire.com/collections/osoi" TargetMode="External"/><Relationship Id="rId3630" Type="http://schemas.openxmlformats.org/officeDocument/2006/relationships/hyperlink" Target="https://www.cettire.com/collections/alexander-wang" TargetMode="External"/><Relationship Id="rId551" Type="http://schemas.openxmlformats.org/officeDocument/2006/relationships/hyperlink" Target="https://www.cettire.com/collections/theory" TargetMode="External"/><Relationship Id="rId1181" Type="http://schemas.openxmlformats.org/officeDocument/2006/relationships/hyperlink" Target="https://www.cettire.com/collections/veja" TargetMode="External"/><Relationship Id="rId2232" Type="http://schemas.openxmlformats.org/officeDocument/2006/relationships/hyperlink" Target="https://www.cettire.com/collections/oamc" TargetMode="External"/><Relationship Id="rId204" Type="http://schemas.openxmlformats.org/officeDocument/2006/relationships/hyperlink" Target="https://www.cettire.com/collections/eudon-choi" TargetMode="External"/><Relationship Id="rId411" Type="http://schemas.openxmlformats.org/officeDocument/2006/relationships/hyperlink" Target="https://www.cettire.com/collections/nicomede" TargetMode="External"/><Relationship Id="rId1041" Type="http://schemas.openxmlformats.org/officeDocument/2006/relationships/hyperlink" Target="https://www.cettire.com/collections/persol" TargetMode="External"/><Relationship Id="rId1998" Type="http://schemas.openxmlformats.org/officeDocument/2006/relationships/hyperlink" Target="https://www.cettire.com/collections/drole-de-monsieur" TargetMode="External"/><Relationship Id="rId4197" Type="http://schemas.openxmlformats.org/officeDocument/2006/relationships/hyperlink" Target="https://www.cettire.com/collections/ys" TargetMode="External"/><Relationship Id="rId1858" Type="http://schemas.openxmlformats.org/officeDocument/2006/relationships/hyperlink" Target="https://www.cettire.com/collections/ambush" TargetMode="External"/><Relationship Id="rId4057" Type="http://schemas.openxmlformats.org/officeDocument/2006/relationships/hyperlink" Target="https://www.cettire.com/collections/pt01" TargetMode="External"/><Relationship Id="rId4264" Type="http://schemas.openxmlformats.org/officeDocument/2006/relationships/hyperlink" Target="https://www.cettire.com/collections/arizona-love" TargetMode="External"/><Relationship Id="rId4471" Type="http://schemas.openxmlformats.org/officeDocument/2006/relationships/hyperlink" Target="https://www.cettire.com/collections/homme-plisse-issey-miyake" TargetMode="External"/><Relationship Id="rId2909" Type="http://schemas.openxmlformats.org/officeDocument/2006/relationships/hyperlink" Target="https://www.cettire.com/collections/rick-owens-drkshdw" TargetMode="External"/><Relationship Id="rId3073" Type="http://schemas.openxmlformats.org/officeDocument/2006/relationships/hyperlink" Target="https://www.cettire.com/collections/amina-muaddi" TargetMode="External"/><Relationship Id="rId3280" Type="http://schemas.openxmlformats.org/officeDocument/2006/relationships/hyperlink" Target="https://www.cettire.com/collections/issey-miyake" TargetMode="External"/><Relationship Id="rId4124" Type="http://schemas.openxmlformats.org/officeDocument/2006/relationships/hyperlink" Target="https://www.cettire.com/collections/stella-mccartney-eyewear" TargetMode="External"/><Relationship Id="rId4331" Type="http://schemas.openxmlformats.org/officeDocument/2006/relationships/hyperlink" Target="https://www.cettire.com/collections/champion" TargetMode="External"/><Relationship Id="rId1718" Type="http://schemas.openxmlformats.org/officeDocument/2006/relationships/hyperlink" Target="https://www.cettire.com/collections/sara-battaglia" TargetMode="External"/><Relationship Id="rId1925" Type="http://schemas.openxmlformats.org/officeDocument/2006/relationships/hyperlink" Target="https://www.cettire.com/collections/c-p-company-kids" TargetMode="External"/><Relationship Id="rId3140" Type="http://schemas.openxmlformats.org/officeDocument/2006/relationships/hyperlink" Target="https://www.cettire.com/collections/casablanca" TargetMode="External"/><Relationship Id="rId2699" Type="http://schemas.openxmlformats.org/officeDocument/2006/relationships/hyperlink" Target="https://www.cettire.com/collections/jacques-marie-mage" TargetMode="External"/><Relationship Id="rId3000" Type="http://schemas.openxmlformats.org/officeDocument/2006/relationships/hyperlink" Target="https://www.cettire.com/collections/vans-vault" TargetMode="External"/><Relationship Id="rId3957" Type="http://schemas.openxmlformats.org/officeDocument/2006/relationships/hyperlink" Target="https://www.cettire.com/collections/mc2-saint-barth" TargetMode="External"/><Relationship Id="rId878" Type="http://schemas.openxmlformats.org/officeDocument/2006/relationships/hyperlink" Target="https://www.cettire.com/collections/isaia" TargetMode="External"/><Relationship Id="rId2559" Type="http://schemas.openxmlformats.org/officeDocument/2006/relationships/hyperlink" Target="https://www.cettire.com/collections/co" TargetMode="External"/><Relationship Id="rId2766" Type="http://schemas.openxmlformats.org/officeDocument/2006/relationships/hyperlink" Target="https://www.cettire.com/collections/marcelo-burlon-county-of-milan-kids" TargetMode="External"/><Relationship Id="rId2973" Type="http://schemas.openxmlformats.org/officeDocument/2006/relationships/hyperlink" Target="https://www.cettire.com/collections/the-row" TargetMode="External"/><Relationship Id="rId3817" Type="http://schemas.openxmlformats.org/officeDocument/2006/relationships/hyperlink" Target="https://www.cettire.com/collections/forte-forte" TargetMode="External"/><Relationship Id="rId738" Type="http://schemas.openxmlformats.org/officeDocument/2006/relationships/hyperlink" Target="https://www.cettire.com/collections/christian-louboutin" TargetMode="External"/><Relationship Id="rId945" Type="http://schemas.openxmlformats.org/officeDocument/2006/relationships/hyperlink" Target="https://www.cettire.com/collections/marc-jacobs" TargetMode="External"/><Relationship Id="rId1368" Type="http://schemas.openxmlformats.org/officeDocument/2006/relationships/hyperlink" Target="https://www.cettire.com/collections/cult-gaia" TargetMode="External"/><Relationship Id="rId1575" Type="http://schemas.openxmlformats.org/officeDocument/2006/relationships/hyperlink" Target="https://www.cettire.com/collections/michael-kors-collection" TargetMode="External"/><Relationship Id="rId1782" Type="http://schemas.openxmlformats.org/officeDocument/2006/relationships/hyperlink" Target="https://www.cettire.com/collections/valentino" TargetMode="External"/><Relationship Id="rId2419" Type="http://schemas.openxmlformats.org/officeDocument/2006/relationships/hyperlink" Target="https://www.cettire.com/collections/zadig-voltaire" TargetMode="External"/><Relationship Id="rId2626" Type="http://schemas.openxmlformats.org/officeDocument/2006/relationships/hyperlink" Target="https://www.cettire.com/collections/etro" TargetMode="External"/><Relationship Id="rId2833" Type="http://schemas.openxmlformats.org/officeDocument/2006/relationships/hyperlink" Target="https://www.cettire.com/collections/nicomede" TargetMode="External"/><Relationship Id="rId74" Type="http://schemas.openxmlformats.org/officeDocument/2006/relationships/hyperlink" Target="https://www.cettire.com/collections/barba" TargetMode="External"/><Relationship Id="rId805" Type="http://schemas.openxmlformats.org/officeDocument/2006/relationships/hyperlink" Target="https://www.cettire.com/collections/ermenegildo-zegna" TargetMode="External"/><Relationship Id="rId1228" Type="http://schemas.openxmlformats.org/officeDocument/2006/relationships/hyperlink" Target="https://www.cettire.com/collections/adidas-by-raf-simons" TargetMode="External"/><Relationship Id="rId1435" Type="http://schemas.openxmlformats.org/officeDocument/2006/relationships/hyperlink" Target="https://www.cettire.com/collections/frame" TargetMode="External"/><Relationship Id="rId4798" Type="http://schemas.openxmlformats.org/officeDocument/2006/relationships/hyperlink" Target="https://www.cettire.com/collections/vivienne-westwood" TargetMode="External"/><Relationship Id="rId1642" Type="http://schemas.openxmlformats.org/officeDocument/2006/relationships/hyperlink" Target="https://www.cettire.com/collections/paraboot" TargetMode="External"/><Relationship Id="rId2900" Type="http://schemas.openxmlformats.org/officeDocument/2006/relationships/hyperlink" Target="https://www.cettire.com/collections/reebok" TargetMode="External"/><Relationship Id="rId1502" Type="http://schemas.openxmlformats.org/officeDocument/2006/relationships/hyperlink" Target="https://www.cettire.com/collections/juun-j" TargetMode="External"/><Relationship Id="rId4658" Type="http://schemas.openxmlformats.org/officeDocument/2006/relationships/hyperlink" Target="https://www.cettire.com/collections/pleats-please-by-issey-miyake" TargetMode="External"/><Relationship Id="rId388" Type="http://schemas.openxmlformats.org/officeDocument/2006/relationships/hyperlink" Target="https://www.cettire.com/collections/moose-knuckles" TargetMode="External"/><Relationship Id="rId2069" Type="http://schemas.openxmlformats.org/officeDocument/2006/relationships/hyperlink" Target="https://www.cettire.com/collections/hereu" TargetMode="External"/><Relationship Id="rId3467" Type="http://schemas.openxmlformats.org/officeDocument/2006/relationships/hyperlink" Target="https://www.cettire.com/collections/re-done" TargetMode="External"/><Relationship Id="rId3674" Type="http://schemas.openxmlformats.org/officeDocument/2006/relationships/hyperlink" Target="https://www.cettire.com/collections/baum-und-pferdgarten" TargetMode="External"/><Relationship Id="rId3881" Type="http://schemas.openxmlformats.org/officeDocument/2006/relationships/hyperlink" Target="https://www.cettire.com/collections/junya-watanabe" TargetMode="External"/><Relationship Id="rId4518" Type="http://schemas.openxmlformats.org/officeDocument/2006/relationships/hyperlink" Target="https://www.cettire.com/collections/laneus" TargetMode="External"/><Relationship Id="rId4725" Type="http://schemas.openxmlformats.org/officeDocument/2006/relationships/hyperlink" Target="https://www.cettire.com/collections/simone-rocha" TargetMode="External"/><Relationship Id="rId595" Type="http://schemas.openxmlformats.org/officeDocument/2006/relationships/hyperlink" Target="https://www.cettire.com/collections/woolrich-x-griffin" TargetMode="External"/><Relationship Id="rId2276" Type="http://schemas.openxmlformats.org/officeDocument/2006/relationships/hyperlink" Target="https://www.cettire.com/collections/puma" TargetMode="External"/><Relationship Id="rId2483" Type="http://schemas.openxmlformats.org/officeDocument/2006/relationships/hyperlink" Target="https://www.cettire.com/collections/asics" TargetMode="External"/><Relationship Id="rId2690" Type="http://schemas.openxmlformats.org/officeDocument/2006/relationships/hyperlink" Target="https://www.cettire.com/collections/in-the-mood-for-love" TargetMode="External"/><Relationship Id="rId3327" Type="http://schemas.openxmlformats.org/officeDocument/2006/relationships/hyperlink" Target="https://www.cettire.com/collections/loewe" TargetMode="External"/><Relationship Id="rId3534" Type="http://schemas.openxmlformats.org/officeDocument/2006/relationships/hyperlink" Target="https://www.cettire.com/collections/the-attico" TargetMode="External"/><Relationship Id="rId3741" Type="http://schemas.openxmlformats.org/officeDocument/2006/relationships/hyperlink" Target="https://www.cettire.com/collections/comme-des-garcons-play" TargetMode="External"/><Relationship Id="rId248" Type="http://schemas.openxmlformats.org/officeDocument/2006/relationships/hyperlink" Target="https://www.cettire.com/collections/gucci-kids" TargetMode="External"/><Relationship Id="rId455" Type="http://schemas.openxmlformats.org/officeDocument/2006/relationships/hyperlink" Target="https://www.cettire.com/collections/prada-eyewear" TargetMode="External"/><Relationship Id="rId662" Type="http://schemas.openxmlformats.org/officeDocument/2006/relationships/hyperlink" Target="https://www.cettire.com/collections/arma" TargetMode="External"/><Relationship Id="rId1085" Type="http://schemas.openxmlformats.org/officeDocument/2006/relationships/hyperlink" Target="https://www.cettire.com/collections/represent" TargetMode="External"/><Relationship Id="rId1292" Type="http://schemas.openxmlformats.org/officeDocument/2006/relationships/hyperlink" Target="https://www.cettire.com/collections/belstaff" TargetMode="External"/><Relationship Id="rId2136" Type="http://schemas.openxmlformats.org/officeDocument/2006/relationships/hyperlink" Target="https://www.cettire.com/collections/loewe" TargetMode="External"/><Relationship Id="rId2343" Type="http://schemas.openxmlformats.org/officeDocument/2006/relationships/hyperlink" Target="https://www.cettire.com/collections/stone-island" TargetMode="External"/><Relationship Id="rId2550" Type="http://schemas.openxmlformats.org/officeDocument/2006/relationships/hyperlink" Target="https://www.cettire.com/collections/chie-mihara" TargetMode="External"/><Relationship Id="rId3601" Type="http://schemas.openxmlformats.org/officeDocument/2006/relationships/hyperlink" Target="https://www.cettire.com/collections/mm-ilfig-r-kids" TargetMode="External"/><Relationship Id="rId108" Type="http://schemas.openxmlformats.org/officeDocument/2006/relationships/hyperlink" Target="https://www.cettire.com/collections/c-p-company-kids" TargetMode="External"/><Relationship Id="rId315" Type="http://schemas.openxmlformats.org/officeDocument/2006/relationships/hyperlink" Target="https://www.cettire.com/collections/lemaire" TargetMode="External"/><Relationship Id="rId522" Type="http://schemas.openxmlformats.org/officeDocument/2006/relationships/hyperlink" Target="https://www.cettire.com/collections/sportmax" TargetMode="External"/><Relationship Id="rId1152" Type="http://schemas.openxmlformats.org/officeDocument/2006/relationships/hyperlink" Target="https://www.cettire.com/collections/the-north-face-kids" TargetMode="External"/><Relationship Id="rId2203" Type="http://schemas.openxmlformats.org/officeDocument/2006/relationships/hyperlink" Target="https://www.cettire.com/collections/moschino-eyewear" TargetMode="External"/><Relationship Id="rId2410" Type="http://schemas.openxmlformats.org/officeDocument/2006/relationships/hyperlink" Target="https://www.cettire.com/collections/woolrich-x-griffin" TargetMode="External"/><Relationship Id="rId1012" Type="http://schemas.openxmlformats.org/officeDocument/2006/relationships/hyperlink" Target="https://www.cettire.com/collections/nicholas-kirkwood" TargetMode="External"/><Relationship Id="rId4168" Type="http://schemas.openxmlformats.org/officeDocument/2006/relationships/hyperlink" Target="https://www.cettire.com/collections/uma-wang" TargetMode="External"/><Relationship Id="rId4375" Type="http://schemas.openxmlformats.org/officeDocument/2006/relationships/hyperlink" Target="https://www.cettire.com/collections/diemme" TargetMode="External"/><Relationship Id="rId1969" Type="http://schemas.openxmlformats.org/officeDocument/2006/relationships/hyperlink" Target="https://www.cettire.com/collections/converse" TargetMode="External"/><Relationship Id="rId3184" Type="http://schemas.openxmlformats.org/officeDocument/2006/relationships/hyperlink" Target="https://www.cettire.com/collections/diesel" TargetMode="External"/><Relationship Id="rId4028" Type="http://schemas.openxmlformats.org/officeDocument/2006/relationships/hyperlink" Target="https://www.cettire.com/collections/palm-angels" TargetMode="External"/><Relationship Id="rId4235" Type="http://schemas.openxmlformats.org/officeDocument/2006/relationships/hyperlink" Target="https://www.cettire.com/collections/alanui" TargetMode="External"/><Relationship Id="rId4582" Type="http://schemas.openxmlformats.org/officeDocument/2006/relationships/hyperlink" Target="https://www.cettire.com/collections/missoni-home" TargetMode="External"/><Relationship Id="rId1829" Type="http://schemas.openxmlformats.org/officeDocument/2006/relationships/hyperlink" Target="https://www.cettire.com/collections/abra" TargetMode="External"/><Relationship Id="rId3391" Type="http://schemas.openxmlformats.org/officeDocument/2006/relationships/hyperlink" Target="https://www.cettire.com/collections/moschino-kids" TargetMode="External"/><Relationship Id="rId4442" Type="http://schemas.openxmlformats.org/officeDocument/2006/relationships/hyperlink" Target="https://www.cettire.com/collections/gcds" TargetMode="External"/><Relationship Id="rId3044" Type="http://schemas.openxmlformats.org/officeDocument/2006/relationships/hyperlink" Target="https://www.cettire.com/collections/ader-error" TargetMode="External"/><Relationship Id="rId3251" Type="http://schemas.openxmlformats.org/officeDocument/2006/relationships/hyperlink" Target="https://www.cettire.com/collections/golden-goose-deluxe-brand" TargetMode="External"/><Relationship Id="rId4302" Type="http://schemas.openxmlformats.org/officeDocument/2006/relationships/hyperlink" Target="https://www.cettire.com/collections/boyy" TargetMode="External"/><Relationship Id="rId172" Type="http://schemas.openxmlformats.org/officeDocument/2006/relationships/hyperlink" Target="https://www.cettire.com/collections/dior" TargetMode="External"/><Relationship Id="rId2060" Type="http://schemas.openxmlformats.org/officeDocument/2006/relationships/hyperlink" Target="https://www.cettire.com/collections/greg-lauren" TargetMode="External"/><Relationship Id="rId3111" Type="http://schemas.openxmlformats.org/officeDocument/2006/relationships/hyperlink" Target="https://www.cettire.com/collections/birkenstock" TargetMode="External"/><Relationship Id="rId989" Type="http://schemas.openxmlformats.org/officeDocument/2006/relationships/hyperlink" Target="https://www.cettire.com/collections/monnalisa" TargetMode="External"/><Relationship Id="rId2877" Type="http://schemas.openxmlformats.org/officeDocument/2006/relationships/hyperlink" Target="https://www.cettire.com/collections/prada" TargetMode="External"/><Relationship Id="rId849" Type="http://schemas.openxmlformats.org/officeDocument/2006/relationships/hyperlink" Target="https://www.cettire.com/collections/grevi" TargetMode="External"/><Relationship Id="rId1479" Type="http://schemas.openxmlformats.org/officeDocument/2006/relationships/hyperlink" Target="https://www.cettire.com/collections/il-gufo" TargetMode="External"/><Relationship Id="rId1686" Type="http://schemas.openxmlformats.org/officeDocument/2006/relationships/hyperlink" Target="https://www.cettire.com/collections/reebok" TargetMode="External"/><Relationship Id="rId3928" Type="http://schemas.openxmlformats.org/officeDocument/2006/relationships/hyperlink" Target="https://www.cettire.com/collections/maison-kitsune" TargetMode="External"/><Relationship Id="rId4092" Type="http://schemas.openxmlformats.org/officeDocument/2006/relationships/hyperlink" Target="https://www.cettire.com/collections/rosantica" TargetMode="External"/><Relationship Id="rId1339" Type="http://schemas.openxmlformats.org/officeDocument/2006/relationships/hyperlink" Target="https://www.cettire.com/collections/chie-mihara" TargetMode="External"/><Relationship Id="rId1893" Type="http://schemas.openxmlformats.org/officeDocument/2006/relationships/hyperlink" Target="https://www.cettire.com/collections/barbour" TargetMode="External"/><Relationship Id="rId2737" Type="http://schemas.openxmlformats.org/officeDocument/2006/relationships/hyperlink" Target="https://www.cettire.com/collections/lemaire" TargetMode="External"/><Relationship Id="rId2944" Type="http://schemas.openxmlformats.org/officeDocument/2006/relationships/hyperlink" Target="https://www.cettire.com/collections/sonia-rykiel" TargetMode="External"/><Relationship Id="rId709" Type="http://schemas.openxmlformats.org/officeDocument/2006/relationships/hyperlink" Target="https://www.cettire.com/collections/buttero" TargetMode="External"/><Relationship Id="rId916" Type="http://schemas.openxmlformats.org/officeDocument/2006/relationships/hyperlink" Target="https://www.cettire.com/collections/lauren-ralph-lauren" TargetMode="External"/><Relationship Id="rId1546" Type="http://schemas.openxmlformats.org/officeDocument/2006/relationships/hyperlink" Target="https://www.cettire.com/collections/manebi" TargetMode="External"/><Relationship Id="rId1753" Type="http://schemas.openxmlformats.org/officeDocument/2006/relationships/hyperlink" Target="https://www.cettire.com/collections/the-attico" TargetMode="External"/><Relationship Id="rId1960" Type="http://schemas.openxmlformats.org/officeDocument/2006/relationships/hyperlink" Target="https://www.cettire.com/collections/comme-des-garcons-girl" TargetMode="External"/><Relationship Id="rId2804" Type="http://schemas.openxmlformats.org/officeDocument/2006/relationships/hyperlink" Target="https://www.cettire.com/collections/moncler-eyewear" TargetMode="External"/><Relationship Id="rId45" Type="http://schemas.openxmlformats.org/officeDocument/2006/relationships/hyperlink" Target="https://www.cettire.com/collections/ancient-greek-sandals" TargetMode="External"/><Relationship Id="rId1406" Type="http://schemas.openxmlformats.org/officeDocument/2006/relationships/hyperlink" Target="https://www.cettire.com/collections/emporio-armani" TargetMode="External"/><Relationship Id="rId1613" Type="http://schemas.openxmlformats.org/officeDocument/2006/relationships/hyperlink" Target="https://www.cettire.com/collections/needles" TargetMode="External"/><Relationship Id="rId1820" Type="http://schemas.openxmlformats.org/officeDocument/2006/relationships/hyperlink" Target="https://www.cettire.com/collections/3-1-phillip-lim" TargetMode="External"/><Relationship Id="rId4769" Type="http://schemas.openxmlformats.org/officeDocument/2006/relationships/hyperlink" Target="https://www.cettire.com/collections/toteme" TargetMode="External"/><Relationship Id="rId3578" Type="http://schemas.openxmlformats.org/officeDocument/2006/relationships/hyperlink" Target="https://www.cettire.com/collections/wandler" TargetMode="External"/><Relationship Id="rId3785" Type="http://schemas.openxmlformats.org/officeDocument/2006/relationships/hyperlink" Target="https://www.cettire.com/collections/elie-saab-junior" TargetMode="External"/><Relationship Id="rId3992" Type="http://schemas.openxmlformats.org/officeDocument/2006/relationships/hyperlink" Target="https://www.cettire.com/collections/mulberry" TargetMode="External"/><Relationship Id="rId4629" Type="http://schemas.openxmlformats.org/officeDocument/2006/relationships/hyperlink" Target="https://www.cettire.com/collections/off-white" TargetMode="External"/><Relationship Id="rId499" Type="http://schemas.openxmlformats.org/officeDocument/2006/relationships/hyperlink" Target="https://www.cettire.com/collections/saint-laurent" TargetMode="External"/><Relationship Id="rId2387" Type="http://schemas.openxmlformats.org/officeDocument/2006/relationships/hyperlink" Target="https://www.cettire.com/collections/valentino-eyewear" TargetMode="External"/><Relationship Id="rId2594" Type="http://schemas.openxmlformats.org/officeDocument/2006/relationships/hyperlink" Target="https://www.cettire.com/collections/dior" TargetMode="External"/><Relationship Id="rId3438" Type="http://schemas.openxmlformats.org/officeDocument/2006/relationships/hyperlink" Target="https://www.cettire.com/collections/philippe-model-paris" TargetMode="External"/><Relationship Id="rId3645" Type="http://schemas.openxmlformats.org/officeDocument/2006/relationships/hyperlink" Target="https://www.cettire.com/collections/anya-hindmarch" TargetMode="External"/><Relationship Id="rId3852" Type="http://schemas.openxmlformats.org/officeDocument/2006/relationships/hyperlink" Target="https://www.cettire.com/collections/hogan" TargetMode="External"/><Relationship Id="rId359" Type="http://schemas.openxmlformats.org/officeDocument/2006/relationships/hyperlink" Target="https://www.cettire.com/collections/max-mara-studio" TargetMode="External"/><Relationship Id="rId566" Type="http://schemas.openxmlformats.org/officeDocument/2006/relationships/hyperlink" Target="https://www.cettire.com/collections/uh-nom-uh-nit" TargetMode="External"/><Relationship Id="rId773" Type="http://schemas.openxmlformats.org/officeDocument/2006/relationships/hyperlink" Target="https://www.cettire.com/collections/diesel-black-gold" TargetMode="External"/><Relationship Id="rId1196" Type="http://schemas.openxmlformats.org/officeDocument/2006/relationships/hyperlink" Target="https://www.cettire.com/collections/white-mountaineering" TargetMode="External"/><Relationship Id="rId2247" Type="http://schemas.openxmlformats.org/officeDocument/2006/relationships/hyperlink" Target="https://www.cettire.com/collections/parajumpers" TargetMode="External"/><Relationship Id="rId2454" Type="http://schemas.openxmlformats.org/officeDocument/2006/relationships/hyperlink" Target="https://www.cettire.com/collections/alberto-biani" TargetMode="External"/><Relationship Id="rId3505" Type="http://schemas.openxmlformats.org/officeDocument/2006/relationships/hyperlink" Target="https://www.cettire.com/collections/sergio-rossi" TargetMode="External"/><Relationship Id="rId219" Type="http://schemas.openxmlformats.org/officeDocument/2006/relationships/hyperlink" Target="https://www.cettire.com/collections/fila" TargetMode="External"/><Relationship Id="rId426" Type="http://schemas.openxmlformats.org/officeDocument/2006/relationships/hyperlink" Target="https://www.cettire.com/collections/oseree" TargetMode="External"/><Relationship Id="rId633" Type="http://schemas.openxmlformats.org/officeDocument/2006/relationships/hyperlink" Target="https://www.cettire.com/collections/alaia" TargetMode="External"/><Relationship Id="rId980" Type="http://schemas.openxmlformats.org/officeDocument/2006/relationships/hyperlink" Target="https://www.cettire.com/collections/mm6-maison-margiela-kids" TargetMode="External"/><Relationship Id="rId1056" Type="http://schemas.openxmlformats.org/officeDocument/2006/relationships/hyperlink" Target="https://www.cettire.com/collections/ports-1961" TargetMode="External"/><Relationship Id="rId1263" Type="http://schemas.openxmlformats.org/officeDocument/2006/relationships/hyperlink" Target="https://www.cettire.com/collections/apesi" TargetMode="External"/><Relationship Id="rId2107" Type="http://schemas.openxmlformats.org/officeDocument/2006/relationships/hyperlink" Target="https://www.cettire.com/collections/juun-j" TargetMode="External"/><Relationship Id="rId2314" Type="http://schemas.openxmlformats.org/officeDocument/2006/relationships/hyperlink" Target="https://www.cettire.com/collections/saint-laurent-eyewear" TargetMode="External"/><Relationship Id="rId2661" Type="http://schemas.openxmlformats.org/officeDocument/2006/relationships/hyperlink" Target="https://www.cettire.com/collections/givenchy-eyewear" TargetMode="External"/><Relationship Id="rId3712" Type="http://schemas.openxmlformats.org/officeDocument/2006/relationships/hyperlink" Target="https://www.cettire.com/collections/carrera" TargetMode="External"/><Relationship Id="rId840" Type="http://schemas.openxmlformats.org/officeDocument/2006/relationships/hyperlink" Target="https://www.cettire.com/collections/gia-couture" TargetMode="External"/><Relationship Id="rId1470" Type="http://schemas.openxmlformats.org/officeDocument/2006/relationships/hyperlink" Target="https://www.cettire.com/collections/hogan-rebel" TargetMode="External"/><Relationship Id="rId2521" Type="http://schemas.openxmlformats.org/officeDocument/2006/relationships/hyperlink" Target="https://www.cettire.com/collections/building-block" TargetMode="External"/><Relationship Id="rId4279" Type="http://schemas.openxmlformats.org/officeDocument/2006/relationships/hyperlink" Target="https://www.cettire.com/collections/balmain" TargetMode="External"/><Relationship Id="rId700" Type="http://schemas.openxmlformats.org/officeDocument/2006/relationships/hyperlink" Target="https://www.cettire.com/collections/brian-dales" TargetMode="External"/><Relationship Id="rId1123" Type="http://schemas.openxmlformats.org/officeDocument/2006/relationships/hyperlink" Target="https://www.cettire.com/collections/sofie-dhoore" TargetMode="External"/><Relationship Id="rId1330" Type="http://schemas.openxmlformats.org/officeDocument/2006/relationships/hyperlink" Target="https://www.cettire.com/collections/cartier" TargetMode="External"/><Relationship Id="rId3088" Type="http://schemas.openxmlformats.org/officeDocument/2006/relationships/hyperlink" Target="https://www.cettire.com/collections/ash" TargetMode="External"/><Relationship Id="rId4486" Type="http://schemas.openxmlformats.org/officeDocument/2006/relationships/hyperlink" Target="https://www.cettire.com/collections/jacquemus" TargetMode="External"/><Relationship Id="rId4693" Type="http://schemas.openxmlformats.org/officeDocument/2006/relationships/hyperlink" Target="https://www.cettire.com/collections/rick-owens" TargetMode="External"/><Relationship Id="rId3295" Type="http://schemas.openxmlformats.org/officeDocument/2006/relationships/hyperlink" Target="https://www.cettire.com/collections/juun-j" TargetMode="External"/><Relationship Id="rId4139" Type="http://schemas.openxmlformats.org/officeDocument/2006/relationships/hyperlink" Target="https://www.cettire.com/collections/telfar" TargetMode="External"/><Relationship Id="rId4346" Type="http://schemas.openxmlformats.org/officeDocument/2006/relationships/hyperlink" Target="https://www.cettire.com/collections/coach" TargetMode="External"/><Relationship Id="rId4553" Type="http://schemas.openxmlformats.org/officeDocument/2006/relationships/hyperlink" Target="https://www.cettire.com/collections/marcelo-burlon-county-of-milan" TargetMode="External"/><Relationship Id="rId4760" Type="http://schemas.openxmlformats.org/officeDocument/2006/relationships/hyperlink" Target="https://www.cettire.com/collections/theory" TargetMode="External"/><Relationship Id="rId3155" Type="http://schemas.openxmlformats.org/officeDocument/2006/relationships/hyperlink" Target="https://www.cettire.com/collections/citizens-of-humanity" TargetMode="External"/><Relationship Id="rId3362" Type="http://schemas.openxmlformats.org/officeDocument/2006/relationships/hyperlink" Target="https://www.cettire.com/collections/max-mara-studio" TargetMode="External"/><Relationship Id="rId4206" Type="http://schemas.openxmlformats.org/officeDocument/2006/relationships/hyperlink" Target="https://www.cettire.com/collections/zimmermann" TargetMode="External"/><Relationship Id="rId4413" Type="http://schemas.openxmlformats.org/officeDocument/2006/relationships/hyperlink" Target="https://www.cettire.com/collections/eudon-choi" TargetMode="External"/><Relationship Id="rId4620" Type="http://schemas.openxmlformats.org/officeDocument/2006/relationships/hyperlink" Target="https://www.cettire.com/collections/nike" TargetMode="External"/><Relationship Id="rId283" Type="http://schemas.openxmlformats.org/officeDocument/2006/relationships/hyperlink" Target="https://www.cettire.com/collections/jimmy-choo" TargetMode="External"/><Relationship Id="rId490" Type="http://schemas.openxmlformats.org/officeDocument/2006/relationships/hyperlink" Target="https://www.cettire.com/collections/robert-clergerie" TargetMode="External"/><Relationship Id="rId2171" Type="http://schemas.openxmlformats.org/officeDocument/2006/relationships/hyperlink" Target="https://www.cettire.com/collections/max-mara-atelier" TargetMode="External"/><Relationship Id="rId3015" Type="http://schemas.openxmlformats.org/officeDocument/2006/relationships/hyperlink" Target="https://www.cettire.com/collections/we11done" TargetMode="External"/><Relationship Id="rId3222" Type="http://schemas.openxmlformats.org/officeDocument/2006/relationships/hyperlink" Target="https://www.cettire.com/collections/fabiana-filippi" TargetMode="External"/><Relationship Id="rId143" Type="http://schemas.openxmlformats.org/officeDocument/2006/relationships/hyperlink" Target="https://www.cettire.com/collections/comme-des-garcons-comme-des-garcons" TargetMode="External"/><Relationship Id="rId350" Type="http://schemas.openxmlformats.org/officeDocument/2006/relationships/hyperlink" Target="https://www.cettire.com/collections/marquesalmeida" TargetMode="External"/><Relationship Id="rId2031" Type="http://schemas.openxmlformats.org/officeDocument/2006/relationships/hyperlink" Target="https://www.cettire.com/collections/fendi" TargetMode="External"/><Relationship Id="rId9" Type="http://schemas.openxmlformats.org/officeDocument/2006/relationships/hyperlink" Target="https://www.cettire.com/collections/a-p-c" TargetMode="External"/><Relationship Id="rId210" Type="http://schemas.openxmlformats.org/officeDocument/2006/relationships/hyperlink" Target="https://www.cettire.com/collections/faith-connexion" TargetMode="External"/><Relationship Id="rId2988" Type="http://schemas.openxmlformats.org/officeDocument/2006/relationships/hyperlink" Target="https://www.cettire.com/collections/ugg" TargetMode="External"/><Relationship Id="rId1797" Type="http://schemas.openxmlformats.org/officeDocument/2006/relationships/hyperlink" Target="https://www.cettire.com/collections/visvim" TargetMode="External"/><Relationship Id="rId2848" Type="http://schemas.openxmlformats.org/officeDocument/2006/relationships/hyperlink" Target="https://www.cettire.com/collections/oseree" TargetMode="External"/><Relationship Id="rId89" Type="http://schemas.openxmlformats.org/officeDocument/2006/relationships/hyperlink" Target="https://www.cettire.com/collections/boglioli" TargetMode="External"/><Relationship Id="rId1657" Type="http://schemas.openxmlformats.org/officeDocument/2006/relationships/hyperlink" Target="https://www.cettire.com/collections/plan-c" TargetMode="External"/><Relationship Id="rId1864" Type="http://schemas.openxmlformats.org/officeDocument/2006/relationships/hyperlink" Target="https://www.cettire.com/collections/anita-bilardi" TargetMode="External"/><Relationship Id="rId2708" Type="http://schemas.openxmlformats.org/officeDocument/2006/relationships/hyperlink" Target="https://www.cettire.com/collections/junya-watanabe" TargetMode="External"/><Relationship Id="rId2915" Type="http://schemas.openxmlformats.org/officeDocument/2006/relationships/hyperlink" Target="https://www.cettire.com/collections/rochas" TargetMode="External"/><Relationship Id="rId4063" Type="http://schemas.openxmlformats.org/officeDocument/2006/relationships/hyperlink" Target="https://www.cettire.com/collections/rag-bone" TargetMode="External"/><Relationship Id="rId4270" Type="http://schemas.openxmlformats.org/officeDocument/2006/relationships/hyperlink" Target="https://www.cettire.com/collections/au-depart" TargetMode="External"/><Relationship Id="rId1517" Type="http://schemas.openxmlformats.org/officeDocument/2006/relationships/hyperlink" Target="https://www.cettire.com/collections/lautre-chose" TargetMode="External"/><Relationship Id="rId1724" Type="http://schemas.openxmlformats.org/officeDocument/2006/relationships/hyperlink" Target="https://www.cettire.com/collections/si-rossi" TargetMode="External"/><Relationship Id="rId4130" Type="http://schemas.openxmlformats.org/officeDocument/2006/relationships/hyperlink" Target="https://www.cettire.com/collections/studio-amelia" TargetMode="External"/><Relationship Id="rId16" Type="http://schemas.openxmlformats.org/officeDocument/2006/relationships/hyperlink" Target="https://www.cettire.com/collections/adidas-by-pharrell-williams" TargetMode="External"/><Relationship Id="rId1931" Type="http://schemas.openxmlformats.org/officeDocument/2006/relationships/hyperlink" Target="https://www.cettire.com/collections/canali" TargetMode="External"/><Relationship Id="rId3689" Type="http://schemas.openxmlformats.org/officeDocument/2006/relationships/hyperlink" Target="https://www.cettire.com/collections/boyy" TargetMode="External"/><Relationship Id="rId3896" Type="http://schemas.openxmlformats.org/officeDocument/2006/relationships/hyperlink" Target="https://www.cettire.com/collections/khrisjoy" TargetMode="External"/><Relationship Id="rId2498" Type="http://schemas.openxmlformats.org/officeDocument/2006/relationships/hyperlink" Target="https://www.cettire.com/collections/barbour" TargetMode="External"/><Relationship Id="rId3549" Type="http://schemas.openxmlformats.org/officeDocument/2006/relationships/hyperlink" Target="https://www.cettire.com/collections/trickers" TargetMode="External"/><Relationship Id="rId677" Type="http://schemas.openxmlformats.org/officeDocument/2006/relationships/hyperlink" Target="https://www.cettire.com/collections/balmain-kids" TargetMode="External"/><Relationship Id="rId2358" Type="http://schemas.openxmlformats.org/officeDocument/2006/relationships/hyperlink" Target="https://www.cettire.com/collections/the-gigi" TargetMode="External"/><Relationship Id="rId3756" Type="http://schemas.openxmlformats.org/officeDocument/2006/relationships/hyperlink" Target="https://www.cettire.com/collections/danse-lente" TargetMode="External"/><Relationship Id="rId3963" Type="http://schemas.openxmlformats.org/officeDocument/2006/relationships/hyperlink" Target="https://www.cettire.com/collections/michael-michael-kors" TargetMode="External"/><Relationship Id="rId4807" Type="http://schemas.openxmlformats.org/officeDocument/2006/relationships/hyperlink" Target="https://www.cettire.com/collections/y-3" TargetMode="External"/><Relationship Id="rId884" Type="http://schemas.openxmlformats.org/officeDocument/2006/relationships/hyperlink" Target="https://www.cettire.com/collections/jejia" TargetMode="External"/><Relationship Id="rId2565" Type="http://schemas.openxmlformats.org/officeDocument/2006/relationships/hyperlink" Target="https://www.cettire.com/collections/comme-des-garcons-girl" TargetMode="External"/><Relationship Id="rId2772" Type="http://schemas.openxmlformats.org/officeDocument/2006/relationships/hyperlink" Target="https://www.cettire.com/collections/marsell" TargetMode="External"/><Relationship Id="rId3409" Type="http://schemas.openxmlformats.org/officeDocument/2006/relationships/hyperlink" Target="https://www.cettire.com/collections/nike" TargetMode="External"/><Relationship Id="rId3616" Type="http://schemas.openxmlformats.org/officeDocument/2006/relationships/hyperlink" Target="https://www.cettire.com/collections/adidas-originals-by-alexander-wang" TargetMode="External"/><Relationship Id="rId3823" Type="http://schemas.openxmlformats.org/officeDocument/2006/relationships/hyperlink" Target="https://www.cettire.com/collections/gabriela-hearst" TargetMode="External"/><Relationship Id="rId537" Type="http://schemas.openxmlformats.org/officeDocument/2006/relationships/hyperlink" Target="https://www.cettire.com/collections/sunnei" TargetMode="External"/><Relationship Id="rId744" Type="http://schemas.openxmlformats.org/officeDocument/2006/relationships/hyperlink" Target="https://www.cettire.com/collections/coliac" TargetMode="External"/><Relationship Id="rId951" Type="http://schemas.openxmlformats.org/officeDocument/2006/relationships/hyperlink" Target="https://www.cettire.com/collections/marni-eyewear" TargetMode="External"/><Relationship Id="rId1167" Type="http://schemas.openxmlformats.org/officeDocument/2006/relationships/hyperlink" Target="https://www.cettire.com/collections/twinset-kids" TargetMode="External"/><Relationship Id="rId1374" Type="http://schemas.openxmlformats.org/officeDocument/2006/relationships/hyperlink" Target="https://www.cettire.com/collections/desa-1972" TargetMode="External"/><Relationship Id="rId1581" Type="http://schemas.openxmlformats.org/officeDocument/2006/relationships/hyperlink" Target="https://www.cettire.com/collections/missoni-mare" TargetMode="External"/><Relationship Id="rId2218" Type="http://schemas.openxmlformats.org/officeDocument/2006/relationships/hyperlink" Target="https://www.cettire.com/collections/neil-barrett" TargetMode="External"/><Relationship Id="rId2425" Type="http://schemas.openxmlformats.org/officeDocument/2006/relationships/hyperlink" Target="https://www.cettire.com/collections/3-1-phillip-lim" TargetMode="External"/><Relationship Id="rId2632" Type="http://schemas.openxmlformats.org/officeDocument/2006/relationships/hyperlink" Target="https://www.cettire.com/collections/facetasm" TargetMode="External"/><Relationship Id="rId80" Type="http://schemas.openxmlformats.org/officeDocument/2006/relationships/hyperlink" Target="https://www.cettire.com/collections/belstaff" TargetMode="External"/><Relationship Id="rId604" Type="http://schemas.openxmlformats.org/officeDocument/2006/relationships/hyperlink" Target="https://www.cettire.com/collections/zadig-voltaire" TargetMode="External"/><Relationship Id="rId811" Type="http://schemas.openxmlformats.org/officeDocument/2006/relationships/hyperlink" Target="https://www.cettire.com/collections/eytys" TargetMode="External"/><Relationship Id="rId1027" Type="http://schemas.openxmlformats.org/officeDocument/2006/relationships/hyperlink" Target="https://www.cettire.com/collections/opening-ceremony" TargetMode="External"/><Relationship Id="rId1234" Type="http://schemas.openxmlformats.org/officeDocument/2006/relationships/hyperlink" Target="https://www.cettire.com/collections/adriana-degreas" TargetMode="External"/><Relationship Id="rId1441" Type="http://schemas.openxmlformats.org/officeDocument/2006/relationships/hyperlink" Target="https://www.cettire.com/collections/gallery-dept" TargetMode="External"/><Relationship Id="rId4597" Type="http://schemas.openxmlformats.org/officeDocument/2006/relationships/hyperlink" Target="https://www.cettire.com/collections/moose-knuckles" TargetMode="External"/><Relationship Id="rId1301" Type="http://schemas.openxmlformats.org/officeDocument/2006/relationships/hyperlink" Target="https://www.cettire.com/collections/bonpoint" TargetMode="External"/><Relationship Id="rId3199" Type="http://schemas.openxmlformats.org/officeDocument/2006/relationships/hyperlink" Target="https://www.cettire.com/collections/dsquared2-kids" TargetMode="External"/><Relationship Id="rId4457" Type="http://schemas.openxmlformats.org/officeDocument/2006/relationships/hyperlink" Target="https://www.cettire.com/collections/gucci-kids" TargetMode="External"/><Relationship Id="rId4664" Type="http://schemas.openxmlformats.org/officeDocument/2006/relationships/hyperlink" Target="https://www.cettire.com/collections/premiata" TargetMode="External"/><Relationship Id="rId3059" Type="http://schemas.openxmlformats.org/officeDocument/2006/relationships/hyperlink" Target="https://www.cettire.com/collections/alaia" TargetMode="External"/><Relationship Id="rId3266" Type="http://schemas.openxmlformats.org/officeDocument/2006/relationships/hyperlink" Target="https://www.cettire.com/collections/hogan" TargetMode="External"/><Relationship Id="rId3473" Type="http://schemas.openxmlformats.org/officeDocument/2006/relationships/hyperlink" Target="https://www.cettire.com/collections/reebok-x-victoria-beckham" TargetMode="External"/><Relationship Id="rId4317" Type="http://schemas.openxmlformats.org/officeDocument/2006/relationships/hyperlink" Target="https://www.cettire.com/collections/calvin-klein" TargetMode="External"/><Relationship Id="rId4524" Type="http://schemas.openxmlformats.org/officeDocument/2006/relationships/hyperlink" Target="https://www.cettire.com/collections/lemaire" TargetMode="External"/><Relationship Id="rId187" Type="http://schemas.openxmlformats.org/officeDocument/2006/relationships/hyperlink" Target="https://www.cettire.com/collections/ea7-emporio-armani" TargetMode="External"/><Relationship Id="rId394" Type="http://schemas.openxmlformats.org/officeDocument/2006/relationships/hyperlink" Target="https://www.cettire.com/collections/mou-kids" TargetMode="External"/><Relationship Id="rId2075" Type="http://schemas.openxmlformats.org/officeDocument/2006/relationships/hyperlink" Target="https://www.cettire.com/collections/hogan-kids" TargetMode="External"/><Relationship Id="rId2282" Type="http://schemas.openxmlformats.org/officeDocument/2006/relationships/hyperlink" Target="https://www.cettire.com/collections/ralph-lauren-kids" TargetMode="External"/><Relationship Id="rId3126" Type="http://schemas.openxmlformats.org/officeDocument/2006/relationships/hyperlink" Target="https://www.cettire.com/collections/buscemi" TargetMode="External"/><Relationship Id="rId3680" Type="http://schemas.openxmlformats.org/officeDocument/2006/relationships/hyperlink" Target="https://www.cettire.com/collections/birkenstock" TargetMode="External"/><Relationship Id="rId4731" Type="http://schemas.openxmlformats.org/officeDocument/2006/relationships/hyperlink" Target="https://www.cettire.com/collections/sporty-rich" TargetMode="External"/><Relationship Id="rId254" Type="http://schemas.openxmlformats.org/officeDocument/2006/relationships/hyperlink" Target="https://www.cettire.com/collections/herno" TargetMode="External"/><Relationship Id="rId1091" Type="http://schemas.openxmlformats.org/officeDocument/2006/relationships/hyperlink" Target="https://www.cettire.com/collections/rick-owens-x-birkenstock" TargetMode="External"/><Relationship Id="rId3333" Type="http://schemas.openxmlformats.org/officeDocument/2006/relationships/hyperlink" Target="https://www.cettire.com/collections/m-missoni" TargetMode="External"/><Relationship Id="rId3540" Type="http://schemas.openxmlformats.org/officeDocument/2006/relationships/hyperlink" Target="https://www.cettire.com/collections/themoire" TargetMode="External"/><Relationship Id="rId114" Type="http://schemas.openxmlformats.org/officeDocument/2006/relationships/hyperlink" Target="https://www.cettire.com/collections/canali" TargetMode="External"/><Relationship Id="rId461" Type="http://schemas.openxmlformats.org/officeDocument/2006/relationships/hyperlink" Target="https://www.cettire.com/collections/pt01" TargetMode="External"/><Relationship Id="rId2142" Type="http://schemas.openxmlformats.org/officeDocument/2006/relationships/hyperlink" Target="https://www.cettire.com/collections/m-missoni" TargetMode="External"/><Relationship Id="rId3400" Type="http://schemas.openxmlformats.org/officeDocument/2006/relationships/hyperlink" Target="https://www.cettire.com/collections/nana-nana" TargetMode="External"/><Relationship Id="rId321" Type="http://schemas.openxmlformats.org/officeDocument/2006/relationships/hyperlink" Target="https://www.cettire.com/collections/liu-jo" TargetMode="External"/><Relationship Id="rId2002" Type="http://schemas.openxmlformats.org/officeDocument/2006/relationships/hyperlink" Target="https://www.cettire.com/collections/duvetica" TargetMode="External"/><Relationship Id="rId2959" Type="http://schemas.openxmlformats.org/officeDocument/2006/relationships/hyperlink" Target="https://www.cettire.com/collections/suicoke" TargetMode="External"/><Relationship Id="rId1768" Type="http://schemas.openxmlformats.org/officeDocument/2006/relationships/hyperlink" Target="https://www.cettire.com/collections/tory-burch" TargetMode="External"/><Relationship Id="rId2819" Type="http://schemas.openxmlformats.org/officeDocument/2006/relationships/hyperlink" Target="https://www.cettire.com/collections/mykita" TargetMode="External"/><Relationship Id="rId4174" Type="http://schemas.openxmlformats.org/officeDocument/2006/relationships/hyperlink" Target="https://www.cettire.com/collections/vans" TargetMode="External"/><Relationship Id="rId4381" Type="http://schemas.openxmlformats.org/officeDocument/2006/relationships/hyperlink" Target="https://www.cettire.com/collections/dior-homme" TargetMode="External"/><Relationship Id="rId1628" Type="http://schemas.openxmlformats.org/officeDocument/2006/relationships/hyperlink" Target="https://www.cettire.com/collections/oamc" TargetMode="External"/><Relationship Id="rId1975" Type="http://schemas.openxmlformats.org/officeDocument/2006/relationships/hyperlink" Target="https://www.cettire.com/collections/current-elliott" TargetMode="External"/><Relationship Id="rId3190" Type="http://schemas.openxmlformats.org/officeDocument/2006/relationships/hyperlink" Target="https://www.cettire.com/collections/dita-eyewear" TargetMode="External"/><Relationship Id="rId4034" Type="http://schemas.openxmlformats.org/officeDocument/2006/relationships/hyperlink" Target="https://www.cettire.com/collections/paura-x-kappa" TargetMode="External"/><Relationship Id="rId4241" Type="http://schemas.openxmlformats.org/officeDocument/2006/relationships/hyperlink" Target="https://www.cettire.com/collections/alexander-mcqueen-eyewear" TargetMode="External"/><Relationship Id="rId1835" Type="http://schemas.openxmlformats.org/officeDocument/2006/relationships/hyperlink" Target="https://www.cettire.com/collections/adidas-by-raf-simons" TargetMode="External"/><Relationship Id="rId3050" Type="http://schemas.openxmlformats.org/officeDocument/2006/relationships/hyperlink" Target="https://www.cettire.com/collections/adidas-by-stella-mccartney" TargetMode="External"/><Relationship Id="rId4101" Type="http://schemas.openxmlformats.org/officeDocument/2006/relationships/hyperlink" Target="https://www.cettire.com/collections/salvatore-ferragamo" TargetMode="External"/><Relationship Id="rId1902" Type="http://schemas.openxmlformats.org/officeDocument/2006/relationships/hyperlink" Target="https://www.cettire.com/collections/billionaire-boys-club" TargetMode="External"/><Relationship Id="rId3867" Type="http://schemas.openxmlformats.org/officeDocument/2006/relationships/hyperlink" Target="https://www.cettire.com/collections/isaia" TargetMode="External"/><Relationship Id="rId788" Type="http://schemas.openxmlformats.org/officeDocument/2006/relationships/hyperlink" Target="https://www.cettire.com/collections/dsquared2-eyewear" TargetMode="External"/><Relationship Id="rId995" Type="http://schemas.openxmlformats.org/officeDocument/2006/relationships/hyperlink" Target="https://www.cettire.com/collections/mother" TargetMode="External"/><Relationship Id="rId2469" Type="http://schemas.openxmlformats.org/officeDocument/2006/relationships/hyperlink" Target="https://www.cettire.com/collections/anita-bilardi" TargetMode="External"/><Relationship Id="rId2676" Type="http://schemas.openxmlformats.org/officeDocument/2006/relationships/hyperlink" Target="https://www.cettire.com/collections/herno-kids" TargetMode="External"/><Relationship Id="rId2883" Type="http://schemas.openxmlformats.org/officeDocument/2006/relationships/hyperlink" Target="https://www.cettire.com/collections/pt-torino" TargetMode="External"/><Relationship Id="rId3727" Type="http://schemas.openxmlformats.org/officeDocument/2006/relationships/hyperlink" Target="https://www.cettire.com/collections/chopard-eyewear" TargetMode="External"/><Relationship Id="rId3934" Type="http://schemas.openxmlformats.org/officeDocument/2006/relationships/hyperlink" Target="https://www.cettire.com/collections/manolo-blahnik" TargetMode="External"/><Relationship Id="rId648" Type="http://schemas.openxmlformats.org/officeDocument/2006/relationships/hyperlink" Target="https://www.cettire.com/collections/ami" TargetMode="External"/><Relationship Id="rId855" Type="http://schemas.openxmlformats.org/officeDocument/2006/relationships/hyperlink" Target="https://www.cettire.com/collections/harris-wharf-london" TargetMode="External"/><Relationship Id="rId1278" Type="http://schemas.openxmlformats.org/officeDocument/2006/relationships/hyperlink" Target="https://www.cettire.com/collections/balenciaga" TargetMode="External"/><Relationship Id="rId1485" Type="http://schemas.openxmlformats.org/officeDocument/2006/relationships/hyperlink" Target="https://www.cettire.com/collections/issey-miyake" TargetMode="External"/><Relationship Id="rId1692" Type="http://schemas.openxmlformats.org/officeDocument/2006/relationships/hyperlink" Target="https://www.cettire.com/collections/retrosuperfuture" TargetMode="External"/><Relationship Id="rId2329" Type="http://schemas.openxmlformats.org/officeDocument/2006/relationships/hyperlink" Target="https://www.cettire.com/collections/sies-marjan" TargetMode="External"/><Relationship Id="rId2536" Type="http://schemas.openxmlformats.org/officeDocument/2006/relationships/hyperlink" Target="https://www.cettire.com/collections/canali" TargetMode="External"/><Relationship Id="rId2743" Type="http://schemas.openxmlformats.org/officeDocument/2006/relationships/hyperlink" Target="https://www.cettire.com/collections/liu-jo" TargetMode="External"/><Relationship Id="rId508" Type="http://schemas.openxmlformats.org/officeDocument/2006/relationships/hyperlink" Target="https://www.cettire.com/collections/sara-battaglia" TargetMode="External"/><Relationship Id="rId715" Type="http://schemas.openxmlformats.org/officeDocument/2006/relationships/hyperlink" Target="https://www.cettire.com/collections/calvin-klein-jeans-est-1978" TargetMode="External"/><Relationship Id="rId922" Type="http://schemas.openxmlformats.org/officeDocument/2006/relationships/hyperlink" Target="https://www.cettire.com/collections/li-ning" TargetMode="External"/><Relationship Id="rId1138" Type="http://schemas.openxmlformats.org/officeDocument/2006/relationships/hyperlink" Target="https://www.cettire.com/collections/stussy" TargetMode="External"/><Relationship Id="rId1345" Type="http://schemas.openxmlformats.org/officeDocument/2006/relationships/hyperlink" Target="https://www.cettire.com/collections/christian-louboutin" TargetMode="External"/><Relationship Id="rId1552" Type="http://schemas.openxmlformats.org/officeDocument/2006/relationships/hyperlink" Target="https://www.cettire.com/collections/marc-jacobs-eyewear" TargetMode="External"/><Relationship Id="rId2603" Type="http://schemas.openxmlformats.org/officeDocument/2006/relationships/hyperlink" Target="https://www.cettire.com/collections/dr-martens" TargetMode="External"/><Relationship Id="rId2950" Type="http://schemas.openxmlformats.org/officeDocument/2006/relationships/hyperlink" Target="https://www.cettire.com/collections/stella-mccartney" TargetMode="External"/><Relationship Id="rId1205" Type="http://schemas.openxmlformats.org/officeDocument/2006/relationships/hyperlink" Target="https://www.cettire.com/collections/yuzefi" TargetMode="External"/><Relationship Id="rId2810" Type="http://schemas.openxmlformats.org/officeDocument/2006/relationships/hyperlink" Target="https://www.cettire.com/collections/moose-knuckles" TargetMode="External"/><Relationship Id="rId4568" Type="http://schemas.openxmlformats.org/officeDocument/2006/relationships/hyperlink" Target="https://www.cettire.com/collections/max-mara-pianoforte" TargetMode="External"/><Relationship Id="rId51" Type="http://schemas.openxmlformats.org/officeDocument/2006/relationships/hyperlink" Target="https://www.cettire.com/collections/apesi" TargetMode="External"/><Relationship Id="rId1412" Type="http://schemas.openxmlformats.org/officeDocument/2006/relationships/hyperlink" Target="https://www.cettire.com/collections/ermenegildo-zegna" TargetMode="External"/><Relationship Id="rId3377" Type="http://schemas.openxmlformats.org/officeDocument/2006/relationships/hyperlink" Target="https://www.cettire.com/collections/mm6-maison-margiela" TargetMode="External"/><Relationship Id="rId4775" Type="http://schemas.openxmlformats.org/officeDocument/2006/relationships/hyperlink" Target="https://www.cettire.com/collections/ugg-kids" TargetMode="External"/><Relationship Id="rId298" Type="http://schemas.openxmlformats.org/officeDocument/2006/relationships/hyperlink" Target="https://www.cettire.com/collections/karl-lagerfeld-kids" TargetMode="External"/><Relationship Id="rId3584" Type="http://schemas.openxmlformats.org/officeDocument/2006/relationships/hyperlink" Target="https://www.cettire.com/collections/y-3" TargetMode="External"/><Relationship Id="rId3791" Type="http://schemas.openxmlformats.org/officeDocument/2006/relationships/hyperlink" Target="https://www.cettire.com/collections/emporio-armani-kids" TargetMode="External"/><Relationship Id="rId4428" Type="http://schemas.openxmlformats.org/officeDocument/2006/relationships/hyperlink" Target="https://www.cettire.com/collections/fila" TargetMode="External"/><Relationship Id="rId4635" Type="http://schemas.openxmlformats.org/officeDocument/2006/relationships/hyperlink" Target="https://www.cettire.com/collections/osoi" TargetMode="External"/><Relationship Id="rId158" Type="http://schemas.openxmlformats.org/officeDocument/2006/relationships/hyperlink" Target="https://www.cettire.com/collections/cult-gaia" TargetMode="External"/><Relationship Id="rId2186" Type="http://schemas.openxmlformats.org/officeDocument/2006/relationships/hyperlink" Target="https://www.cettire.com/collections/miu-miu" TargetMode="External"/><Relationship Id="rId2393" Type="http://schemas.openxmlformats.org/officeDocument/2006/relationships/hyperlink" Target="https://www.cettire.com/collections/versace" TargetMode="External"/><Relationship Id="rId3237" Type="http://schemas.openxmlformats.org/officeDocument/2006/relationships/hyperlink" Target="https://www.cettire.com/collections/freedomday" TargetMode="External"/><Relationship Id="rId3444" Type="http://schemas.openxmlformats.org/officeDocument/2006/relationships/hyperlink" Target="https://www.cettire.com/collections/plan-c" TargetMode="External"/><Relationship Id="rId3651" Type="http://schemas.openxmlformats.org/officeDocument/2006/relationships/hyperlink" Target="https://www.cettire.com/collections/arizona-love" TargetMode="External"/><Relationship Id="rId4702" Type="http://schemas.openxmlformats.org/officeDocument/2006/relationships/hyperlink" Target="https://www.cettire.com/collections/roger-vivier" TargetMode="External"/><Relationship Id="rId365" Type="http://schemas.openxmlformats.org/officeDocument/2006/relationships/hyperlink" Target="https://www.cettire.com/collections/michael-kors" TargetMode="External"/><Relationship Id="rId572" Type="http://schemas.openxmlformats.org/officeDocument/2006/relationships/hyperlink" Target="https://www.cettire.com/collections/valentino" TargetMode="External"/><Relationship Id="rId2046" Type="http://schemas.openxmlformats.org/officeDocument/2006/relationships/hyperlink" Target="https://www.cettire.com/collections/gabriela-hearst" TargetMode="External"/><Relationship Id="rId2253" Type="http://schemas.openxmlformats.org/officeDocument/2006/relationships/hyperlink" Target="https://www.cettire.com/collections/philipp-plein-junior" TargetMode="External"/><Relationship Id="rId2460" Type="http://schemas.openxmlformats.org/officeDocument/2006/relationships/hyperlink" Target="https://www.cettire.com/collections/alexandre-vauthier" TargetMode="External"/><Relationship Id="rId3304" Type="http://schemas.openxmlformats.org/officeDocument/2006/relationships/hyperlink" Target="https://www.cettire.com/collections/kenzo-kids" TargetMode="External"/><Relationship Id="rId3511" Type="http://schemas.openxmlformats.org/officeDocument/2006/relationships/hyperlink" Target="https://www.cettire.com/collections/sonia-rykiel" TargetMode="External"/><Relationship Id="rId225" Type="http://schemas.openxmlformats.org/officeDocument/2006/relationships/hyperlink" Target="https://www.cettire.com/collections/francesco-russo" TargetMode="External"/><Relationship Id="rId432" Type="http://schemas.openxmlformats.org/officeDocument/2006/relationships/hyperlink" Target="https://www.cettire.com/collections/palm-angels-kids" TargetMode="External"/><Relationship Id="rId1062" Type="http://schemas.openxmlformats.org/officeDocument/2006/relationships/hyperlink" Target="https://www.cettire.com/collections/proenza-schouler-white-label" TargetMode="External"/><Relationship Id="rId2113" Type="http://schemas.openxmlformats.org/officeDocument/2006/relationships/hyperlink" Target="https://www.cettire.com/collections/karl-lagerfeld-kids" TargetMode="External"/><Relationship Id="rId2320" Type="http://schemas.openxmlformats.org/officeDocument/2006/relationships/hyperlink" Target="https://www.cettire.com/collections/salvatore-santoro" TargetMode="External"/><Relationship Id="rId4078" Type="http://schemas.openxmlformats.org/officeDocument/2006/relationships/hyperlink" Target="https://www.cettire.com/collections/represent" TargetMode="External"/><Relationship Id="rId4285" Type="http://schemas.openxmlformats.org/officeDocument/2006/relationships/hyperlink" Target="https://www.cettire.com/collections/bark-b-rules" TargetMode="External"/><Relationship Id="rId4492" Type="http://schemas.openxmlformats.org/officeDocument/2006/relationships/hyperlink" Target="https://www.cettire.com/collections/jimmy-choo-eyewear" TargetMode="External"/><Relationship Id="rId1879" Type="http://schemas.openxmlformats.org/officeDocument/2006/relationships/hyperlink" Target="https://www.cettire.com/collections/aspesi" TargetMode="External"/><Relationship Id="rId3094" Type="http://schemas.openxmlformats.org/officeDocument/2006/relationships/hyperlink" Target="https://www.cettire.com/collections/b-low-the-belt" TargetMode="External"/><Relationship Id="rId4145" Type="http://schemas.openxmlformats.org/officeDocument/2006/relationships/hyperlink" Target="https://www.cettire.com/collections/the-north-face-black-series" TargetMode="External"/><Relationship Id="rId1739" Type="http://schemas.openxmlformats.org/officeDocument/2006/relationships/hyperlink" Target="https://www.cettire.com/collections/stone-island" TargetMode="External"/><Relationship Id="rId1946" Type="http://schemas.openxmlformats.org/officeDocument/2006/relationships/hyperlink" Target="https://www.cettire.com/collections/chloe" TargetMode="External"/><Relationship Id="rId4005" Type="http://schemas.openxmlformats.org/officeDocument/2006/relationships/hyperlink" Target="https://www.cettire.com/collections/new-york-industrie" TargetMode="External"/><Relationship Id="rId4352" Type="http://schemas.openxmlformats.org/officeDocument/2006/relationships/hyperlink" Target="https://www.cettire.com/collections/comme-des-garcons-homme-plus" TargetMode="External"/><Relationship Id="rId1806" Type="http://schemas.openxmlformats.org/officeDocument/2006/relationships/hyperlink" Target="https://www.cettire.com/collections/woolrich-x-griffin" TargetMode="External"/><Relationship Id="rId3161" Type="http://schemas.openxmlformats.org/officeDocument/2006/relationships/hyperlink" Target="https://www.cettire.com/collections/comme-des-garcons-comme-des-garcons" TargetMode="External"/><Relationship Id="rId4212" Type="http://schemas.openxmlformats.org/officeDocument/2006/relationships/hyperlink" Target="https://www.cettire.com/collections/ug-ss-kids" TargetMode="External"/><Relationship Id="rId3021" Type="http://schemas.openxmlformats.org/officeDocument/2006/relationships/hyperlink" Target="https://www.cettire.com/collections/y-3" TargetMode="External"/><Relationship Id="rId3978" Type="http://schemas.openxmlformats.org/officeDocument/2006/relationships/hyperlink" Target="https://www.cettire.com/collections/moncler-enfant" TargetMode="External"/><Relationship Id="rId899" Type="http://schemas.openxmlformats.org/officeDocument/2006/relationships/hyperlink" Target="https://www.cettire.com/collections/kappa-kontroll" TargetMode="External"/><Relationship Id="rId2787" Type="http://schemas.openxmlformats.org/officeDocument/2006/relationships/hyperlink" Target="https://www.cettire.com/collections/michael-kors" TargetMode="External"/><Relationship Id="rId3838" Type="http://schemas.openxmlformats.org/officeDocument/2006/relationships/hyperlink" Target="https://www.cettire.com/collections/greg-lauren" TargetMode="External"/><Relationship Id="rId759" Type="http://schemas.openxmlformats.org/officeDocument/2006/relationships/hyperlink" Target="https://www.cettire.com/collections/corneliani" TargetMode="External"/><Relationship Id="rId966" Type="http://schemas.openxmlformats.org/officeDocument/2006/relationships/hyperlink" Target="https://www.cettire.com/collections/mcm" TargetMode="External"/><Relationship Id="rId1389" Type="http://schemas.openxmlformats.org/officeDocument/2006/relationships/hyperlink" Target="https://www.cettire.com/collections/dolce-gabbana-eyewear" TargetMode="External"/><Relationship Id="rId1596" Type="http://schemas.openxmlformats.org/officeDocument/2006/relationships/hyperlink" Target="https://www.cettire.com/collections/montblanc" TargetMode="External"/><Relationship Id="rId2647" Type="http://schemas.openxmlformats.org/officeDocument/2006/relationships/hyperlink" Target="https://www.cettire.com/collections/francesco-russo" TargetMode="External"/><Relationship Id="rId2994" Type="http://schemas.openxmlformats.org/officeDocument/2006/relationships/hyperlink" Target="https://www.cettire.com/collections/undercover" TargetMode="External"/><Relationship Id="rId619" Type="http://schemas.openxmlformats.org/officeDocument/2006/relationships/hyperlink" Target="https://www.cettire.com/collections/adidas" TargetMode="External"/><Relationship Id="rId1249" Type="http://schemas.openxmlformats.org/officeDocument/2006/relationships/hyperlink" Target="https://www.cettire.com/collections/alexandre-vauthier" TargetMode="External"/><Relationship Id="rId2854" Type="http://schemas.openxmlformats.org/officeDocument/2006/relationships/hyperlink" Target="https://www.cettire.com/collections/palm-angels" TargetMode="External"/><Relationship Id="rId3905" Type="http://schemas.openxmlformats.org/officeDocument/2006/relationships/hyperlink" Target="https://www.cettire.com/collections/laneus" TargetMode="External"/><Relationship Id="rId95" Type="http://schemas.openxmlformats.org/officeDocument/2006/relationships/hyperlink" Target="https://www.cettire.com/collections/boyy" TargetMode="External"/><Relationship Id="rId826" Type="http://schemas.openxmlformats.org/officeDocument/2006/relationships/hyperlink" Target="https://www.cettire.com/collections/forte-dei-marmi-couture" TargetMode="External"/><Relationship Id="rId1109" Type="http://schemas.openxmlformats.org/officeDocument/2006/relationships/hyperlink" Target="https://www.cettire.com/collections/salvatore-ferragamo-eyewear" TargetMode="External"/><Relationship Id="rId1456" Type="http://schemas.openxmlformats.org/officeDocument/2006/relationships/hyperlink" Target="https://www.cettire.com/collections/gucci" TargetMode="External"/><Relationship Id="rId1663" Type="http://schemas.openxmlformats.org/officeDocument/2006/relationships/hyperlink" Target="https://www.cettire.com/collections/prada" TargetMode="External"/><Relationship Id="rId1870" Type="http://schemas.openxmlformats.org/officeDocument/2006/relationships/hyperlink" Target="https://www.cettire.com/collections/aquazzura" TargetMode="External"/><Relationship Id="rId2507" Type="http://schemas.openxmlformats.org/officeDocument/2006/relationships/hyperlink" Target="https://www.cettire.com/collections/billionaire-boys-club" TargetMode="External"/><Relationship Id="rId2714" Type="http://schemas.openxmlformats.org/officeDocument/2006/relationships/hyperlink" Target="https://www.cettire.com/collections/k-way" TargetMode="External"/><Relationship Id="rId2921" Type="http://schemas.openxmlformats.org/officeDocument/2006/relationships/hyperlink" Target="https://www.cettire.com/collections/ruslan-baginskiy" TargetMode="External"/><Relationship Id="rId1316" Type="http://schemas.openxmlformats.org/officeDocument/2006/relationships/hyperlink" Target="https://www.cettire.com/collections/buttero" TargetMode="External"/><Relationship Id="rId1523" Type="http://schemas.openxmlformats.org/officeDocument/2006/relationships/hyperlink" Target="https://www.cettire.com/collections/le%20beb%C3%A9%20enfant" TargetMode="External"/><Relationship Id="rId1730" Type="http://schemas.openxmlformats.org/officeDocument/2006/relationships/hyperlink" Target="https://www.cettire.com/collections/sonia-rykiel" TargetMode="External"/><Relationship Id="rId4679" Type="http://schemas.openxmlformats.org/officeDocument/2006/relationships/hyperlink" Target="https://www.cettire.com/collections/ray-ban" TargetMode="External"/><Relationship Id="rId22" Type="http://schemas.openxmlformats.org/officeDocument/2006/relationships/hyperlink" Target="https://www.cettire.com/collections/adidas-originals-by-alexander-wang" TargetMode="External"/><Relationship Id="rId3488" Type="http://schemas.openxmlformats.org/officeDocument/2006/relationships/hyperlink" Target="https://www.cettire.com/collections/roger-vivier" TargetMode="External"/><Relationship Id="rId3695" Type="http://schemas.openxmlformats.org/officeDocument/2006/relationships/hyperlink" Target="https://www.cettire.com/collections/burberry" TargetMode="External"/><Relationship Id="rId4539" Type="http://schemas.openxmlformats.org/officeDocument/2006/relationships/hyperlink" Target="https://www.cettire.com/collections/magda-butrym" TargetMode="External"/><Relationship Id="rId4746" Type="http://schemas.openxmlformats.org/officeDocument/2006/relationships/hyperlink" Target="https://www.cettire.com/collections/swarovski" TargetMode="External"/><Relationship Id="rId2297" Type="http://schemas.openxmlformats.org/officeDocument/2006/relationships/hyperlink" Target="https://www.cettire.com/collections/rhude" TargetMode="External"/><Relationship Id="rId3348" Type="http://schemas.openxmlformats.org/officeDocument/2006/relationships/hyperlink" Target="https://www.cettire.com/collections/marcelo-burlon-county-of-milan" TargetMode="External"/><Relationship Id="rId3555" Type="http://schemas.openxmlformats.org/officeDocument/2006/relationships/hyperlink" Target="https://www.cettire.com/collections/uh-nom-uh-nit" TargetMode="External"/><Relationship Id="rId3762" Type="http://schemas.openxmlformats.org/officeDocument/2006/relationships/hyperlink" Target="https://www.cettire.com/collections/diemme" TargetMode="External"/><Relationship Id="rId4606" Type="http://schemas.openxmlformats.org/officeDocument/2006/relationships/hyperlink" Target="https://www.cettire.com/collections/mykita" TargetMode="External"/><Relationship Id="rId4813" Type="http://schemas.openxmlformats.org/officeDocument/2006/relationships/hyperlink" Target="https://www.cettire.com/collections/yves-salomon" TargetMode="External"/><Relationship Id="rId269" Type="http://schemas.openxmlformats.org/officeDocument/2006/relationships/hyperlink" Target="https://www.cettire.com/collections/il-gufo" TargetMode="External"/><Relationship Id="rId476" Type="http://schemas.openxmlformats.org/officeDocument/2006/relationships/hyperlink" Target="https://www.cettire.com/collections/reebok" TargetMode="External"/><Relationship Id="rId683" Type="http://schemas.openxmlformats.org/officeDocument/2006/relationships/hyperlink" Target="https://www.cettire.com/collections/barrow" TargetMode="External"/><Relationship Id="rId890" Type="http://schemas.openxmlformats.org/officeDocument/2006/relationships/hyperlink" Target="https://www.cettire.com/collections/john-lobb" TargetMode="External"/><Relationship Id="rId2157" Type="http://schemas.openxmlformats.org/officeDocument/2006/relationships/hyperlink" Target="https://www.cettire.com/collections/marcelo-burlon-county-of-milan" TargetMode="External"/><Relationship Id="rId2364" Type="http://schemas.openxmlformats.org/officeDocument/2006/relationships/hyperlink" Target="https://www.cettire.com/collections/themoire" TargetMode="External"/><Relationship Id="rId2571" Type="http://schemas.openxmlformats.org/officeDocument/2006/relationships/hyperlink" Target="https://www.cettire.com/collections/comme-des-garcons-shirt-boys" TargetMode="External"/><Relationship Id="rId3208" Type="http://schemas.openxmlformats.org/officeDocument/2006/relationships/hyperlink" Target="https://www.cettire.com/collections/emilio-pucci" TargetMode="External"/><Relationship Id="rId3415" Type="http://schemas.openxmlformats.org/officeDocument/2006/relationships/hyperlink" Target="https://www.cettire.com/collections/nudie-jeans" TargetMode="External"/><Relationship Id="rId129" Type="http://schemas.openxmlformats.org/officeDocument/2006/relationships/hyperlink" Target="https://www.cettire.com/collections/chloe" TargetMode="External"/><Relationship Id="rId336" Type="http://schemas.openxmlformats.org/officeDocument/2006/relationships/hyperlink" Target="https://www.cettire.com/collections/mammut-delta-x" TargetMode="External"/><Relationship Id="rId543" Type="http://schemas.openxmlformats.org/officeDocument/2006/relationships/hyperlink" Target="https://www.cettire.com/collections/the-attico" TargetMode="External"/><Relationship Id="rId1173" Type="http://schemas.openxmlformats.org/officeDocument/2006/relationships/hyperlink" Target="https://www.cettire.com/collections/uma-wang" TargetMode="External"/><Relationship Id="rId1380" Type="http://schemas.openxmlformats.org/officeDocument/2006/relationships/hyperlink" Target="https://www.cettire.com/collections/diesel-kids" TargetMode="External"/><Relationship Id="rId2017" Type="http://schemas.openxmlformats.org/officeDocument/2006/relationships/hyperlink" Target="https://www.cettire.com/collections/ermanno-scervino" TargetMode="External"/><Relationship Id="rId2224" Type="http://schemas.openxmlformats.org/officeDocument/2006/relationships/hyperlink" Target="https://www.cettire.com/collections/nike" TargetMode="External"/><Relationship Id="rId3622" Type="http://schemas.openxmlformats.org/officeDocument/2006/relationships/hyperlink" Target="https://www.cettire.com/collections/alanui" TargetMode="External"/><Relationship Id="rId403" Type="http://schemas.openxmlformats.org/officeDocument/2006/relationships/hyperlink" Target="https://www.cettire.com/collections/napa-by-martine-rose" TargetMode="External"/><Relationship Id="rId750" Type="http://schemas.openxmlformats.org/officeDocument/2006/relationships/hyperlink" Target="https://www.cettire.com/collections/comme-des-garcons-noir-kei-ninomiya" TargetMode="External"/><Relationship Id="rId1033" Type="http://schemas.openxmlformats.org/officeDocument/2006/relationships/hyperlink" Target="https://www.cettire.com/collections/paco-rabanne" TargetMode="External"/><Relationship Id="rId2431" Type="http://schemas.openxmlformats.org/officeDocument/2006/relationships/hyperlink" Target="https://www.cettire.com/collections/a-cold-wall" TargetMode="External"/><Relationship Id="rId4189" Type="http://schemas.openxmlformats.org/officeDocument/2006/relationships/hyperlink" Target="https://www.cettire.com/collections/wandler" TargetMode="External"/><Relationship Id="rId610" Type="http://schemas.openxmlformats.org/officeDocument/2006/relationships/hyperlink" Target="https://www.cettire.com/collections/424" TargetMode="External"/><Relationship Id="rId1240" Type="http://schemas.openxmlformats.org/officeDocument/2006/relationships/hyperlink" Target="https://www.cettire.com/collections/alberta-ferretti" TargetMode="External"/><Relationship Id="rId4049" Type="http://schemas.openxmlformats.org/officeDocument/2006/relationships/hyperlink" Target="https://www.cettire.com/collections/ports-1961" TargetMode="External"/><Relationship Id="rId4396" Type="http://schemas.openxmlformats.org/officeDocument/2006/relationships/hyperlink" Target="https://www.cettire.com/collections/eden-power-corp" TargetMode="External"/><Relationship Id="rId1100" Type="http://schemas.openxmlformats.org/officeDocument/2006/relationships/hyperlink" Target="https://www.cettire.com/collections/rotate" TargetMode="External"/><Relationship Id="rId4256" Type="http://schemas.openxmlformats.org/officeDocument/2006/relationships/hyperlink" Target="https://www.cettire.com/collections/ann-demeulemeester" TargetMode="External"/><Relationship Id="rId4463" Type="http://schemas.openxmlformats.org/officeDocument/2006/relationships/hyperlink" Target="https://www.cettire.com/collections/herno" TargetMode="External"/><Relationship Id="rId4670" Type="http://schemas.openxmlformats.org/officeDocument/2006/relationships/hyperlink" Target="https://www.cettire.com/collections/pt05" TargetMode="External"/><Relationship Id="rId1917" Type="http://schemas.openxmlformats.org/officeDocument/2006/relationships/hyperlink" Target="https://www.cettire.com/collections/bulgari" TargetMode="External"/><Relationship Id="rId3065" Type="http://schemas.openxmlformats.org/officeDocument/2006/relationships/hyperlink" Target="https://www.cettire.com/collections/alexander-mcqueen-eyewear" TargetMode="External"/><Relationship Id="rId3272" Type="http://schemas.openxmlformats.org/officeDocument/2006/relationships/hyperlink" Target="https://www.cettire.com/collections/howlin" TargetMode="External"/><Relationship Id="rId4116" Type="http://schemas.openxmlformats.org/officeDocument/2006/relationships/hyperlink" Target="https://www.cettire.com/collections/sofie-dhoore" TargetMode="External"/><Relationship Id="rId4323" Type="http://schemas.openxmlformats.org/officeDocument/2006/relationships/hyperlink" Target="https://www.cettire.com/collections/carhartt" TargetMode="External"/><Relationship Id="rId4530" Type="http://schemas.openxmlformats.org/officeDocument/2006/relationships/hyperlink" Target="https://www.cettire.com/collections/liu-jo" TargetMode="External"/><Relationship Id="rId193" Type="http://schemas.openxmlformats.org/officeDocument/2006/relationships/hyperlink" Target="https://www.cettire.com/collections/elisabetta-franchi" TargetMode="External"/><Relationship Id="rId2081" Type="http://schemas.openxmlformats.org/officeDocument/2006/relationships/hyperlink" Target="https://www.cettire.com/collections/hugo-boss-kids" TargetMode="External"/><Relationship Id="rId3132" Type="http://schemas.openxmlformats.org/officeDocument/2006/relationships/hyperlink" Target="https://www.cettire.com/collections/calvin-klein" TargetMode="External"/><Relationship Id="rId260" Type="http://schemas.openxmlformats.org/officeDocument/2006/relationships/hyperlink" Target="https://www.cettire.com/collections/hogan-rebel" TargetMode="External"/><Relationship Id="rId120" Type="http://schemas.openxmlformats.org/officeDocument/2006/relationships/hyperlink" Target="https://www.cettire.com/collections/carven" TargetMode="External"/><Relationship Id="rId2898" Type="http://schemas.openxmlformats.org/officeDocument/2006/relationships/hyperlink" Target="https://www.cettire.com/collections/red-valentino" TargetMode="External"/><Relationship Id="rId3949" Type="http://schemas.openxmlformats.org/officeDocument/2006/relationships/hyperlink" Target="https://www.cettire.com/collections/materiel" TargetMode="External"/><Relationship Id="rId2758" Type="http://schemas.openxmlformats.org/officeDocument/2006/relationships/hyperlink" Target="https://www.cettire.com/collections/manebi" TargetMode="External"/><Relationship Id="rId2965" Type="http://schemas.openxmlformats.org/officeDocument/2006/relationships/hyperlink" Target="https://www.cettire.com/collections/telfar" TargetMode="External"/><Relationship Id="rId3809" Type="http://schemas.openxmlformats.org/officeDocument/2006/relationships/hyperlink" Target="https://www.cettire.com/collections/fendi" TargetMode="External"/><Relationship Id="rId937" Type="http://schemas.openxmlformats.org/officeDocument/2006/relationships/hyperlink" Target="https://www.cettire.com/collections/maison-margiela" TargetMode="External"/><Relationship Id="rId1567" Type="http://schemas.openxmlformats.org/officeDocument/2006/relationships/hyperlink" Target="https://www.cettire.com/collections/max-mara-atelier" TargetMode="External"/><Relationship Id="rId1774" Type="http://schemas.openxmlformats.org/officeDocument/2006/relationships/hyperlink" Target="https://www.cettire.com/collections/ugg" TargetMode="External"/><Relationship Id="rId1981" Type="http://schemas.openxmlformats.org/officeDocument/2006/relationships/hyperlink" Target="https://www.cettire.com/collections/diadora" TargetMode="External"/><Relationship Id="rId2618" Type="http://schemas.openxmlformats.org/officeDocument/2006/relationships/hyperlink" Target="https://www.cettire.com/collections/emporio-armani" TargetMode="External"/><Relationship Id="rId2825" Type="http://schemas.openxmlformats.org/officeDocument/2006/relationships/hyperlink" Target="https://www.cettire.com/collections/natasha-zinko" TargetMode="External"/><Relationship Id="rId4180" Type="http://schemas.openxmlformats.org/officeDocument/2006/relationships/hyperlink" Target="https://www.cettire.com/collections/versace-eyewear" TargetMode="External"/><Relationship Id="rId66" Type="http://schemas.openxmlformats.org/officeDocument/2006/relationships/hyperlink" Target="https://www.cettire.com/collections/balenciaga" TargetMode="External"/><Relationship Id="rId1427" Type="http://schemas.openxmlformats.org/officeDocument/2006/relationships/hyperlink" Target="https://www.cettire.com/collections/fendi-kids" TargetMode="External"/><Relationship Id="rId1634" Type="http://schemas.openxmlformats.org/officeDocument/2006/relationships/hyperlink" Target="https://www.cettire.com/collections/oseree" TargetMode="External"/><Relationship Id="rId1841" Type="http://schemas.openxmlformats.org/officeDocument/2006/relationships/hyperlink" Target="https://www.cettire.com/collections/adriana-degreas" TargetMode="External"/><Relationship Id="rId4040" Type="http://schemas.openxmlformats.org/officeDocument/2006/relationships/hyperlink" Target="https://www.cettire.com/collections/philosophy-di-lorenzo-serafini" TargetMode="External"/><Relationship Id="rId3599" Type="http://schemas.openxmlformats.org/officeDocument/2006/relationships/hyperlink" Target="https://www.cettire.com/collections/ug-ss-kids" TargetMode="External"/><Relationship Id="rId1701" Type="http://schemas.openxmlformats.org/officeDocument/2006/relationships/hyperlink" Target="https://www.cettire.com/collections/rochas" TargetMode="External"/><Relationship Id="rId3459" Type="http://schemas.openxmlformats.org/officeDocument/2006/relationships/hyperlink" Target="https://www.cettire.com/collections/r-m-williams" TargetMode="External"/><Relationship Id="rId3666" Type="http://schemas.openxmlformats.org/officeDocument/2006/relationships/hyperlink" Target="https://www.cettire.com/collections/balmain" TargetMode="External"/><Relationship Id="rId587" Type="http://schemas.openxmlformats.org/officeDocument/2006/relationships/hyperlink" Target="https://www.cettire.com/collections/vivienne-westwood" TargetMode="External"/><Relationship Id="rId2268" Type="http://schemas.openxmlformats.org/officeDocument/2006/relationships/hyperlink" Target="https://www.cettire.com/collections/prada-eyewear" TargetMode="External"/><Relationship Id="rId3319" Type="http://schemas.openxmlformats.org/officeDocument/2006/relationships/hyperlink" Target="https://www.cettire.com/collections/le-kasha" TargetMode="External"/><Relationship Id="rId3873" Type="http://schemas.openxmlformats.org/officeDocument/2006/relationships/hyperlink" Target="https://www.cettire.com/collections/jejia" TargetMode="External"/><Relationship Id="rId4717" Type="http://schemas.openxmlformats.org/officeDocument/2006/relationships/hyperlink" Target="https://www.cettire.com/collections/save-the-duck" TargetMode="External"/><Relationship Id="rId447" Type="http://schemas.openxmlformats.org/officeDocument/2006/relationships/hyperlink" Target="https://www.cettire.com/collections/pinko" TargetMode="External"/><Relationship Id="rId794" Type="http://schemas.openxmlformats.org/officeDocument/2006/relationships/hyperlink" Target="https://www.cettire.com/collections/eden-power-corp" TargetMode="External"/><Relationship Id="rId1077" Type="http://schemas.openxmlformats.org/officeDocument/2006/relationships/hyperlink" Target="https://www.cettire.com/collections/rebecca-minkoff" TargetMode="External"/><Relationship Id="rId2128" Type="http://schemas.openxmlformats.org/officeDocument/2006/relationships/hyperlink" Target="https://www.cettire.com/collections/le-kasha" TargetMode="External"/><Relationship Id="rId2475" Type="http://schemas.openxmlformats.org/officeDocument/2006/relationships/hyperlink" Target="https://www.cettire.com/collections/aquazzura" TargetMode="External"/><Relationship Id="rId2682" Type="http://schemas.openxmlformats.org/officeDocument/2006/relationships/hyperlink" Target="https://www.cettire.com/collections/hoka-one-one" TargetMode="External"/><Relationship Id="rId3526" Type="http://schemas.openxmlformats.org/officeDocument/2006/relationships/hyperlink" Target="https://www.cettire.com/collections/suicoke" TargetMode="External"/><Relationship Id="rId3733" Type="http://schemas.openxmlformats.org/officeDocument/2006/relationships/hyperlink" Target="https://www.cettire.com/collections/coach" TargetMode="External"/><Relationship Id="rId3940" Type="http://schemas.openxmlformats.org/officeDocument/2006/relationships/hyperlink" Target="https://www.cettire.com/collections/marcelo-burlon-county-of-milan-kids" TargetMode="External"/><Relationship Id="rId654" Type="http://schemas.openxmlformats.org/officeDocument/2006/relationships/hyperlink" Target="https://www.cettire.com/collections/ann-demeulemeester" TargetMode="External"/><Relationship Id="rId861" Type="http://schemas.openxmlformats.org/officeDocument/2006/relationships/hyperlink" Target="https://www.cettire.com/collections/herschel-supply-co" TargetMode="External"/><Relationship Id="rId1284" Type="http://schemas.openxmlformats.org/officeDocument/2006/relationships/hyperlink" Target="https://www.cettire.com/collections/balmain-kids" TargetMode="External"/><Relationship Id="rId1491" Type="http://schemas.openxmlformats.org/officeDocument/2006/relationships/hyperlink" Target="https://www.cettire.com/collections/jessie-western" TargetMode="External"/><Relationship Id="rId2335" Type="http://schemas.openxmlformats.org/officeDocument/2006/relationships/hyperlink" Target="https://www.cettire.com/collections/spalwart" TargetMode="External"/><Relationship Id="rId2542" Type="http://schemas.openxmlformats.org/officeDocument/2006/relationships/hyperlink" Target="https://www.cettire.com/collections/carven" TargetMode="External"/><Relationship Id="rId3800" Type="http://schemas.openxmlformats.org/officeDocument/2006/relationships/hyperlink" Target="https://www.cettire.com/collections/extreme-cashmere" TargetMode="External"/><Relationship Id="rId307" Type="http://schemas.openxmlformats.org/officeDocument/2006/relationships/hyperlink" Target="https://www.cettire.com/collections/lautre-chose" TargetMode="External"/><Relationship Id="rId514" Type="http://schemas.openxmlformats.org/officeDocument/2006/relationships/hyperlink" Target="https://www.cettire.com/collections/si-rossi" TargetMode="External"/><Relationship Id="rId721" Type="http://schemas.openxmlformats.org/officeDocument/2006/relationships/hyperlink" Target="https://www.cettire.com/collections/carhartt-wip" TargetMode="External"/><Relationship Id="rId1144" Type="http://schemas.openxmlformats.org/officeDocument/2006/relationships/hyperlink" Target="https://www.cettire.com/collections/tagliatore" TargetMode="External"/><Relationship Id="rId1351" Type="http://schemas.openxmlformats.org/officeDocument/2006/relationships/hyperlink" Target="https://www.cettire.com/collections/collina-strada" TargetMode="External"/><Relationship Id="rId2402" Type="http://schemas.openxmlformats.org/officeDocument/2006/relationships/hyperlink" Target="https://www.cettire.com/collections/vivienne-westwood" TargetMode="External"/><Relationship Id="rId1004" Type="http://schemas.openxmlformats.org/officeDocument/2006/relationships/hyperlink" Target="https://www.cettire.com/collections/nanushka" TargetMode="External"/><Relationship Id="rId1211" Type="http://schemas.openxmlformats.org/officeDocument/2006/relationships/hyperlink" Target="https://www.cettire.com/collections/s-max-mara" TargetMode="External"/><Relationship Id="rId4367" Type="http://schemas.openxmlformats.org/officeDocument/2006/relationships/hyperlink" Target="https://www.cettire.com/collections/cutler-gross" TargetMode="External"/><Relationship Id="rId4574" Type="http://schemas.openxmlformats.org/officeDocument/2006/relationships/hyperlink" Target="https://www.cettire.com/collections/mcq-alexander-mcqueen" TargetMode="External"/><Relationship Id="rId4781" Type="http://schemas.openxmlformats.org/officeDocument/2006/relationships/hyperlink" Target="https://www.cettire.com/collections/unravel-project" TargetMode="External"/><Relationship Id="rId3176" Type="http://schemas.openxmlformats.org/officeDocument/2006/relationships/hyperlink" Target="https://www.cettire.com/collections/cutler-gross" TargetMode="External"/><Relationship Id="rId3383" Type="http://schemas.openxmlformats.org/officeDocument/2006/relationships/hyperlink" Target="https://www.cettire.com/collections/moncler-eyewear" TargetMode="External"/><Relationship Id="rId3590" Type="http://schemas.openxmlformats.org/officeDocument/2006/relationships/hyperlink" Target="https://www.cettire.com/collections/z-zegna" TargetMode="External"/><Relationship Id="rId4227" Type="http://schemas.openxmlformats.org/officeDocument/2006/relationships/hyperlink" Target="https://www.cettire.com/collections/adidas-kids" TargetMode="External"/><Relationship Id="rId4434" Type="http://schemas.openxmlformats.org/officeDocument/2006/relationships/hyperlink" Target="https://www.cettire.com/collections/freedomday" TargetMode="External"/><Relationship Id="rId2192" Type="http://schemas.openxmlformats.org/officeDocument/2006/relationships/hyperlink" Target="https://www.cettire.com/collections/moncler" TargetMode="External"/><Relationship Id="rId3036" Type="http://schemas.openxmlformats.org/officeDocument/2006/relationships/hyperlink" Target="https://www.cettire.com/collections/7-for-all-mankind" TargetMode="External"/><Relationship Id="rId3243" Type="http://schemas.openxmlformats.org/officeDocument/2006/relationships/hyperlink" Target="https://www.cettire.com/collections/garrett-leight" TargetMode="External"/><Relationship Id="rId4641" Type="http://schemas.openxmlformats.org/officeDocument/2006/relationships/hyperlink" Target="https://www.cettire.com/collections/palm-angels-kids" TargetMode="External"/><Relationship Id="rId164" Type="http://schemas.openxmlformats.org/officeDocument/2006/relationships/hyperlink" Target="https://www.cettire.com/collections/desa-1972" TargetMode="External"/><Relationship Id="rId371" Type="http://schemas.openxmlformats.org/officeDocument/2006/relationships/hyperlink" Target="https://www.cettire.com/collections/missoni" TargetMode="External"/><Relationship Id="rId2052" Type="http://schemas.openxmlformats.org/officeDocument/2006/relationships/hyperlink" Target="https://www.cettire.com/collections/gia-borghini" TargetMode="External"/><Relationship Id="rId3450" Type="http://schemas.openxmlformats.org/officeDocument/2006/relationships/hyperlink" Target="https://www.cettire.com/collections/prada-eyewear" TargetMode="External"/><Relationship Id="rId4501" Type="http://schemas.openxmlformats.org/officeDocument/2006/relationships/hyperlink" Target="https://www.cettire.com/collections/jw-anderson" TargetMode="External"/><Relationship Id="rId3103" Type="http://schemas.openxmlformats.org/officeDocument/2006/relationships/hyperlink" Target="https://www.cettire.com/collections/barena" TargetMode="External"/><Relationship Id="rId3310" Type="http://schemas.openxmlformats.org/officeDocument/2006/relationships/hyperlink" Target="https://www.cettire.com/collections/l-b-m-1911" TargetMode="External"/><Relationship Id="rId231" Type="http://schemas.openxmlformats.org/officeDocument/2006/relationships/hyperlink" Target="https://www.cettire.com/collections/ganni" TargetMode="External"/><Relationship Id="rId2869" Type="http://schemas.openxmlformats.org/officeDocument/2006/relationships/hyperlink" Target="https://www.cettire.com/collections/pierre-louis-mascia" TargetMode="External"/><Relationship Id="rId1678" Type="http://schemas.openxmlformats.org/officeDocument/2006/relationships/hyperlink" Target="https://www.cettire.com/collections/ralph-lauren-kids" TargetMode="External"/><Relationship Id="rId1885" Type="http://schemas.openxmlformats.org/officeDocument/2006/relationships/hyperlink" Target="https://www.cettire.com/collections/balenciaga-eyewear" TargetMode="External"/><Relationship Id="rId2729" Type="http://schemas.openxmlformats.org/officeDocument/2006/relationships/hyperlink" Target="https://www.cettire.com/collections/la-milanesa" TargetMode="External"/><Relationship Id="rId2936" Type="http://schemas.openxmlformats.org/officeDocument/2006/relationships/hyperlink" Target="https://www.cettire.com/collections/self-portrait" TargetMode="External"/><Relationship Id="rId4084" Type="http://schemas.openxmlformats.org/officeDocument/2006/relationships/hyperlink" Target="https://www.cettire.com/collections/rick-owens-x-birkenstock" TargetMode="External"/><Relationship Id="rId4291" Type="http://schemas.openxmlformats.org/officeDocument/2006/relationships/hyperlink" Target="https://www.cettire.com/collections/billionaire" TargetMode="External"/><Relationship Id="rId908" Type="http://schemas.openxmlformats.org/officeDocument/2006/relationships/hyperlink" Target="https://www.cettire.com/collections/kuboraum" TargetMode="External"/><Relationship Id="rId1538" Type="http://schemas.openxmlformats.org/officeDocument/2006/relationships/hyperlink" Target="https://www.cettire.com/collections/m-missoni" TargetMode="External"/><Relationship Id="rId4151" Type="http://schemas.openxmlformats.org/officeDocument/2006/relationships/hyperlink" Target="https://www.cettire.com/collections/thom-browne-eyewear" TargetMode="External"/><Relationship Id="rId1745" Type="http://schemas.openxmlformats.org/officeDocument/2006/relationships/hyperlink" Target="https://www.cettire.com/collections/suicoke" TargetMode="External"/><Relationship Id="rId1952" Type="http://schemas.openxmlformats.org/officeDocument/2006/relationships/hyperlink" Target="https://www.cettire.com/collections/churchs" TargetMode="External"/><Relationship Id="rId4011" Type="http://schemas.openxmlformats.org/officeDocument/2006/relationships/hyperlink" Target="https://www.cettire.com/collections/noon-goons" TargetMode="External"/><Relationship Id="rId37" Type="http://schemas.openxmlformats.org/officeDocument/2006/relationships/hyperlink" Target="https://www.cettire.com/collections/alexander-wang" TargetMode="External"/><Relationship Id="rId1605" Type="http://schemas.openxmlformats.org/officeDocument/2006/relationships/hyperlink" Target="https://www.cettire.com/collections/mulberry" TargetMode="External"/><Relationship Id="rId1812" Type="http://schemas.openxmlformats.org/officeDocument/2006/relationships/hyperlink" Target="https://www.cettire.com/collections/yuzefi" TargetMode="External"/><Relationship Id="rId3777" Type="http://schemas.openxmlformats.org/officeDocument/2006/relationships/hyperlink" Target="https://www.cettire.com/collections/dsquared2" TargetMode="External"/><Relationship Id="rId3984" Type="http://schemas.openxmlformats.org/officeDocument/2006/relationships/hyperlink" Target="https://www.cettire.com/collections/moose-knuckles" TargetMode="External"/><Relationship Id="rId698" Type="http://schemas.openxmlformats.org/officeDocument/2006/relationships/hyperlink" Target="https://www.cettire.com/collections/boutique-moschino" TargetMode="External"/><Relationship Id="rId2379" Type="http://schemas.openxmlformats.org/officeDocument/2006/relationships/hyperlink" Target="https://www.cettire.com/collections/ugg-kids" TargetMode="External"/><Relationship Id="rId2586" Type="http://schemas.openxmlformats.org/officeDocument/2006/relationships/hyperlink" Target="https://www.cettire.com/collections/desa-1972" TargetMode="External"/><Relationship Id="rId2793" Type="http://schemas.openxmlformats.org/officeDocument/2006/relationships/hyperlink" Target="https://www.cettire.com/collections/missoni" TargetMode="External"/><Relationship Id="rId3637" Type="http://schemas.openxmlformats.org/officeDocument/2006/relationships/hyperlink" Target="https://www.cettire.com/collections/amina-muaddi" TargetMode="External"/><Relationship Id="rId3844" Type="http://schemas.openxmlformats.org/officeDocument/2006/relationships/hyperlink" Target="https://www.cettire.com/collections/haider-ackermann" TargetMode="External"/><Relationship Id="rId558" Type="http://schemas.openxmlformats.org/officeDocument/2006/relationships/hyperlink" Target="https://www.cettire.com/collections/tory-burch" TargetMode="External"/><Relationship Id="rId765" Type="http://schemas.openxmlformats.org/officeDocument/2006/relationships/hyperlink" Target="https://www.cettire.com/collections/daily-paper" TargetMode="External"/><Relationship Id="rId972" Type="http://schemas.openxmlformats.org/officeDocument/2006/relationships/hyperlink" Target="https://www.cettire.com/collections/mini-rodini" TargetMode="External"/><Relationship Id="rId1188" Type="http://schemas.openxmlformats.org/officeDocument/2006/relationships/hyperlink" Target="https://www.cettire.com/collections/vince" TargetMode="External"/><Relationship Id="rId1395" Type="http://schemas.openxmlformats.org/officeDocument/2006/relationships/hyperlink" Target="https://www.cettire.com/collections/dsquared2-kids" TargetMode="External"/><Relationship Id="rId2239" Type="http://schemas.openxmlformats.org/officeDocument/2006/relationships/hyperlink" Target="https://www.cettire.com/collections/osoi" TargetMode="External"/><Relationship Id="rId2446" Type="http://schemas.openxmlformats.org/officeDocument/2006/relationships/hyperlink" Target="https://www.cettire.com/collections/adriana-degreas" TargetMode="External"/><Relationship Id="rId2653" Type="http://schemas.openxmlformats.org/officeDocument/2006/relationships/hyperlink" Target="https://www.cettire.com/collections/ganni" TargetMode="External"/><Relationship Id="rId2860" Type="http://schemas.openxmlformats.org/officeDocument/2006/relationships/hyperlink" Target="https://www.cettire.com/collections/paura-x-kappa" TargetMode="External"/><Relationship Id="rId3704" Type="http://schemas.openxmlformats.org/officeDocument/2006/relationships/hyperlink" Target="https://www.cettire.com/collections/calvin-klein" TargetMode="External"/><Relationship Id="rId418" Type="http://schemas.openxmlformats.org/officeDocument/2006/relationships/hyperlink" Target="https://www.cettire.com/collections/nudie-jeans" TargetMode="External"/><Relationship Id="rId625" Type="http://schemas.openxmlformats.org/officeDocument/2006/relationships/hyperlink" Target="https://www.cettire.com/collections/adidas-by-wales-bonner" TargetMode="External"/><Relationship Id="rId832" Type="http://schemas.openxmlformats.org/officeDocument/2006/relationships/hyperlink" Target="https://www.cettire.com/collections/furla" TargetMode="External"/><Relationship Id="rId1048" Type="http://schemas.openxmlformats.org/officeDocument/2006/relationships/hyperlink" Target="https://www.cettire.com/collections/pierre-hardy" TargetMode="External"/><Relationship Id="rId1255" Type="http://schemas.openxmlformats.org/officeDocument/2006/relationships/hyperlink" Target="https://www.cettire.com/collections/amina-muaddi" TargetMode="External"/><Relationship Id="rId1462" Type="http://schemas.openxmlformats.org/officeDocument/2006/relationships/hyperlink" Target="https://www.cettire.com/collections/helmut-lang" TargetMode="External"/><Relationship Id="rId2306" Type="http://schemas.openxmlformats.org/officeDocument/2006/relationships/hyperlink" Target="https://www.cettire.com/collections/rodebjer" TargetMode="External"/><Relationship Id="rId2513" Type="http://schemas.openxmlformats.org/officeDocument/2006/relationships/hyperlink" Target="https://www.cettire.com/collections/bottega-veneta" TargetMode="External"/><Relationship Id="rId3911" Type="http://schemas.openxmlformats.org/officeDocument/2006/relationships/hyperlink" Target="https://www.cettire.com/collections/lemaire" TargetMode="External"/><Relationship Id="rId1115" Type="http://schemas.openxmlformats.org/officeDocument/2006/relationships/hyperlink" Target="https://www.cettire.com/collections/see-by-chloe" TargetMode="External"/><Relationship Id="rId1322" Type="http://schemas.openxmlformats.org/officeDocument/2006/relationships/hyperlink" Target="https://www.cettire.com/collections/calvin-klein-jeans-est-1978" TargetMode="External"/><Relationship Id="rId2720" Type="http://schemas.openxmlformats.org/officeDocument/2006/relationships/hyperlink" Target="https://www.cettire.com/collections/kenzo" TargetMode="External"/><Relationship Id="rId4478" Type="http://schemas.openxmlformats.org/officeDocument/2006/relationships/hyperlink" Target="https://www.cettire.com/collections/in-the-mood-for-love" TargetMode="External"/><Relationship Id="rId3287" Type="http://schemas.openxmlformats.org/officeDocument/2006/relationships/hyperlink" Target="https://www.cettire.com/collections/jimmy-choo-eyewear" TargetMode="External"/><Relationship Id="rId4338" Type="http://schemas.openxmlformats.org/officeDocument/2006/relationships/hyperlink" Target="https://www.cettire.com/collections/chloe-eyewear" TargetMode="External"/><Relationship Id="rId4685" Type="http://schemas.openxmlformats.org/officeDocument/2006/relationships/hyperlink" Target="https://www.cettire.com/collections/reebok" TargetMode="External"/><Relationship Id="rId2096" Type="http://schemas.openxmlformats.org/officeDocument/2006/relationships/hyperlink" Target="https://www.cettire.com/collections/jessie-western" TargetMode="External"/><Relationship Id="rId3494" Type="http://schemas.openxmlformats.org/officeDocument/2006/relationships/hyperlink" Target="https://www.cettire.com/collections/saint-laurent" TargetMode="External"/><Relationship Id="rId4545" Type="http://schemas.openxmlformats.org/officeDocument/2006/relationships/hyperlink" Target="https://www.cettire.com/collections/malone-souliers" TargetMode="External"/><Relationship Id="rId4752" Type="http://schemas.openxmlformats.org/officeDocument/2006/relationships/hyperlink" Target="https://www.cettire.com/collections/the-attico" TargetMode="External"/><Relationship Id="rId3147" Type="http://schemas.openxmlformats.org/officeDocument/2006/relationships/hyperlink" Target="https://www.cettire.com/collections/chie-mihara" TargetMode="External"/><Relationship Id="rId3354" Type="http://schemas.openxmlformats.org/officeDocument/2006/relationships/hyperlink" Target="https://www.cettire.com/collections/marsell" TargetMode="External"/><Relationship Id="rId3561" Type="http://schemas.openxmlformats.org/officeDocument/2006/relationships/hyperlink" Target="https://www.cettire.com/collections/valentino-eyewear" TargetMode="External"/><Relationship Id="rId4405" Type="http://schemas.openxmlformats.org/officeDocument/2006/relationships/hyperlink" Target="https://www.cettire.com/collections/enfants-riches-deprimes" TargetMode="External"/><Relationship Id="rId4612" Type="http://schemas.openxmlformats.org/officeDocument/2006/relationships/hyperlink" Target="https://www.cettire.com/collections/natasha-zinko" TargetMode="External"/><Relationship Id="rId275" Type="http://schemas.openxmlformats.org/officeDocument/2006/relationships/hyperlink" Target="https://www.cettire.com/collections/issey-miyake" TargetMode="External"/><Relationship Id="rId482" Type="http://schemas.openxmlformats.org/officeDocument/2006/relationships/hyperlink" Target="https://www.cettire.com/collections/retrosuperfuture" TargetMode="External"/><Relationship Id="rId2163" Type="http://schemas.openxmlformats.org/officeDocument/2006/relationships/hyperlink" Target="https://www.cettire.com/collections/marquesalmeida" TargetMode="External"/><Relationship Id="rId2370" Type="http://schemas.openxmlformats.org/officeDocument/2006/relationships/hyperlink" Target="https://www.cettire.com/collections/tom-ford-eyewear" TargetMode="External"/><Relationship Id="rId3007" Type="http://schemas.openxmlformats.org/officeDocument/2006/relationships/hyperlink" Target="https://www.cettire.com/collections/versace-kids" TargetMode="External"/><Relationship Id="rId3214" Type="http://schemas.openxmlformats.org/officeDocument/2006/relationships/hyperlink" Target="https://www.cettire.com/collections/ermanno-scervino" TargetMode="External"/><Relationship Id="rId3421" Type="http://schemas.openxmlformats.org/officeDocument/2006/relationships/hyperlink" Target="https://www.cettire.com/collections/opening-ceremony" TargetMode="External"/><Relationship Id="rId135" Type="http://schemas.openxmlformats.org/officeDocument/2006/relationships/hyperlink" Target="https://www.cettire.com/collections/churchs" TargetMode="External"/><Relationship Id="rId342" Type="http://schemas.openxmlformats.org/officeDocument/2006/relationships/hyperlink" Target="https://www.cettire.com/collections/marc-jacobs" TargetMode="External"/><Relationship Id="rId2023" Type="http://schemas.openxmlformats.org/officeDocument/2006/relationships/hyperlink" Target="https://www.cettire.com/collections/eyevan-7285" TargetMode="External"/><Relationship Id="rId2230" Type="http://schemas.openxmlformats.org/officeDocument/2006/relationships/hyperlink" Target="https://www.cettire.com/collections/nudie-jeans" TargetMode="External"/><Relationship Id="rId202" Type="http://schemas.openxmlformats.org/officeDocument/2006/relationships/hyperlink" Target="https://www.cettire.com/collections/etre-cecile" TargetMode="External"/><Relationship Id="rId4195" Type="http://schemas.openxmlformats.org/officeDocument/2006/relationships/hyperlink" Target="https://www.cettire.com/collections/woolrich-x-griffin" TargetMode="External"/><Relationship Id="rId1789" Type="http://schemas.openxmlformats.org/officeDocument/2006/relationships/hyperlink" Target="https://www.cettire.com/collections/versace" TargetMode="External"/><Relationship Id="rId1996" Type="http://schemas.openxmlformats.org/officeDocument/2006/relationships/hyperlink" Target="https://www.cettire.com/collections/dolce-gabbana-kids" TargetMode="External"/><Relationship Id="rId4055" Type="http://schemas.openxmlformats.org/officeDocument/2006/relationships/hyperlink" Target="https://www.cettire.com/collections/proenza-schouler-white-label" TargetMode="External"/><Relationship Id="rId4262" Type="http://schemas.openxmlformats.org/officeDocument/2006/relationships/hyperlink" Target="https://www.cettire.com/collections/area" TargetMode="External"/><Relationship Id="rId1649" Type="http://schemas.openxmlformats.org/officeDocument/2006/relationships/hyperlink" Target="https://www.cettire.com/collections/philipp-plein-junior" TargetMode="External"/><Relationship Id="rId1856" Type="http://schemas.openxmlformats.org/officeDocument/2006/relationships/hyperlink" Target="https://www.cettire.com/collections/allude" TargetMode="External"/><Relationship Id="rId2907" Type="http://schemas.openxmlformats.org/officeDocument/2006/relationships/hyperlink" Target="https://www.cettire.com/collections/rhude" TargetMode="External"/><Relationship Id="rId3071" Type="http://schemas.openxmlformats.org/officeDocument/2006/relationships/hyperlink" Target="https://www.cettire.com/collections/ambush" TargetMode="External"/><Relationship Id="rId1509" Type="http://schemas.openxmlformats.org/officeDocument/2006/relationships/hyperlink" Target="https://www.cettire.com/collections/kenzo" TargetMode="External"/><Relationship Id="rId1716" Type="http://schemas.openxmlformats.org/officeDocument/2006/relationships/hyperlink" Target="https://www.cettire.com/collections/salvatore-santoro" TargetMode="External"/><Relationship Id="rId1923" Type="http://schemas.openxmlformats.org/officeDocument/2006/relationships/hyperlink" Target="https://www.cettire.com/collections/by-far" TargetMode="External"/><Relationship Id="rId4122" Type="http://schemas.openxmlformats.org/officeDocument/2006/relationships/hyperlink" Target="https://www.cettire.com/collections/staud" TargetMode="External"/><Relationship Id="rId3888" Type="http://schemas.openxmlformats.org/officeDocument/2006/relationships/hyperlink" Target="https://www.cettire.com/collections/kappa" TargetMode="External"/><Relationship Id="rId2697" Type="http://schemas.openxmlformats.org/officeDocument/2006/relationships/hyperlink" Target="https://www.cettire.com/collections/j-brand" TargetMode="External"/><Relationship Id="rId3748" Type="http://schemas.openxmlformats.org/officeDocument/2006/relationships/hyperlink" Target="https://www.cettire.com/collections/coperni" TargetMode="External"/><Relationship Id="rId669" Type="http://schemas.openxmlformats.org/officeDocument/2006/relationships/hyperlink" Target="https://www.cettire.com/collections/autry" TargetMode="External"/><Relationship Id="rId876" Type="http://schemas.openxmlformats.org/officeDocument/2006/relationships/hyperlink" Target="https://www.cettire.com/collections/isabel-marant" TargetMode="External"/><Relationship Id="rId1299" Type="http://schemas.openxmlformats.org/officeDocument/2006/relationships/hyperlink" Target="https://www.cettire.com/collections/bode" TargetMode="External"/><Relationship Id="rId2557" Type="http://schemas.openxmlformats.org/officeDocument/2006/relationships/hyperlink" Target="https://www.cettire.com/collections/churchs" TargetMode="External"/><Relationship Id="rId3608" Type="http://schemas.openxmlformats.org/officeDocument/2006/relationships/hyperlink" Target="https://www.cettire.com/collections/adidas-by-danielle-cathari" TargetMode="External"/><Relationship Id="rId3955" Type="http://schemas.openxmlformats.org/officeDocument/2006/relationships/hyperlink" Target="https://www.cettire.com/collections/max-mara-studio" TargetMode="External"/><Relationship Id="rId529" Type="http://schemas.openxmlformats.org/officeDocument/2006/relationships/hyperlink" Target="https://www.cettire.com/collections/stone-island" TargetMode="External"/><Relationship Id="rId736" Type="http://schemas.openxmlformats.org/officeDocument/2006/relationships/hyperlink" Target="https://www.cettire.com/collections/chopard-eyewear" TargetMode="External"/><Relationship Id="rId1159" Type="http://schemas.openxmlformats.org/officeDocument/2006/relationships/hyperlink" Target="https://www.cettire.com/collections/tom-ford" TargetMode="External"/><Relationship Id="rId1366" Type="http://schemas.openxmlformats.org/officeDocument/2006/relationships/hyperlink" Target="https://www.cettire.com/collections/courreges-eyewear" TargetMode="External"/><Relationship Id="rId2417" Type="http://schemas.openxmlformats.org/officeDocument/2006/relationships/hyperlink" Target="https://www.cettire.com/collections/yves-salomon" TargetMode="External"/><Relationship Id="rId2764" Type="http://schemas.openxmlformats.org/officeDocument/2006/relationships/hyperlink" Target="https://www.cettire.com/collections/marc-jacobs-eyewear" TargetMode="External"/><Relationship Id="rId2971" Type="http://schemas.openxmlformats.org/officeDocument/2006/relationships/hyperlink" Target="https://www.cettire.com/collections/the-north-face-black-series" TargetMode="External"/><Relationship Id="rId3815" Type="http://schemas.openxmlformats.org/officeDocument/2006/relationships/hyperlink" Target="https://www.cettire.com/collections/finamore-1925-napoli" TargetMode="External"/><Relationship Id="rId943" Type="http://schemas.openxmlformats.org/officeDocument/2006/relationships/hyperlink" Target="https://www.cettire.com/collections/mansur-gavriel" TargetMode="External"/><Relationship Id="rId1019" Type="http://schemas.openxmlformats.org/officeDocument/2006/relationships/hyperlink" Target="https://www.cettire.com/collections/north-sails-x-prada-cup" TargetMode="External"/><Relationship Id="rId1573" Type="http://schemas.openxmlformats.org/officeDocument/2006/relationships/hyperlink" Target="https://www.cettire.com/collections/mcq-alexander-mcqueen" TargetMode="External"/><Relationship Id="rId1780" Type="http://schemas.openxmlformats.org/officeDocument/2006/relationships/hyperlink" Target="https://www.cettire.com/collections/undercover" TargetMode="External"/><Relationship Id="rId2624" Type="http://schemas.openxmlformats.org/officeDocument/2006/relationships/hyperlink" Target="https://www.cettire.com/collections/ermenegildo-zegna" TargetMode="External"/><Relationship Id="rId2831" Type="http://schemas.openxmlformats.org/officeDocument/2006/relationships/hyperlink" Target="https://www.cettire.com/collections/new-york-industrie" TargetMode="External"/><Relationship Id="rId72" Type="http://schemas.openxmlformats.org/officeDocument/2006/relationships/hyperlink" Target="https://www.cettire.com/collections/balmain-kids" TargetMode="External"/><Relationship Id="rId803" Type="http://schemas.openxmlformats.org/officeDocument/2006/relationships/hyperlink" Target="https://www.cettire.com/collections/engineered-garments" TargetMode="External"/><Relationship Id="rId1226" Type="http://schemas.openxmlformats.org/officeDocument/2006/relationships/hyperlink" Target="https://www.cettire.com/collections/adidas-by-human-made" TargetMode="External"/><Relationship Id="rId1433" Type="http://schemas.openxmlformats.org/officeDocument/2006/relationships/hyperlink" Target="https://www.cettire.com/collections/forte-dei-marmi-couture" TargetMode="External"/><Relationship Id="rId1640" Type="http://schemas.openxmlformats.org/officeDocument/2006/relationships/hyperlink" Target="https://www.cettire.com/collections/palm-angels" TargetMode="External"/><Relationship Id="rId4589" Type="http://schemas.openxmlformats.org/officeDocument/2006/relationships/hyperlink" Target="https://www.cettire.com/collections/moncler" TargetMode="External"/><Relationship Id="rId4796" Type="http://schemas.openxmlformats.org/officeDocument/2006/relationships/hyperlink" Target="https://www.cettire.com/collections/vision-of-super-kids" TargetMode="External"/><Relationship Id="rId1500" Type="http://schemas.openxmlformats.org/officeDocument/2006/relationships/hyperlink" Target="https://www.cettire.com/collections/junya-watanabe-man" TargetMode="External"/><Relationship Id="rId3398" Type="http://schemas.openxmlformats.org/officeDocument/2006/relationships/hyperlink" Target="https://www.cettire.com/collections/n-21" TargetMode="External"/><Relationship Id="rId4449" Type="http://schemas.openxmlformats.org/officeDocument/2006/relationships/hyperlink" Target="https://www.cettire.com/collections/givenchy-eyewear" TargetMode="External"/><Relationship Id="rId4656" Type="http://schemas.openxmlformats.org/officeDocument/2006/relationships/hyperlink" Target="https://www.cettire.com/collections/pinko" TargetMode="External"/><Relationship Id="rId3258" Type="http://schemas.openxmlformats.org/officeDocument/2006/relationships/hyperlink" Target="https://www.cettire.com/collections/guidi" TargetMode="External"/><Relationship Id="rId3465" Type="http://schemas.openxmlformats.org/officeDocument/2006/relationships/hyperlink" Target="https://www.cettire.com/collections/rave-review" TargetMode="External"/><Relationship Id="rId3672" Type="http://schemas.openxmlformats.org/officeDocument/2006/relationships/hyperlink" Target="https://www.cettire.com/collections/bark-b-rules" TargetMode="External"/><Relationship Id="rId4309" Type="http://schemas.openxmlformats.org/officeDocument/2006/relationships/hyperlink" Target="https://www.cettire.com/collections/burberry-eyewear" TargetMode="External"/><Relationship Id="rId4516" Type="http://schemas.openxmlformats.org/officeDocument/2006/relationships/hyperlink" Target="https://www.cettire.com/collections/la-milanesa" TargetMode="External"/><Relationship Id="rId4723" Type="http://schemas.openxmlformats.org/officeDocument/2006/relationships/hyperlink" Target="https://www.cettire.com/collections/sies-marjan" TargetMode="External"/><Relationship Id="rId179" Type="http://schemas.openxmlformats.org/officeDocument/2006/relationships/hyperlink" Target="https://www.cettire.com/collections/dolce-gabbana-eyewear" TargetMode="External"/><Relationship Id="rId386" Type="http://schemas.openxmlformats.org/officeDocument/2006/relationships/hyperlink" Target="https://www.cettire.com/collections/monnalisa" TargetMode="External"/><Relationship Id="rId593" Type="http://schemas.openxmlformats.org/officeDocument/2006/relationships/hyperlink" Target="https://www.cettire.com/collections/woolrich" TargetMode="External"/><Relationship Id="rId2067" Type="http://schemas.openxmlformats.org/officeDocument/2006/relationships/hyperlink" Target="https://www.cettire.com/collections/harris-wharf-london" TargetMode="External"/><Relationship Id="rId2274" Type="http://schemas.openxmlformats.org/officeDocument/2006/relationships/hyperlink" Target="https://www.cettire.com/collections/pt01" TargetMode="External"/><Relationship Id="rId2481" Type="http://schemas.openxmlformats.org/officeDocument/2006/relationships/hyperlink" Target="https://www.cettire.com/collections/art-dealer" TargetMode="External"/><Relationship Id="rId3118" Type="http://schemas.openxmlformats.org/officeDocument/2006/relationships/hyperlink" Target="https://www.cettire.com/collections/boutique-moschino" TargetMode="External"/><Relationship Id="rId3325" Type="http://schemas.openxmlformats.org/officeDocument/2006/relationships/hyperlink" Target="https://www.cettire.com/collections/lisa-marie-fernandez" TargetMode="External"/><Relationship Id="rId3532" Type="http://schemas.openxmlformats.org/officeDocument/2006/relationships/hyperlink" Target="https://www.cettire.com/collections/telfar" TargetMode="External"/><Relationship Id="rId246" Type="http://schemas.openxmlformats.org/officeDocument/2006/relationships/hyperlink" Target="https://www.cettire.com/collections/gucci" TargetMode="External"/><Relationship Id="rId453" Type="http://schemas.openxmlformats.org/officeDocument/2006/relationships/hyperlink" Target="https://www.cettire.com/collections/ports-1961" TargetMode="External"/><Relationship Id="rId660" Type="http://schemas.openxmlformats.org/officeDocument/2006/relationships/hyperlink" Target="https://www.cettire.com/collections/aries" TargetMode="External"/><Relationship Id="rId1083" Type="http://schemas.openxmlformats.org/officeDocument/2006/relationships/hyperlink" Target="https://www.cettire.com/collections/rejina-pyo" TargetMode="External"/><Relationship Id="rId1290" Type="http://schemas.openxmlformats.org/officeDocument/2006/relationships/hyperlink" Target="https://www.cettire.com/collections/barrow" TargetMode="External"/><Relationship Id="rId2134" Type="http://schemas.openxmlformats.org/officeDocument/2006/relationships/hyperlink" Target="https://www.cettire.com/collections/lisa-marie-fernandez" TargetMode="External"/><Relationship Id="rId2341" Type="http://schemas.openxmlformats.org/officeDocument/2006/relationships/hyperlink" Target="https://www.cettire.com/collections/stella-mccartney-eyewear" TargetMode="External"/><Relationship Id="rId106" Type="http://schemas.openxmlformats.org/officeDocument/2006/relationships/hyperlink" Target="https://www.cettire.com/collections/by-far" TargetMode="External"/><Relationship Id="rId313" Type="http://schemas.openxmlformats.org/officeDocument/2006/relationships/hyperlink" Target="https://www.cettire.com/collections/le%20beb%C3%A9%20enfant" TargetMode="External"/><Relationship Id="rId1150" Type="http://schemas.openxmlformats.org/officeDocument/2006/relationships/hyperlink" Target="https://www.cettire.com/collections/the-north-face" TargetMode="External"/><Relationship Id="rId4099" Type="http://schemas.openxmlformats.org/officeDocument/2006/relationships/hyperlink" Target="https://www.cettire.com/collections/salomon-s-lab" TargetMode="External"/><Relationship Id="rId520" Type="http://schemas.openxmlformats.org/officeDocument/2006/relationships/hyperlink" Target="https://www.cettire.com/collections/sonia-rykiel" TargetMode="External"/><Relationship Id="rId2201" Type="http://schemas.openxmlformats.org/officeDocument/2006/relationships/hyperlink" Target="https://www.cettire.com/collections/moose-knuckles" TargetMode="External"/><Relationship Id="rId1010" Type="http://schemas.openxmlformats.org/officeDocument/2006/relationships/hyperlink" Target="https://www.cettire.com/collections/neous" TargetMode="External"/><Relationship Id="rId1967" Type="http://schemas.openxmlformats.org/officeDocument/2006/relationships/hyperlink" Target="https://www.cettire.com/collections/comme-des-garcons-wallet" TargetMode="External"/><Relationship Id="rId4166" Type="http://schemas.openxmlformats.org/officeDocument/2006/relationships/hyperlink" Target="https://www.cettire.com/collections/ulla-johnson" TargetMode="External"/><Relationship Id="rId4373" Type="http://schemas.openxmlformats.org/officeDocument/2006/relationships/hyperlink" Target="https://www.cettire.com/collections/diadora" TargetMode="External"/><Relationship Id="rId4580" Type="http://schemas.openxmlformats.org/officeDocument/2006/relationships/hyperlink" Target="https://www.cettire.com/collections/misbhv" TargetMode="External"/><Relationship Id="rId4026" Type="http://schemas.openxmlformats.org/officeDocument/2006/relationships/hyperlink" Target="https://www.cettire.com/collections/paccbet" TargetMode="External"/><Relationship Id="rId4440" Type="http://schemas.openxmlformats.org/officeDocument/2006/relationships/hyperlink" Target="https://www.cettire.com/collections/garrett-leight" TargetMode="External"/><Relationship Id="rId3042" Type="http://schemas.openxmlformats.org/officeDocument/2006/relationships/hyperlink" Target="https://www.cettire.com/collections/a-w-a-k-e-mode" TargetMode="External"/><Relationship Id="rId3859" Type="http://schemas.openxmlformats.org/officeDocument/2006/relationships/hyperlink" Target="https://www.cettire.com/collections/hugo-boss-kids" TargetMode="External"/><Relationship Id="rId2875" Type="http://schemas.openxmlformats.org/officeDocument/2006/relationships/hyperlink" Target="https://www.cettire.com/collections/porter-yoshida-co" TargetMode="External"/><Relationship Id="rId3926" Type="http://schemas.openxmlformats.org/officeDocument/2006/relationships/hyperlink" Target="https://www.cettire.com/collections/magda-butrym" TargetMode="External"/><Relationship Id="rId847" Type="http://schemas.openxmlformats.org/officeDocument/2006/relationships/hyperlink" Target="https://www.cettire.com/collections/golden-goose-kids" TargetMode="External"/><Relationship Id="rId1477" Type="http://schemas.openxmlformats.org/officeDocument/2006/relationships/hyperlink" Target="https://www.cettire.com/collections/ih-nom-uh-nit" TargetMode="External"/><Relationship Id="rId1891" Type="http://schemas.openxmlformats.org/officeDocument/2006/relationships/hyperlink" Target="https://www.cettire.com/collections/bao-bao-issey-miyake" TargetMode="External"/><Relationship Id="rId2528" Type="http://schemas.openxmlformats.org/officeDocument/2006/relationships/hyperlink" Target="https://www.cettire.com/collections/by-far" TargetMode="External"/><Relationship Id="rId2942" Type="http://schemas.openxmlformats.org/officeDocument/2006/relationships/hyperlink" Target="https://www.cettire.com/collections/simonetta" TargetMode="External"/><Relationship Id="rId914" Type="http://schemas.openxmlformats.org/officeDocument/2006/relationships/hyperlink" Target="https://www.cettire.com/collections/lanvin" TargetMode="External"/><Relationship Id="rId1544" Type="http://schemas.openxmlformats.org/officeDocument/2006/relationships/hyperlink" Target="https://www.cettire.com/collections/maison-michel" TargetMode="External"/><Relationship Id="rId1611" Type="http://schemas.openxmlformats.org/officeDocument/2006/relationships/hyperlink" Target="https://www.cettire.com/collections/napa-by-martine-rose" TargetMode="External"/><Relationship Id="rId4767" Type="http://schemas.openxmlformats.org/officeDocument/2006/relationships/hyperlink" Target="https://www.cettire.com/collections/tommy-hilfiger" TargetMode="External"/><Relationship Id="rId3369" Type="http://schemas.openxmlformats.org/officeDocument/2006/relationships/hyperlink" Target="https://www.cettire.com/collections/michael-kors-collection" TargetMode="External"/><Relationship Id="rId2385" Type="http://schemas.openxmlformats.org/officeDocument/2006/relationships/hyperlink" Target="https://www.cettire.com/collections/unravel-project" TargetMode="External"/><Relationship Id="rId3783" Type="http://schemas.openxmlformats.org/officeDocument/2006/relationships/hyperlink" Target="https://www.cettire.com/collections/eden-power-corp" TargetMode="External"/><Relationship Id="rId357" Type="http://schemas.openxmlformats.org/officeDocument/2006/relationships/hyperlink" Target="https://www.cettire.com/collections/max-mara" TargetMode="External"/><Relationship Id="rId2038" Type="http://schemas.openxmlformats.org/officeDocument/2006/relationships/hyperlink" Target="https://www.cettire.com/collections/flat-apartment" TargetMode="External"/><Relationship Id="rId3436" Type="http://schemas.openxmlformats.org/officeDocument/2006/relationships/hyperlink" Target="https://www.cettire.com/collections/philipp-plein-junior" TargetMode="External"/><Relationship Id="rId3850" Type="http://schemas.openxmlformats.org/officeDocument/2006/relationships/hyperlink" Target="https://www.cettire.com/collections/heron-preston" TargetMode="External"/><Relationship Id="rId771" Type="http://schemas.openxmlformats.org/officeDocument/2006/relationships/hyperlink" Target="https://www.cettire.com/collections/diemme" TargetMode="External"/><Relationship Id="rId2452" Type="http://schemas.openxmlformats.org/officeDocument/2006/relationships/hyperlink" Target="https://www.cettire.com/collections/alberta-ferretti" TargetMode="External"/><Relationship Id="rId3503" Type="http://schemas.openxmlformats.org/officeDocument/2006/relationships/hyperlink" Target="https://www.cettire.com/collections/see-by-chloe" TargetMode="External"/><Relationship Id="rId424" Type="http://schemas.openxmlformats.org/officeDocument/2006/relationships/hyperlink" Target="https://www.cettire.com/collections/oliver-peoples" TargetMode="External"/><Relationship Id="rId1054" Type="http://schemas.openxmlformats.org/officeDocument/2006/relationships/hyperlink" Target="https://www.cettire.com/collections/polo-ralph-lauren-kids" TargetMode="External"/><Relationship Id="rId2105" Type="http://schemas.openxmlformats.org/officeDocument/2006/relationships/hyperlink" Target="https://www.cettire.com/collections/junya-watanabe-man" TargetMode="External"/><Relationship Id="rId1121" Type="http://schemas.openxmlformats.org/officeDocument/2006/relationships/hyperlink" Target="https://www.cettire.com/collections/simone-rocha" TargetMode="External"/><Relationship Id="rId4277" Type="http://schemas.openxmlformats.org/officeDocument/2006/relationships/hyperlink" Target="https://www.cettire.com/collections/ballantyne" TargetMode="External"/><Relationship Id="rId4691" Type="http://schemas.openxmlformats.org/officeDocument/2006/relationships/hyperlink" Target="https://www.cettire.com/collections/retrosuperfuture" TargetMode="External"/><Relationship Id="rId3293" Type="http://schemas.openxmlformats.org/officeDocument/2006/relationships/hyperlink" Target="https://www.cettire.com/collections/junya-watanabe-man" TargetMode="External"/><Relationship Id="rId4344" Type="http://schemas.openxmlformats.org/officeDocument/2006/relationships/hyperlink" Target="https://www.cettire.com/collections/citizens-of-humanity" TargetMode="External"/><Relationship Id="rId1938" Type="http://schemas.openxmlformats.org/officeDocument/2006/relationships/hyperlink" Target="https://www.cettire.com/collections/casablanca" TargetMode="External"/><Relationship Id="rId3360" Type="http://schemas.openxmlformats.org/officeDocument/2006/relationships/hyperlink" Target="https://www.cettire.com/collections/max-mara-atelier" TargetMode="External"/><Relationship Id="rId281" Type="http://schemas.openxmlformats.org/officeDocument/2006/relationships/hyperlink" Target="https://www.cettire.com/collections/jessie-western" TargetMode="External"/><Relationship Id="rId3013" Type="http://schemas.openxmlformats.org/officeDocument/2006/relationships/hyperlink" Target="https://www.cettire.com/collections/wales-bonner" TargetMode="External"/><Relationship Id="rId4411" Type="http://schemas.openxmlformats.org/officeDocument/2006/relationships/hyperlink" Target="https://www.cettire.com/collections/etre-cecile" TargetMode="External"/><Relationship Id="rId2779" Type="http://schemas.openxmlformats.org/officeDocument/2006/relationships/hyperlink" Target="https://www.cettire.com/collections/max-mara-atelier" TargetMode="External"/><Relationship Id="rId1795" Type="http://schemas.openxmlformats.org/officeDocument/2006/relationships/hyperlink" Target="https://www.cettire.com/collections/vision-of-super" TargetMode="External"/><Relationship Id="rId2846" Type="http://schemas.openxmlformats.org/officeDocument/2006/relationships/hyperlink" Target="https://www.cettire.com/collections/oliver-peoples" TargetMode="External"/><Relationship Id="rId87" Type="http://schemas.openxmlformats.org/officeDocument/2006/relationships/hyperlink" Target="https://www.cettire.com/collections/boboutic" TargetMode="External"/><Relationship Id="rId818" Type="http://schemas.openxmlformats.org/officeDocument/2006/relationships/hyperlink" Target="https://www.cettire.com/collections/fendi" TargetMode="External"/><Relationship Id="rId1448" Type="http://schemas.openxmlformats.org/officeDocument/2006/relationships/hyperlink" Target="https://www.cettire.com/collections/giorgio-armani" TargetMode="External"/><Relationship Id="rId1862" Type="http://schemas.openxmlformats.org/officeDocument/2006/relationships/hyperlink" Target="https://www.cettire.com/collections/amiri" TargetMode="External"/><Relationship Id="rId2913" Type="http://schemas.openxmlformats.org/officeDocument/2006/relationships/hyperlink" Target="https://www.cettire.com/collections/rixo" TargetMode="External"/><Relationship Id="rId1515" Type="http://schemas.openxmlformats.org/officeDocument/2006/relationships/hyperlink" Target="https://www.cettire.com/collections/kwaidan-editions" TargetMode="External"/><Relationship Id="rId3687" Type="http://schemas.openxmlformats.org/officeDocument/2006/relationships/hyperlink" Target="https://www.cettire.com/collections/botter" TargetMode="External"/><Relationship Id="rId4738" Type="http://schemas.openxmlformats.org/officeDocument/2006/relationships/hyperlink" Target="https://www.cettire.com/collections/stone-island-junior" TargetMode="External"/><Relationship Id="rId2289" Type="http://schemas.openxmlformats.org/officeDocument/2006/relationships/hyperlink" Target="https://www.cettire.com/collections/red-wing-shoes" TargetMode="External"/><Relationship Id="rId3754" Type="http://schemas.openxmlformats.org/officeDocument/2006/relationships/hyperlink" Target="https://www.cettire.com/collections/cutler-gross" TargetMode="External"/><Relationship Id="rId4805" Type="http://schemas.openxmlformats.org/officeDocument/2006/relationships/hyperlink" Target="https://www.cettire.com/collections/woolrich-kids" TargetMode="External"/><Relationship Id="rId675" Type="http://schemas.openxmlformats.org/officeDocument/2006/relationships/hyperlink" Target="https://www.cettire.com/collections/bally" TargetMode="External"/><Relationship Id="rId2356" Type="http://schemas.openxmlformats.org/officeDocument/2006/relationships/hyperlink" Target="https://www.cettire.com/collections/ten-c" TargetMode="External"/><Relationship Id="rId2770" Type="http://schemas.openxmlformats.org/officeDocument/2006/relationships/hyperlink" Target="https://www.cettire.com/collections/marni-kids" TargetMode="External"/><Relationship Id="rId3407" Type="http://schemas.openxmlformats.org/officeDocument/2006/relationships/hyperlink" Target="https://www.cettire.com/collections/neous" TargetMode="External"/><Relationship Id="rId3821" Type="http://schemas.openxmlformats.org/officeDocument/2006/relationships/hyperlink" Target="https://www.cettire.com/collections/fucking-awesome" TargetMode="External"/><Relationship Id="rId328" Type="http://schemas.openxmlformats.org/officeDocument/2006/relationships/hyperlink" Target="https://www.cettire.com/collections/m-missoni" TargetMode="External"/><Relationship Id="rId742" Type="http://schemas.openxmlformats.org/officeDocument/2006/relationships/hyperlink" Target="https://www.cettire.com/collections/co" TargetMode="External"/><Relationship Id="rId1372" Type="http://schemas.openxmlformats.org/officeDocument/2006/relationships/hyperlink" Target="https://www.cettire.com/collections/danse-lente" TargetMode="External"/><Relationship Id="rId2009" Type="http://schemas.openxmlformats.org/officeDocument/2006/relationships/hyperlink" Target="https://www.cettire.com/collections/elisabetta-franchi" TargetMode="External"/><Relationship Id="rId2423" Type="http://schemas.openxmlformats.org/officeDocument/2006/relationships/hyperlink" Target="https://www.cettire.com/collections/09-profumi" TargetMode="External"/><Relationship Id="rId1025" Type="http://schemas.openxmlformats.org/officeDocument/2006/relationships/hyperlink" Target="https://www.cettire.com/collections/officine-creative" TargetMode="External"/><Relationship Id="rId4595" Type="http://schemas.openxmlformats.org/officeDocument/2006/relationships/hyperlink" Target="https://www.cettire.com/collections/monnalisa" TargetMode="External"/><Relationship Id="rId3197" Type="http://schemas.openxmlformats.org/officeDocument/2006/relationships/hyperlink" Target="https://www.cettire.com/collections/drole-de-monsieur" TargetMode="External"/><Relationship Id="rId4248" Type="http://schemas.openxmlformats.org/officeDocument/2006/relationships/hyperlink" Target="https://www.cettire.com/collections/amen" TargetMode="External"/><Relationship Id="rId4662" Type="http://schemas.openxmlformats.org/officeDocument/2006/relationships/hyperlink" Target="https://www.cettire.com/collections/prada" TargetMode="External"/><Relationship Id="rId185" Type="http://schemas.openxmlformats.org/officeDocument/2006/relationships/hyperlink" Target="https://www.cettire.com/collections/dsquared2-kids" TargetMode="External"/><Relationship Id="rId1909" Type="http://schemas.openxmlformats.org/officeDocument/2006/relationships/hyperlink" Target="https://www.cettire.com/collections/bottega-veneta-eyewear" TargetMode="External"/><Relationship Id="rId3264" Type="http://schemas.openxmlformats.org/officeDocument/2006/relationships/hyperlink" Target="https://www.cettire.com/collections/herno-kids" TargetMode="External"/><Relationship Id="rId4315" Type="http://schemas.openxmlformats.org/officeDocument/2006/relationships/hyperlink" Target="https://www.cettire.com/collections/c-p-company-kids" TargetMode="External"/><Relationship Id="rId2280" Type="http://schemas.openxmlformats.org/officeDocument/2006/relationships/hyperlink" Target="https://www.cettire.com/collections/rag-bone" TargetMode="External"/><Relationship Id="rId3331" Type="http://schemas.openxmlformats.org/officeDocument/2006/relationships/hyperlink" Target="https://www.cettire.com/collections/love-moschino" TargetMode="External"/><Relationship Id="rId252" Type="http://schemas.openxmlformats.org/officeDocument/2006/relationships/hyperlink" Target="https://www.cettire.com/collections/helmut-lang" TargetMode="External"/><Relationship Id="rId1699" Type="http://schemas.openxmlformats.org/officeDocument/2006/relationships/hyperlink" Target="https://www.cettire.com/collections/rixo" TargetMode="External"/><Relationship Id="rId2000" Type="http://schemas.openxmlformats.org/officeDocument/2006/relationships/hyperlink" Target="https://www.cettire.com/collections/dsquared2-eyewear" TargetMode="External"/><Relationship Id="rId4172" Type="http://schemas.openxmlformats.org/officeDocument/2006/relationships/hyperlink" Target="https://www.cettire.com/collections/valentino-eyewear" TargetMode="External"/><Relationship Id="rId1766" Type="http://schemas.openxmlformats.org/officeDocument/2006/relationships/hyperlink" Target="https://www.cettire.com/collections/tom-ford-eyewear" TargetMode="External"/><Relationship Id="rId2817" Type="http://schemas.openxmlformats.org/officeDocument/2006/relationships/hyperlink" Target="https://www.cettire.com/collections/msgm-kids" TargetMode="External"/><Relationship Id="rId58" Type="http://schemas.openxmlformats.org/officeDocument/2006/relationships/hyperlink" Target="https://www.cettire.com/collections/art-dealer" TargetMode="External"/><Relationship Id="rId1419" Type="http://schemas.openxmlformats.org/officeDocument/2006/relationships/hyperlink" Target="https://www.cettire.com/collections/fabiana-filippi" TargetMode="External"/><Relationship Id="rId1833" Type="http://schemas.openxmlformats.org/officeDocument/2006/relationships/hyperlink" Target="https://www.cettire.com/collections/adidas-by-human-made" TargetMode="External"/><Relationship Id="rId1900" Type="http://schemas.openxmlformats.org/officeDocument/2006/relationships/hyperlink" Target="https://www.cettire.com/collections/billieblush" TargetMode="External"/><Relationship Id="rId3658" Type="http://schemas.openxmlformats.org/officeDocument/2006/relationships/hyperlink" Target="https://www.cettire.com/collections/autry" TargetMode="External"/><Relationship Id="rId4709" Type="http://schemas.openxmlformats.org/officeDocument/2006/relationships/hyperlink" Target="https://www.cettire.com/collections/saint-laurent-eyewear" TargetMode="External"/><Relationship Id="rId579" Type="http://schemas.openxmlformats.org/officeDocument/2006/relationships/hyperlink" Target="https://www.cettire.com/collections/versace" TargetMode="External"/><Relationship Id="rId993" Type="http://schemas.openxmlformats.org/officeDocument/2006/relationships/hyperlink" Target="https://www.cettire.com/collections/moschino-eyewear" TargetMode="External"/><Relationship Id="rId2674" Type="http://schemas.openxmlformats.org/officeDocument/2006/relationships/hyperlink" Target="https://www.cettire.com/collections/hereu" TargetMode="External"/><Relationship Id="rId646" Type="http://schemas.openxmlformats.org/officeDocument/2006/relationships/hyperlink" Target="https://www.cettire.com/collections/ambush" TargetMode="External"/><Relationship Id="rId1276" Type="http://schemas.openxmlformats.org/officeDocument/2006/relationships/hyperlink" Target="https://www.cettire.com/collections/autry" TargetMode="External"/><Relationship Id="rId2327" Type="http://schemas.openxmlformats.org/officeDocument/2006/relationships/hyperlink" Target="https://www.cettire.com/collections/sergio-rossi" TargetMode="External"/><Relationship Id="rId3725" Type="http://schemas.openxmlformats.org/officeDocument/2006/relationships/hyperlink" Target="https://www.cettire.com/collections/chloe-eyewear" TargetMode="External"/><Relationship Id="rId1690" Type="http://schemas.openxmlformats.org/officeDocument/2006/relationships/hyperlink" Target="https://www.cettire.com/collections/rene-caovilla" TargetMode="External"/><Relationship Id="rId2741" Type="http://schemas.openxmlformats.org/officeDocument/2006/relationships/hyperlink" Target="https://www.cettire.com/collections/linda-farrow" TargetMode="External"/><Relationship Id="rId713" Type="http://schemas.openxmlformats.org/officeDocument/2006/relationships/hyperlink" Target="https://www.cettire.com/collections/c2h4" TargetMode="External"/><Relationship Id="rId1343" Type="http://schemas.openxmlformats.org/officeDocument/2006/relationships/hyperlink" Target="https://www.cettire.com/collections/chopard-eyewear" TargetMode="External"/><Relationship Id="rId4499" Type="http://schemas.openxmlformats.org/officeDocument/2006/relationships/hyperlink" Target="https://www.cettire.com/collections/just-don" TargetMode="External"/><Relationship Id="rId1410" Type="http://schemas.openxmlformats.org/officeDocument/2006/relationships/hyperlink" Target="https://www.cettire.com/collections/equipment" TargetMode="External"/><Relationship Id="rId4566" Type="http://schemas.openxmlformats.org/officeDocument/2006/relationships/hyperlink" Target="https://www.cettire.com/collections/max-mara" TargetMode="External"/><Relationship Id="rId3168" Type="http://schemas.openxmlformats.org/officeDocument/2006/relationships/hyperlink" Target="https://www.cettire.com/collections/comme-des-garcons-wallet" TargetMode="External"/><Relationship Id="rId3582" Type="http://schemas.openxmlformats.org/officeDocument/2006/relationships/hyperlink" Target="https://www.cettire.com/collections/woolrich" TargetMode="External"/><Relationship Id="rId4219" Type="http://schemas.openxmlformats.org/officeDocument/2006/relationships/hyperlink" Target="https://www.cettire.com/collections/ader-error" TargetMode="External"/><Relationship Id="rId4633" Type="http://schemas.openxmlformats.org/officeDocument/2006/relationships/hyperlink" Target="https://www.cettire.com/collections/opening-ceremony" TargetMode="External"/><Relationship Id="rId2184" Type="http://schemas.openxmlformats.org/officeDocument/2006/relationships/hyperlink" Target="https://www.cettire.com/collections/missoni" TargetMode="External"/><Relationship Id="rId3235" Type="http://schemas.openxmlformats.org/officeDocument/2006/relationships/hyperlink" Target="https://www.cettire.com/collections/frame" TargetMode="External"/><Relationship Id="rId156" Type="http://schemas.openxmlformats.org/officeDocument/2006/relationships/hyperlink" Target="https://www.cettire.com/collections/courreges-eyewear" TargetMode="External"/><Relationship Id="rId570" Type="http://schemas.openxmlformats.org/officeDocument/2006/relationships/hyperlink" Target="https://www.cettire.com/collections/undercover" TargetMode="External"/><Relationship Id="rId2251" Type="http://schemas.openxmlformats.org/officeDocument/2006/relationships/hyperlink" Target="https://www.cettire.com/collections/persol" TargetMode="External"/><Relationship Id="rId3302" Type="http://schemas.openxmlformats.org/officeDocument/2006/relationships/hyperlink" Target="https://www.cettire.com/collections/karl-lagerfeld-kids" TargetMode="External"/><Relationship Id="rId4700" Type="http://schemas.openxmlformats.org/officeDocument/2006/relationships/hyperlink" Target="https://www.cettire.com/collections/rochas" TargetMode="External"/><Relationship Id="rId223" Type="http://schemas.openxmlformats.org/officeDocument/2006/relationships/hyperlink" Target="https://www.cettire.com/collections/forte-forte" TargetMode="External"/><Relationship Id="rId4076" Type="http://schemas.openxmlformats.org/officeDocument/2006/relationships/hyperlink" Target="https://www.cettire.com/collections/rejina-pyo" TargetMode="External"/><Relationship Id="rId4490" Type="http://schemas.openxmlformats.org/officeDocument/2006/relationships/hyperlink" Target="https://www.cettire.com/collections/jil-sander" TargetMode="External"/><Relationship Id="rId1737" Type="http://schemas.openxmlformats.org/officeDocument/2006/relationships/hyperlink" Target="https://www.cettire.com/collections/stella-mccartney-eyewear" TargetMode="External"/><Relationship Id="rId3092" Type="http://schemas.openxmlformats.org/officeDocument/2006/relationships/hyperlink" Target="https://www.cettire.com/collections/autry" TargetMode="External"/><Relationship Id="rId4143" Type="http://schemas.openxmlformats.org/officeDocument/2006/relationships/hyperlink" Target="https://www.cettire.com/collections/the-marc-jacobs-kids" TargetMode="External"/><Relationship Id="rId29" Type="http://schemas.openxmlformats.org/officeDocument/2006/relationships/hyperlink" Target="https://www.cettire.com/collections/alberta-ferretti" TargetMode="External"/><Relationship Id="rId4210" Type="http://schemas.openxmlformats.org/officeDocument/2006/relationships/hyperlink" Target="https://www.cettire.com/collections/424" TargetMode="External"/><Relationship Id="rId1804" Type="http://schemas.openxmlformats.org/officeDocument/2006/relationships/hyperlink" Target="https://www.cettire.com/collections/woolrich" TargetMode="External"/><Relationship Id="rId3976" Type="http://schemas.openxmlformats.org/officeDocument/2006/relationships/hyperlink" Target="https://www.cettire.com/collections/moncler" TargetMode="External"/><Relationship Id="rId897" Type="http://schemas.openxmlformats.org/officeDocument/2006/relationships/hyperlink" Target="https://www.cettire.com/collections/jw-anderson" TargetMode="External"/><Relationship Id="rId2578" Type="http://schemas.openxmlformats.org/officeDocument/2006/relationships/hyperlink" Target="https://www.cettire.com/collections/craig-green" TargetMode="External"/><Relationship Id="rId2992" Type="http://schemas.openxmlformats.org/officeDocument/2006/relationships/hyperlink" Target="https://www.cettire.com/collections/ultrachic" TargetMode="External"/><Relationship Id="rId3629" Type="http://schemas.openxmlformats.org/officeDocument/2006/relationships/hyperlink" Target="https://www.cettire.com/collections/alexander-mcqueen-kids" TargetMode="External"/><Relationship Id="rId964" Type="http://schemas.openxmlformats.org/officeDocument/2006/relationships/hyperlink" Target="https://www.cettire.com/collections/mc2-saint-barth" TargetMode="External"/><Relationship Id="rId1594" Type="http://schemas.openxmlformats.org/officeDocument/2006/relationships/hyperlink" Target="https://www.cettire.com/collections/moncler-grenoble" TargetMode="External"/><Relationship Id="rId2645" Type="http://schemas.openxmlformats.org/officeDocument/2006/relationships/hyperlink" Target="https://www.cettire.com/collections/forte-forte" TargetMode="External"/><Relationship Id="rId617" Type="http://schemas.openxmlformats.org/officeDocument/2006/relationships/hyperlink" Target="https://www.cettire.com/collections/abra" TargetMode="External"/><Relationship Id="rId1247" Type="http://schemas.openxmlformats.org/officeDocument/2006/relationships/hyperlink" Target="https://www.cettire.com/collections/alexander-mcqueen-kids" TargetMode="External"/><Relationship Id="rId1661" Type="http://schemas.openxmlformats.org/officeDocument/2006/relationships/hyperlink" Target="https://www.cettire.com/collections/porter-yoshida-co" TargetMode="External"/><Relationship Id="rId2712" Type="http://schemas.openxmlformats.org/officeDocument/2006/relationships/hyperlink" Target="https://www.cettire.com/collections/juun-j" TargetMode="External"/><Relationship Id="rId1314" Type="http://schemas.openxmlformats.org/officeDocument/2006/relationships/hyperlink" Target="https://www.cettire.com/collections/burberry-kids" TargetMode="External"/><Relationship Id="rId3486" Type="http://schemas.openxmlformats.org/officeDocument/2006/relationships/hyperlink" Target="https://www.cettire.com/collections/robert-clergerie" TargetMode="External"/><Relationship Id="rId4537" Type="http://schemas.openxmlformats.org/officeDocument/2006/relationships/hyperlink" Target="https://www.cettire.com/collections/m-missoni" TargetMode="External"/><Relationship Id="rId20" Type="http://schemas.openxmlformats.org/officeDocument/2006/relationships/hyperlink" Target="https://www.cettire.com/collections/adidas-kids" TargetMode="External"/><Relationship Id="rId2088" Type="http://schemas.openxmlformats.org/officeDocument/2006/relationships/hyperlink" Target="https://www.cettire.com/collections/isabel-marant-etoile" TargetMode="External"/><Relationship Id="rId3139" Type="http://schemas.openxmlformats.org/officeDocument/2006/relationships/hyperlink" Target="https://www.cettire.com/collections/cartier" TargetMode="External"/><Relationship Id="rId474" Type="http://schemas.openxmlformats.org/officeDocument/2006/relationships/hyperlink" Target="https://www.cettire.com/collections/red-valentino" TargetMode="External"/><Relationship Id="rId2155" Type="http://schemas.openxmlformats.org/officeDocument/2006/relationships/hyperlink" Target="https://www.cettire.com/collections/marc-jacobs" TargetMode="External"/><Relationship Id="rId3553" Type="http://schemas.openxmlformats.org/officeDocument/2006/relationships/hyperlink" Target="https://www.cettire.com/collections/ugg" TargetMode="External"/><Relationship Id="rId4604" Type="http://schemas.openxmlformats.org/officeDocument/2006/relationships/hyperlink" Target="https://www.cettire.com/collections/msgm-kids" TargetMode="External"/><Relationship Id="rId127" Type="http://schemas.openxmlformats.org/officeDocument/2006/relationships/hyperlink" Target="https://www.cettire.com/collections/chiara-ferragni-kids" TargetMode="External"/><Relationship Id="rId3206" Type="http://schemas.openxmlformats.org/officeDocument/2006/relationships/hyperlink" Target="https://www.cettire.com/collections/elisabetta-franchi" TargetMode="External"/><Relationship Id="rId3620" Type="http://schemas.openxmlformats.org/officeDocument/2006/relationships/hyperlink" Target="https://www.cettire.com/collections/agolde" TargetMode="External"/><Relationship Id="rId541" Type="http://schemas.openxmlformats.org/officeDocument/2006/relationships/hyperlink" Target="https://www.cettire.com/collections/telfar" TargetMode="External"/><Relationship Id="rId1171" Type="http://schemas.openxmlformats.org/officeDocument/2006/relationships/hyperlink" Target="https://www.cettire.com/collections/ulla-johnson" TargetMode="External"/><Relationship Id="rId2222" Type="http://schemas.openxmlformats.org/officeDocument/2006/relationships/hyperlink" Target="https://www.cettire.com/collections/nicholas-kirkwood" TargetMode="External"/><Relationship Id="rId1988" Type="http://schemas.openxmlformats.org/officeDocument/2006/relationships/hyperlink" Target="https://www.cettire.com/collections/dior" TargetMode="External"/><Relationship Id="rId4394" Type="http://schemas.openxmlformats.org/officeDocument/2006/relationships/hyperlink" Target="https://www.cettire.com/collections/eastpak" TargetMode="External"/><Relationship Id="rId4047" Type="http://schemas.openxmlformats.org/officeDocument/2006/relationships/hyperlink" Target="https://www.cettire.com/collections/polo-ralph-lauren" TargetMode="External"/><Relationship Id="rId4461" Type="http://schemas.openxmlformats.org/officeDocument/2006/relationships/hyperlink" Target="https://www.cettire.com/collections/helmut-lang" TargetMode="External"/><Relationship Id="rId3063" Type="http://schemas.openxmlformats.org/officeDocument/2006/relationships/hyperlink" Target="https://www.cettire.com/collections/alessandra-rich" TargetMode="External"/><Relationship Id="rId4114" Type="http://schemas.openxmlformats.org/officeDocument/2006/relationships/hyperlink" Target="https://www.cettire.com/collections/simone-rocha" TargetMode="External"/><Relationship Id="rId1708" Type="http://schemas.openxmlformats.org/officeDocument/2006/relationships/hyperlink" Target="https://www.cettire.com/collections/sacai" TargetMode="External"/><Relationship Id="rId3130" Type="http://schemas.openxmlformats.org/officeDocument/2006/relationships/hyperlink" Target="https://www.cettire.com/collections/c-p-company-kids" TargetMode="External"/><Relationship Id="rId2896" Type="http://schemas.openxmlformats.org/officeDocument/2006/relationships/hyperlink" Target="https://www.cettire.com/collections/readymade" TargetMode="External"/><Relationship Id="rId3947" Type="http://schemas.openxmlformats.org/officeDocument/2006/relationships/hyperlink" Target="https://www.cettire.com/collections/martine-rose" TargetMode="External"/><Relationship Id="rId868" Type="http://schemas.openxmlformats.org/officeDocument/2006/relationships/hyperlink" Target="https://www.cettire.com/collections/howlin" TargetMode="External"/><Relationship Id="rId1498" Type="http://schemas.openxmlformats.org/officeDocument/2006/relationships/hyperlink" Target="https://www.cettire.com/collections/junya-watanabe" TargetMode="External"/><Relationship Id="rId2549" Type="http://schemas.openxmlformats.org/officeDocument/2006/relationships/hyperlink" Target="https://www.cettire.com/collections/chiara-ferragni-kids" TargetMode="External"/><Relationship Id="rId2963" Type="http://schemas.openxmlformats.org/officeDocument/2006/relationships/hyperlink" Target="https://www.cettire.com/collections/t-by-alexander-wang" TargetMode="External"/><Relationship Id="rId935" Type="http://schemas.openxmlformats.org/officeDocument/2006/relationships/hyperlink" Target="https://www.cettire.com/collections/maisie-wilen" TargetMode="External"/><Relationship Id="rId1565" Type="http://schemas.openxmlformats.org/officeDocument/2006/relationships/hyperlink" Target="https://www.cettire.com/collections/maurizio-miri" TargetMode="External"/><Relationship Id="rId2616" Type="http://schemas.openxmlformats.org/officeDocument/2006/relationships/hyperlink" Target="https://www.cettire.com/collections/emile-et-ida" TargetMode="External"/><Relationship Id="rId1218" Type="http://schemas.openxmlformats.org/officeDocument/2006/relationships/hyperlink" Target="https://www.cettire.com/collections/mm-ilfig-r-kids" TargetMode="External"/><Relationship Id="rId1632" Type="http://schemas.openxmlformats.org/officeDocument/2006/relationships/hyperlink" Target="https://www.cettire.com/collections/oliver-peoples" TargetMode="External"/><Relationship Id="rId4788" Type="http://schemas.openxmlformats.org/officeDocument/2006/relationships/hyperlink" Target="https://www.cettire.com/collections/veja-kids" TargetMode="External"/><Relationship Id="rId3457" Type="http://schemas.openxmlformats.org/officeDocument/2006/relationships/hyperlink" Target="https://www.cettire.com/collections/pt05" TargetMode="External"/><Relationship Id="rId3871" Type="http://schemas.openxmlformats.org/officeDocument/2006/relationships/hyperlink" Target="https://www.cettire.com/collections/jacquemus" TargetMode="External"/><Relationship Id="rId4508" Type="http://schemas.openxmlformats.org/officeDocument/2006/relationships/hyperlink" Target="https://www.cettire.com/collections/kenzo" TargetMode="External"/><Relationship Id="rId378" Type="http://schemas.openxmlformats.org/officeDocument/2006/relationships/hyperlink" Target="https://www.cettire.com/collections/molo" TargetMode="External"/><Relationship Id="rId792" Type="http://schemas.openxmlformats.org/officeDocument/2006/relationships/hyperlink" Target="https://www.cettire.com/collections/eastpak" TargetMode="External"/><Relationship Id="rId2059" Type="http://schemas.openxmlformats.org/officeDocument/2006/relationships/hyperlink" Target="https://www.cettire.com/collections/golden-goose-kids" TargetMode="External"/><Relationship Id="rId2473" Type="http://schemas.openxmlformats.org/officeDocument/2006/relationships/hyperlink" Target="https://www.cettire.com/collections/anya-hindmarch" TargetMode="External"/><Relationship Id="rId3524" Type="http://schemas.openxmlformats.org/officeDocument/2006/relationships/hyperlink" Target="https://www.cettire.com/collections/studio-amelia" TargetMode="External"/><Relationship Id="rId445" Type="http://schemas.openxmlformats.org/officeDocument/2006/relationships/hyperlink" Target="https://www.cettire.com/collections/pierre-hardy" TargetMode="External"/><Relationship Id="rId1075" Type="http://schemas.openxmlformats.org/officeDocument/2006/relationships/hyperlink" Target="https://www.cettire.com/collections/re-done" TargetMode="External"/><Relationship Id="rId2126" Type="http://schemas.openxmlformats.org/officeDocument/2006/relationships/hyperlink" Target="https://www.cettire.com/collections/lauren-ralph-lauren" TargetMode="External"/><Relationship Id="rId2540" Type="http://schemas.openxmlformats.org/officeDocument/2006/relationships/hyperlink" Target="https://www.cettire.com/collections/carrera" TargetMode="External"/><Relationship Id="rId512" Type="http://schemas.openxmlformats.org/officeDocument/2006/relationships/hyperlink" Target="https://www.cettire.com/collections/self-portrait" TargetMode="External"/><Relationship Id="rId1142" Type="http://schemas.openxmlformats.org/officeDocument/2006/relationships/hyperlink" Target="https://www.cettire.com/collections/swarovski" TargetMode="External"/><Relationship Id="rId4298" Type="http://schemas.openxmlformats.org/officeDocument/2006/relationships/hyperlink" Target="https://www.cettire.com/collections/bottega-veneta" TargetMode="External"/><Relationship Id="rId4365" Type="http://schemas.openxmlformats.org/officeDocument/2006/relationships/hyperlink" Target="https://www.cettire.com/collections/cult-gaia" TargetMode="External"/><Relationship Id="rId1959" Type="http://schemas.openxmlformats.org/officeDocument/2006/relationships/hyperlink" Target="https://www.cettire.com/collections/comme-des-garcons-comme-des-garcons" TargetMode="External"/><Relationship Id="rId4018" Type="http://schemas.openxmlformats.org/officeDocument/2006/relationships/hyperlink" Target="https://www.cettire.com/collections/off-white-kids" TargetMode="External"/><Relationship Id="rId3381" Type="http://schemas.openxmlformats.org/officeDocument/2006/relationships/hyperlink" Target="https://www.cettire.com/collections/moncler-rick-owens" TargetMode="External"/><Relationship Id="rId4432" Type="http://schemas.openxmlformats.org/officeDocument/2006/relationships/hyperlink" Target="https://www.cettire.com/collections/frame" TargetMode="External"/><Relationship Id="rId3034" Type="http://schemas.openxmlformats.org/officeDocument/2006/relationships/hyperlink" Target="https://www.cettire.com/collections/3-1-phillip-lim" TargetMode="External"/><Relationship Id="rId2050" Type="http://schemas.openxmlformats.org/officeDocument/2006/relationships/hyperlink" Target="https://www.cettire.com/collections/gcds" TargetMode="External"/><Relationship Id="rId3101" Type="http://schemas.openxmlformats.org/officeDocument/2006/relationships/hyperlink" Target="https://www.cettire.com/collections/bao-bao-issey-miyake" TargetMode="External"/><Relationship Id="rId839" Type="http://schemas.openxmlformats.org/officeDocument/2006/relationships/hyperlink" Target="https://www.cettire.com/collections/gia-borghini" TargetMode="External"/><Relationship Id="rId1469" Type="http://schemas.openxmlformats.org/officeDocument/2006/relationships/hyperlink" Target="https://www.cettire.com/collections/hogan-kids" TargetMode="External"/><Relationship Id="rId2867" Type="http://schemas.openxmlformats.org/officeDocument/2006/relationships/hyperlink" Target="https://www.cettire.com/collections/philosophy-di-lorenzo-serafini-kids" TargetMode="External"/><Relationship Id="rId3918" Type="http://schemas.openxmlformats.org/officeDocument/2006/relationships/hyperlink" Target="https://www.cettire.com/collections/loewe" TargetMode="External"/><Relationship Id="rId1883" Type="http://schemas.openxmlformats.org/officeDocument/2006/relationships/hyperlink" Target="https://www.cettire.com/collections/axel-arigato" TargetMode="External"/><Relationship Id="rId2934" Type="http://schemas.openxmlformats.org/officeDocument/2006/relationships/hyperlink" Target="https://www.cettire.com/collections/save-the-duck-kids" TargetMode="External"/><Relationship Id="rId906" Type="http://schemas.openxmlformats.org/officeDocument/2006/relationships/hyperlink" Target="https://www.cettire.com/collections/khrisjoy" TargetMode="External"/><Relationship Id="rId1536" Type="http://schemas.openxmlformats.org/officeDocument/2006/relationships/hyperlink" Target="https://www.cettire.com/collections/love-moschino" TargetMode="External"/><Relationship Id="rId1950" Type="http://schemas.openxmlformats.org/officeDocument/2006/relationships/hyperlink" Target="https://www.cettire.com/collections/chopova-lowena" TargetMode="External"/><Relationship Id="rId1603" Type="http://schemas.openxmlformats.org/officeDocument/2006/relationships/hyperlink" Target="https://www.cettire.com/collections/msgm" TargetMode="External"/><Relationship Id="rId4759" Type="http://schemas.openxmlformats.org/officeDocument/2006/relationships/hyperlink" Target="https://www.cettire.com/collections/themoire" TargetMode="External"/><Relationship Id="rId3775" Type="http://schemas.openxmlformats.org/officeDocument/2006/relationships/hyperlink" Target="https://www.cettire.com/collections/dr-martens" TargetMode="External"/><Relationship Id="rId696" Type="http://schemas.openxmlformats.org/officeDocument/2006/relationships/hyperlink" Target="https://www.cettire.com/collections/bottega-veneta-eyewear" TargetMode="External"/><Relationship Id="rId2377" Type="http://schemas.openxmlformats.org/officeDocument/2006/relationships/hyperlink" Target="https://www.cettire.com/collections/twinset-kids" TargetMode="External"/><Relationship Id="rId2791" Type="http://schemas.openxmlformats.org/officeDocument/2006/relationships/hyperlink" Target="https://www.cettire.com/collections/mini-rodini" TargetMode="External"/><Relationship Id="rId3428" Type="http://schemas.openxmlformats.org/officeDocument/2006/relationships/hyperlink" Target="https://www.cettire.com/collections/palm-angels" TargetMode="External"/><Relationship Id="rId349" Type="http://schemas.openxmlformats.org/officeDocument/2006/relationships/hyperlink" Target="https://www.cettire.com/collections/marni-kids" TargetMode="External"/><Relationship Id="rId763" Type="http://schemas.openxmlformats.org/officeDocument/2006/relationships/hyperlink" Target="https://www.cettire.com/collections/current-elliott" TargetMode="External"/><Relationship Id="rId1393" Type="http://schemas.openxmlformats.org/officeDocument/2006/relationships/hyperlink" Target="https://www.cettire.com/collections/dsquared2" TargetMode="External"/><Relationship Id="rId2444" Type="http://schemas.openxmlformats.org/officeDocument/2006/relationships/hyperlink" Target="https://www.cettire.com/collections/adidas-originals" TargetMode="External"/><Relationship Id="rId3842" Type="http://schemas.openxmlformats.org/officeDocument/2006/relationships/hyperlink" Target="https://www.cettire.com/collections/gucci-kids" TargetMode="External"/><Relationship Id="rId416" Type="http://schemas.openxmlformats.org/officeDocument/2006/relationships/hyperlink" Target="https://www.cettire.com/collections/norse-projects" TargetMode="External"/><Relationship Id="rId1046" Type="http://schemas.openxmlformats.org/officeDocument/2006/relationships/hyperlink" Target="https://www.cettire.com/collections/philosophy-di-lorenzo-serafini" TargetMode="External"/><Relationship Id="rId830" Type="http://schemas.openxmlformats.org/officeDocument/2006/relationships/hyperlink" Target="https://www.cettire.com/collections/freedomday" TargetMode="External"/><Relationship Id="rId1460" Type="http://schemas.openxmlformats.org/officeDocument/2006/relationships/hyperlink" Target="https://www.cettire.com/collections/haider-ackermann" TargetMode="External"/><Relationship Id="rId2511" Type="http://schemas.openxmlformats.org/officeDocument/2006/relationships/hyperlink" Target="https://www.cettire.com/collections/boglioli" TargetMode="External"/><Relationship Id="rId1113" Type="http://schemas.openxmlformats.org/officeDocument/2006/relationships/hyperlink" Target="https://www.cettire.com/collections/save-the-duck" TargetMode="External"/><Relationship Id="rId4269" Type="http://schemas.openxmlformats.org/officeDocument/2006/relationships/hyperlink" Target="https://www.cettire.com/collections/aspesi" TargetMode="External"/><Relationship Id="rId4683" Type="http://schemas.openxmlformats.org/officeDocument/2006/relationships/hyperlink" Target="https://www.cettire.com/collections/red-valentino" TargetMode="External"/><Relationship Id="rId3285" Type="http://schemas.openxmlformats.org/officeDocument/2006/relationships/hyperlink" Target="https://www.cettire.com/collections/jil-sander" TargetMode="External"/><Relationship Id="rId4336" Type="http://schemas.openxmlformats.org/officeDocument/2006/relationships/hyperlink" Target="https://www.cettire.com/collections/chinatown-market" TargetMode="External"/><Relationship Id="rId4750" Type="http://schemas.openxmlformats.org/officeDocument/2006/relationships/hyperlink" Target="https://www.cettire.com/collections/telfar" TargetMode="External"/><Relationship Id="rId3352" Type="http://schemas.openxmlformats.org/officeDocument/2006/relationships/hyperlink" Target="https://www.cettire.com/collections/marni-kids" TargetMode="External"/><Relationship Id="rId4403" Type="http://schemas.openxmlformats.org/officeDocument/2006/relationships/hyperlink" Target="https://www.cettire.com/collections/emporio-armani" TargetMode="External"/><Relationship Id="rId273" Type="http://schemas.openxmlformats.org/officeDocument/2006/relationships/hyperlink" Target="https://www.cettire.com/collections/isabel-marant-etoile" TargetMode="External"/><Relationship Id="rId3005" Type="http://schemas.openxmlformats.org/officeDocument/2006/relationships/hyperlink" Target="https://www.cettire.com/collections/versace-eyewear" TargetMode="External"/><Relationship Id="rId340" Type="http://schemas.openxmlformats.org/officeDocument/2006/relationships/hyperlink" Target="https://www.cettire.com/collections/mansur-gavriel" TargetMode="External"/><Relationship Id="rId2021" Type="http://schemas.openxmlformats.org/officeDocument/2006/relationships/hyperlink" Target="https://www.cettire.com/collections/eudon-choi" TargetMode="External"/><Relationship Id="rId4193" Type="http://schemas.openxmlformats.org/officeDocument/2006/relationships/hyperlink" Target="https://www.cettire.com/collections/woolrich" TargetMode="External"/><Relationship Id="rId1787" Type="http://schemas.openxmlformats.org/officeDocument/2006/relationships/hyperlink" Target="https://www.cettire.com/collections/veja" TargetMode="External"/><Relationship Id="rId2838" Type="http://schemas.openxmlformats.org/officeDocument/2006/relationships/hyperlink" Target="https://www.cettire.com/collections/norse-projects" TargetMode="External"/><Relationship Id="rId79" Type="http://schemas.openxmlformats.org/officeDocument/2006/relationships/hyperlink" Target="https://www.cettire.com/collections/baum-und-pferdgarten" TargetMode="External"/><Relationship Id="rId1854" Type="http://schemas.openxmlformats.org/officeDocument/2006/relationships/hyperlink" Target="https://www.cettire.com/collections/alexander-wang" TargetMode="External"/><Relationship Id="rId2905" Type="http://schemas.openxmlformats.org/officeDocument/2006/relationships/hyperlink" Target="https://www.cettire.com/collections/represent" TargetMode="External"/><Relationship Id="rId4260" Type="http://schemas.openxmlformats.org/officeDocument/2006/relationships/hyperlink" Target="https://www.cettire.com/collections/aquazzura" TargetMode="External"/><Relationship Id="rId1507" Type="http://schemas.openxmlformats.org/officeDocument/2006/relationships/hyperlink" Target="https://www.cettire.com/collections/karl-lagerfeld" TargetMode="External"/><Relationship Id="rId1921" Type="http://schemas.openxmlformats.org/officeDocument/2006/relationships/hyperlink" Target="https://www.cettire.com/collections/buscemi" TargetMode="External"/><Relationship Id="rId3679" Type="http://schemas.openxmlformats.org/officeDocument/2006/relationships/hyperlink" Target="https://www.cettire.com/collections/billionaire-boys-club" TargetMode="External"/><Relationship Id="rId1297" Type="http://schemas.openxmlformats.org/officeDocument/2006/relationships/hyperlink" Target="https://www.cettire.com/collections/birkenstock" TargetMode="External"/><Relationship Id="rId2695" Type="http://schemas.openxmlformats.org/officeDocument/2006/relationships/hyperlink" Target="https://www.cettire.com/collections/issey-miyake" TargetMode="External"/><Relationship Id="rId3746" Type="http://schemas.openxmlformats.org/officeDocument/2006/relationships/hyperlink" Target="https://www.cettire.com/collections/common-projects" TargetMode="External"/><Relationship Id="rId667" Type="http://schemas.openxmlformats.org/officeDocument/2006/relationships/hyperlink" Target="https://www.cettire.com/collections/attico" TargetMode="External"/><Relationship Id="rId2348" Type="http://schemas.openxmlformats.org/officeDocument/2006/relationships/hyperlink" Target="https://www.cettire.com/collections/stussy" TargetMode="External"/><Relationship Id="rId2762" Type="http://schemas.openxmlformats.org/officeDocument/2006/relationships/hyperlink" Target="https://www.cettire.com/collections/manu-atelier" TargetMode="External"/><Relationship Id="rId3813" Type="http://schemas.openxmlformats.org/officeDocument/2006/relationships/hyperlink" Target="https://www.cettire.com/collections/fenty-x-puma" TargetMode="External"/><Relationship Id="rId734" Type="http://schemas.openxmlformats.org/officeDocument/2006/relationships/hyperlink" Target="https://www.cettire.com/collections/chloe-eyewear" TargetMode="External"/><Relationship Id="rId1364" Type="http://schemas.openxmlformats.org/officeDocument/2006/relationships/hyperlink" Target="https://www.cettire.com/collections/coperni" TargetMode="External"/><Relationship Id="rId2415" Type="http://schemas.openxmlformats.org/officeDocument/2006/relationships/hyperlink" Target="https://www.cettire.com/collections/yohji-yamamoto" TargetMode="External"/><Relationship Id="rId70" Type="http://schemas.openxmlformats.org/officeDocument/2006/relationships/hyperlink" Target="https://www.cettire.com/collections/bally" TargetMode="External"/><Relationship Id="rId801" Type="http://schemas.openxmlformats.org/officeDocument/2006/relationships/hyperlink" Target="https://www.cettire.com/collections/emporio-armani-kids" TargetMode="External"/><Relationship Id="rId1017" Type="http://schemas.openxmlformats.org/officeDocument/2006/relationships/hyperlink" Target="https://www.cettire.com/collections/noon-goons" TargetMode="External"/><Relationship Id="rId1431" Type="http://schemas.openxmlformats.org/officeDocument/2006/relationships/hyperlink" Target="https://www.cettire.com/collections/finamore-1925-napoli" TargetMode="External"/><Relationship Id="rId4587" Type="http://schemas.openxmlformats.org/officeDocument/2006/relationships/hyperlink" Target="https://www.cettire.com/collections/mm6-maison-margiela-kids" TargetMode="External"/><Relationship Id="rId3189" Type="http://schemas.openxmlformats.org/officeDocument/2006/relationships/hyperlink" Target="https://www.cettire.com/collections/dior-homme" TargetMode="External"/><Relationship Id="rId4654" Type="http://schemas.openxmlformats.org/officeDocument/2006/relationships/hyperlink" Target="https://www.cettire.com/collections/pierre-hardy" TargetMode="External"/><Relationship Id="rId3256" Type="http://schemas.openxmlformats.org/officeDocument/2006/relationships/hyperlink" Target="https://www.cettire.com/collections/gucci-eyewear" TargetMode="External"/><Relationship Id="rId4307" Type="http://schemas.openxmlformats.org/officeDocument/2006/relationships/hyperlink" Target="https://www.cettire.com/collections/bulgari" TargetMode="External"/><Relationship Id="rId177" Type="http://schemas.openxmlformats.org/officeDocument/2006/relationships/hyperlink" Target="https://www.cettire.com/collections/dodo-bar-or" TargetMode="External"/><Relationship Id="rId591" Type="http://schemas.openxmlformats.org/officeDocument/2006/relationships/hyperlink" Target="https://www.cettire.com/collections/weekend-max-mara" TargetMode="External"/><Relationship Id="rId2272" Type="http://schemas.openxmlformats.org/officeDocument/2006/relationships/hyperlink" Target="https://www.cettire.com/collections/proenza-schouler-white-label" TargetMode="External"/><Relationship Id="rId3670" Type="http://schemas.openxmlformats.org/officeDocument/2006/relationships/hyperlink" Target="https://www.cettire.com/collections/barbour" TargetMode="External"/><Relationship Id="rId4721" Type="http://schemas.openxmlformats.org/officeDocument/2006/relationships/hyperlink" Target="https://www.cettire.com/collections/sergio-rossi" TargetMode="External"/><Relationship Id="rId244" Type="http://schemas.openxmlformats.org/officeDocument/2006/relationships/hyperlink" Target="https://www.cettire.com/collections/greg-lauren" TargetMode="External"/><Relationship Id="rId3323" Type="http://schemas.openxmlformats.org/officeDocument/2006/relationships/hyperlink" Target="https://www.cettire.com/collections/li-ning" TargetMode="External"/><Relationship Id="rId311" Type="http://schemas.openxmlformats.org/officeDocument/2006/relationships/hyperlink" Target="https://www.cettire.com/collections/lanvin-enfant" TargetMode="External"/><Relationship Id="rId4097" Type="http://schemas.openxmlformats.org/officeDocument/2006/relationships/hyperlink" Target="https://www.cettire.com/collections/saint-laurent-eyewear" TargetMode="External"/><Relationship Id="rId1758" Type="http://schemas.openxmlformats.org/officeDocument/2006/relationships/hyperlink" Target="https://www.cettire.com/collections/the-north-face-kids" TargetMode="External"/><Relationship Id="rId2809" Type="http://schemas.openxmlformats.org/officeDocument/2006/relationships/hyperlink" Target="https://www.cettire.com/collections/montblanc" TargetMode="External"/><Relationship Id="rId4164" Type="http://schemas.openxmlformats.org/officeDocument/2006/relationships/hyperlink" Target="https://www.cettire.com/collections/ugg-kids" TargetMode="External"/><Relationship Id="rId3180" Type="http://schemas.openxmlformats.org/officeDocument/2006/relationships/hyperlink" Target="https://www.cettire.com/collections/department-5" TargetMode="External"/><Relationship Id="rId4231" Type="http://schemas.openxmlformats.org/officeDocument/2006/relationships/hyperlink" Target="https://www.cettire.com/collections/aeyd%C4%93" TargetMode="External"/><Relationship Id="rId1825" Type="http://schemas.openxmlformats.org/officeDocument/2006/relationships/hyperlink" Target="https://www.cettire.com/collections/mm-ilfig-r-kids" TargetMode="External"/><Relationship Id="rId3997" Type="http://schemas.openxmlformats.org/officeDocument/2006/relationships/hyperlink" Target="https://www.cettire.com/collections/nanushka" TargetMode="External"/><Relationship Id="rId2599" Type="http://schemas.openxmlformats.org/officeDocument/2006/relationships/hyperlink" Target="https://www.cettire.com/collections/dodo-bar-or" TargetMode="External"/><Relationship Id="rId985" Type="http://schemas.openxmlformats.org/officeDocument/2006/relationships/hyperlink" Target="https://www.cettire.com/collections/moncler-eyewear" TargetMode="External"/><Relationship Id="rId2666" Type="http://schemas.openxmlformats.org/officeDocument/2006/relationships/hyperlink" Target="https://www.cettire.com/collections/grevi" TargetMode="External"/><Relationship Id="rId3717" Type="http://schemas.openxmlformats.org/officeDocument/2006/relationships/hyperlink" Target="https://www.cettire.com/collections/cecilie-bahnsen" TargetMode="External"/><Relationship Id="rId638" Type="http://schemas.openxmlformats.org/officeDocument/2006/relationships/hyperlink" Target="https://www.cettire.com/collections/alessandra-rich" TargetMode="External"/><Relationship Id="rId1268" Type="http://schemas.openxmlformats.org/officeDocument/2006/relationships/hyperlink" Target="https://www.cettire.com/collections/arizona-love" TargetMode="External"/><Relationship Id="rId1682" Type="http://schemas.openxmlformats.org/officeDocument/2006/relationships/hyperlink" Target="https://www.cettire.com/collections/readymade" TargetMode="External"/><Relationship Id="rId2319" Type="http://schemas.openxmlformats.org/officeDocument/2006/relationships/hyperlink" Target="https://www.cettire.com/collections/salvatore-ferragamo-eyewear" TargetMode="External"/><Relationship Id="rId2733" Type="http://schemas.openxmlformats.org/officeDocument/2006/relationships/hyperlink" Target="https://www.cettire.com/collections/lanvin-enfant" TargetMode="External"/><Relationship Id="rId705" Type="http://schemas.openxmlformats.org/officeDocument/2006/relationships/hyperlink" Target="https://www.cettire.com/collections/burberry" TargetMode="External"/><Relationship Id="rId1335" Type="http://schemas.openxmlformats.org/officeDocument/2006/relationships/hyperlink" Target="https://www.cettire.com/collections/champion" TargetMode="External"/><Relationship Id="rId2800" Type="http://schemas.openxmlformats.org/officeDocument/2006/relationships/hyperlink" Target="https://www.cettire.com/collections/molo" TargetMode="External"/><Relationship Id="rId41" Type="http://schemas.openxmlformats.org/officeDocument/2006/relationships/hyperlink" Target="https://www.cettire.com/collections/amen" TargetMode="External"/><Relationship Id="rId1402" Type="http://schemas.openxmlformats.org/officeDocument/2006/relationships/hyperlink" Target="https://www.cettire.com/collections/elie-saab-junior" TargetMode="External"/><Relationship Id="rId4558" Type="http://schemas.openxmlformats.org/officeDocument/2006/relationships/hyperlink" Target="https://www.cettire.com/collections/marni-kids" TargetMode="External"/><Relationship Id="rId3574" Type="http://schemas.openxmlformats.org/officeDocument/2006/relationships/hyperlink" Target="https://www.cettire.com/collections/vision-of-super-kids" TargetMode="External"/><Relationship Id="rId4625" Type="http://schemas.openxmlformats.org/officeDocument/2006/relationships/hyperlink" Target="https://www.cettire.com/collections/north-sails-x-prada-cup" TargetMode="External"/><Relationship Id="rId495" Type="http://schemas.openxmlformats.org/officeDocument/2006/relationships/hyperlink" Target="https://www.cettire.com/collections/rosantica" TargetMode="External"/><Relationship Id="rId2176" Type="http://schemas.openxmlformats.org/officeDocument/2006/relationships/hyperlink" Target="https://www.cettire.com/collections/mcm" TargetMode="External"/><Relationship Id="rId2590" Type="http://schemas.openxmlformats.org/officeDocument/2006/relationships/hyperlink" Target="https://www.cettire.com/collections/diesel" TargetMode="External"/><Relationship Id="rId3227" Type="http://schemas.openxmlformats.org/officeDocument/2006/relationships/hyperlink" Target="https://www.cettire.com/collections/fear-of-god" TargetMode="External"/><Relationship Id="rId3641" Type="http://schemas.openxmlformats.org/officeDocument/2006/relationships/hyperlink" Target="https://www.cettire.com/collections/anita-bilardi" TargetMode="External"/><Relationship Id="rId148" Type="http://schemas.openxmlformats.org/officeDocument/2006/relationships/hyperlink" Target="https://www.cettire.com/collections/comme-des-garcons-play-kids" TargetMode="External"/><Relationship Id="rId562" Type="http://schemas.openxmlformats.org/officeDocument/2006/relationships/hyperlink" Target="https://www.cettire.com/collections/twinset" TargetMode="External"/><Relationship Id="rId1192" Type="http://schemas.openxmlformats.org/officeDocument/2006/relationships/hyperlink" Target="https://www.cettire.com/collections/wales-bonner" TargetMode="External"/><Relationship Id="rId2243" Type="http://schemas.openxmlformats.org/officeDocument/2006/relationships/hyperlink" Target="https://www.cettire.com/collections/paco-rabanne" TargetMode="External"/><Relationship Id="rId215" Type="http://schemas.openxmlformats.org/officeDocument/2006/relationships/hyperlink" Target="https://www.cettire.com/collections/fendi-eyewear" TargetMode="External"/><Relationship Id="rId2310" Type="http://schemas.openxmlformats.org/officeDocument/2006/relationships/hyperlink" Target="https://www.cettire.com/collections/rotate" TargetMode="External"/><Relationship Id="rId4068" Type="http://schemas.openxmlformats.org/officeDocument/2006/relationships/hyperlink" Target="https://www.cettire.com/collections/re-done" TargetMode="External"/><Relationship Id="rId4482" Type="http://schemas.openxmlformats.org/officeDocument/2006/relationships/hyperlink" Target="https://www.cettire.com/collections/isaia" TargetMode="External"/><Relationship Id="rId3084" Type="http://schemas.openxmlformats.org/officeDocument/2006/relationships/hyperlink" Target="https://www.cettire.com/collections/area" TargetMode="External"/><Relationship Id="rId4135" Type="http://schemas.openxmlformats.org/officeDocument/2006/relationships/hyperlink" Target="https://www.cettire.com/collections/swarovski" TargetMode="External"/><Relationship Id="rId1729" Type="http://schemas.openxmlformats.org/officeDocument/2006/relationships/hyperlink" Target="https://www.cettire.com/collections/sofie-dhoore" TargetMode="External"/><Relationship Id="rId3151" Type="http://schemas.openxmlformats.org/officeDocument/2006/relationships/hyperlink" Target="https://www.cettire.com/collections/chopard-eyewear" TargetMode="External"/><Relationship Id="rId4202" Type="http://schemas.openxmlformats.org/officeDocument/2006/relationships/hyperlink" Target="https://www.cettire.com/collections/yves-salomon" TargetMode="External"/><Relationship Id="rId3968" Type="http://schemas.openxmlformats.org/officeDocument/2006/relationships/hyperlink" Target="https://www.cettire.com/collections/missoni-home" TargetMode="External"/><Relationship Id="rId5" Type="http://schemas.openxmlformats.org/officeDocument/2006/relationships/hyperlink" Target="https://www.cettire.com/collections/7-for-all-mankind" TargetMode="External"/><Relationship Id="rId889" Type="http://schemas.openxmlformats.org/officeDocument/2006/relationships/hyperlink" Target="https://www.cettire.com/collections/john-elliott" TargetMode="External"/><Relationship Id="rId1586" Type="http://schemas.openxmlformats.org/officeDocument/2006/relationships/hyperlink" Target="https://www.cettire.com/collections/mm6-maison-margiela-kids" TargetMode="External"/><Relationship Id="rId2984" Type="http://schemas.openxmlformats.org/officeDocument/2006/relationships/hyperlink" Target="https://www.cettire.com/collections/trickers" TargetMode="External"/><Relationship Id="rId609" Type="http://schemas.openxmlformats.org/officeDocument/2006/relationships/hyperlink" Target="https://www.cettire.com/collections/3-1-phillip-lim" TargetMode="External"/><Relationship Id="rId956" Type="http://schemas.openxmlformats.org/officeDocument/2006/relationships/hyperlink" Target="https://www.cettire.com/collections/mastermind-world" TargetMode="External"/><Relationship Id="rId1239" Type="http://schemas.openxmlformats.org/officeDocument/2006/relationships/hyperlink" Target="https://www.cettire.com/collections/alanui" TargetMode="External"/><Relationship Id="rId2637" Type="http://schemas.openxmlformats.org/officeDocument/2006/relationships/hyperlink" Target="https://www.cettire.com/collections/fendi" TargetMode="External"/><Relationship Id="rId1653" Type="http://schemas.openxmlformats.org/officeDocument/2006/relationships/hyperlink" Target="https://www.cettire.com/collections/philosophy-di-lorenzo-serafini-kids" TargetMode="External"/><Relationship Id="rId2704" Type="http://schemas.openxmlformats.org/officeDocument/2006/relationships/hyperlink" Target="https://www.cettire.com/collections/jimmy-choo-eyewear" TargetMode="External"/><Relationship Id="rId1306" Type="http://schemas.openxmlformats.org/officeDocument/2006/relationships/hyperlink" Target="https://www.cettire.com/collections/boyy" TargetMode="External"/><Relationship Id="rId1720" Type="http://schemas.openxmlformats.org/officeDocument/2006/relationships/hyperlink" Target="https://www.cettire.com/collections/save-the-duck-kids" TargetMode="External"/><Relationship Id="rId12" Type="http://schemas.openxmlformats.org/officeDocument/2006/relationships/hyperlink" Target="https://www.cettire.com/collections/ader-error" TargetMode="External"/><Relationship Id="rId3478" Type="http://schemas.openxmlformats.org/officeDocument/2006/relationships/hyperlink" Target="https://www.cettire.com/collections/retrosuperfuture" TargetMode="External"/><Relationship Id="rId3892" Type="http://schemas.openxmlformats.org/officeDocument/2006/relationships/hyperlink" Target="https://www.cettire.com/collections/karl-lagerfeld-kids" TargetMode="External"/><Relationship Id="rId4529" Type="http://schemas.openxmlformats.org/officeDocument/2006/relationships/hyperlink" Target="https://www.cettire.com/collections/lisa-marie-fernandez" TargetMode="External"/><Relationship Id="rId399" Type="http://schemas.openxmlformats.org/officeDocument/2006/relationships/hyperlink" Target="https://www.cettire.com/collections/n-21" TargetMode="External"/><Relationship Id="rId2494" Type="http://schemas.openxmlformats.org/officeDocument/2006/relationships/hyperlink" Target="https://www.cettire.com/collections/balmain" TargetMode="External"/><Relationship Id="rId3545" Type="http://schemas.openxmlformats.org/officeDocument/2006/relationships/hyperlink" Target="https://www.cettire.com/collections/tom-ford" TargetMode="External"/><Relationship Id="rId466" Type="http://schemas.openxmlformats.org/officeDocument/2006/relationships/hyperlink" Target="https://www.cettire.com/collections/rag-bone" TargetMode="External"/><Relationship Id="rId880" Type="http://schemas.openxmlformats.org/officeDocument/2006/relationships/hyperlink" Target="https://www.cettire.com/collections/issey-miyake-men" TargetMode="External"/><Relationship Id="rId1096" Type="http://schemas.openxmlformats.org/officeDocument/2006/relationships/hyperlink" Target="https://www.cettire.com/collections/rodebjer" TargetMode="External"/><Relationship Id="rId2147" Type="http://schemas.openxmlformats.org/officeDocument/2006/relationships/hyperlink" Target="https://www.cettire.com/collections/maison-margiela" TargetMode="External"/><Relationship Id="rId2561" Type="http://schemas.openxmlformats.org/officeDocument/2006/relationships/hyperlink" Target="https://www.cettire.com/collections/coliac" TargetMode="External"/><Relationship Id="rId119" Type="http://schemas.openxmlformats.org/officeDocument/2006/relationships/hyperlink" Target="https://www.cettire.com/collections/cartier" TargetMode="External"/><Relationship Id="rId533" Type="http://schemas.openxmlformats.org/officeDocument/2006/relationships/hyperlink" Target="https://www.cettire.com/collections/studio-amelia" TargetMode="External"/><Relationship Id="rId1163" Type="http://schemas.openxmlformats.org/officeDocument/2006/relationships/hyperlink" Target="https://www.cettire.com/collections/toteme" TargetMode="External"/><Relationship Id="rId2214" Type="http://schemas.openxmlformats.org/officeDocument/2006/relationships/hyperlink" Target="https://www.cettire.com/collections/nanushka" TargetMode="External"/><Relationship Id="rId3612" Type="http://schemas.openxmlformats.org/officeDocument/2006/relationships/hyperlink" Target="https://www.cettire.com/collections/adidas-by-stella-mccartney" TargetMode="External"/><Relationship Id="rId600" Type="http://schemas.openxmlformats.org/officeDocument/2006/relationships/hyperlink" Target="https://www.cettire.com/collections/yohji-yamamoto" TargetMode="External"/><Relationship Id="rId1230" Type="http://schemas.openxmlformats.org/officeDocument/2006/relationships/hyperlink" Target="https://www.cettire.com/collections/adidas-by-wales-bonner" TargetMode="External"/><Relationship Id="rId4386" Type="http://schemas.openxmlformats.org/officeDocument/2006/relationships/hyperlink" Target="https://www.cettire.com/collections/dolce-gabbana-eyewear" TargetMode="External"/><Relationship Id="rId4039" Type="http://schemas.openxmlformats.org/officeDocument/2006/relationships/hyperlink" Target="https://www.cettire.com/collections/philippe-model-paris" TargetMode="External"/><Relationship Id="rId4453" Type="http://schemas.openxmlformats.org/officeDocument/2006/relationships/hyperlink" Target="https://www.cettire.com/collections/greg-lauren" TargetMode="External"/><Relationship Id="rId3055" Type="http://schemas.openxmlformats.org/officeDocument/2006/relationships/hyperlink" Target="https://www.cettire.com/collections/adriana-degreas" TargetMode="External"/><Relationship Id="rId4106" Type="http://schemas.openxmlformats.org/officeDocument/2006/relationships/hyperlink" Target="https://www.cettire.com/collections/save-the-duck" TargetMode="External"/><Relationship Id="rId4520" Type="http://schemas.openxmlformats.org/officeDocument/2006/relationships/hyperlink" Target="https://www.cettire.com/collections/lanvin-enfant" TargetMode="External"/><Relationship Id="rId390" Type="http://schemas.openxmlformats.org/officeDocument/2006/relationships/hyperlink" Target="https://www.cettire.com/collections/moschino-eyewear" TargetMode="External"/><Relationship Id="rId2071" Type="http://schemas.openxmlformats.org/officeDocument/2006/relationships/hyperlink" Target="https://www.cettire.com/collections/herno-kids" TargetMode="External"/><Relationship Id="rId3122" Type="http://schemas.openxmlformats.org/officeDocument/2006/relationships/hyperlink" Target="https://www.cettire.com/collections/bulgari" TargetMode="External"/><Relationship Id="rId110" Type="http://schemas.openxmlformats.org/officeDocument/2006/relationships/hyperlink" Target="https://www.cettire.com/collections/calvin-klein" TargetMode="External"/><Relationship Id="rId2888" Type="http://schemas.openxmlformats.org/officeDocument/2006/relationships/hyperlink" Target="https://www.cettire.com/collections/r13" TargetMode="External"/><Relationship Id="rId3939" Type="http://schemas.openxmlformats.org/officeDocument/2006/relationships/hyperlink" Target="https://www.cettire.com/collections/marcelo-burlon-county-of-milan" TargetMode="External"/><Relationship Id="rId2955" Type="http://schemas.openxmlformats.org/officeDocument/2006/relationships/hyperlink" Target="https://www.cettire.com/collections/stone-island-shadow-project" TargetMode="External"/><Relationship Id="rId927" Type="http://schemas.openxmlformats.org/officeDocument/2006/relationships/hyperlink" Target="https://www.cettire.com/collections/longchamp" TargetMode="External"/><Relationship Id="rId1557" Type="http://schemas.openxmlformats.org/officeDocument/2006/relationships/hyperlink" Target="https://www.cettire.com/collections/marni-eyewear" TargetMode="External"/><Relationship Id="rId1971" Type="http://schemas.openxmlformats.org/officeDocument/2006/relationships/hyperlink" Target="https://www.cettire.com/collections/corneliani" TargetMode="External"/><Relationship Id="rId2608" Type="http://schemas.openxmlformats.org/officeDocument/2006/relationships/hyperlink" Target="https://www.cettire.com/collections/duvetica" TargetMode="External"/><Relationship Id="rId1624" Type="http://schemas.openxmlformats.org/officeDocument/2006/relationships/hyperlink" Target="https://www.cettire.com/collections/norse-projects" TargetMode="External"/><Relationship Id="rId4030" Type="http://schemas.openxmlformats.org/officeDocument/2006/relationships/hyperlink" Target="https://www.cettire.com/collections/paraboot" TargetMode="External"/><Relationship Id="rId3796" Type="http://schemas.openxmlformats.org/officeDocument/2006/relationships/hyperlink" Target="https://www.cettire.com/collections/ermenegildo-zegna" TargetMode="External"/><Relationship Id="rId2398" Type="http://schemas.openxmlformats.org/officeDocument/2006/relationships/hyperlink" Target="https://www.cettire.com/collections/vince" TargetMode="External"/><Relationship Id="rId3449" Type="http://schemas.openxmlformats.org/officeDocument/2006/relationships/hyperlink" Target="https://www.cettire.com/collections/prada" TargetMode="External"/><Relationship Id="rId3863" Type="http://schemas.openxmlformats.org/officeDocument/2006/relationships/hyperlink" Target="https://www.cettire.com/collections/in-the-mood-for-love" TargetMode="External"/><Relationship Id="rId784" Type="http://schemas.openxmlformats.org/officeDocument/2006/relationships/hyperlink" Target="https://www.cettire.com/collections/dolce-gabbana-kids" TargetMode="External"/><Relationship Id="rId1067" Type="http://schemas.openxmlformats.org/officeDocument/2006/relationships/hyperlink" Target="https://www.cettire.com/collections/r-m-williams" TargetMode="External"/><Relationship Id="rId2465" Type="http://schemas.openxmlformats.org/officeDocument/2006/relationships/hyperlink" Target="https://www.cettire.com/collections/ami" TargetMode="External"/><Relationship Id="rId3516" Type="http://schemas.openxmlformats.org/officeDocument/2006/relationships/hyperlink" Target="https://www.cettire.com/collections/staud" TargetMode="External"/><Relationship Id="rId3930" Type="http://schemas.openxmlformats.org/officeDocument/2006/relationships/hyperlink" Target="https://www.cettire.com/collections/maison-michel" TargetMode="External"/><Relationship Id="rId437" Type="http://schemas.openxmlformats.org/officeDocument/2006/relationships/hyperlink" Target="https://www.cettire.com/collections/paura-x-kappa" TargetMode="External"/><Relationship Id="rId851" Type="http://schemas.openxmlformats.org/officeDocument/2006/relationships/hyperlink" Target="https://www.cettire.com/collections/gucci-eyewear" TargetMode="External"/><Relationship Id="rId1481" Type="http://schemas.openxmlformats.org/officeDocument/2006/relationships/hyperlink" Target="https://www.cettire.com/collections/incotex" TargetMode="External"/><Relationship Id="rId2118" Type="http://schemas.openxmlformats.org/officeDocument/2006/relationships/hyperlink" Target="https://www.cettire.com/collections/khrisjoy-kids" TargetMode="External"/><Relationship Id="rId2532" Type="http://schemas.openxmlformats.org/officeDocument/2006/relationships/hyperlink" Target="https://www.cettire.com/collections/calvin-klein" TargetMode="External"/><Relationship Id="rId504" Type="http://schemas.openxmlformats.org/officeDocument/2006/relationships/hyperlink" Target="https://www.cettire.com/collections/salvatore-ferragamo" TargetMode="External"/><Relationship Id="rId1134" Type="http://schemas.openxmlformats.org/officeDocument/2006/relationships/hyperlink" Target="https://www.cettire.com/collections/stone-island-junior" TargetMode="External"/><Relationship Id="rId1201" Type="http://schemas.openxmlformats.org/officeDocument/2006/relationships/hyperlink" Target="https://www.cettire.com/collections/ys" TargetMode="External"/><Relationship Id="rId4357" Type="http://schemas.openxmlformats.org/officeDocument/2006/relationships/hyperlink" Target="https://www.cettire.com/collections/comme-des-garcons-shirt-boys" TargetMode="External"/><Relationship Id="rId4771" Type="http://schemas.openxmlformats.org/officeDocument/2006/relationships/hyperlink" Target="https://www.cettire.com/collections/trippen" TargetMode="External"/><Relationship Id="rId3373" Type="http://schemas.openxmlformats.org/officeDocument/2006/relationships/hyperlink" Target="https://www.cettire.com/collections/missoni" TargetMode="External"/><Relationship Id="rId4424" Type="http://schemas.openxmlformats.org/officeDocument/2006/relationships/hyperlink" Target="https://www.cettire.com/collections/fendi-eyewear" TargetMode="External"/><Relationship Id="rId294" Type="http://schemas.openxmlformats.org/officeDocument/2006/relationships/hyperlink" Target="https://www.cettire.com/collections/kappa" TargetMode="External"/><Relationship Id="rId3026" Type="http://schemas.openxmlformats.org/officeDocument/2006/relationships/hyperlink" Target="https://www.cettire.com/collections/yuzefi" TargetMode="External"/><Relationship Id="rId361" Type="http://schemas.openxmlformats.org/officeDocument/2006/relationships/hyperlink" Target="https://www.cettire.com/collections/mc2-saint-barth" TargetMode="External"/><Relationship Id="rId2042" Type="http://schemas.openxmlformats.org/officeDocument/2006/relationships/hyperlink" Target="https://www.cettire.com/collections/francesco-russo" TargetMode="External"/><Relationship Id="rId3440" Type="http://schemas.openxmlformats.org/officeDocument/2006/relationships/hyperlink" Target="https://www.cettire.com/collections/philosophy-di-lorenzo-serafini-kids" TargetMode="External"/><Relationship Id="rId2859" Type="http://schemas.openxmlformats.org/officeDocument/2006/relationships/hyperlink" Target="https://www.cettire.com/collections/paul-smith" TargetMode="External"/><Relationship Id="rId1875" Type="http://schemas.openxmlformats.org/officeDocument/2006/relationships/hyperlink" Target="https://www.cettire.com/collections/arma" TargetMode="External"/><Relationship Id="rId4281" Type="http://schemas.openxmlformats.org/officeDocument/2006/relationships/hyperlink" Target="https://www.cettire.com/collections/bao-bao-issey-miyake" TargetMode="External"/><Relationship Id="rId1528" Type="http://schemas.openxmlformats.org/officeDocument/2006/relationships/hyperlink" Target="https://www.cettire.com/collections/li-ning" TargetMode="External"/><Relationship Id="rId2926" Type="http://schemas.openxmlformats.org/officeDocument/2006/relationships/hyperlink" Target="https://www.cettire.com/collections/salomon-s-lab" TargetMode="External"/><Relationship Id="rId1942" Type="http://schemas.openxmlformats.org/officeDocument/2006/relationships/hyperlink" Target="https://www.cettire.com/collections/chanel" TargetMode="External"/><Relationship Id="rId4001" Type="http://schemas.openxmlformats.org/officeDocument/2006/relationships/hyperlink" Target="https://www.cettire.com/collections/neil-barrett" TargetMode="External"/><Relationship Id="rId3767" Type="http://schemas.openxmlformats.org/officeDocument/2006/relationships/hyperlink" Target="https://www.cettire.com/collections/dior-eyewear" TargetMode="External"/><Relationship Id="rId4818" Type="http://schemas.openxmlformats.org/officeDocument/2006/relationships/hyperlink" Target="https://www.trustpilot.com/review/www.cettire.com/transparency" TargetMode="External"/><Relationship Id="rId688" Type="http://schemas.openxmlformats.org/officeDocument/2006/relationships/hyperlink" Target="https://www.cettire.com/collections/billionaire" TargetMode="External"/><Relationship Id="rId2369" Type="http://schemas.openxmlformats.org/officeDocument/2006/relationships/hyperlink" Target="https://www.cettire.com/collections/tom-ford" TargetMode="External"/><Relationship Id="rId2783" Type="http://schemas.openxmlformats.org/officeDocument/2006/relationships/hyperlink" Target="https://www.cettire.com/collections/mc2-saint-barth" TargetMode="External"/><Relationship Id="rId3834" Type="http://schemas.openxmlformats.org/officeDocument/2006/relationships/hyperlink" Target="https://www.cettire.com/collections/givenchy-eyewear" TargetMode="External"/><Relationship Id="rId755" Type="http://schemas.openxmlformats.org/officeDocument/2006/relationships/hyperlink" Target="https://www.cettire.com/collections/comme-des-garcons-wallet" TargetMode="External"/><Relationship Id="rId1385" Type="http://schemas.openxmlformats.org/officeDocument/2006/relationships/hyperlink" Target="https://www.cettire.com/collections/dita-eyewear" TargetMode="External"/><Relationship Id="rId2436" Type="http://schemas.openxmlformats.org/officeDocument/2006/relationships/hyperlink" Target="https://www.cettire.com/collections/adidas" TargetMode="External"/><Relationship Id="rId2850" Type="http://schemas.openxmlformats.org/officeDocument/2006/relationships/hyperlink" Target="https://www.cettire.com/collections/our-legacy" TargetMode="External"/><Relationship Id="rId91" Type="http://schemas.openxmlformats.org/officeDocument/2006/relationships/hyperlink" Target="https://www.cettire.com/collections/bottega-veneta" TargetMode="External"/><Relationship Id="rId408" Type="http://schemas.openxmlformats.org/officeDocument/2006/relationships/hyperlink" Target="https://www.cettire.com/collections/neous" TargetMode="External"/><Relationship Id="rId822" Type="http://schemas.openxmlformats.org/officeDocument/2006/relationships/hyperlink" Target="https://www.cettire.com/collections/fenty-x-puma" TargetMode="External"/><Relationship Id="rId1038" Type="http://schemas.openxmlformats.org/officeDocument/2006/relationships/hyperlink" Target="https://www.cettire.com/collections/paris-texas" TargetMode="External"/><Relationship Id="rId1452" Type="http://schemas.openxmlformats.org/officeDocument/2006/relationships/hyperlink" Target="https://www.cettire.com/collections/golden-goose-deluxe-brand" TargetMode="External"/><Relationship Id="rId2503" Type="http://schemas.openxmlformats.org/officeDocument/2006/relationships/hyperlink" Target="https://www.cettire.com/collections/belstaff" TargetMode="External"/><Relationship Id="rId3901" Type="http://schemas.openxmlformats.org/officeDocument/2006/relationships/hyperlink" Target="https://www.cettire.com/collections/lautre-chose" TargetMode="External"/><Relationship Id="rId1105" Type="http://schemas.openxmlformats.org/officeDocument/2006/relationships/hyperlink" Target="https://www.cettire.com/collections/saks-potts" TargetMode="External"/><Relationship Id="rId3277" Type="http://schemas.openxmlformats.org/officeDocument/2006/relationships/hyperlink" Target="https://www.cettire.com/collections/isabel-marant" TargetMode="External"/><Relationship Id="rId4675" Type="http://schemas.openxmlformats.org/officeDocument/2006/relationships/hyperlink" Target="https://www.cettire.com/collections/rag-bone" TargetMode="External"/><Relationship Id="rId198" Type="http://schemas.openxmlformats.org/officeDocument/2006/relationships/hyperlink" Target="https://www.cettire.com/collections/enfants-riches-deprimes" TargetMode="External"/><Relationship Id="rId3691" Type="http://schemas.openxmlformats.org/officeDocument/2006/relationships/hyperlink" Target="https://www.cettire.com/collections/brunello-cucinelli" TargetMode="External"/><Relationship Id="rId4328" Type="http://schemas.openxmlformats.org/officeDocument/2006/relationships/hyperlink" Target="https://www.cettire.com/collections/casta%C3%B1er" TargetMode="External"/><Relationship Id="rId4742" Type="http://schemas.openxmlformats.org/officeDocument/2006/relationships/hyperlink" Target="https://www.cettire.com/collections/stussy" TargetMode="External"/><Relationship Id="rId2293" Type="http://schemas.openxmlformats.org/officeDocument/2006/relationships/hyperlink" Target="https://www.cettire.com/collections/rejina-pyo" TargetMode="External"/><Relationship Id="rId3344" Type="http://schemas.openxmlformats.org/officeDocument/2006/relationships/hyperlink" Target="https://www.cettire.com/collections/mansur-gavriel" TargetMode="External"/><Relationship Id="rId265" Type="http://schemas.openxmlformats.org/officeDocument/2006/relationships/hyperlink" Target="https://www.cettire.com/collections/hugo-boss-kids" TargetMode="External"/><Relationship Id="rId2360" Type="http://schemas.openxmlformats.org/officeDocument/2006/relationships/hyperlink" Target="https://www.cettire.com/collections/the-north-face" TargetMode="External"/><Relationship Id="rId3411" Type="http://schemas.openxmlformats.org/officeDocument/2006/relationships/hyperlink" Target="https://www.cettire.com/collections/noir-kei-ninomiya" TargetMode="External"/><Relationship Id="rId332" Type="http://schemas.openxmlformats.org/officeDocument/2006/relationships/hyperlink" Target="https://www.cettire.com/collections/maison-kitsune" TargetMode="External"/><Relationship Id="rId2013" Type="http://schemas.openxmlformats.org/officeDocument/2006/relationships/hyperlink" Target="https://www.cettire.com/collections/emporio-armani-kids" TargetMode="External"/><Relationship Id="rId4185" Type="http://schemas.openxmlformats.org/officeDocument/2006/relationships/hyperlink" Target="https://www.cettire.com/collections/vision-of-super-kids" TargetMode="External"/><Relationship Id="rId1779" Type="http://schemas.openxmlformats.org/officeDocument/2006/relationships/hyperlink" Target="https://www.cettire.com/collections/uma-wang" TargetMode="External"/><Relationship Id="rId4252" Type="http://schemas.openxmlformats.org/officeDocument/2006/relationships/hyperlink" Target="https://www.cettire.com/collections/ancient-greek-sandals" TargetMode="External"/><Relationship Id="rId1846" Type="http://schemas.openxmlformats.org/officeDocument/2006/relationships/hyperlink" Target="https://www.cettire.com/collections/alanui" TargetMode="External"/><Relationship Id="rId1913" Type="http://schemas.openxmlformats.org/officeDocument/2006/relationships/hyperlink" Target="https://www.cettire.com/collections/brian-dales"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6F7F6-320A-42AB-9D11-1013871097F0}">
  <dimension ref="A1"/>
  <sheetViews>
    <sheetView workbookViewId="0"/>
  </sheetViews>
  <sheetFormatPr defaultRowHeight="14.5"/>
  <sheetData>
    <row r="1" spans="1:1">
      <c r="A1" t="s">
        <v>4253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E6621-B905-4BD1-8633-6B7491D882E4}">
  <sheetPr>
    <pageSetUpPr fitToPage="1"/>
  </sheetPr>
  <dimension ref="A1:AE121"/>
  <sheetViews>
    <sheetView tabSelected="1" view="pageBreakPreview" zoomScale="70" zoomScaleNormal="70" zoomScaleSheetLayoutView="7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defaultColWidth="3.54296875" defaultRowHeight="12" outlineLevelRow="1"/>
  <cols>
    <col min="1" max="1" width="18.81640625" style="35" customWidth="1"/>
    <col min="2" max="2" width="5.1796875" style="35" customWidth="1"/>
    <col min="3" max="21" width="11.54296875" style="35" customWidth="1"/>
    <col min="22" max="22" width="8.26953125" style="35" customWidth="1"/>
    <col min="23" max="23" width="11.81640625" style="35" bestFit="1" customWidth="1"/>
    <col min="24" max="24" width="8.26953125" style="35" customWidth="1"/>
    <col min="25" max="31" width="8.7265625" style="35" customWidth="1"/>
    <col min="32" max="256" width="3.54296875" style="35"/>
    <col min="257" max="257" width="9.26953125" style="35" customWidth="1"/>
    <col min="258" max="258" width="1.7265625" style="35" customWidth="1"/>
    <col min="259" max="274" width="8.26953125" style="35" customWidth="1"/>
    <col min="275" max="276" width="10.81640625" style="35" customWidth="1"/>
    <col min="277" max="277" width="42.1796875" style="35" customWidth="1"/>
    <col min="278" max="280" width="8.26953125" style="35" customWidth="1"/>
    <col min="281" max="287" width="8.7265625" style="35" customWidth="1"/>
    <col min="288" max="512" width="3.54296875" style="35"/>
    <col min="513" max="513" width="9.26953125" style="35" customWidth="1"/>
    <col min="514" max="514" width="1.7265625" style="35" customWidth="1"/>
    <col min="515" max="530" width="8.26953125" style="35" customWidth="1"/>
    <col min="531" max="532" width="10.81640625" style="35" customWidth="1"/>
    <col min="533" max="533" width="42.1796875" style="35" customWidth="1"/>
    <col min="534" max="536" width="8.26953125" style="35" customWidth="1"/>
    <col min="537" max="543" width="8.7265625" style="35" customWidth="1"/>
    <col min="544" max="768" width="3.54296875" style="35"/>
    <col min="769" max="769" width="9.26953125" style="35" customWidth="1"/>
    <col min="770" max="770" width="1.7265625" style="35" customWidth="1"/>
    <col min="771" max="786" width="8.26953125" style="35" customWidth="1"/>
    <col min="787" max="788" width="10.81640625" style="35" customWidth="1"/>
    <col min="789" max="789" width="42.1796875" style="35" customWidth="1"/>
    <col min="790" max="792" width="8.26953125" style="35" customWidth="1"/>
    <col min="793" max="799" width="8.7265625" style="35" customWidth="1"/>
    <col min="800" max="1024" width="3.54296875" style="35"/>
    <col min="1025" max="1025" width="9.26953125" style="35" customWidth="1"/>
    <col min="1026" max="1026" width="1.7265625" style="35" customWidth="1"/>
    <col min="1027" max="1042" width="8.26953125" style="35" customWidth="1"/>
    <col min="1043" max="1044" width="10.81640625" style="35" customWidth="1"/>
    <col min="1045" max="1045" width="42.1796875" style="35" customWidth="1"/>
    <col min="1046" max="1048" width="8.26953125" style="35" customWidth="1"/>
    <col min="1049" max="1055" width="8.7265625" style="35" customWidth="1"/>
    <col min="1056" max="1280" width="3.54296875" style="35"/>
    <col min="1281" max="1281" width="9.26953125" style="35" customWidth="1"/>
    <col min="1282" max="1282" width="1.7265625" style="35" customWidth="1"/>
    <col min="1283" max="1298" width="8.26953125" style="35" customWidth="1"/>
    <col min="1299" max="1300" width="10.81640625" style="35" customWidth="1"/>
    <col min="1301" max="1301" width="42.1796875" style="35" customWidth="1"/>
    <col min="1302" max="1304" width="8.26953125" style="35" customWidth="1"/>
    <col min="1305" max="1311" width="8.7265625" style="35" customWidth="1"/>
    <col min="1312" max="1536" width="3.54296875" style="35"/>
    <col min="1537" max="1537" width="9.26953125" style="35" customWidth="1"/>
    <col min="1538" max="1538" width="1.7265625" style="35" customWidth="1"/>
    <col min="1539" max="1554" width="8.26953125" style="35" customWidth="1"/>
    <col min="1555" max="1556" width="10.81640625" style="35" customWidth="1"/>
    <col min="1557" max="1557" width="42.1796875" style="35" customWidth="1"/>
    <col min="1558" max="1560" width="8.26953125" style="35" customWidth="1"/>
    <col min="1561" max="1567" width="8.7265625" style="35" customWidth="1"/>
    <col min="1568" max="1792" width="3.54296875" style="35"/>
    <col min="1793" max="1793" width="9.26953125" style="35" customWidth="1"/>
    <col min="1794" max="1794" width="1.7265625" style="35" customWidth="1"/>
    <col min="1795" max="1810" width="8.26953125" style="35" customWidth="1"/>
    <col min="1811" max="1812" width="10.81640625" style="35" customWidth="1"/>
    <col min="1813" max="1813" width="42.1796875" style="35" customWidth="1"/>
    <col min="1814" max="1816" width="8.26953125" style="35" customWidth="1"/>
    <col min="1817" max="1823" width="8.7265625" style="35" customWidth="1"/>
    <col min="1824" max="2048" width="3.54296875" style="35"/>
    <col min="2049" max="2049" width="9.26953125" style="35" customWidth="1"/>
    <col min="2050" max="2050" width="1.7265625" style="35" customWidth="1"/>
    <col min="2051" max="2066" width="8.26953125" style="35" customWidth="1"/>
    <col min="2067" max="2068" width="10.81640625" style="35" customWidth="1"/>
    <col min="2069" max="2069" width="42.1796875" style="35" customWidth="1"/>
    <col min="2070" max="2072" width="8.26953125" style="35" customWidth="1"/>
    <col min="2073" max="2079" width="8.7265625" style="35" customWidth="1"/>
    <col min="2080" max="2304" width="3.54296875" style="35"/>
    <col min="2305" max="2305" width="9.26953125" style="35" customWidth="1"/>
    <col min="2306" max="2306" width="1.7265625" style="35" customWidth="1"/>
    <col min="2307" max="2322" width="8.26953125" style="35" customWidth="1"/>
    <col min="2323" max="2324" width="10.81640625" style="35" customWidth="1"/>
    <col min="2325" max="2325" width="42.1796875" style="35" customWidth="1"/>
    <col min="2326" max="2328" width="8.26953125" style="35" customWidth="1"/>
    <col min="2329" max="2335" width="8.7265625" style="35" customWidth="1"/>
    <col min="2336" max="2560" width="3.54296875" style="35"/>
    <col min="2561" max="2561" width="9.26953125" style="35" customWidth="1"/>
    <col min="2562" max="2562" width="1.7265625" style="35" customWidth="1"/>
    <col min="2563" max="2578" width="8.26953125" style="35" customWidth="1"/>
    <col min="2579" max="2580" width="10.81640625" style="35" customWidth="1"/>
    <col min="2581" max="2581" width="42.1796875" style="35" customWidth="1"/>
    <col min="2582" max="2584" width="8.26953125" style="35" customWidth="1"/>
    <col min="2585" max="2591" width="8.7265625" style="35" customWidth="1"/>
    <col min="2592" max="2816" width="3.54296875" style="35"/>
    <col min="2817" max="2817" width="9.26953125" style="35" customWidth="1"/>
    <col min="2818" max="2818" width="1.7265625" style="35" customWidth="1"/>
    <col min="2819" max="2834" width="8.26953125" style="35" customWidth="1"/>
    <col min="2835" max="2836" width="10.81640625" style="35" customWidth="1"/>
    <col min="2837" max="2837" width="42.1796875" style="35" customWidth="1"/>
    <col min="2838" max="2840" width="8.26953125" style="35" customWidth="1"/>
    <col min="2841" max="2847" width="8.7265625" style="35" customWidth="1"/>
    <col min="2848" max="3072" width="3.54296875" style="35"/>
    <col min="3073" max="3073" width="9.26953125" style="35" customWidth="1"/>
    <col min="3074" max="3074" width="1.7265625" style="35" customWidth="1"/>
    <col min="3075" max="3090" width="8.26953125" style="35" customWidth="1"/>
    <col min="3091" max="3092" width="10.81640625" style="35" customWidth="1"/>
    <col min="3093" max="3093" width="42.1796875" style="35" customWidth="1"/>
    <col min="3094" max="3096" width="8.26953125" style="35" customWidth="1"/>
    <col min="3097" max="3103" width="8.7265625" style="35" customWidth="1"/>
    <col min="3104" max="3328" width="3.54296875" style="35"/>
    <col min="3329" max="3329" width="9.26953125" style="35" customWidth="1"/>
    <col min="3330" max="3330" width="1.7265625" style="35" customWidth="1"/>
    <col min="3331" max="3346" width="8.26953125" style="35" customWidth="1"/>
    <col min="3347" max="3348" width="10.81640625" style="35" customWidth="1"/>
    <col min="3349" max="3349" width="42.1796875" style="35" customWidth="1"/>
    <col min="3350" max="3352" width="8.26953125" style="35" customWidth="1"/>
    <col min="3353" max="3359" width="8.7265625" style="35" customWidth="1"/>
    <col min="3360" max="3584" width="3.54296875" style="35"/>
    <col min="3585" max="3585" width="9.26953125" style="35" customWidth="1"/>
    <col min="3586" max="3586" width="1.7265625" style="35" customWidth="1"/>
    <col min="3587" max="3602" width="8.26953125" style="35" customWidth="1"/>
    <col min="3603" max="3604" width="10.81640625" style="35" customWidth="1"/>
    <col min="3605" max="3605" width="42.1796875" style="35" customWidth="1"/>
    <col min="3606" max="3608" width="8.26953125" style="35" customWidth="1"/>
    <col min="3609" max="3615" width="8.7265625" style="35" customWidth="1"/>
    <col min="3616" max="3840" width="3.54296875" style="35"/>
    <col min="3841" max="3841" width="9.26953125" style="35" customWidth="1"/>
    <col min="3842" max="3842" width="1.7265625" style="35" customWidth="1"/>
    <col min="3843" max="3858" width="8.26953125" style="35" customWidth="1"/>
    <col min="3859" max="3860" width="10.81640625" style="35" customWidth="1"/>
    <col min="3861" max="3861" width="42.1796875" style="35" customWidth="1"/>
    <col min="3862" max="3864" width="8.26953125" style="35" customWidth="1"/>
    <col min="3865" max="3871" width="8.7265625" style="35" customWidth="1"/>
    <col min="3872" max="4096" width="3.54296875" style="35"/>
    <col min="4097" max="4097" width="9.26953125" style="35" customWidth="1"/>
    <col min="4098" max="4098" width="1.7265625" style="35" customWidth="1"/>
    <col min="4099" max="4114" width="8.26953125" style="35" customWidth="1"/>
    <col min="4115" max="4116" width="10.81640625" style="35" customWidth="1"/>
    <col min="4117" max="4117" width="42.1796875" style="35" customWidth="1"/>
    <col min="4118" max="4120" width="8.26953125" style="35" customWidth="1"/>
    <col min="4121" max="4127" width="8.7265625" style="35" customWidth="1"/>
    <col min="4128" max="4352" width="3.54296875" style="35"/>
    <col min="4353" max="4353" width="9.26953125" style="35" customWidth="1"/>
    <col min="4354" max="4354" width="1.7265625" style="35" customWidth="1"/>
    <col min="4355" max="4370" width="8.26953125" style="35" customWidth="1"/>
    <col min="4371" max="4372" width="10.81640625" style="35" customWidth="1"/>
    <col min="4373" max="4373" width="42.1796875" style="35" customWidth="1"/>
    <col min="4374" max="4376" width="8.26953125" style="35" customWidth="1"/>
    <col min="4377" max="4383" width="8.7265625" style="35" customWidth="1"/>
    <col min="4384" max="4608" width="3.54296875" style="35"/>
    <col min="4609" max="4609" width="9.26953125" style="35" customWidth="1"/>
    <col min="4610" max="4610" width="1.7265625" style="35" customWidth="1"/>
    <col min="4611" max="4626" width="8.26953125" style="35" customWidth="1"/>
    <col min="4627" max="4628" width="10.81640625" style="35" customWidth="1"/>
    <col min="4629" max="4629" width="42.1796875" style="35" customWidth="1"/>
    <col min="4630" max="4632" width="8.26953125" style="35" customWidth="1"/>
    <col min="4633" max="4639" width="8.7265625" style="35" customWidth="1"/>
    <col min="4640" max="4864" width="3.54296875" style="35"/>
    <col min="4865" max="4865" width="9.26953125" style="35" customWidth="1"/>
    <col min="4866" max="4866" width="1.7265625" style="35" customWidth="1"/>
    <col min="4867" max="4882" width="8.26953125" style="35" customWidth="1"/>
    <col min="4883" max="4884" width="10.81640625" style="35" customWidth="1"/>
    <col min="4885" max="4885" width="42.1796875" style="35" customWidth="1"/>
    <col min="4886" max="4888" width="8.26953125" style="35" customWidth="1"/>
    <col min="4889" max="4895" width="8.7265625" style="35" customWidth="1"/>
    <col min="4896" max="5120" width="3.54296875" style="35"/>
    <col min="5121" max="5121" width="9.26953125" style="35" customWidth="1"/>
    <col min="5122" max="5122" width="1.7265625" style="35" customWidth="1"/>
    <col min="5123" max="5138" width="8.26953125" style="35" customWidth="1"/>
    <col min="5139" max="5140" width="10.81640625" style="35" customWidth="1"/>
    <col min="5141" max="5141" width="42.1796875" style="35" customWidth="1"/>
    <col min="5142" max="5144" width="8.26953125" style="35" customWidth="1"/>
    <col min="5145" max="5151" width="8.7265625" style="35" customWidth="1"/>
    <col min="5152" max="5376" width="3.54296875" style="35"/>
    <col min="5377" max="5377" width="9.26953125" style="35" customWidth="1"/>
    <col min="5378" max="5378" width="1.7265625" style="35" customWidth="1"/>
    <col min="5379" max="5394" width="8.26953125" style="35" customWidth="1"/>
    <col min="5395" max="5396" width="10.81640625" style="35" customWidth="1"/>
    <col min="5397" max="5397" width="42.1796875" style="35" customWidth="1"/>
    <col min="5398" max="5400" width="8.26953125" style="35" customWidth="1"/>
    <col min="5401" max="5407" width="8.7265625" style="35" customWidth="1"/>
    <col min="5408" max="5632" width="3.54296875" style="35"/>
    <col min="5633" max="5633" width="9.26953125" style="35" customWidth="1"/>
    <col min="5634" max="5634" width="1.7265625" style="35" customWidth="1"/>
    <col min="5635" max="5650" width="8.26953125" style="35" customWidth="1"/>
    <col min="5651" max="5652" width="10.81640625" style="35" customWidth="1"/>
    <col min="5653" max="5653" width="42.1796875" style="35" customWidth="1"/>
    <col min="5654" max="5656" width="8.26953125" style="35" customWidth="1"/>
    <col min="5657" max="5663" width="8.7265625" style="35" customWidth="1"/>
    <col min="5664" max="5888" width="3.54296875" style="35"/>
    <col min="5889" max="5889" width="9.26953125" style="35" customWidth="1"/>
    <col min="5890" max="5890" width="1.7265625" style="35" customWidth="1"/>
    <col min="5891" max="5906" width="8.26953125" style="35" customWidth="1"/>
    <col min="5907" max="5908" width="10.81640625" style="35" customWidth="1"/>
    <col min="5909" max="5909" width="42.1796875" style="35" customWidth="1"/>
    <col min="5910" max="5912" width="8.26953125" style="35" customWidth="1"/>
    <col min="5913" max="5919" width="8.7265625" style="35" customWidth="1"/>
    <col min="5920" max="6144" width="3.54296875" style="35"/>
    <col min="6145" max="6145" width="9.26953125" style="35" customWidth="1"/>
    <col min="6146" max="6146" width="1.7265625" style="35" customWidth="1"/>
    <col min="6147" max="6162" width="8.26953125" style="35" customWidth="1"/>
    <col min="6163" max="6164" width="10.81640625" style="35" customWidth="1"/>
    <col min="6165" max="6165" width="42.1796875" style="35" customWidth="1"/>
    <col min="6166" max="6168" width="8.26953125" style="35" customWidth="1"/>
    <col min="6169" max="6175" width="8.7265625" style="35" customWidth="1"/>
    <col min="6176" max="6400" width="3.54296875" style="35"/>
    <col min="6401" max="6401" width="9.26953125" style="35" customWidth="1"/>
    <col min="6402" max="6402" width="1.7265625" style="35" customWidth="1"/>
    <col min="6403" max="6418" width="8.26953125" style="35" customWidth="1"/>
    <col min="6419" max="6420" width="10.81640625" style="35" customWidth="1"/>
    <col min="6421" max="6421" width="42.1796875" style="35" customWidth="1"/>
    <col min="6422" max="6424" width="8.26953125" style="35" customWidth="1"/>
    <col min="6425" max="6431" width="8.7265625" style="35" customWidth="1"/>
    <col min="6432" max="6656" width="3.54296875" style="35"/>
    <col min="6657" max="6657" width="9.26953125" style="35" customWidth="1"/>
    <col min="6658" max="6658" width="1.7265625" style="35" customWidth="1"/>
    <col min="6659" max="6674" width="8.26953125" style="35" customWidth="1"/>
    <col min="6675" max="6676" width="10.81640625" style="35" customWidth="1"/>
    <col min="6677" max="6677" width="42.1796875" style="35" customWidth="1"/>
    <col min="6678" max="6680" width="8.26953125" style="35" customWidth="1"/>
    <col min="6681" max="6687" width="8.7265625" style="35" customWidth="1"/>
    <col min="6688" max="6912" width="3.54296875" style="35"/>
    <col min="6913" max="6913" width="9.26953125" style="35" customWidth="1"/>
    <col min="6914" max="6914" width="1.7265625" style="35" customWidth="1"/>
    <col min="6915" max="6930" width="8.26953125" style="35" customWidth="1"/>
    <col min="6931" max="6932" width="10.81640625" style="35" customWidth="1"/>
    <col min="6933" max="6933" width="42.1796875" style="35" customWidth="1"/>
    <col min="6934" max="6936" width="8.26953125" style="35" customWidth="1"/>
    <col min="6937" max="6943" width="8.7265625" style="35" customWidth="1"/>
    <col min="6944" max="7168" width="3.54296875" style="35"/>
    <col min="7169" max="7169" width="9.26953125" style="35" customWidth="1"/>
    <col min="7170" max="7170" width="1.7265625" style="35" customWidth="1"/>
    <col min="7171" max="7186" width="8.26953125" style="35" customWidth="1"/>
    <col min="7187" max="7188" width="10.81640625" style="35" customWidth="1"/>
    <col min="7189" max="7189" width="42.1796875" style="35" customWidth="1"/>
    <col min="7190" max="7192" width="8.26953125" style="35" customWidth="1"/>
    <col min="7193" max="7199" width="8.7265625" style="35" customWidth="1"/>
    <col min="7200" max="7424" width="3.54296875" style="35"/>
    <col min="7425" max="7425" width="9.26953125" style="35" customWidth="1"/>
    <col min="7426" max="7426" width="1.7265625" style="35" customWidth="1"/>
    <col min="7427" max="7442" width="8.26953125" style="35" customWidth="1"/>
    <col min="7443" max="7444" width="10.81640625" style="35" customWidth="1"/>
    <col min="7445" max="7445" width="42.1796875" style="35" customWidth="1"/>
    <col min="7446" max="7448" width="8.26953125" style="35" customWidth="1"/>
    <col min="7449" max="7455" width="8.7265625" style="35" customWidth="1"/>
    <col min="7456" max="7680" width="3.54296875" style="35"/>
    <col min="7681" max="7681" width="9.26953125" style="35" customWidth="1"/>
    <col min="7682" max="7682" width="1.7265625" style="35" customWidth="1"/>
    <col min="7683" max="7698" width="8.26953125" style="35" customWidth="1"/>
    <col min="7699" max="7700" width="10.81640625" style="35" customWidth="1"/>
    <col min="7701" max="7701" width="42.1796875" style="35" customWidth="1"/>
    <col min="7702" max="7704" width="8.26953125" style="35" customWidth="1"/>
    <col min="7705" max="7711" width="8.7265625" style="35" customWidth="1"/>
    <col min="7712" max="7936" width="3.54296875" style="35"/>
    <col min="7937" max="7937" width="9.26953125" style="35" customWidth="1"/>
    <col min="7938" max="7938" width="1.7265625" style="35" customWidth="1"/>
    <col min="7939" max="7954" width="8.26953125" style="35" customWidth="1"/>
    <col min="7955" max="7956" width="10.81640625" style="35" customWidth="1"/>
    <col min="7957" max="7957" width="42.1796875" style="35" customWidth="1"/>
    <col min="7958" max="7960" width="8.26953125" style="35" customWidth="1"/>
    <col min="7961" max="7967" width="8.7265625" style="35" customWidth="1"/>
    <col min="7968" max="8192" width="3.54296875" style="35"/>
    <col min="8193" max="8193" width="9.26953125" style="35" customWidth="1"/>
    <col min="8194" max="8194" width="1.7265625" style="35" customWidth="1"/>
    <col min="8195" max="8210" width="8.26953125" style="35" customWidth="1"/>
    <col min="8211" max="8212" width="10.81640625" style="35" customWidth="1"/>
    <col min="8213" max="8213" width="42.1796875" style="35" customWidth="1"/>
    <col min="8214" max="8216" width="8.26953125" style="35" customWidth="1"/>
    <col min="8217" max="8223" width="8.7265625" style="35" customWidth="1"/>
    <col min="8224" max="8448" width="3.54296875" style="35"/>
    <col min="8449" max="8449" width="9.26953125" style="35" customWidth="1"/>
    <col min="8450" max="8450" width="1.7265625" style="35" customWidth="1"/>
    <col min="8451" max="8466" width="8.26953125" style="35" customWidth="1"/>
    <col min="8467" max="8468" width="10.81640625" style="35" customWidth="1"/>
    <col min="8469" max="8469" width="42.1796875" style="35" customWidth="1"/>
    <col min="8470" max="8472" width="8.26953125" style="35" customWidth="1"/>
    <col min="8473" max="8479" width="8.7265625" style="35" customWidth="1"/>
    <col min="8480" max="8704" width="3.54296875" style="35"/>
    <col min="8705" max="8705" width="9.26953125" style="35" customWidth="1"/>
    <col min="8706" max="8706" width="1.7265625" style="35" customWidth="1"/>
    <col min="8707" max="8722" width="8.26953125" style="35" customWidth="1"/>
    <col min="8723" max="8724" width="10.81640625" style="35" customWidth="1"/>
    <col min="8725" max="8725" width="42.1796875" style="35" customWidth="1"/>
    <col min="8726" max="8728" width="8.26953125" style="35" customWidth="1"/>
    <col min="8729" max="8735" width="8.7265625" style="35" customWidth="1"/>
    <col min="8736" max="8960" width="3.54296875" style="35"/>
    <col min="8961" max="8961" width="9.26953125" style="35" customWidth="1"/>
    <col min="8962" max="8962" width="1.7265625" style="35" customWidth="1"/>
    <col min="8963" max="8978" width="8.26953125" style="35" customWidth="1"/>
    <col min="8979" max="8980" width="10.81640625" style="35" customWidth="1"/>
    <col min="8981" max="8981" width="42.1796875" style="35" customWidth="1"/>
    <col min="8982" max="8984" width="8.26953125" style="35" customWidth="1"/>
    <col min="8985" max="8991" width="8.7265625" style="35" customWidth="1"/>
    <col min="8992" max="9216" width="3.54296875" style="35"/>
    <col min="9217" max="9217" width="9.26953125" style="35" customWidth="1"/>
    <col min="9218" max="9218" width="1.7265625" style="35" customWidth="1"/>
    <col min="9219" max="9234" width="8.26953125" style="35" customWidth="1"/>
    <col min="9235" max="9236" width="10.81640625" style="35" customWidth="1"/>
    <col min="9237" max="9237" width="42.1796875" style="35" customWidth="1"/>
    <col min="9238" max="9240" width="8.26953125" style="35" customWidth="1"/>
    <col min="9241" max="9247" width="8.7265625" style="35" customWidth="1"/>
    <col min="9248" max="9472" width="3.54296875" style="35"/>
    <col min="9473" max="9473" width="9.26953125" style="35" customWidth="1"/>
    <col min="9474" max="9474" width="1.7265625" style="35" customWidth="1"/>
    <col min="9475" max="9490" width="8.26953125" style="35" customWidth="1"/>
    <col min="9491" max="9492" width="10.81640625" style="35" customWidth="1"/>
    <col min="9493" max="9493" width="42.1796875" style="35" customWidth="1"/>
    <col min="9494" max="9496" width="8.26953125" style="35" customWidth="1"/>
    <col min="9497" max="9503" width="8.7265625" style="35" customWidth="1"/>
    <col min="9504" max="9728" width="3.54296875" style="35"/>
    <col min="9729" max="9729" width="9.26953125" style="35" customWidth="1"/>
    <col min="9730" max="9730" width="1.7265625" style="35" customWidth="1"/>
    <col min="9731" max="9746" width="8.26953125" style="35" customWidth="1"/>
    <col min="9747" max="9748" width="10.81640625" style="35" customWidth="1"/>
    <col min="9749" max="9749" width="42.1796875" style="35" customWidth="1"/>
    <col min="9750" max="9752" width="8.26953125" style="35" customWidth="1"/>
    <col min="9753" max="9759" width="8.7265625" style="35" customWidth="1"/>
    <col min="9760" max="9984" width="3.54296875" style="35"/>
    <col min="9985" max="9985" width="9.26953125" style="35" customWidth="1"/>
    <col min="9986" max="9986" width="1.7265625" style="35" customWidth="1"/>
    <col min="9987" max="10002" width="8.26953125" style="35" customWidth="1"/>
    <col min="10003" max="10004" width="10.81640625" style="35" customWidth="1"/>
    <col min="10005" max="10005" width="42.1796875" style="35" customWidth="1"/>
    <col min="10006" max="10008" width="8.26953125" style="35" customWidth="1"/>
    <col min="10009" max="10015" width="8.7265625" style="35" customWidth="1"/>
    <col min="10016" max="10240" width="3.54296875" style="35"/>
    <col min="10241" max="10241" width="9.26953125" style="35" customWidth="1"/>
    <col min="10242" max="10242" width="1.7265625" style="35" customWidth="1"/>
    <col min="10243" max="10258" width="8.26953125" style="35" customWidth="1"/>
    <col min="10259" max="10260" width="10.81640625" style="35" customWidth="1"/>
    <col min="10261" max="10261" width="42.1796875" style="35" customWidth="1"/>
    <col min="10262" max="10264" width="8.26953125" style="35" customWidth="1"/>
    <col min="10265" max="10271" width="8.7265625" style="35" customWidth="1"/>
    <col min="10272" max="10496" width="3.54296875" style="35"/>
    <col min="10497" max="10497" width="9.26953125" style="35" customWidth="1"/>
    <col min="10498" max="10498" width="1.7265625" style="35" customWidth="1"/>
    <col min="10499" max="10514" width="8.26953125" style="35" customWidth="1"/>
    <col min="10515" max="10516" width="10.81640625" style="35" customWidth="1"/>
    <col min="10517" max="10517" width="42.1796875" style="35" customWidth="1"/>
    <col min="10518" max="10520" width="8.26953125" style="35" customWidth="1"/>
    <col min="10521" max="10527" width="8.7265625" style="35" customWidth="1"/>
    <col min="10528" max="10752" width="3.54296875" style="35"/>
    <col min="10753" max="10753" width="9.26953125" style="35" customWidth="1"/>
    <col min="10754" max="10754" width="1.7265625" style="35" customWidth="1"/>
    <col min="10755" max="10770" width="8.26953125" style="35" customWidth="1"/>
    <col min="10771" max="10772" width="10.81640625" style="35" customWidth="1"/>
    <col min="10773" max="10773" width="42.1796875" style="35" customWidth="1"/>
    <col min="10774" max="10776" width="8.26953125" style="35" customWidth="1"/>
    <col min="10777" max="10783" width="8.7265625" style="35" customWidth="1"/>
    <col min="10784" max="11008" width="3.54296875" style="35"/>
    <col min="11009" max="11009" width="9.26953125" style="35" customWidth="1"/>
    <col min="11010" max="11010" width="1.7265625" style="35" customWidth="1"/>
    <col min="11011" max="11026" width="8.26953125" style="35" customWidth="1"/>
    <col min="11027" max="11028" width="10.81640625" style="35" customWidth="1"/>
    <col min="11029" max="11029" width="42.1796875" style="35" customWidth="1"/>
    <col min="11030" max="11032" width="8.26953125" style="35" customWidth="1"/>
    <col min="11033" max="11039" width="8.7265625" style="35" customWidth="1"/>
    <col min="11040" max="11264" width="3.54296875" style="35"/>
    <col min="11265" max="11265" width="9.26953125" style="35" customWidth="1"/>
    <col min="11266" max="11266" width="1.7265625" style="35" customWidth="1"/>
    <col min="11267" max="11282" width="8.26953125" style="35" customWidth="1"/>
    <col min="11283" max="11284" width="10.81640625" style="35" customWidth="1"/>
    <col min="11285" max="11285" width="42.1796875" style="35" customWidth="1"/>
    <col min="11286" max="11288" width="8.26953125" style="35" customWidth="1"/>
    <col min="11289" max="11295" width="8.7265625" style="35" customWidth="1"/>
    <col min="11296" max="11520" width="3.54296875" style="35"/>
    <col min="11521" max="11521" width="9.26953125" style="35" customWidth="1"/>
    <col min="11522" max="11522" width="1.7265625" style="35" customWidth="1"/>
    <col min="11523" max="11538" width="8.26953125" style="35" customWidth="1"/>
    <col min="11539" max="11540" width="10.81640625" style="35" customWidth="1"/>
    <col min="11541" max="11541" width="42.1796875" style="35" customWidth="1"/>
    <col min="11542" max="11544" width="8.26953125" style="35" customWidth="1"/>
    <col min="11545" max="11551" width="8.7265625" style="35" customWidth="1"/>
    <col min="11552" max="11776" width="3.54296875" style="35"/>
    <col min="11777" max="11777" width="9.26953125" style="35" customWidth="1"/>
    <col min="11778" max="11778" width="1.7265625" style="35" customWidth="1"/>
    <col min="11779" max="11794" width="8.26953125" style="35" customWidth="1"/>
    <col min="11795" max="11796" width="10.81640625" style="35" customWidth="1"/>
    <col min="11797" max="11797" width="42.1796875" style="35" customWidth="1"/>
    <col min="11798" max="11800" width="8.26953125" style="35" customWidth="1"/>
    <col min="11801" max="11807" width="8.7265625" style="35" customWidth="1"/>
    <col min="11808" max="12032" width="3.54296875" style="35"/>
    <col min="12033" max="12033" width="9.26953125" style="35" customWidth="1"/>
    <col min="12034" max="12034" width="1.7265625" style="35" customWidth="1"/>
    <col min="12035" max="12050" width="8.26953125" style="35" customWidth="1"/>
    <col min="12051" max="12052" width="10.81640625" style="35" customWidth="1"/>
    <col min="12053" max="12053" width="42.1796875" style="35" customWidth="1"/>
    <col min="12054" max="12056" width="8.26953125" style="35" customWidth="1"/>
    <col min="12057" max="12063" width="8.7265625" style="35" customWidth="1"/>
    <col min="12064" max="12288" width="3.54296875" style="35"/>
    <col min="12289" max="12289" width="9.26953125" style="35" customWidth="1"/>
    <col min="12290" max="12290" width="1.7265625" style="35" customWidth="1"/>
    <col min="12291" max="12306" width="8.26953125" style="35" customWidth="1"/>
    <col min="12307" max="12308" width="10.81640625" style="35" customWidth="1"/>
    <col min="12309" max="12309" width="42.1796875" style="35" customWidth="1"/>
    <col min="12310" max="12312" width="8.26953125" style="35" customWidth="1"/>
    <col min="12313" max="12319" width="8.7265625" style="35" customWidth="1"/>
    <col min="12320" max="12544" width="3.54296875" style="35"/>
    <col min="12545" max="12545" width="9.26953125" style="35" customWidth="1"/>
    <col min="12546" max="12546" width="1.7265625" style="35" customWidth="1"/>
    <col min="12547" max="12562" width="8.26953125" style="35" customWidth="1"/>
    <col min="12563" max="12564" width="10.81640625" style="35" customWidth="1"/>
    <col min="12565" max="12565" width="42.1796875" style="35" customWidth="1"/>
    <col min="12566" max="12568" width="8.26953125" style="35" customWidth="1"/>
    <col min="12569" max="12575" width="8.7265625" style="35" customWidth="1"/>
    <col min="12576" max="12800" width="3.54296875" style="35"/>
    <col min="12801" max="12801" width="9.26953125" style="35" customWidth="1"/>
    <col min="12802" max="12802" width="1.7265625" style="35" customWidth="1"/>
    <col min="12803" max="12818" width="8.26953125" style="35" customWidth="1"/>
    <col min="12819" max="12820" width="10.81640625" style="35" customWidth="1"/>
    <col min="12821" max="12821" width="42.1796875" style="35" customWidth="1"/>
    <col min="12822" max="12824" width="8.26953125" style="35" customWidth="1"/>
    <col min="12825" max="12831" width="8.7265625" style="35" customWidth="1"/>
    <col min="12832" max="13056" width="3.54296875" style="35"/>
    <col min="13057" max="13057" width="9.26953125" style="35" customWidth="1"/>
    <col min="13058" max="13058" width="1.7265625" style="35" customWidth="1"/>
    <col min="13059" max="13074" width="8.26953125" style="35" customWidth="1"/>
    <col min="13075" max="13076" width="10.81640625" style="35" customWidth="1"/>
    <col min="13077" max="13077" width="42.1796875" style="35" customWidth="1"/>
    <col min="13078" max="13080" width="8.26953125" style="35" customWidth="1"/>
    <col min="13081" max="13087" width="8.7265625" style="35" customWidth="1"/>
    <col min="13088" max="13312" width="3.54296875" style="35"/>
    <col min="13313" max="13313" width="9.26953125" style="35" customWidth="1"/>
    <col min="13314" max="13314" width="1.7265625" style="35" customWidth="1"/>
    <col min="13315" max="13330" width="8.26953125" style="35" customWidth="1"/>
    <col min="13331" max="13332" width="10.81640625" style="35" customWidth="1"/>
    <col min="13333" max="13333" width="42.1796875" style="35" customWidth="1"/>
    <col min="13334" max="13336" width="8.26953125" style="35" customWidth="1"/>
    <col min="13337" max="13343" width="8.7265625" style="35" customWidth="1"/>
    <col min="13344" max="13568" width="3.54296875" style="35"/>
    <col min="13569" max="13569" width="9.26953125" style="35" customWidth="1"/>
    <col min="13570" max="13570" width="1.7265625" style="35" customWidth="1"/>
    <col min="13571" max="13586" width="8.26953125" style="35" customWidth="1"/>
    <col min="13587" max="13588" width="10.81640625" style="35" customWidth="1"/>
    <col min="13589" max="13589" width="42.1796875" style="35" customWidth="1"/>
    <col min="13590" max="13592" width="8.26953125" style="35" customWidth="1"/>
    <col min="13593" max="13599" width="8.7265625" style="35" customWidth="1"/>
    <col min="13600" max="13824" width="3.54296875" style="35"/>
    <col min="13825" max="13825" width="9.26953125" style="35" customWidth="1"/>
    <col min="13826" max="13826" width="1.7265625" style="35" customWidth="1"/>
    <col min="13827" max="13842" width="8.26953125" style="35" customWidth="1"/>
    <col min="13843" max="13844" width="10.81640625" style="35" customWidth="1"/>
    <col min="13845" max="13845" width="42.1796875" style="35" customWidth="1"/>
    <col min="13846" max="13848" width="8.26953125" style="35" customWidth="1"/>
    <col min="13849" max="13855" width="8.7265625" style="35" customWidth="1"/>
    <col min="13856" max="14080" width="3.54296875" style="35"/>
    <col min="14081" max="14081" width="9.26953125" style="35" customWidth="1"/>
    <col min="14082" max="14082" width="1.7265625" style="35" customWidth="1"/>
    <col min="14083" max="14098" width="8.26953125" style="35" customWidth="1"/>
    <col min="14099" max="14100" width="10.81640625" style="35" customWidth="1"/>
    <col min="14101" max="14101" width="42.1796875" style="35" customWidth="1"/>
    <col min="14102" max="14104" width="8.26953125" style="35" customWidth="1"/>
    <col min="14105" max="14111" width="8.7265625" style="35" customWidth="1"/>
    <col min="14112" max="14336" width="3.54296875" style="35"/>
    <col min="14337" max="14337" width="9.26953125" style="35" customWidth="1"/>
    <col min="14338" max="14338" width="1.7265625" style="35" customWidth="1"/>
    <col min="14339" max="14354" width="8.26953125" style="35" customWidth="1"/>
    <col min="14355" max="14356" width="10.81640625" style="35" customWidth="1"/>
    <col min="14357" max="14357" width="42.1796875" style="35" customWidth="1"/>
    <col min="14358" max="14360" width="8.26953125" style="35" customWidth="1"/>
    <col min="14361" max="14367" width="8.7265625" style="35" customWidth="1"/>
    <col min="14368" max="14592" width="3.54296875" style="35"/>
    <col min="14593" max="14593" width="9.26953125" style="35" customWidth="1"/>
    <col min="14594" max="14594" width="1.7265625" style="35" customWidth="1"/>
    <col min="14595" max="14610" width="8.26953125" style="35" customWidth="1"/>
    <col min="14611" max="14612" width="10.81640625" style="35" customWidth="1"/>
    <col min="14613" max="14613" width="42.1796875" style="35" customWidth="1"/>
    <col min="14614" max="14616" width="8.26953125" style="35" customWidth="1"/>
    <col min="14617" max="14623" width="8.7265625" style="35" customWidth="1"/>
    <col min="14624" max="14848" width="3.54296875" style="35"/>
    <col min="14849" max="14849" width="9.26953125" style="35" customWidth="1"/>
    <col min="14850" max="14850" width="1.7265625" style="35" customWidth="1"/>
    <col min="14851" max="14866" width="8.26953125" style="35" customWidth="1"/>
    <col min="14867" max="14868" width="10.81640625" style="35" customWidth="1"/>
    <col min="14869" max="14869" width="42.1796875" style="35" customWidth="1"/>
    <col min="14870" max="14872" width="8.26953125" style="35" customWidth="1"/>
    <col min="14873" max="14879" width="8.7265625" style="35" customWidth="1"/>
    <col min="14880" max="15104" width="3.54296875" style="35"/>
    <col min="15105" max="15105" width="9.26953125" style="35" customWidth="1"/>
    <col min="15106" max="15106" width="1.7265625" style="35" customWidth="1"/>
    <col min="15107" max="15122" width="8.26953125" style="35" customWidth="1"/>
    <col min="15123" max="15124" width="10.81640625" style="35" customWidth="1"/>
    <col min="15125" max="15125" width="42.1796875" style="35" customWidth="1"/>
    <col min="15126" max="15128" width="8.26953125" style="35" customWidth="1"/>
    <col min="15129" max="15135" width="8.7265625" style="35" customWidth="1"/>
    <col min="15136" max="15360" width="3.54296875" style="35"/>
    <col min="15361" max="15361" width="9.26953125" style="35" customWidth="1"/>
    <col min="15362" max="15362" width="1.7265625" style="35" customWidth="1"/>
    <col min="15363" max="15378" width="8.26953125" style="35" customWidth="1"/>
    <col min="15379" max="15380" width="10.81640625" style="35" customWidth="1"/>
    <col min="15381" max="15381" width="42.1796875" style="35" customWidth="1"/>
    <col min="15382" max="15384" width="8.26953125" style="35" customWidth="1"/>
    <col min="15385" max="15391" width="8.7265625" style="35" customWidth="1"/>
    <col min="15392" max="15616" width="3.54296875" style="35"/>
    <col min="15617" max="15617" width="9.26953125" style="35" customWidth="1"/>
    <col min="15618" max="15618" width="1.7265625" style="35" customWidth="1"/>
    <col min="15619" max="15634" width="8.26953125" style="35" customWidth="1"/>
    <col min="15635" max="15636" width="10.81640625" style="35" customWidth="1"/>
    <col min="15637" max="15637" width="42.1796875" style="35" customWidth="1"/>
    <col min="15638" max="15640" width="8.26953125" style="35" customWidth="1"/>
    <col min="15641" max="15647" width="8.7265625" style="35" customWidth="1"/>
    <col min="15648" max="15872" width="3.54296875" style="35"/>
    <col min="15873" max="15873" width="9.26953125" style="35" customWidth="1"/>
    <col min="15874" max="15874" width="1.7265625" style="35" customWidth="1"/>
    <col min="15875" max="15890" width="8.26953125" style="35" customWidth="1"/>
    <col min="15891" max="15892" width="10.81640625" style="35" customWidth="1"/>
    <col min="15893" max="15893" width="42.1796875" style="35" customWidth="1"/>
    <col min="15894" max="15896" width="8.26953125" style="35" customWidth="1"/>
    <col min="15897" max="15903" width="8.7265625" style="35" customWidth="1"/>
    <col min="15904" max="16128" width="3.54296875" style="35"/>
    <col min="16129" max="16129" width="9.26953125" style="35" customWidth="1"/>
    <col min="16130" max="16130" width="1.7265625" style="35" customWidth="1"/>
    <col min="16131" max="16146" width="8.26953125" style="35" customWidth="1"/>
    <col min="16147" max="16148" width="10.81640625" style="35" customWidth="1"/>
    <col min="16149" max="16149" width="42.1796875" style="35" customWidth="1"/>
    <col min="16150" max="16152" width="8.26953125" style="35" customWidth="1"/>
    <col min="16153" max="16159" width="8.7265625" style="35" customWidth="1"/>
    <col min="16160" max="16384" width="3.54296875" style="35"/>
  </cols>
  <sheetData>
    <row r="1" spans="1:31">
      <c r="A1" s="34" t="s">
        <v>0</v>
      </c>
      <c r="H1" s="186"/>
      <c r="I1" s="187" t="s">
        <v>1</v>
      </c>
      <c r="J1" s="186"/>
      <c r="K1" s="86"/>
      <c r="L1" s="86"/>
      <c r="N1" s="36"/>
      <c r="O1" s="36"/>
      <c r="P1" s="37"/>
      <c r="Q1" s="37"/>
      <c r="R1" s="37"/>
      <c r="S1" s="37"/>
      <c r="T1" s="37"/>
      <c r="U1" s="645">
        <v>45565</v>
      </c>
    </row>
    <row r="2" spans="1:31">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row>
    <row r="3" spans="1:31">
      <c r="A3" s="40" t="s">
        <v>3</v>
      </c>
      <c r="C3" s="41"/>
      <c r="D3" s="41"/>
      <c r="E3" s="41"/>
      <c r="F3" s="41"/>
      <c r="G3" s="41"/>
      <c r="H3" s="41"/>
      <c r="I3" s="41"/>
      <c r="J3" s="41">
        <f>+U1</f>
        <v>45565</v>
      </c>
      <c r="K3" s="41">
        <v>46203</v>
      </c>
      <c r="L3" s="41">
        <v>46568</v>
      </c>
      <c r="M3" s="41">
        <v>46934</v>
      </c>
      <c r="N3" s="41">
        <v>47299</v>
      </c>
      <c r="O3" s="41">
        <v>47664</v>
      </c>
      <c r="P3" s="41">
        <v>48029</v>
      </c>
      <c r="Q3" s="41">
        <v>48395</v>
      </c>
      <c r="R3" s="41">
        <v>48760</v>
      </c>
      <c r="S3" s="41">
        <v>49125</v>
      </c>
      <c r="T3" s="41">
        <v>49490</v>
      </c>
      <c r="U3" s="41">
        <v>49856</v>
      </c>
    </row>
    <row r="4" spans="1:31" ht="13.5">
      <c r="A4" s="42"/>
      <c r="C4" s="43" t="str">
        <f>+Historical!C4</f>
        <v>FYE June 30th</v>
      </c>
      <c r="D4" s="44"/>
      <c r="E4" s="44"/>
      <c r="F4" s="44"/>
      <c r="G4" s="44"/>
      <c r="H4" s="44"/>
      <c r="I4" s="44"/>
      <c r="J4" s="44"/>
      <c r="K4" s="44"/>
      <c r="L4" s="44"/>
      <c r="M4" s="44"/>
      <c r="N4" s="44"/>
      <c r="O4" s="44"/>
      <c r="P4" s="44"/>
      <c r="Q4" s="44"/>
      <c r="R4" s="44"/>
      <c r="S4" s="44"/>
      <c r="T4" s="44"/>
      <c r="U4" s="44"/>
    </row>
    <row r="5" spans="1:31" ht="13.5">
      <c r="C5" s="45" t="s">
        <v>4</v>
      </c>
      <c r="D5" s="45" t="s">
        <v>5</v>
      </c>
      <c r="E5" s="45" t="s">
        <v>6</v>
      </c>
      <c r="F5" s="45" t="s">
        <v>7</v>
      </c>
      <c r="G5" s="45" t="s">
        <v>8</v>
      </c>
      <c r="H5" s="45" t="s">
        <v>9</v>
      </c>
      <c r="I5" s="45" t="s">
        <v>4196</v>
      </c>
      <c r="J5" s="45" t="s">
        <v>11</v>
      </c>
      <c r="K5" s="45" t="s">
        <v>12</v>
      </c>
      <c r="L5" s="45" t="s">
        <v>13</v>
      </c>
      <c r="M5" s="45" t="s">
        <v>14</v>
      </c>
      <c r="N5" s="45" t="s">
        <v>15</v>
      </c>
      <c r="O5" s="45" t="s">
        <v>16</v>
      </c>
      <c r="P5" s="45" t="s">
        <v>17</v>
      </c>
      <c r="Q5" s="45" t="s">
        <v>18</v>
      </c>
      <c r="R5" s="45" t="s">
        <v>19</v>
      </c>
      <c r="S5" s="45" t="s">
        <v>20</v>
      </c>
      <c r="T5" s="45" t="s">
        <v>21</v>
      </c>
      <c r="U5" s="45" t="s">
        <v>4195</v>
      </c>
    </row>
    <row r="6" spans="1:31" ht="13.5">
      <c r="C6" s="45"/>
      <c r="D6" s="45"/>
      <c r="E6" s="45"/>
      <c r="F6" s="93"/>
      <c r="G6" s="45"/>
      <c r="H6" s="45"/>
      <c r="I6" s="93"/>
      <c r="J6" s="93" t="str">
        <f>"c = "&amp;J112</f>
        <v>c = 628</v>
      </c>
      <c r="K6" s="45"/>
      <c r="L6" s="45"/>
      <c r="M6" s="45"/>
      <c r="N6" s="45"/>
      <c r="O6" s="45"/>
      <c r="P6" s="45"/>
      <c r="Q6" s="45"/>
      <c r="R6" s="45"/>
      <c r="S6" s="45"/>
      <c r="T6" s="45"/>
      <c r="U6" s="45"/>
      <c r="W6" s="35" t="s">
        <v>22</v>
      </c>
    </row>
    <row r="7" spans="1:31" s="34" customFormat="1">
      <c r="A7" s="50" t="s">
        <v>23</v>
      </c>
      <c r="B7" s="54"/>
      <c r="C7" s="53">
        <f>+'Historical - USD'!Q33</f>
        <v>0.42151179143997225</v>
      </c>
      <c r="D7" s="53">
        <f>+'Historical - USD'!R33</f>
        <v>4.0829256170548218</v>
      </c>
      <c r="E7" s="53">
        <f>+'Historical - USD'!S33</f>
        <v>15.1969708197214</v>
      </c>
      <c r="F7" s="53">
        <f>+'Historical - USD'!T33</f>
        <v>69.29545015814108</v>
      </c>
      <c r="G7" s="53">
        <f>+'Historical - USD'!U33</f>
        <v>152.33569525294132</v>
      </c>
      <c r="H7" s="53">
        <f>+'Historical - USD'!V33</f>
        <v>279.26346024365614</v>
      </c>
      <c r="I7" s="53">
        <f>+'Historical - USD'!W33</f>
        <v>486.52275402455365</v>
      </c>
      <c r="J7" s="55">
        <f t="shared" ref="J7:T7" si="0">+I7*(1+J8)</f>
        <v>583.82730482946431</v>
      </c>
      <c r="K7" s="55">
        <f t="shared" si="0"/>
        <v>700.5927657953572</v>
      </c>
      <c r="L7" s="55">
        <f t="shared" si="0"/>
        <v>840.71131895442863</v>
      </c>
      <c r="M7" s="55">
        <f t="shared" si="0"/>
        <v>1008.8535827453143</v>
      </c>
      <c r="N7" s="55">
        <f t="shared" si="0"/>
        <v>1210.6242992943771</v>
      </c>
      <c r="O7" s="55">
        <f t="shared" si="0"/>
        <v>1428.5366731673648</v>
      </c>
      <c r="P7" s="55">
        <f t="shared" si="0"/>
        <v>1657.1025408741432</v>
      </c>
      <c r="Q7" s="55">
        <f t="shared" si="0"/>
        <v>1889.0968965965235</v>
      </c>
      <c r="R7" s="55">
        <f t="shared" si="0"/>
        <v>2115.7885241881063</v>
      </c>
      <c r="S7" s="55">
        <f t="shared" si="0"/>
        <v>2327.3673766069173</v>
      </c>
      <c r="T7" s="55">
        <f t="shared" si="0"/>
        <v>2513.5567667354708</v>
      </c>
      <c r="U7" s="55">
        <f t="shared" ref="U7" si="1">+T7*(1+U8)</f>
        <v>2714.6413080743087</v>
      </c>
      <c r="V7" s="54"/>
      <c r="W7" s="54">
        <f>+AVERAGE(P7)/0.85</f>
        <v>1949.5324010284039</v>
      </c>
      <c r="X7" s="34" t="s">
        <v>24</v>
      </c>
    </row>
    <row r="8" spans="1:31">
      <c r="A8" s="51" t="s">
        <v>4252</v>
      </c>
      <c r="C8" s="52"/>
      <c r="D8" s="52">
        <f t="shared" ref="D8:I8" si="2">D7/C7-1</f>
        <v>8.6863852921093763</v>
      </c>
      <c r="E8" s="52">
        <f t="shared" si="2"/>
        <v>2.72207878493843</v>
      </c>
      <c r="F8" s="56">
        <f t="shared" si="2"/>
        <v>3.5598199128088766</v>
      </c>
      <c r="G8" s="56">
        <f t="shared" si="2"/>
        <v>1.1983506118409184</v>
      </c>
      <c r="H8" s="56">
        <f t="shared" si="2"/>
        <v>0.83321092131401864</v>
      </c>
      <c r="I8" s="56">
        <f t="shared" si="2"/>
        <v>0.74216402532599401</v>
      </c>
      <c r="J8" s="118">
        <v>0.2</v>
      </c>
      <c r="K8" s="118">
        <v>0.2</v>
      </c>
      <c r="L8" s="118">
        <v>0.2</v>
      </c>
      <c r="M8" s="118">
        <v>0.2</v>
      </c>
      <c r="N8" s="118">
        <v>0.2</v>
      </c>
      <c r="O8" s="118">
        <v>0.18</v>
      </c>
      <c r="P8" s="118">
        <v>0.16</v>
      </c>
      <c r="Q8" s="118">
        <v>0.14000000000000001</v>
      </c>
      <c r="R8" s="118">
        <v>0.12</v>
      </c>
      <c r="S8" s="118">
        <v>0.1</v>
      </c>
      <c r="T8" s="118">
        <v>0.08</v>
      </c>
      <c r="U8" s="118">
        <v>0.08</v>
      </c>
      <c r="X8" s="98"/>
    </row>
    <row r="9" spans="1:31">
      <c r="A9" s="51"/>
      <c r="C9" s="52"/>
      <c r="D9" s="52"/>
      <c r="E9" s="52"/>
      <c r="F9" s="52"/>
      <c r="G9" s="52"/>
      <c r="H9" s="52"/>
      <c r="I9" s="55"/>
      <c r="J9" s="52"/>
      <c r="K9" s="52"/>
      <c r="L9" s="52"/>
      <c r="M9" s="52"/>
      <c r="N9" s="52"/>
      <c r="O9" s="52"/>
      <c r="P9" s="52"/>
      <c r="Q9" s="52"/>
      <c r="R9" s="52"/>
      <c r="S9" s="52"/>
      <c r="T9" s="52"/>
      <c r="U9" s="52"/>
    </row>
    <row r="10" spans="1:31" s="34" customFormat="1">
      <c r="A10" s="50" t="s">
        <v>26</v>
      </c>
      <c r="B10" s="54"/>
      <c r="C10" s="53">
        <f>+'Historical - USD'!Q40</f>
        <v>0.21772943638719156</v>
      </c>
      <c r="D10" s="53">
        <f>+'Historical - USD'!R40</f>
        <v>1.0461156178198256</v>
      </c>
      <c r="E10" s="53">
        <f>+'Historical - USD'!S40</f>
        <v>4.2722599178136935</v>
      </c>
      <c r="F10" s="53">
        <f>+'Historical - USD'!T40</f>
        <v>16.396602767294507</v>
      </c>
      <c r="G10" s="53">
        <f>+'Historical - USD'!U40</f>
        <v>27.170855716618469</v>
      </c>
      <c r="H10" s="53">
        <f>+'Historical - USD'!V40</f>
        <v>64.125255761920656</v>
      </c>
      <c r="I10" s="53">
        <f>+'Historical - USD'!W40</f>
        <v>101.55215696590894</v>
      </c>
      <c r="J10" s="53">
        <f>+'Historical - USD'!X40</f>
        <v>122.48201824989903</v>
      </c>
      <c r="K10" s="55"/>
      <c r="L10" s="55"/>
      <c r="M10" s="55"/>
      <c r="N10" s="55"/>
      <c r="O10" s="55"/>
      <c r="P10" s="55"/>
      <c r="Q10" s="55"/>
      <c r="R10" s="55"/>
      <c r="S10" s="55"/>
      <c r="T10" s="55"/>
      <c r="U10" s="55"/>
    </row>
    <row r="11" spans="1:31">
      <c r="A11" s="51" t="s">
        <v>4252</v>
      </c>
      <c r="C11" s="52"/>
      <c r="D11" s="52">
        <f t="shared" ref="D11:J11" si="3">D10/C10-1</f>
        <v>3.8046586404582543</v>
      </c>
      <c r="E11" s="52">
        <f t="shared" si="3"/>
        <v>3.0839270966218502</v>
      </c>
      <c r="F11" s="56">
        <f t="shared" si="3"/>
        <v>2.8379225708920308</v>
      </c>
      <c r="G11" s="56">
        <f t="shared" si="3"/>
        <v>0.65710276099478548</v>
      </c>
      <c r="H11" s="56">
        <f t="shared" si="3"/>
        <v>1.3600749431936303</v>
      </c>
      <c r="I11" s="56">
        <f t="shared" si="3"/>
        <v>0.58365305150507329</v>
      </c>
      <c r="J11" s="56">
        <f t="shared" si="3"/>
        <v>0.20609962318196984</v>
      </c>
      <c r="K11" s="56"/>
      <c r="L11" s="56"/>
      <c r="M11" s="56"/>
      <c r="N11" s="56"/>
      <c r="O11" s="56"/>
      <c r="P11" s="56"/>
      <c r="Q11" s="56"/>
      <c r="R11" s="56"/>
      <c r="S11" s="56"/>
      <c r="T11" s="56"/>
      <c r="U11" s="56"/>
    </row>
    <row r="12" spans="1:31">
      <c r="A12" s="51" t="s">
        <v>27</v>
      </c>
      <c r="C12" s="52">
        <f t="shared" ref="C12:H12" si="4">+C10/C7</f>
        <v>0.51654411764705888</v>
      </c>
      <c r="D12" s="52">
        <f t="shared" si="4"/>
        <v>0.25621716287215412</v>
      </c>
      <c r="E12" s="52">
        <f t="shared" si="4"/>
        <v>0.28112575647440868</v>
      </c>
      <c r="F12" s="52">
        <f t="shared" si="4"/>
        <v>0.23661874956978218</v>
      </c>
      <c r="G12" s="52">
        <f t="shared" si="4"/>
        <v>0.17836171405200482</v>
      </c>
      <c r="H12" s="52">
        <f t="shared" si="4"/>
        <v>0.22962279313581394</v>
      </c>
      <c r="I12" s="52">
        <f t="shared" ref="I12:J12" si="5">+I10/I7</f>
        <v>0.20873053958085552</v>
      </c>
      <c r="J12" s="52">
        <f t="shared" si="5"/>
        <v>0.20979152094586595</v>
      </c>
      <c r="K12" s="56"/>
      <c r="L12" s="56"/>
      <c r="M12" s="56"/>
      <c r="N12" s="56"/>
      <c r="O12" s="56"/>
      <c r="P12" s="56"/>
      <c r="Q12" s="56"/>
      <c r="R12" s="56"/>
      <c r="S12" s="56"/>
      <c r="T12" s="56"/>
      <c r="U12" s="56"/>
    </row>
    <row r="13" spans="1:31">
      <c r="A13" s="51"/>
      <c r="C13" s="52"/>
      <c r="D13" s="52"/>
      <c r="E13" s="52"/>
      <c r="F13" s="52"/>
      <c r="G13" s="52"/>
      <c r="H13" s="52"/>
      <c r="I13" s="55"/>
      <c r="J13" s="56"/>
      <c r="K13" s="56"/>
      <c r="L13" s="56"/>
      <c r="M13" s="56"/>
      <c r="N13" s="56"/>
      <c r="O13" s="56"/>
      <c r="P13" s="56"/>
      <c r="Q13" s="56"/>
      <c r="R13" s="56"/>
      <c r="S13" s="56"/>
      <c r="T13" s="56"/>
      <c r="U13" s="56"/>
    </row>
    <row r="14" spans="1:31">
      <c r="A14" s="51"/>
      <c r="C14" s="52"/>
      <c r="D14" s="52"/>
      <c r="E14" s="52"/>
      <c r="F14" s="52"/>
      <c r="G14" s="52"/>
      <c r="H14" s="52"/>
      <c r="I14" s="52"/>
      <c r="J14" s="93" t="str">
        <f>"c = "&amp;J121</f>
        <v>c = 18</v>
      </c>
      <c r="K14" s="52"/>
      <c r="L14" s="52"/>
      <c r="M14" s="52"/>
      <c r="N14" s="52"/>
      <c r="O14" s="52"/>
      <c r="P14" s="52"/>
      <c r="Q14" s="52"/>
      <c r="R14" s="52"/>
      <c r="S14" s="52"/>
      <c r="T14" s="52"/>
      <c r="U14" s="52"/>
    </row>
    <row r="15" spans="1:31" s="34" customFormat="1">
      <c r="A15" s="50" t="s">
        <v>28</v>
      </c>
      <c r="B15" s="54"/>
      <c r="C15" s="53">
        <f>+'Historical - USD'!Q114</f>
        <v>0.13094759697307962</v>
      </c>
      <c r="D15" s="53">
        <f>+'Historical - USD'!R114</f>
        <v>0.43331925112700909</v>
      </c>
      <c r="E15" s="53">
        <f>+'Historical - USD'!S114</f>
        <v>1.8333797801119438</v>
      </c>
      <c r="F15" s="53">
        <f>+'Historical - USD'!T114</f>
        <v>1.5305748024914749</v>
      </c>
      <c r="G15" s="53">
        <f>+'Historical - USD'!U114</f>
        <v>-15.865268926498235</v>
      </c>
      <c r="H15" s="53">
        <f>+'Historical - USD'!V114</f>
        <v>19.41599918774542</v>
      </c>
      <c r="I15" s="53">
        <f>+'Historical - USD'!W114</f>
        <v>19.962779999556489</v>
      </c>
      <c r="J15" s="55">
        <f t="shared" ref="J15:T15" si="6">+J17*J7</f>
        <v>28.145783613733176</v>
      </c>
      <c r="K15" s="55">
        <f t="shared" si="6"/>
        <v>35.162808815497556</v>
      </c>
      <c r="L15" s="55">
        <f t="shared" si="6"/>
        <v>43.860812753418358</v>
      </c>
      <c r="M15" s="55">
        <f t="shared" si="6"/>
        <v>54.631505913887572</v>
      </c>
      <c r="N15" s="55">
        <f t="shared" si="6"/>
        <v>67.956043828407743</v>
      </c>
      <c r="O15" s="55">
        <f t="shared" si="6"/>
        <v>83.01805106097747</v>
      </c>
      <c r="P15" s="55">
        <f t="shared" si="6"/>
        <v>99.583645669143223</v>
      </c>
      <c r="Q15" s="55">
        <f t="shared" si="6"/>
        <v>117.26764140260995</v>
      </c>
      <c r="R15" s="55">
        <f t="shared" si="6"/>
        <v>135.53111795148422</v>
      </c>
      <c r="S15" s="55">
        <f t="shared" si="6"/>
        <v>153.69472528524983</v>
      </c>
      <c r="T15" s="55">
        <f t="shared" si="6"/>
        <v>170.96963848977634</v>
      </c>
      <c r="U15" s="55">
        <f t="shared" ref="U15" si="7">+U17*U7</f>
        <v>190.02489156520161</v>
      </c>
    </row>
    <row r="16" spans="1:31">
      <c r="A16" s="51" t="s">
        <v>4252</v>
      </c>
      <c r="C16" s="52"/>
      <c r="D16" s="52">
        <f>+D15/C15-1</f>
        <v>2.3091042611197472</v>
      </c>
      <c r="E16" s="52">
        <f>+E15/D15-1</f>
        <v>3.231013912591127</v>
      </c>
      <c r="F16" s="56">
        <f t="shared" ref="F16:T16" si="8">+IFERROR(F15/E15-1,"-")</f>
        <v>-0.16516216711083176</v>
      </c>
      <c r="G16" s="56">
        <f t="shared" si="8"/>
        <v>-11.365562598229564</v>
      </c>
      <c r="H16" s="56">
        <f t="shared" si="8"/>
        <v>-2.2238052363119252</v>
      </c>
      <c r="I16" s="56">
        <f t="shared" si="8"/>
        <v>2.81613532491376E-2</v>
      </c>
      <c r="J16" s="56">
        <f t="shared" si="8"/>
        <v>0.40991302886464154</v>
      </c>
      <c r="K16" s="56">
        <f t="shared" si="8"/>
        <v>0.24930999605712034</v>
      </c>
      <c r="L16" s="56">
        <f t="shared" si="8"/>
        <v>0.24736374114934945</v>
      </c>
      <c r="M16" s="56">
        <f t="shared" si="8"/>
        <v>0.24556528902054575</v>
      </c>
      <c r="N16" s="56">
        <f t="shared" si="8"/>
        <v>0.2438984188999449</v>
      </c>
      <c r="O16" s="56">
        <f t="shared" si="8"/>
        <v>0.22164337980889548</v>
      </c>
      <c r="P16" s="56">
        <f t="shared" si="8"/>
        <v>0.19954208026394382</v>
      </c>
      <c r="Q16" s="56">
        <f t="shared" si="8"/>
        <v>0.17757931650966108</v>
      </c>
      <c r="R16" s="56">
        <f t="shared" si="8"/>
        <v>0.15574182554052629</v>
      </c>
      <c r="S16" s="56">
        <f t="shared" si="8"/>
        <v>0.13401798500819262</v>
      </c>
      <c r="T16" s="56">
        <f t="shared" si="8"/>
        <v>0.11239756714139104</v>
      </c>
      <c r="U16" s="56">
        <f t="shared" ref="U16" si="9">+IFERROR(U15/T15-1,"-")</f>
        <v>0.11145401747202466</v>
      </c>
    </row>
    <row r="17" spans="1:21">
      <c r="A17" s="51" t="s">
        <v>27</v>
      </c>
      <c r="C17" s="52">
        <f t="shared" ref="C17:H17" si="10">+C15/C7</f>
        <v>0.31066176470588236</v>
      </c>
      <c r="D17" s="52">
        <f t="shared" si="10"/>
        <v>0.10612959719789841</v>
      </c>
      <c r="E17" s="52">
        <f t="shared" si="10"/>
        <v>0.12064113314824107</v>
      </c>
      <c r="F17" s="52">
        <f t="shared" si="10"/>
        <v>2.2087666636099592E-2</v>
      </c>
      <c r="G17" s="52">
        <f t="shared" si="10"/>
        <v>-0.10414675890739342</v>
      </c>
      <c r="H17" s="52">
        <f t="shared" si="10"/>
        <v>6.9525741644843361E-2</v>
      </c>
      <c r="I17" s="52">
        <f t="shared" ref="I17" si="11">+I15/I7</f>
        <v>4.103154443327231E-2</v>
      </c>
      <c r="J17" s="118">
        <v>4.820909090909091E-2</v>
      </c>
      <c r="K17" s="56">
        <f>($U$17-$J$17)/11+J17</f>
        <v>5.0190082644628098E-2</v>
      </c>
      <c r="L17" s="56">
        <f t="shared" ref="L17:T17" si="12">($U$17-$J$17)/11+K17</f>
        <v>5.2171074380165286E-2</v>
      </c>
      <c r="M17" s="56">
        <f t="shared" si="12"/>
        <v>5.4152066115702474E-2</v>
      </c>
      <c r="N17" s="56">
        <f t="shared" si="12"/>
        <v>5.6133057851239662E-2</v>
      </c>
      <c r="O17" s="56">
        <f t="shared" si="12"/>
        <v>5.811404958677685E-2</v>
      </c>
      <c r="P17" s="56">
        <f t="shared" si="12"/>
        <v>6.0095041322314038E-2</v>
      </c>
      <c r="Q17" s="56">
        <f t="shared" si="12"/>
        <v>6.2076033057851226E-2</v>
      </c>
      <c r="R17" s="56">
        <f t="shared" si="12"/>
        <v>6.4057024793388415E-2</v>
      </c>
      <c r="S17" s="56">
        <f t="shared" si="12"/>
        <v>6.6038016528925603E-2</v>
      </c>
      <c r="T17" s="56">
        <f t="shared" si="12"/>
        <v>6.8019008264462791E-2</v>
      </c>
      <c r="U17" s="118">
        <v>7.0000000000000007E-2</v>
      </c>
    </row>
    <row r="18" spans="1:21" hidden="1" outlineLevel="1">
      <c r="A18" s="51" t="s">
        <v>29</v>
      </c>
      <c r="C18" s="52"/>
      <c r="D18" s="52">
        <f t="shared" ref="D18:T18" si="13">(D15-C15)/(D7-C7)</f>
        <v>8.2583304853051723E-2</v>
      </c>
      <c r="E18" s="52">
        <f t="shared" si="13"/>
        <v>0.12597218235616139</v>
      </c>
      <c r="F18" s="52">
        <f t="shared" si="13"/>
        <v>-5.5972918522577166E-3</v>
      </c>
      <c r="G18" s="52">
        <f t="shared" si="13"/>
        <v>-0.20948690251492275</v>
      </c>
      <c r="H18" s="52">
        <f t="shared" si="13"/>
        <v>0.27796336063133703</v>
      </c>
      <c r="I18" s="52">
        <f t="shared" si="13"/>
        <v>2.6381485811154655E-3</v>
      </c>
      <c r="J18" s="52">
        <f t="shared" si="13"/>
        <v>8.4096823288183936E-2</v>
      </c>
      <c r="K18" s="52">
        <f t="shared" si="13"/>
        <v>6.0095041322314038E-2</v>
      </c>
      <c r="L18" s="52">
        <f t="shared" si="13"/>
        <v>6.207603305785122E-2</v>
      </c>
      <c r="M18" s="52">
        <f t="shared" si="13"/>
        <v>6.4057024793388401E-2</v>
      </c>
      <c r="N18" s="52">
        <f t="shared" si="13"/>
        <v>6.6038016528925575E-2</v>
      </c>
      <c r="O18" s="52">
        <f t="shared" si="13"/>
        <v>6.9119559228650138E-2</v>
      </c>
      <c r="P18" s="52">
        <f t="shared" si="13"/>
        <v>7.2476239669421488E-2</v>
      </c>
      <c r="Q18" s="52">
        <f t="shared" si="13"/>
        <v>7.6225974025973989E-2</v>
      </c>
      <c r="R18" s="52">
        <f t="shared" si="13"/>
        <v>8.0565289256198366E-2</v>
      </c>
      <c r="S18" s="52">
        <f t="shared" si="13"/>
        <v>8.5847933884297414E-2</v>
      </c>
      <c r="T18" s="52">
        <f t="shared" si="13"/>
        <v>9.2781404958677524E-2</v>
      </c>
      <c r="U18" s="52">
        <f t="shared" ref="U18" si="14">(U15-T15)/(U7-T7)</f>
        <v>9.4762396694215198E-2</v>
      </c>
    </row>
    <row r="19" spans="1:21" collapsed="1">
      <c r="A19" s="51" t="s">
        <v>30</v>
      </c>
      <c r="C19" s="52">
        <f t="shared" ref="C19:H19" si="15">+C15/C$10</f>
        <v>0.60142348754448394</v>
      </c>
      <c r="D19" s="52">
        <f t="shared" si="15"/>
        <v>0.4142173615857826</v>
      </c>
      <c r="E19" s="52">
        <f t="shared" si="15"/>
        <v>0.42913582398567318</v>
      </c>
      <c r="F19" s="52">
        <f t="shared" si="15"/>
        <v>9.3347068549128775E-2</v>
      </c>
      <c r="G19" s="52">
        <f t="shared" si="15"/>
        <v>-0.58390759172132312</v>
      </c>
      <c r="H19" s="52">
        <f t="shared" si="15"/>
        <v>0.30278240541966267</v>
      </c>
      <c r="I19" s="52">
        <f t="shared" ref="I19:J19" si="16">+I15/I$10</f>
        <v>0.19657662225981073</v>
      </c>
      <c r="J19" s="52">
        <f t="shared" si="16"/>
        <v>0.22979523048279277</v>
      </c>
      <c r="K19" s="52"/>
      <c r="L19" s="52"/>
      <c r="M19" s="52"/>
      <c r="N19" s="52"/>
      <c r="O19" s="52"/>
      <c r="P19" s="52"/>
      <c r="Q19" s="52"/>
      <c r="R19" s="52"/>
      <c r="S19" s="52"/>
      <c r="T19" s="52"/>
      <c r="U19" s="52"/>
    </row>
    <row r="20" spans="1:21">
      <c r="C20" s="34"/>
      <c r="D20" s="34"/>
      <c r="E20" s="34"/>
      <c r="F20" s="34"/>
      <c r="G20" s="34"/>
      <c r="H20" s="34"/>
      <c r="I20" s="52"/>
      <c r="J20" s="34"/>
      <c r="K20" s="34"/>
      <c r="L20" s="34"/>
      <c r="M20" s="34"/>
      <c r="N20" s="34"/>
      <c r="O20" s="34"/>
      <c r="P20" s="34"/>
      <c r="Q20" s="34"/>
      <c r="R20" s="34"/>
      <c r="S20" s="34"/>
      <c r="T20" s="34"/>
      <c r="U20" s="34"/>
    </row>
    <row r="21" spans="1:21">
      <c r="A21" s="35" t="s">
        <v>31</v>
      </c>
      <c r="B21" s="58"/>
      <c r="C21" s="53">
        <f>+'Historical - USD'!Q120</f>
        <v>0.43778338633011815</v>
      </c>
      <c r="D21" s="53">
        <f>+'Historical - USD'!R120</f>
        <v>0.80657444764235353</v>
      </c>
      <c r="E21" s="53">
        <f>+'Historical - USD'!S120</f>
        <v>0.88504926094406966</v>
      </c>
      <c r="F21" s="53">
        <f>+'Historical - USD'!T120</f>
        <v>2.0347208621357233</v>
      </c>
      <c r="G21" s="53">
        <f>+'Historical - USD'!U120</f>
        <v>6.0664968319692836</v>
      </c>
      <c r="H21" s="53">
        <f>+'Historical - USD'!V120</f>
        <v>8.0984135817659855</v>
      </c>
      <c r="I21" s="53">
        <f>+'Historical - USD'!W120</f>
        <v>9.3570270108481353</v>
      </c>
      <c r="J21" s="55">
        <f t="shared" ref="J21:T21" si="17">+J22*J7</f>
        <v>11.676546096589286</v>
      </c>
      <c r="K21" s="55">
        <f t="shared" si="17"/>
        <v>14.011855315907145</v>
      </c>
      <c r="L21" s="55">
        <f t="shared" si="17"/>
        <v>16.814226379088574</v>
      </c>
      <c r="M21" s="55">
        <f t="shared" si="17"/>
        <v>20.177071654906285</v>
      </c>
      <c r="N21" s="55">
        <f t="shared" si="17"/>
        <v>24.212485985887543</v>
      </c>
      <c r="O21" s="55">
        <f t="shared" si="17"/>
        <v>28.570733463347295</v>
      </c>
      <c r="P21" s="55">
        <f t="shared" si="17"/>
        <v>33.142050817482861</v>
      </c>
      <c r="Q21" s="55">
        <f t="shared" si="17"/>
        <v>37.781937931930472</v>
      </c>
      <c r="R21" s="55">
        <f t="shared" si="17"/>
        <v>42.31577048376213</v>
      </c>
      <c r="S21" s="55">
        <f t="shared" si="17"/>
        <v>46.547347532138346</v>
      </c>
      <c r="T21" s="55">
        <f t="shared" si="17"/>
        <v>50.271135334709413</v>
      </c>
      <c r="U21" s="55">
        <f t="shared" ref="U21" si="18">+U22*U7</f>
        <v>54.292826161486175</v>
      </c>
    </row>
    <row r="22" spans="1:21">
      <c r="A22" s="51" t="s">
        <v>32</v>
      </c>
      <c r="C22" s="52">
        <f t="shared" ref="C22:H22" si="19">+C21/C7</f>
        <v>1.0386029411764703</v>
      </c>
      <c r="D22" s="52">
        <f t="shared" si="19"/>
        <v>0.19754816112084062</v>
      </c>
      <c r="E22" s="52">
        <f t="shared" si="19"/>
        <v>5.8238531312801121E-2</v>
      </c>
      <c r="F22" s="52">
        <f t="shared" si="19"/>
        <v>2.9362979207036396E-2</v>
      </c>
      <c r="G22" s="52">
        <f t="shared" si="19"/>
        <v>3.9823212950164749E-2</v>
      </c>
      <c r="H22" s="52">
        <f t="shared" si="19"/>
        <v>2.8999187987931378E-2</v>
      </c>
      <c r="I22" s="52">
        <f t="shared" ref="I22" si="20">+I21/I7</f>
        <v>1.9232455077272517E-2</v>
      </c>
      <c r="J22" s="118">
        <f t="shared" ref="J22:T22" si="21">MAX(I22*0.97,2%)</f>
        <v>0.02</v>
      </c>
      <c r="K22" s="118">
        <f t="shared" si="21"/>
        <v>0.02</v>
      </c>
      <c r="L22" s="118">
        <f t="shared" si="21"/>
        <v>0.02</v>
      </c>
      <c r="M22" s="118">
        <f t="shared" si="21"/>
        <v>0.02</v>
      </c>
      <c r="N22" s="118">
        <f t="shared" si="21"/>
        <v>0.02</v>
      </c>
      <c r="O22" s="118">
        <f t="shared" si="21"/>
        <v>0.02</v>
      </c>
      <c r="P22" s="118">
        <f t="shared" si="21"/>
        <v>0.02</v>
      </c>
      <c r="Q22" s="118">
        <f t="shared" si="21"/>
        <v>0.02</v>
      </c>
      <c r="R22" s="118">
        <f t="shared" si="21"/>
        <v>0.02</v>
      </c>
      <c r="S22" s="118">
        <f t="shared" si="21"/>
        <v>0.02</v>
      </c>
      <c r="T22" s="118">
        <f t="shared" si="21"/>
        <v>0.02</v>
      </c>
      <c r="U22" s="118">
        <f t="shared" ref="U22" si="22">MAX(T22*0.97,2%)</f>
        <v>0.02</v>
      </c>
    </row>
    <row r="23" spans="1:21" collapsed="1">
      <c r="A23" s="51" t="s">
        <v>30</v>
      </c>
      <c r="C23" s="52">
        <f t="shared" ref="C23:H23" si="23">+C21/C$10</f>
        <v>2.0106761565836293</v>
      </c>
      <c r="D23" s="52">
        <f t="shared" si="23"/>
        <v>0.77101845522898149</v>
      </c>
      <c r="E23" s="52">
        <f t="shared" si="23"/>
        <v>0.20716184828871295</v>
      </c>
      <c r="F23" s="52">
        <f t="shared" si="23"/>
        <v>0.12409405112833986</v>
      </c>
      <c r="G23" s="52">
        <f t="shared" si="23"/>
        <v>0.22327220368914777</v>
      </c>
      <c r="H23" s="52">
        <f t="shared" si="23"/>
        <v>0.1262905462994667</v>
      </c>
      <c r="I23" s="52">
        <f t="shared" ref="I23:J23" si="24">+I21/I$10</f>
        <v>9.2140110957852822E-2</v>
      </c>
      <c r="J23" s="52">
        <f t="shared" si="24"/>
        <v>9.5332737518790123E-2</v>
      </c>
      <c r="K23" s="34"/>
      <c r="L23" s="34"/>
      <c r="M23" s="34"/>
      <c r="N23" s="34"/>
      <c r="O23" s="34"/>
      <c r="P23" s="34"/>
      <c r="Q23" s="34"/>
      <c r="R23" s="34"/>
      <c r="S23" s="34"/>
      <c r="T23" s="34"/>
      <c r="U23" s="34"/>
    </row>
    <row r="24" spans="1:21">
      <c r="C24" s="34"/>
      <c r="D24" s="34"/>
      <c r="E24" s="34"/>
      <c r="F24" s="34"/>
      <c r="G24" s="34"/>
      <c r="H24" s="34"/>
      <c r="I24" s="34"/>
      <c r="J24" s="34"/>
      <c r="K24" s="34"/>
      <c r="L24" s="34"/>
      <c r="M24" s="34"/>
      <c r="N24" s="34"/>
      <c r="O24" s="34"/>
      <c r="P24" s="34"/>
      <c r="Q24" s="34"/>
      <c r="R24" s="34"/>
      <c r="S24" s="34"/>
      <c r="T24" s="34"/>
      <c r="U24" s="34"/>
    </row>
    <row r="25" spans="1:21">
      <c r="A25" s="35" t="s">
        <v>33</v>
      </c>
      <c r="B25" s="58"/>
      <c r="C25" s="55">
        <f t="shared" ref="C25:T25" si="25">+C15-C21</f>
        <v>-0.30683578935703854</v>
      </c>
      <c r="D25" s="55">
        <f t="shared" si="25"/>
        <v>-0.37325519651534445</v>
      </c>
      <c r="E25" s="55">
        <f t="shared" si="25"/>
        <v>0.94833051916787414</v>
      </c>
      <c r="F25" s="55">
        <f t="shared" si="25"/>
        <v>-0.50414605964424841</v>
      </c>
      <c r="G25" s="55">
        <f t="shared" si="25"/>
        <v>-21.93176575846752</v>
      </c>
      <c r="H25" s="55">
        <f t="shared" si="25"/>
        <v>11.317585605979435</v>
      </c>
      <c r="I25" s="55">
        <f t="shared" si="25"/>
        <v>10.605752988708353</v>
      </c>
      <c r="J25" s="55">
        <f t="shared" si="25"/>
        <v>16.469237517143888</v>
      </c>
      <c r="K25" s="55">
        <f t="shared" si="25"/>
        <v>21.150953499590411</v>
      </c>
      <c r="L25" s="55">
        <f t="shared" si="25"/>
        <v>27.046586374329785</v>
      </c>
      <c r="M25" s="55">
        <f t="shared" si="25"/>
        <v>34.454434258981287</v>
      </c>
      <c r="N25" s="55">
        <f t="shared" si="25"/>
        <v>43.743557842520204</v>
      </c>
      <c r="O25" s="55">
        <f t="shared" si="25"/>
        <v>54.447317597630175</v>
      </c>
      <c r="P25" s="55">
        <f t="shared" si="25"/>
        <v>66.441594851660369</v>
      </c>
      <c r="Q25" s="55">
        <f t="shared" si="25"/>
        <v>79.485703470679482</v>
      </c>
      <c r="R25" s="55">
        <f t="shared" si="25"/>
        <v>93.215347467722097</v>
      </c>
      <c r="S25" s="55">
        <f t="shared" si="25"/>
        <v>107.14737775311148</v>
      </c>
      <c r="T25" s="55">
        <f t="shared" si="25"/>
        <v>120.69850315506693</v>
      </c>
      <c r="U25" s="55">
        <f t="shared" ref="U25" si="26">+U15-U21</f>
        <v>135.73206540371544</v>
      </c>
    </row>
    <row r="26" spans="1:21">
      <c r="A26" s="51" t="s">
        <v>4252</v>
      </c>
      <c r="C26" s="56"/>
      <c r="D26" s="56">
        <f>+D25/C25-1</f>
        <v>0.21646564534562596</v>
      </c>
      <c r="E26" s="56">
        <f>+E25/D25-1</f>
        <v>-3.5407027899982322</v>
      </c>
      <c r="F26" s="56">
        <f t="shared" ref="F26:T26" si="27">+IFERROR(F25/E25-1,"-")</f>
        <v>-1.5316142942300521</v>
      </c>
      <c r="G26" s="56">
        <f t="shared" si="27"/>
        <v>42.502801100823262</v>
      </c>
      <c r="H26" s="56">
        <f t="shared" si="27"/>
        <v>-1.5160362248356536</v>
      </c>
      <c r="I26" s="56">
        <f t="shared" si="27"/>
        <v>-6.2896154891463607E-2</v>
      </c>
      <c r="J26" s="56">
        <f t="shared" si="27"/>
        <v>0.55285886204197121</v>
      </c>
      <c r="K26" s="56">
        <f t="shared" si="27"/>
        <v>0.28427035420267788</v>
      </c>
      <c r="L26" s="56">
        <f t="shared" si="27"/>
        <v>0.278740761018341</v>
      </c>
      <c r="M26" s="56">
        <f t="shared" si="27"/>
        <v>0.27389215711459891</v>
      </c>
      <c r="N26" s="56">
        <f t="shared" si="27"/>
        <v>0.26960604007356492</v>
      </c>
      <c r="O26" s="56">
        <f t="shared" si="27"/>
        <v>0.244693396765856</v>
      </c>
      <c r="P26" s="56">
        <f t="shared" si="27"/>
        <v>0.22029142634112509</v>
      </c>
      <c r="Q26" s="56">
        <f t="shared" si="27"/>
        <v>0.19632443574152325</v>
      </c>
      <c r="R26" s="56">
        <f t="shared" si="27"/>
        <v>0.17273098680075449</v>
      </c>
      <c r="S26" s="56">
        <f t="shared" si="27"/>
        <v>0.1494606914404697</v>
      </c>
      <c r="T26" s="56">
        <f t="shared" si="27"/>
        <v>0.12647183427278907</v>
      </c>
      <c r="U26" s="56">
        <f t="shared" ref="U26" si="28">+IFERROR(U25/T25-1,"-")</f>
        <v>0.12455467015472599</v>
      </c>
    </row>
    <row r="27" spans="1:21">
      <c r="A27" s="51" t="s">
        <v>27</v>
      </c>
      <c r="C27" s="56">
        <f t="shared" ref="C27:T27" si="29">+C25/C7</f>
        <v>-0.72794117647058798</v>
      </c>
      <c r="D27" s="56">
        <f t="shared" si="29"/>
        <v>-9.1418563922942203E-2</v>
      </c>
      <c r="E27" s="56">
        <f t="shared" si="29"/>
        <v>6.2402601835439955E-2</v>
      </c>
      <c r="F27" s="56">
        <f t="shared" si="29"/>
        <v>-7.2753125709368021E-3</v>
      </c>
      <c r="G27" s="56">
        <f t="shared" si="29"/>
        <v>-0.14396997185755817</v>
      </c>
      <c r="H27" s="56">
        <f t="shared" si="29"/>
        <v>4.0526553656911976E-2</v>
      </c>
      <c r="I27" s="56">
        <f t="shared" si="29"/>
        <v>2.1799089355999793E-2</v>
      </c>
      <c r="J27" s="56">
        <f t="shared" si="29"/>
        <v>2.8209090909090909E-2</v>
      </c>
      <c r="K27" s="56">
        <f t="shared" si="29"/>
        <v>3.0190082644628097E-2</v>
      </c>
      <c r="L27" s="56">
        <f t="shared" si="29"/>
        <v>3.2171074380165282E-2</v>
      </c>
      <c r="M27" s="56">
        <f t="shared" si="29"/>
        <v>3.415206611570247E-2</v>
      </c>
      <c r="N27" s="56">
        <f t="shared" si="29"/>
        <v>3.6133057851239658E-2</v>
      </c>
      <c r="O27" s="56">
        <f t="shared" si="29"/>
        <v>3.8114049586776846E-2</v>
      </c>
      <c r="P27" s="56">
        <f t="shared" si="29"/>
        <v>4.0095041322314041E-2</v>
      </c>
      <c r="Q27" s="56">
        <f t="shared" si="29"/>
        <v>4.207603305785123E-2</v>
      </c>
      <c r="R27" s="56">
        <f t="shared" si="29"/>
        <v>4.4057024793388425E-2</v>
      </c>
      <c r="S27" s="56">
        <f t="shared" si="29"/>
        <v>4.6038016528925606E-2</v>
      </c>
      <c r="T27" s="56">
        <f t="shared" si="29"/>
        <v>4.8019008264462787E-2</v>
      </c>
      <c r="U27" s="59">
        <f t="shared" ref="U27" si="30">+U25/U7</f>
        <v>0.05</v>
      </c>
    </row>
    <row r="28" spans="1:21" hidden="1" outlineLevel="1">
      <c r="A28" s="51" t="s">
        <v>29</v>
      </c>
      <c r="C28" s="52"/>
      <c r="D28" s="52">
        <f t="shared" ref="D28:T28" si="31">(D25-C25)/(D7-C7)</f>
        <v>-1.8140371539989014E-2</v>
      </c>
      <c r="E28" s="52">
        <f t="shared" si="31"/>
        <v>0.1189113137101631</v>
      </c>
      <c r="F28" s="52">
        <f t="shared" si="31"/>
        <v>-2.6848750585501249E-2</v>
      </c>
      <c r="G28" s="52">
        <f t="shared" si="31"/>
        <v>-0.25803897464851067</v>
      </c>
      <c r="H28" s="52">
        <f t="shared" si="31"/>
        <v>0.26195491086508338</v>
      </c>
      <c r="I28" s="52">
        <f t="shared" si="31"/>
        <v>-3.4345027635942333E-3</v>
      </c>
      <c r="J28" s="52">
        <f t="shared" si="31"/>
        <v>6.0259098674546506E-2</v>
      </c>
      <c r="K28" s="52">
        <f t="shared" si="31"/>
        <v>4.0095041322314048E-2</v>
      </c>
      <c r="L28" s="52">
        <f t="shared" si="31"/>
        <v>4.2076033057851223E-2</v>
      </c>
      <c r="M28" s="52">
        <f t="shared" si="31"/>
        <v>4.4057024793388411E-2</v>
      </c>
      <c r="N28" s="52">
        <f t="shared" si="31"/>
        <v>4.6038016528925592E-2</v>
      </c>
      <c r="O28" s="52">
        <f t="shared" si="31"/>
        <v>4.9119559228650134E-2</v>
      </c>
      <c r="P28" s="52">
        <f t="shared" si="31"/>
        <v>5.2476239669421526E-2</v>
      </c>
      <c r="Q28" s="52">
        <f t="shared" si="31"/>
        <v>5.6225974025973936E-2</v>
      </c>
      <c r="R28" s="52">
        <f t="shared" si="31"/>
        <v>6.0565289256198383E-2</v>
      </c>
      <c r="S28" s="52">
        <f t="shared" si="31"/>
        <v>6.584793388429741E-2</v>
      </c>
      <c r="T28" s="52">
        <f t="shared" si="31"/>
        <v>7.2781404958677534E-2</v>
      </c>
      <c r="U28" s="52">
        <f t="shared" ref="U28" si="32">(U25-T25)/(U7-T7)</f>
        <v>7.476239669421518E-2</v>
      </c>
    </row>
    <row r="29" spans="1:21" collapsed="1">
      <c r="A29" s="51" t="s">
        <v>30</v>
      </c>
      <c r="C29" s="52">
        <f t="shared" ref="C29:J29" si="33">+C25/C$10</f>
        <v>-1.4092526690391454</v>
      </c>
      <c r="D29" s="52">
        <f t="shared" si="33"/>
        <v>-0.35680109364319884</v>
      </c>
      <c r="E29" s="52">
        <f t="shared" si="33"/>
        <v>0.22197397569696023</v>
      </c>
      <c r="F29" s="52">
        <f t="shared" si="33"/>
        <v>-3.0746982579211081E-2</v>
      </c>
      <c r="G29" s="52">
        <f t="shared" si="33"/>
        <v>-0.80717979541047091</v>
      </c>
      <c r="H29" s="52">
        <f t="shared" si="33"/>
        <v>0.17649185912019597</v>
      </c>
      <c r="I29" s="52">
        <f t="shared" si="33"/>
        <v>0.10443651130195793</v>
      </c>
      <c r="J29" s="52">
        <f t="shared" si="33"/>
        <v>0.13446249296400262</v>
      </c>
      <c r="K29" s="34"/>
      <c r="L29" s="34"/>
      <c r="M29" s="34"/>
      <c r="N29" s="34"/>
      <c r="O29" s="34"/>
      <c r="P29" s="34"/>
      <c r="Q29" s="34"/>
      <c r="R29" s="34"/>
      <c r="S29" s="34"/>
      <c r="T29" s="34"/>
      <c r="U29" s="34"/>
    </row>
    <row r="30" spans="1:21">
      <c r="C30" s="34"/>
      <c r="D30" s="34"/>
      <c r="E30" s="34"/>
      <c r="F30" s="34"/>
      <c r="G30" s="34"/>
      <c r="H30" s="34"/>
      <c r="I30" s="34"/>
      <c r="J30" s="34"/>
      <c r="K30" s="34"/>
      <c r="L30" s="34"/>
      <c r="M30" s="34"/>
      <c r="N30" s="34"/>
      <c r="O30" s="34"/>
      <c r="P30" s="34"/>
      <c r="Q30" s="34"/>
      <c r="R30" s="34"/>
      <c r="S30" s="34"/>
      <c r="T30" s="34"/>
      <c r="U30" s="34"/>
    </row>
    <row r="31" spans="1:21">
      <c r="A31" s="35" t="s">
        <v>34</v>
      </c>
      <c r="B31" s="58"/>
      <c r="C31" s="53">
        <f>+'Historical - USD'!Q130</f>
        <v>0</v>
      </c>
      <c r="D31" s="53">
        <f>+'Historical - USD'!R130</f>
        <v>0.17089653633556959</v>
      </c>
      <c r="E31" s="53">
        <f>+'Historical - USD'!S130</f>
        <v>0.24489991939785954</v>
      </c>
      <c r="F31" s="53">
        <f>+'Historical - USD'!T130</f>
        <v>0.49888073518175047</v>
      </c>
      <c r="G31" s="53">
        <f>+'Historical - USD'!U130</f>
        <v>1.2840357889516987</v>
      </c>
      <c r="H31" s="53">
        <f>+'Historical - USD'!V130</f>
        <v>2.739214733075678</v>
      </c>
      <c r="I31" s="53">
        <f>+'Historical - USD'!W130</f>
        <v>4.2578292722233622</v>
      </c>
      <c r="J31" s="53">
        <f>+'Historical - USD'!X130</f>
        <v>5.788865416150113</v>
      </c>
      <c r="K31" s="55">
        <f t="shared" ref="K31:T31" si="34">+K32*K7</f>
        <v>7.6630549688260903</v>
      </c>
      <c r="L31" s="55">
        <f t="shared" si="34"/>
        <v>10.055365725926453</v>
      </c>
      <c r="M31" s="55">
        <f t="shared" si="34"/>
        <v>13.098078587113918</v>
      </c>
      <c r="N31" s="55">
        <f t="shared" si="34"/>
        <v>16.95566196373931</v>
      </c>
      <c r="O31" s="55">
        <f t="shared" si="34"/>
        <v>21.468482955071462</v>
      </c>
      <c r="P31" s="55">
        <f t="shared" si="34"/>
        <v>26.597970359799429</v>
      </c>
      <c r="Q31" s="55">
        <f t="shared" si="34"/>
        <v>32.253450560556203</v>
      </c>
      <c r="R31" s="55">
        <f t="shared" si="34"/>
        <v>38.287440700253981</v>
      </c>
      <c r="S31" s="55">
        <f t="shared" si="34"/>
        <v>44.496118449953521</v>
      </c>
      <c r="T31" s="55">
        <f t="shared" si="34"/>
        <v>50.271135334709413</v>
      </c>
      <c r="U31" s="55">
        <f t="shared" ref="U31" si="35">+U32*U7</f>
        <v>54.292826161486175</v>
      </c>
    </row>
    <row r="32" spans="1:21">
      <c r="A32" s="51" t="s">
        <v>32</v>
      </c>
      <c r="C32" s="56">
        <f t="shared" ref="C32:H32" si="36">+C31/C7</f>
        <v>0</v>
      </c>
      <c r="D32" s="56">
        <f t="shared" si="36"/>
        <v>4.1856392294220661E-2</v>
      </c>
      <c r="E32" s="56">
        <f t="shared" si="36"/>
        <v>1.6115048341084411E-2</v>
      </c>
      <c r="F32" s="56">
        <f t="shared" si="36"/>
        <v>7.1993288743090753E-3</v>
      </c>
      <c r="G32" s="56">
        <f t="shared" si="36"/>
        <v>8.4289882736915938E-3</v>
      </c>
      <c r="H32" s="56">
        <f t="shared" si="36"/>
        <v>9.8087115682292461E-3</v>
      </c>
      <c r="I32" s="56">
        <f t="shared" ref="I32" si="37">+I31/I7</f>
        <v>8.7515521874409179E-3</v>
      </c>
      <c r="J32" s="56">
        <f t="shared" ref="J32" si="38">+J31/J7</f>
        <v>9.9153728649965037E-3</v>
      </c>
      <c r="K32" s="56">
        <f t="shared" ref="K32:S32" si="39">($T$32-$I$32)/11+J32</f>
        <v>1.0937959029774602E-2</v>
      </c>
      <c r="L32" s="56">
        <f t="shared" si="39"/>
        <v>1.19605451945527E-2</v>
      </c>
      <c r="M32" s="56">
        <f t="shared" si="39"/>
        <v>1.2983131359330798E-2</v>
      </c>
      <c r="N32" s="56">
        <f t="shared" si="39"/>
        <v>1.4005717524108896E-2</v>
      </c>
      <c r="O32" s="56">
        <f t="shared" si="39"/>
        <v>1.5028303688886994E-2</v>
      </c>
      <c r="P32" s="56">
        <f t="shared" si="39"/>
        <v>1.6050889853665092E-2</v>
      </c>
      <c r="Q32" s="56">
        <f t="shared" si="39"/>
        <v>1.7073476018443192E-2</v>
      </c>
      <c r="R32" s="56">
        <f t="shared" si="39"/>
        <v>1.8096062183221292E-2</v>
      </c>
      <c r="S32" s="56">
        <f t="shared" si="39"/>
        <v>1.9118648347999392E-2</v>
      </c>
      <c r="T32" s="118">
        <f>+T22</f>
        <v>0.02</v>
      </c>
      <c r="U32" s="118">
        <f t="shared" ref="U32" si="40">+U22</f>
        <v>0.02</v>
      </c>
    </row>
    <row r="33" spans="1:31" collapsed="1">
      <c r="A33" s="51" t="s">
        <v>30</v>
      </c>
      <c r="C33" s="52">
        <f t="shared" ref="C33:H33" si="41">+C31/C$10</f>
        <v>0</v>
      </c>
      <c r="D33" s="52">
        <f t="shared" si="41"/>
        <v>0.16336295283663704</v>
      </c>
      <c r="E33" s="52">
        <f t="shared" si="41"/>
        <v>5.7323272485534024E-2</v>
      </c>
      <c r="F33" s="52">
        <f t="shared" si="41"/>
        <v>3.0425859689474408E-2</v>
      </c>
      <c r="G33" s="52">
        <f t="shared" si="41"/>
        <v>4.7257833994766157E-2</v>
      </c>
      <c r="H33" s="52">
        <f t="shared" si="41"/>
        <v>4.271662858150032E-2</v>
      </c>
      <c r="I33" s="52">
        <f t="shared" ref="I33" si="42">+I31/I$10</f>
        <v>4.1927511925253499E-2</v>
      </c>
      <c r="J33" s="52">
        <f t="shared" ref="J33" si="43">+J31/J$10</f>
        <v>4.7262981936982293E-2</v>
      </c>
      <c r="K33" s="34"/>
      <c r="L33" s="34"/>
      <c r="M33" s="34"/>
      <c r="N33" s="34"/>
      <c r="O33" s="34"/>
      <c r="P33" s="34"/>
      <c r="Q33" s="34"/>
      <c r="R33" s="34"/>
      <c r="S33" s="34"/>
      <c r="T33" s="34"/>
      <c r="U33" s="34"/>
    </row>
    <row r="34" spans="1:31">
      <c r="C34" s="34"/>
      <c r="D34" s="34"/>
      <c r="E34" s="34"/>
      <c r="F34" s="34"/>
      <c r="G34" s="34"/>
      <c r="H34" s="34"/>
      <c r="I34" s="34"/>
      <c r="J34" s="34"/>
      <c r="K34" s="34"/>
      <c r="L34" s="34"/>
      <c r="M34" s="34"/>
      <c r="N34" s="34"/>
      <c r="O34" s="34"/>
      <c r="P34" s="34"/>
      <c r="Q34" s="34"/>
      <c r="R34" s="34"/>
      <c r="S34" s="34"/>
      <c r="T34" s="34"/>
      <c r="U34" s="34"/>
    </row>
    <row r="35" spans="1:31" s="34" customFormat="1">
      <c r="A35" s="50" t="s">
        <v>35</v>
      </c>
      <c r="B35" s="54"/>
      <c r="C35" s="55">
        <f t="shared" ref="C35:T35" si="44">+C15-C31</f>
        <v>0.13094759697307962</v>
      </c>
      <c r="D35" s="55">
        <f t="shared" si="44"/>
        <v>0.26242271479143953</v>
      </c>
      <c r="E35" s="55">
        <f t="shared" si="44"/>
        <v>1.5884798607140842</v>
      </c>
      <c r="F35" s="55">
        <f t="shared" si="44"/>
        <v>1.0316940673097243</v>
      </c>
      <c r="G35" s="55">
        <f t="shared" si="44"/>
        <v>-17.149304715449933</v>
      </c>
      <c r="H35" s="55">
        <f t="shared" si="44"/>
        <v>16.676784454669743</v>
      </c>
      <c r="I35" s="55">
        <f t="shared" ref="I35" si="45">+I15-I31</f>
        <v>15.704950727333127</v>
      </c>
      <c r="J35" s="55">
        <f t="shared" si="44"/>
        <v>22.356918197583063</v>
      </c>
      <c r="K35" s="55">
        <f t="shared" si="44"/>
        <v>27.499753846671467</v>
      </c>
      <c r="L35" s="55">
        <f t="shared" si="44"/>
        <v>33.805447027491908</v>
      </c>
      <c r="M35" s="55">
        <f t="shared" si="44"/>
        <v>41.533427326773655</v>
      </c>
      <c r="N35" s="55">
        <f t="shared" si="44"/>
        <v>51.000381864668434</v>
      </c>
      <c r="O35" s="55">
        <f t="shared" si="44"/>
        <v>61.549568105906005</v>
      </c>
      <c r="P35" s="55">
        <f t="shared" si="44"/>
        <v>72.98567530934379</v>
      </c>
      <c r="Q35" s="55">
        <f t="shared" si="44"/>
        <v>85.01419084205375</v>
      </c>
      <c r="R35" s="55">
        <f t="shared" si="44"/>
        <v>97.243677251230238</v>
      </c>
      <c r="S35" s="55">
        <f t="shared" si="44"/>
        <v>109.19860683529632</v>
      </c>
      <c r="T35" s="55">
        <f t="shared" si="44"/>
        <v>120.69850315506693</v>
      </c>
      <c r="U35" s="55">
        <f t="shared" ref="U35" si="46">+U15-U31</f>
        <v>135.73206540371544</v>
      </c>
    </row>
    <row r="36" spans="1:31">
      <c r="A36" s="51" t="s">
        <v>4252</v>
      </c>
      <c r="C36" s="56"/>
      <c r="D36" s="56">
        <f t="shared" ref="D36:T36" si="47">+D35/C35-1</f>
        <v>1.00402848816988</v>
      </c>
      <c r="E36" s="56">
        <f t="shared" si="47"/>
        <v>5.0531340130999283</v>
      </c>
      <c r="F36" s="56">
        <f t="shared" si="47"/>
        <v>-0.35051485837161489</v>
      </c>
      <c r="G36" s="56">
        <f t="shared" si="47"/>
        <v>-17.622471000699811</v>
      </c>
      <c r="H36" s="56">
        <f t="shared" si="47"/>
        <v>-1.972446681155855</v>
      </c>
      <c r="I36" s="56">
        <f t="shared" si="47"/>
        <v>-5.8274647008733638E-2</v>
      </c>
      <c r="J36" s="56">
        <f t="shared" si="47"/>
        <v>0.42355863356341228</v>
      </c>
      <c r="K36" s="56">
        <f t="shared" si="47"/>
        <v>0.23003329902796632</v>
      </c>
      <c r="L36" s="56">
        <f t="shared" si="47"/>
        <v>0.22929998631910209</v>
      </c>
      <c r="M36" s="56">
        <f t="shared" si="47"/>
        <v>0.22860163017507351</v>
      </c>
      <c r="N36" s="56">
        <f t="shared" si="47"/>
        <v>0.22793578924781155</v>
      </c>
      <c r="O36" s="56">
        <f t="shared" si="47"/>
        <v>0.20684524028134255</v>
      </c>
      <c r="P36" s="56">
        <f t="shared" si="47"/>
        <v>0.18580320797312688</v>
      </c>
      <c r="Q36" s="56">
        <f t="shared" si="47"/>
        <v>0.1648065251397357</v>
      </c>
      <c r="R36" s="56">
        <f t="shared" si="47"/>
        <v>0.14385229439985392</v>
      </c>
      <c r="S36" s="56">
        <f t="shared" si="47"/>
        <v>0.1229378600439015</v>
      </c>
      <c r="T36" s="56">
        <f t="shared" si="47"/>
        <v>0.10531174941742472</v>
      </c>
      <c r="U36" s="56">
        <f t="shared" ref="U36" si="48">+U35/T35-1</f>
        <v>0.12455467015472599</v>
      </c>
    </row>
    <row r="37" spans="1:31">
      <c r="A37" s="51" t="s">
        <v>27</v>
      </c>
      <c r="C37" s="52">
        <f t="shared" ref="C37:T37" si="49">+C35/C7</f>
        <v>0.31066176470588236</v>
      </c>
      <c r="D37" s="52">
        <f t="shared" si="49"/>
        <v>6.4273204903677758E-2</v>
      </c>
      <c r="E37" s="52">
        <f t="shared" si="49"/>
        <v>0.10452608480715667</v>
      </c>
      <c r="F37" s="52">
        <f t="shared" si="49"/>
        <v>1.4888337761790516E-2</v>
      </c>
      <c r="G37" s="52">
        <f t="shared" si="49"/>
        <v>-0.112575747181085</v>
      </c>
      <c r="H37" s="52">
        <f t="shared" si="49"/>
        <v>5.9717030076614115E-2</v>
      </c>
      <c r="I37" s="52">
        <f t="shared" ref="I37" si="50">+I35/I7</f>
        <v>3.2279992245831397E-2</v>
      </c>
      <c r="J37" s="52">
        <f t="shared" si="49"/>
        <v>3.8293718044094406E-2</v>
      </c>
      <c r="K37" s="52">
        <f t="shared" si="49"/>
        <v>3.9252123614853501E-2</v>
      </c>
      <c r="L37" s="52">
        <f t="shared" si="49"/>
        <v>4.021052918561259E-2</v>
      </c>
      <c r="M37" s="52">
        <f t="shared" si="49"/>
        <v>4.1168934756371671E-2</v>
      </c>
      <c r="N37" s="52">
        <f t="shared" si="49"/>
        <v>4.2127340327130759E-2</v>
      </c>
      <c r="O37" s="52">
        <f t="shared" si="49"/>
        <v>4.3085745897889854E-2</v>
      </c>
      <c r="P37" s="52">
        <f t="shared" si="49"/>
        <v>4.4044151468648943E-2</v>
      </c>
      <c r="Q37" s="52">
        <f t="shared" si="49"/>
        <v>4.5002557039408038E-2</v>
      </c>
      <c r="R37" s="52">
        <f t="shared" si="49"/>
        <v>4.5960962610167126E-2</v>
      </c>
      <c r="S37" s="52">
        <f t="shared" si="49"/>
        <v>4.6919368180926214E-2</v>
      </c>
      <c r="T37" s="52">
        <f t="shared" si="49"/>
        <v>4.8019008264462787E-2</v>
      </c>
      <c r="U37" s="52">
        <f t="shared" ref="U37" si="51">+U35/U7</f>
        <v>0.05</v>
      </c>
    </row>
    <row r="38" spans="1:31">
      <c r="A38" s="51" t="s">
        <v>30</v>
      </c>
      <c r="C38" s="52">
        <f t="shared" ref="C38:H38" si="52">+C35/C10</f>
        <v>0.60142348754448394</v>
      </c>
      <c r="D38" s="52">
        <f t="shared" si="52"/>
        <v>0.25085440874914561</v>
      </c>
      <c r="E38" s="52">
        <f t="shared" si="52"/>
        <v>0.37181255150013914</v>
      </c>
      <c r="F38" s="52">
        <f t="shared" si="52"/>
        <v>6.2921208859654368E-2</v>
      </c>
      <c r="G38" s="52">
        <f t="shared" si="52"/>
        <v>-0.63116542571608925</v>
      </c>
      <c r="H38" s="52">
        <f t="shared" si="52"/>
        <v>0.2600657768381624</v>
      </c>
      <c r="I38" s="52">
        <f t="shared" ref="I38:J38" si="53">+I35/I10</f>
        <v>0.15464911033455725</v>
      </c>
      <c r="J38" s="52">
        <f t="shared" si="53"/>
        <v>0.18253224854581046</v>
      </c>
      <c r="K38" s="52"/>
      <c r="L38" s="52"/>
      <c r="M38" s="52"/>
      <c r="N38" s="52"/>
      <c r="O38" s="52"/>
      <c r="P38" s="52"/>
      <c r="Q38" s="52"/>
      <c r="R38" s="52"/>
      <c r="S38" s="52"/>
      <c r="T38" s="52"/>
      <c r="U38" s="52"/>
    </row>
    <row r="39" spans="1:31">
      <c r="C39" s="34"/>
      <c r="D39" s="34"/>
      <c r="E39" s="34"/>
      <c r="F39" s="34"/>
      <c r="G39" s="34"/>
      <c r="H39" s="34"/>
      <c r="I39" s="34"/>
      <c r="J39" s="34"/>
      <c r="K39" s="34"/>
      <c r="L39" s="34"/>
      <c r="M39" s="34"/>
      <c r="N39" s="34"/>
      <c r="O39" s="34"/>
      <c r="P39" s="34"/>
      <c r="Q39" s="34"/>
      <c r="R39" s="34"/>
      <c r="S39" s="34"/>
      <c r="T39" s="34"/>
      <c r="U39" s="34"/>
    </row>
    <row r="40" spans="1:31">
      <c r="A40" s="35" t="s">
        <v>36</v>
      </c>
      <c r="B40" s="58"/>
      <c r="C40" s="53">
        <f>+'Historical - USD'!Q132</f>
        <v>0</v>
      </c>
      <c r="D40" s="53">
        <f>+'Historical - USD'!R132</f>
        <v>0</v>
      </c>
      <c r="E40" s="53">
        <f>+'Historical - USD'!S132</f>
        <v>0</v>
      </c>
      <c r="F40" s="53">
        <f>+'Historical - USD'!T132</f>
        <v>-7.0749051826770768E-3</v>
      </c>
      <c r="G40" s="53">
        <f>+'Historical - USD'!U132</f>
        <v>-2.5816387697817581E-2</v>
      </c>
      <c r="H40" s="53">
        <f>+'Historical - USD'!V132</f>
        <v>-0.16662784528069635</v>
      </c>
      <c r="I40" s="53">
        <f>+'Historical - USD'!W132</f>
        <v>-1.3713725277292057</v>
      </c>
      <c r="J40" s="53">
        <f>+'Historical - USD'!X132</f>
        <v>0</v>
      </c>
      <c r="K40" s="55">
        <v>0</v>
      </c>
      <c r="L40" s="55">
        <v>0</v>
      </c>
      <c r="M40" s="55">
        <v>0</v>
      </c>
      <c r="N40" s="55">
        <v>0</v>
      </c>
      <c r="O40" s="55">
        <v>0</v>
      </c>
      <c r="P40" s="55">
        <v>0</v>
      </c>
      <c r="Q40" s="55">
        <v>0</v>
      </c>
      <c r="R40" s="55">
        <v>0</v>
      </c>
      <c r="S40" s="55">
        <v>0</v>
      </c>
      <c r="T40" s="55">
        <v>0</v>
      </c>
      <c r="U40" s="55">
        <v>0</v>
      </c>
    </row>
    <row r="41" spans="1:31" hidden="1" outlineLevel="1">
      <c r="A41" s="51" t="s">
        <v>37</v>
      </c>
      <c r="C41" s="57"/>
      <c r="D41" s="57"/>
      <c r="E41" s="57"/>
      <c r="F41" s="57"/>
      <c r="G41" s="57">
        <v>0.05</v>
      </c>
      <c r="H41" s="57">
        <f t="shared" ref="H41:P41" si="54">G41</f>
        <v>0.05</v>
      </c>
      <c r="I41" s="57">
        <f t="shared" si="54"/>
        <v>0.05</v>
      </c>
      <c r="J41" s="57">
        <f t="shared" si="54"/>
        <v>0.05</v>
      </c>
      <c r="K41" s="57">
        <f t="shared" si="54"/>
        <v>0.05</v>
      </c>
      <c r="L41" s="57">
        <f t="shared" si="54"/>
        <v>0.05</v>
      </c>
      <c r="M41" s="57">
        <f t="shared" si="54"/>
        <v>0.05</v>
      </c>
      <c r="N41" s="57">
        <f t="shared" si="54"/>
        <v>0.05</v>
      </c>
      <c r="O41" s="57">
        <f t="shared" si="54"/>
        <v>0.05</v>
      </c>
      <c r="P41" s="57">
        <f t="shared" si="54"/>
        <v>0.05</v>
      </c>
      <c r="Q41" s="57"/>
      <c r="R41" s="57"/>
      <c r="S41" s="57"/>
      <c r="T41" s="57"/>
      <c r="U41" s="57"/>
    </row>
    <row r="42" spans="1:31" collapsed="1">
      <c r="C42" s="34"/>
      <c r="D42" s="34"/>
      <c r="E42" s="34"/>
      <c r="F42" s="34"/>
      <c r="G42" s="34"/>
      <c r="H42" s="34"/>
      <c r="I42" s="34"/>
      <c r="J42" s="34"/>
      <c r="K42" s="34"/>
      <c r="L42" s="34"/>
      <c r="M42" s="34"/>
      <c r="N42" s="34"/>
      <c r="O42" s="34"/>
      <c r="P42" s="34"/>
      <c r="Q42" s="34"/>
      <c r="R42" s="34"/>
      <c r="S42" s="34"/>
      <c r="T42" s="34"/>
      <c r="U42" s="34"/>
    </row>
    <row r="43" spans="1:31">
      <c r="A43" s="34" t="s">
        <v>38</v>
      </c>
      <c r="B43" s="54"/>
      <c r="C43" s="55">
        <f t="shared" ref="C43:T43" si="55">+MAX((C15-C31-C40)*C44,0)</f>
        <v>3.9284279091923884E-2</v>
      </c>
      <c r="D43" s="55">
        <f t="shared" si="55"/>
        <v>7.8726814437431861E-2</v>
      </c>
      <c r="E43" s="55">
        <f t="shared" si="55"/>
        <v>0.47654395821422524</v>
      </c>
      <c r="F43" s="55">
        <f t="shared" si="55"/>
        <v>0.3116306917477204</v>
      </c>
      <c r="G43" s="55">
        <f t="shared" si="55"/>
        <v>0</v>
      </c>
      <c r="H43" s="55">
        <f t="shared" si="55"/>
        <v>5.0530236899851317</v>
      </c>
      <c r="I43" s="55">
        <f t="shared" ref="I43" si="56">+MAX((I15-I31-I40)*I44,0)</f>
        <v>5.1228969765187005</v>
      </c>
      <c r="J43" s="55">
        <f t="shared" si="55"/>
        <v>6.7070754592749191</v>
      </c>
      <c r="K43" s="55">
        <f t="shared" si="55"/>
        <v>8.2499261540014395</v>
      </c>
      <c r="L43" s="55">
        <f t="shared" si="55"/>
        <v>10.141634108247572</v>
      </c>
      <c r="M43" s="55">
        <f t="shared" si="55"/>
        <v>12.460028198032097</v>
      </c>
      <c r="N43" s="55">
        <f t="shared" si="55"/>
        <v>15.30011455940053</v>
      </c>
      <c r="O43" s="55">
        <f t="shared" si="55"/>
        <v>18.4648704317718</v>
      </c>
      <c r="P43" s="55">
        <f t="shared" si="55"/>
        <v>21.895702592803136</v>
      </c>
      <c r="Q43" s="55">
        <f t="shared" si="55"/>
        <v>25.504257252616124</v>
      </c>
      <c r="R43" s="55">
        <f t="shared" si="55"/>
        <v>29.173103175369071</v>
      </c>
      <c r="S43" s="55">
        <f t="shared" si="55"/>
        <v>32.759582050588897</v>
      </c>
      <c r="T43" s="55">
        <f t="shared" si="55"/>
        <v>36.209550946520075</v>
      </c>
      <c r="U43" s="55">
        <f t="shared" ref="U43" si="57">+MAX((U15-U31-U40)*U44,0)</f>
        <v>40.719619621114632</v>
      </c>
      <c r="V43" s="34"/>
      <c r="W43" s="34"/>
      <c r="X43" s="34"/>
      <c r="Y43" s="34"/>
      <c r="Z43" s="34"/>
      <c r="AA43" s="34"/>
      <c r="AB43" s="34"/>
      <c r="AC43" s="34"/>
      <c r="AD43" s="34"/>
      <c r="AE43" s="34"/>
    </row>
    <row r="44" spans="1:31">
      <c r="A44" s="51" t="s">
        <v>37</v>
      </c>
      <c r="C44" s="118">
        <v>0.3</v>
      </c>
      <c r="D44" s="118">
        <f t="shared" ref="D44:T44" si="58">C44</f>
        <v>0.3</v>
      </c>
      <c r="E44" s="118">
        <f t="shared" si="58"/>
        <v>0.3</v>
      </c>
      <c r="F44" s="118">
        <f t="shared" si="58"/>
        <v>0.3</v>
      </c>
      <c r="G44" s="118">
        <f t="shared" si="58"/>
        <v>0.3</v>
      </c>
      <c r="H44" s="118">
        <f t="shared" si="58"/>
        <v>0.3</v>
      </c>
      <c r="I44" s="118">
        <f t="shared" si="58"/>
        <v>0.3</v>
      </c>
      <c r="J44" s="118">
        <f t="shared" si="58"/>
        <v>0.3</v>
      </c>
      <c r="K44" s="118">
        <f t="shared" si="58"/>
        <v>0.3</v>
      </c>
      <c r="L44" s="118">
        <f t="shared" si="58"/>
        <v>0.3</v>
      </c>
      <c r="M44" s="118">
        <f t="shared" si="58"/>
        <v>0.3</v>
      </c>
      <c r="N44" s="118">
        <f t="shared" si="58"/>
        <v>0.3</v>
      </c>
      <c r="O44" s="118">
        <f t="shared" si="58"/>
        <v>0.3</v>
      </c>
      <c r="P44" s="118">
        <f t="shared" si="58"/>
        <v>0.3</v>
      </c>
      <c r="Q44" s="118">
        <f t="shared" si="58"/>
        <v>0.3</v>
      </c>
      <c r="R44" s="118">
        <f t="shared" si="58"/>
        <v>0.3</v>
      </c>
      <c r="S44" s="118">
        <f t="shared" si="58"/>
        <v>0.3</v>
      </c>
      <c r="T44" s="118">
        <f t="shared" si="58"/>
        <v>0.3</v>
      </c>
      <c r="U44" s="118">
        <f t="shared" ref="U44" si="59">T44</f>
        <v>0.3</v>
      </c>
    </row>
    <row r="45" spans="1:31">
      <c r="C45" s="34"/>
      <c r="D45" s="60"/>
      <c r="E45" s="60"/>
      <c r="F45" s="34"/>
      <c r="G45" s="34"/>
      <c r="H45" s="34"/>
      <c r="I45" s="34"/>
      <c r="J45" s="34"/>
      <c r="K45" s="34"/>
      <c r="L45" s="34"/>
      <c r="M45" s="34"/>
      <c r="N45" s="34"/>
      <c r="O45" s="34"/>
      <c r="P45" s="34"/>
      <c r="Q45" s="34"/>
      <c r="R45" s="34"/>
      <c r="S45" s="34"/>
      <c r="T45" s="34"/>
      <c r="U45" s="34"/>
    </row>
    <row r="46" spans="1:31">
      <c r="A46" s="35" t="s">
        <v>39</v>
      </c>
      <c r="B46" s="58"/>
      <c r="C46" s="55">
        <f t="shared" ref="C46:T46" si="60">+C25-C40-C43</f>
        <v>-0.34612006844896243</v>
      </c>
      <c r="D46" s="55">
        <f t="shared" si="60"/>
        <v>-0.45198201095277629</v>
      </c>
      <c r="E46" s="55">
        <f t="shared" si="60"/>
        <v>0.4717865609536489</v>
      </c>
      <c r="F46" s="55">
        <f t="shared" si="60"/>
        <v>-0.80870184620929175</v>
      </c>
      <c r="G46" s="55">
        <f t="shared" si="60"/>
        <v>-21.905949370769704</v>
      </c>
      <c r="H46" s="55">
        <f t="shared" si="60"/>
        <v>6.4311897612750002</v>
      </c>
      <c r="I46" s="55">
        <f t="shared" ref="I46" si="61">+I25-I40-I43</f>
        <v>6.8542285399188581</v>
      </c>
      <c r="J46" s="55">
        <f t="shared" si="60"/>
        <v>9.7621620578689701</v>
      </c>
      <c r="K46" s="55">
        <f t="shared" si="60"/>
        <v>12.901027345588972</v>
      </c>
      <c r="L46" s="55">
        <f t="shared" si="60"/>
        <v>16.904952266082212</v>
      </c>
      <c r="M46" s="55">
        <f t="shared" si="60"/>
        <v>21.994406060949188</v>
      </c>
      <c r="N46" s="55">
        <f t="shared" si="60"/>
        <v>28.443443283119674</v>
      </c>
      <c r="O46" s="55">
        <f t="shared" si="60"/>
        <v>35.982447165858375</v>
      </c>
      <c r="P46" s="55">
        <f t="shared" si="60"/>
        <v>44.545892258857236</v>
      </c>
      <c r="Q46" s="55">
        <f t="shared" si="60"/>
        <v>53.981446218063354</v>
      </c>
      <c r="R46" s="55">
        <f t="shared" si="60"/>
        <v>64.042244292353018</v>
      </c>
      <c r="S46" s="55">
        <f t="shared" si="60"/>
        <v>74.387795702522595</v>
      </c>
      <c r="T46" s="55">
        <f t="shared" si="60"/>
        <v>84.488952208546863</v>
      </c>
      <c r="U46" s="55">
        <f t="shared" ref="U46" si="62">+U25-U40-U43</f>
        <v>95.012445782600807</v>
      </c>
    </row>
    <row r="47" spans="1:31">
      <c r="A47" s="51" t="s">
        <v>25</v>
      </c>
      <c r="C47" s="56"/>
      <c r="D47" s="56">
        <f>+D46/C46-1</f>
        <v>0.30585323462520897</v>
      </c>
      <c r="E47" s="56">
        <f>+E46/D46-1</f>
        <v>-2.0438171199759139</v>
      </c>
      <c r="F47" s="56">
        <f t="shared" ref="F47:T47" si="63">+IFERROR(F46/E46-1,"-")</f>
        <v>-2.7141264994378327</v>
      </c>
      <c r="G47" s="56">
        <f t="shared" si="63"/>
        <v>26.087794436789814</v>
      </c>
      <c r="H47" s="56">
        <f t="shared" si="63"/>
        <v>-1.2935818782570769</v>
      </c>
      <c r="I47" s="56">
        <f t="shared" si="63"/>
        <v>6.5779240598863753E-2</v>
      </c>
      <c r="J47" s="56">
        <f t="shared" si="63"/>
        <v>0.42425394791177129</v>
      </c>
      <c r="K47" s="56">
        <f t="shared" si="63"/>
        <v>0.32153382305202172</v>
      </c>
      <c r="L47" s="56">
        <f t="shared" si="63"/>
        <v>0.31035706019662324</v>
      </c>
      <c r="M47" s="56">
        <f t="shared" si="63"/>
        <v>0.30106289061095803</v>
      </c>
      <c r="N47" s="56">
        <f t="shared" si="63"/>
        <v>0.29321261071107885</v>
      </c>
      <c r="O47" s="56">
        <f t="shared" si="63"/>
        <v>0.26505243432369086</v>
      </c>
      <c r="P47" s="56">
        <f t="shared" si="63"/>
        <v>0.2379895134293204</v>
      </c>
      <c r="Q47" s="56">
        <f t="shared" si="63"/>
        <v>0.21181647691275085</v>
      </c>
      <c r="R47" s="56">
        <f t="shared" si="63"/>
        <v>0.18637511180504651</v>
      </c>
      <c r="S47" s="56">
        <f t="shared" si="63"/>
        <v>0.16154261182575214</v>
      </c>
      <c r="T47" s="56">
        <f t="shared" si="63"/>
        <v>0.13579050717430685</v>
      </c>
      <c r="U47" s="56">
        <f t="shared" ref="U47" si="64">+IFERROR(U46/T46-1,"-")</f>
        <v>0.12455467015472577</v>
      </c>
    </row>
    <row r="48" spans="1:31">
      <c r="A48" s="51"/>
      <c r="C48" s="56"/>
      <c r="D48" s="56"/>
      <c r="E48" s="56"/>
      <c r="F48" s="56"/>
      <c r="G48" s="56"/>
      <c r="H48" s="56"/>
      <c r="I48" s="56"/>
      <c r="J48" s="56"/>
      <c r="K48" s="56"/>
      <c r="L48" s="56"/>
      <c r="M48" s="56"/>
      <c r="N48" s="56"/>
      <c r="O48" s="56"/>
      <c r="P48" s="56"/>
      <c r="Q48" s="56"/>
      <c r="R48" s="56"/>
      <c r="S48" s="56"/>
      <c r="T48" s="56"/>
      <c r="U48" s="56"/>
    </row>
    <row r="49" spans="1:31">
      <c r="A49" s="35" t="s">
        <v>40</v>
      </c>
      <c r="B49" s="58"/>
      <c r="C49" s="55">
        <f t="shared" ref="C49:T49" si="65">+C15-C31-C40-C43</f>
        <v>9.1663317881155726E-2</v>
      </c>
      <c r="D49" s="55">
        <f t="shared" si="65"/>
        <v>0.18369590035400768</v>
      </c>
      <c r="E49" s="55">
        <f t="shared" si="65"/>
        <v>1.111935902499859</v>
      </c>
      <c r="F49" s="55">
        <f t="shared" si="65"/>
        <v>0.72713828074468101</v>
      </c>
      <c r="G49" s="55">
        <f t="shared" si="65"/>
        <v>-17.123488327752117</v>
      </c>
      <c r="H49" s="55">
        <f t="shared" si="65"/>
        <v>11.790388609965309</v>
      </c>
      <c r="I49" s="55">
        <f t="shared" ref="I49" si="66">+I15-I31-I40-I43</f>
        <v>11.953426278543635</v>
      </c>
      <c r="J49" s="55">
        <f t="shared" si="65"/>
        <v>15.649842738308145</v>
      </c>
      <c r="K49" s="55">
        <f t="shared" si="65"/>
        <v>19.249827692670028</v>
      </c>
      <c r="L49" s="55">
        <f t="shared" si="65"/>
        <v>23.663812919244336</v>
      </c>
      <c r="M49" s="55">
        <f t="shared" si="65"/>
        <v>29.073399128741556</v>
      </c>
      <c r="N49" s="55">
        <f t="shared" si="65"/>
        <v>35.7002673052679</v>
      </c>
      <c r="O49" s="55">
        <f t="shared" si="65"/>
        <v>43.084697674134205</v>
      </c>
      <c r="P49" s="55">
        <f t="shared" si="65"/>
        <v>51.089972716540657</v>
      </c>
      <c r="Q49" s="55">
        <f t="shared" si="65"/>
        <v>59.509933589437622</v>
      </c>
      <c r="R49" s="55">
        <f t="shared" si="65"/>
        <v>68.070574075861174</v>
      </c>
      <c r="S49" s="55">
        <f t="shared" si="65"/>
        <v>76.439024784707414</v>
      </c>
      <c r="T49" s="55">
        <f t="shared" si="65"/>
        <v>84.488952208546863</v>
      </c>
      <c r="U49" s="55">
        <f t="shared" ref="U49" si="67">+U15-U31-U40-U43</f>
        <v>95.012445782600807</v>
      </c>
    </row>
    <row r="50" spans="1:31">
      <c r="A50" s="51" t="s">
        <v>25</v>
      </c>
      <c r="C50" s="56"/>
      <c r="D50" s="56">
        <f>+D49/C49-1</f>
        <v>1.0040284881698804</v>
      </c>
      <c r="E50" s="56">
        <f>+E49/D49-1</f>
        <v>5.0531340130999283</v>
      </c>
      <c r="F50" s="56">
        <f t="shared" ref="F50:T50" si="68">+IFERROR(F49/E49-1,"-")</f>
        <v>-0.34606097427924964</v>
      </c>
      <c r="G50" s="56">
        <f t="shared" si="68"/>
        <v>-24.549149840131527</v>
      </c>
      <c r="H50" s="56">
        <f t="shared" si="68"/>
        <v>-1.6885506261511312</v>
      </c>
      <c r="I50" s="56">
        <f t="shared" si="68"/>
        <v>1.382801483239704E-2</v>
      </c>
      <c r="J50" s="56">
        <f t="shared" si="68"/>
        <v>0.30923488994946724</v>
      </c>
      <c r="K50" s="56">
        <f t="shared" si="68"/>
        <v>0.2300332990279661</v>
      </c>
      <c r="L50" s="56">
        <f t="shared" si="68"/>
        <v>0.22929998631910209</v>
      </c>
      <c r="M50" s="56">
        <f t="shared" si="68"/>
        <v>0.22860163017507351</v>
      </c>
      <c r="N50" s="56">
        <f t="shared" si="68"/>
        <v>0.22793578924781155</v>
      </c>
      <c r="O50" s="56">
        <f t="shared" si="68"/>
        <v>0.20684524028134277</v>
      </c>
      <c r="P50" s="56">
        <f t="shared" si="68"/>
        <v>0.18580320797312688</v>
      </c>
      <c r="Q50" s="56">
        <f t="shared" si="68"/>
        <v>0.1648065251397357</v>
      </c>
      <c r="R50" s="56">
        <f t="shared" si="68"/>
        <v>0.14385229439985414</v>
      </c>
      <c r="S50" s="56">
        <f t="shared" si="68"/>
        <v>0.12293786004390128</v>
      </c>
      <c r="T50" s="56">
        <f t="shared" si="68"/>
        <v>0.10531174941742494</v>
      </c>
      <c r="U50" s="56">
        <f t="shared" ref="U50" si="69">+IFERROR(U49/T49-1,"-")</f>
        <v>0.12455467015472577</v>
      </c>
    </row>
    <row r="51" spans="1:31">
      <c r="A51" s="34"/>
      <c r="B51" s="58"/>
      <c r="C51" s="55"/>
      <c r="D51" s="55"/>
      <c r="E51" s="55"/>
      <c r="F51" s="55"/>
      <c r="G51" s="55"/>
      <c r="H51" s="55"/>
      <c r="I51" s="55"/>
      <c r="J51" s="55"/>
      <c r="K51" s="55"/>
      <c r="L51" s="55"/>
      <c r="M51" s="55"/>
      <c r="N51" s="55"/>
      <c r="O51" s="55"/>
      <c r="P51" s="55"/>
      <c r="Q51" s="55"/>
      <c r="R51" s="55"/>
      <c r="S51" s="55"/>
      <c r="T51" s="55"/>
      <c r="U51" s="55"/>
      <c r="V51" s="58"/>
      <c r="W51" s="58"/>
      <c r="X51" s="58"/>
      <c r="Y51" s="58"/>
      <c r="Z51" s="58"/>
      <c r="AA51" s="58"/>
      <c r="AB51" s="58"/>
      <c r="AC51" s="58"/>
      <c r="AD51" s="58"/>
      <c r="AE51" s="58"/>
    </row>
    <row r="52" spans="1:31" ht="13.5">
      <c r="A52" s="34" t="s">
        <v>41</v>
      </c>
      <c r="C52" s="61">
        <f t="shared" ref="C52:H52" si="70">C53-C46-SUM(C51:C51)</f>
        <v>-0.71387993155103757</v>
      </c>
      <c r="D52" s="61">
        <f t="shared" si="70"/>
        <v>7.9982010952776406E-2</v>
      </c>
      <c r="E52" s="61">
        <f t="shared" si="70"/>
        <v>3.7221444390463514</v>
      </c>
      <c r="F52" s="61">
        <f t="shared" si="70"/>
        <v>8.1824757556801817</v>
      </c>
      <c r="G52" s="61">
        <f t="shared" si="70"/>
        <v>5.4401249618434946</v>
      </c>
      <c r="H52" s="61">
        <f t="shared" si="70"/>
        <v>9.8710336611714489</v>
      </c>
      <c r="I52" s="61">
        <f t="shared" ref="I52:J52" si="71">I53-I46-SUM(I51:I51)</f>
        <v>24.881363022435856</v>
      </c>
      <c r="J52" s="61">
        <f t="shared" si="71"/>
        <v>5.5926951020074842</v>
      </c>
      <c r="K52" s="121">
        <f t="shared" ref="K52:T52" si="72">+J52/(J7-I7)*(K7-J7)</f>
        <v>6.7112341224089862</v>
      </c>
      <c r="L52" s="121">
        <f t="shared" si="72"/>
        <v>8.0534809468907813</v>
      </c>
      <c r="M52" s="121">
        <f t="shared" si="72"/>
        <v>9.6641771362689326</v>
      </c>
      <c r="N52" s="121">
        <f t="shared" si="72"/>
        <v>11.597012563522725</v>
      </c>
      <c r="O52" s="121">
        <f t="shared" si="72"/>
        <v>12.524773568604532</v>
      </c>
      <c r="P52" s="121">
        <f t="shared" si="72"/>
        <v>13.13709583195854</v>
      </c>
      <c r="Q52" s="121">
        <f t="shared" si="72"/>
        <v>13.334152269437935</v>
      </c>
      <c r="R52" s="121">
        <f t="shared" si="72"/>
        <v>13.029371646136482</v>
      </c>
      <c r="S52" s="121">
        <f t="shared" si="72"/>
        <v>12.160746869727408</v>
      </c>
      <c r="T52" s="121">
        <f t="shared" si="72"/>
        <v>10.701457245360103</v>
      </c>
      <c r="U52" s="121">
        <f t="shared" ref="U52" si="73">+T52/(T7-S7)*(U7-T7)</f>
        <v>11.557573824988919</v>
      </c>
    </row>
    <row r="53" spans="1:31">
      <c r="A53" s="62" t="s">
        <v>42</v>
      </c>
      <c r="B53" s="53"/>
      <c r="C53" s="53">
        <f>+'Historical - USD'!Q148</f>
        <v>-1.06</v>
      </c>
      <c r="D53" s="53">
        <f>+'Historical - USD'!R148</f>
        <v>-0.37199999999999989</v>
      </c>
      <c r="E53" s="53">
        <f>+'Historical - USD'!S148</f>
        <v>4.1939310000000001</v>
      </c>
      <c r="F53" s="53">
        <f>+'Historical - USD'!T148</f>
        <v>7.3737739094708905</v>
      </c>
      <c r="G53" s="53">
        <f>+'Historical - USD'!U148</f>
        <v>-16.46582440892621</v>
      </c>
      <c r="H53" s="53">
        <f>+'Historical - USD'!V148</f>
        <v>16.302223422446449</v>
      </c>
      <c r="I53" s="53">
        <f>+'Historical - USD'!W148</f>
        <v>31.735591562354713</v>
      </c>
      <c r="J53" s="53">
        <f>+'Historical - USD'!X148</f>
        <v>15.354857159876454</v>
      </c>
      <c r="K53" s="55">
        <f t="shared" ref="K53:T53" si="74">+K46+K52+K51</f>
        <v>19.612261467997957</v>
      </c>
      <c r="L53" s="55">
        <f t="shared" si="74"/>
        <v>24.958433212972992</v>
      </c>
      <c r="M53" s="55">
        <f t="shared" si="74"/>
        <v>31.658583197218121</v>
      </c>
      <c r="N53" s="55">
        <f t="shared" si="74"/>
        <v>40.040455846642402</v>
      </c>
      <c r="O53" s="55">
        <f t="shared" si="74"/>
        <v>48.507220734462905</v>
      </c>
      <c r="P53" s="55">
        <f t="shared" si="74"/>
        <v>57.682988090815776</v>
      </c>
      <c r="Q53" s="55">
        <f t="shared" si="74"/>
        <v>67.31559848750129</v>
      </c>
      <c r="R53" s="55">
        <f t="shared" si="74"/>
        <v>77.071615938489501</v>
      </c>
      <c r="S53" s="55">
        <f t="shared" si="74"/>
        <v>86.54854257225</v>
      </c>
      <c r="T53" s="55">
        <f t="shared" si="74"/>
        <v>95.190409453906966</v>
      </c>
      <c r="U53" s="55">
        <f t="shared" ref="U53" si="75">+U46+U52+U51</f>
        <v>106.57001960758973</v>
      </c>
      <c r="V53" s="63"/>
      <c r="W53" s="63"/>
      <c r="X53" s="63"/>
      <c r="Y53" s="63"/>
      <c r="Z53" s="63"/>
      <c r="AA53" s="63"/>
      <c r="AB53" s="63"/>
      <c r="AC53" s="63"/>
      <c r="AD53" s="63"/>
      <c r="AE53" s="63"/>
    </row>
    <row r="54" spans="1:31">
      <c r="C54" s="34"/>
      <c r="D54" s="34"/>
      <c r="E54" s="34"/>
      <c r="F54" s="34"/>
      <c r="G54" s="34"/>
      <c r="H54" s="34"/>
      <c r="I54" s="34"/>
      <c r="J54" s="34"/>
      <c r="K54" s="34"/>
      <c r="L54" s="34"/>
      <c r="M54" s="34"/>
      <c r="N54" s="34"/>
      <c r="O54" s="34"/>
      <c r="P54" s="34"/>
      <c r="Q54" s="34"/>
      <c r="R54" s="34"/>
      <c r="S54" s="34"/>
      <c r="T54" s="34"/>
      <c r="U54" s="34"/>
    </row>
    <row r="55" spans="1:31">
      <c r="A55" s="35" t="s">
        <v>43</v>
      </c>
      <c r="B55" s="58"/>
      <c r="C55" s="53">
        <f>+'Historical - USD'!Q157</f>
        <v>-0.24484876120410151</v>
      </c>
      <c r="D55" s="53">
        <f>+'Historical - USD'!R157</f>
        <v>-0.58347938765617069</v>
      </c>
      <c r="E55" s="53">
        <f>+'Historical - USD'!S157</f>
        <v>-3.0639729932710362</v>
      </c>
      <c r="F55" s="53">
        <f>+'Historical - USD'!T157</f>
        <v>-36.339216416289275</v>
      </c>
      <c r="G55" s="53">
        <f>+'Historical - USD'!U157</f>
        <v>-16.304137214963198</v>
      </c>
      <c r="H55" s="53">
        <f>+'Historical - USD'!V157</f>
        <v>-30.769202710783336</v>
      </c>
      <c r="I55" s="53">
        <f>+'Historical - USD'!W157</f>
        <v>-52.680382305844681</v>
      </c>
      <c r="J55" s="55">
        <f>+I55-J53</f>
        <v>-68.035239465721133</v>
      </c>
      <c r="K55" s="55">
        <v>0</v>
      </c>
      <c r="L55" s="55">
        <f t="shared" ref="L55:T55" si="76">+K55</f>
        <v>0</v>
      </c>
      <c r="M55" s="55">
        <f t="shared" si="76"/>
        <v>0</v>
      </c>
      <c r="N55" s="55">
        <f t="shared" si="76"/>
        <v>0</v>
      </c>
      <c r="O55" s="55">
        <f t="shared" si="76"/>
        <v>0</v>
      </c>
      <c r="P55" s="55">
        <f t="shared" si="76"/>
        <v>0</v>
      </c>
      <c r="Q55" s="55">
        <f t="shared" si="76"/>
        <v>0</v>
      </c>
      <c r="R55" s="55">
        <f t="shared" si="76"/>
        <v>0</v>
      </c>
      <c r="S55" s="55">
        <f t="shared" si="76"/>
        <v>0</v>
      </c>
      <c r="T55" s="55">
        <f t="shared" si="76"/>
        <v>0</v>
      </c>
      <c r="U55" s="55">
        <f t="shared" ref="U55:U56" si="77">+T55</f>
        <v>0</v>
      </c>
    </row>
    <row r="56" spans="1:31" outlineLevel="1">
      <c r="A56" s="51" t="s">
        <v>44</v>
      </c>
      <c r="B56" s="42"/>
      <c r="C56" s="64">
        <f t="shared" ref="C56:J56" si="78">+C55/C15</f>
        <v>-1.8698224852071004</v>
      </c>
      <c r="D56" s="64">
        <f t="shared" si="78"/>
        <v>-1.3465346534653466</v>
      </c>
      <c r="E56" s="64">
        <f t="shared" si="78"/>
        <v>-1.6712156567385912</v>
      </c>
      <c r="F56" s="64">
        <f t="shared" si="78"/>
        <v>-23.742202182563162</v>
      </c>
      <c r="G56" s="64">
        <f t="shared" si="78"/>
        <v>1.0276622029225084</v>
      </c>
      <c r="H56" s="64">
        <f t="shared" si="78"/>
        <v>-1.5847344457144183</v>
      </c>
      <c r="I56" s="64">
        <f t="shared" ref="I56" si="79">+I55/I15</f>
        <v>-2.6389301643866774</v>
      </c>
      <c r="J56" s="179">
        <f t="shared" si="78"/>
        <v>-2.4172444583324619</v>
      </c>
      <c r="K56" s="55">
        <v>0</v>
      </c>
      <c r="L56" s="55">
        <f t="shared" ref="L56:T56" si="80">+K56</f>
        <v>0</v>
      </c>
      <c r="M56" s="55">
        <f t="shared" si="80"/>
        <v>0</v>
      </c>
      <c r="N56" s="55">
        <f t="shared" si="80"/>
        <v>0</v>
      </c>
      <c r="O56" s="55">
        <f t="shared" si="80"/>
        <v>0</v>
      </c>
      <c r="P56" s="55">
        <f t="shared" si="80"/>
        <v>0</v>
      </c>
      <c r="Q56" s="55">
        <f t="shared" si="80"/>
        <v>0</v>
      </c>
      <c r="R56" s="55">
        <f t="shared" si="80"/>
        <v>0</v>
      </c>
      <c r="S56" s="55">
        <f t="shared" si="80"/>
        <v>0</v>
      </c>
      <c r="T56" s="55">
        <f t="shared" si="80"/>
        <v>0</v>
      </c>
      <c r="U56" s="55">
        <f t="shared" si="77"/>
        <v>0</v>
      </c>
    </row>
    <row r="57" spans="1:31">
      <c r="C57" s="34"/>
      <c r="D57" s="34"/>
      <c r="E57" s="34"/>
      <c r="F57" s="34"/>
      <c r="G57" s="34"/>
      <c r="H57" s="34"/>
      <c r="I57" s="34"/>
      <c r="J57" s="34"/>
      <c r="K57" s="34"/>
      <c r="L57" s="34"/>
      <c r="M57" s="34"/>
      <c r="N57" s="34"/>
      <c r="O57" s="34"/>
      <c r="P57" s="34"/>
      <c r="Q57" s="34"/>
      <c r="R57" s="34"/>
      <c r="S57" s="34"/>
      <c r="T57" s="34"/>
      <c r="U57" s="34"/>
    </row>
    <row r="58" spans="1:31">
      <c r="A58" s="65" t="s">
        <v>45</v>
      </c>
      <c r="B58" s="58"/>
      <c r="C58" s="55"/>
      <c r="D58" s="55"/>
      <c r="E58" s="55"/>
      <c r="F58" s="55"/>
      <c r="G58" s="55"/>
      <c r="H58" s="55"/>
      <c r="I58" s="55"/>
      <c r="J58" s="55">
        <f t="shared" ref="J58:T58" si="81">+J53+(J55-I55)</f>
        <v>0</v>
      </c>
      <c r="K58" s="55">
        <f t="shared" si="81"/>
        <v>87.647500933719087</v>
      </c>
      <c r="L58" s="55">
        <f t="shared" si="81"/>
        <v>24.958433212972992</v>
      </c>
      <c r="M58" s="55">
        <f t="shared" si="81"/>
        <v>31.658583197218121</v>
      </c>
      <c r="N58" s="55">
        <f t="shared" si="81"/>
        <v>40.040455846642402</v>
      </c>
      <c r="O58" s="55">
        <f t="shared" si="81"/>
        <v>48.507220734462905</v>
      </c>
      <c r="P58" s="55">
        <f t="shared" si="81"/>
        <v>57.682988090815776</v>
      </c>
      <c r="Q58" s="55">
        <f t="shared" si="81"/>
        <v>67.31559848750129</v>
      </c>
      <c r="R58" s="55">
        <f t="shared" si="81"/>
        <v>77.071615938489501</v>
      </c>
      <c r="S58" s="55">
        <f t="shared" si="81"/>
        <v>86.54854257225</v>
      </c>
      <c r="T58" s="55">
        <f t="shared" si="81"/>
        <v>95.190409453906966</v>
      </c>
      <c r="U58" s="55">
        <f t="shared" ref="U58" si="82">+U53+(U55-T55)</f>
        <v>106.57001960758973</v>
      </c>
    </row>
    <row r="59" spans="1:31">
      <c r="A59" s="66" t="s">
        <v>46</v>
      </c>
      <c r="C59" s="56"/>
      <c r="D59" s="56"/>
      <c r="E59" s="56"/>
      <c r="F59" s="56"/>
      <c r="G59" s="56"/>
      <c r="H59" s="56"/>
      <c r="I59" s="56"/>
      <c r="J59" s="56">
        <f t="shared" ref="J59:T59" si="83">+J58/$C$86</f>
        <v>0</v>
      </c>
      <c r="K59" s="56">
        <f t="shared" si="83"/>
        <v>0.17793689720814299</v>
      </c>
      <c r="L59" s="56">
        <f t="shared" si="83"/>
        <v>5.0669170458738755E-2</v>
      </c>
      <c r="M59" s="56">
        <f t="shared" si="83"/>
        <v>6.4271428210814732E-2</v>
      </c>
      <c r="N59" s="56">
        <f t="shared" si="83"/>
        <v>8.128782224537158E-2</v>
      </c>
      <c r="O59" s="56">
        <f t="shared" si="83"/>
        <v>9.8476559602172165E-2</v>
      </c>
      <c r="P59" s="56">
        <f t="shared" si="83"/>
        <v>0.11710467284555924</v>
      </c>
      <c r="Q59" s="56">
        <f t="shared" si="83"/>
        <v>0.13666024245954381</v>
      </c>
      <c r="R59" s="56">
        <f t="shared" si="83"/>
        <v>0.15646634595187389</v>
      </c>
      <c r="S59" s="56">
        <f t="shared" si="83"/>
        <v>0.17570585537674346</v>
      </c>
      <c r="T59" s="56">
        <f t="shared" si="83"/>
        <v>0.19325007469419667</v>
      </c>
      <c r="U59" s="56">
        <f t="shared" ref="U59" si="84">+U58/$C$86</f>
        <v>0.21635230237454806</v>
      </c>
    </row>
    <row r="60" spans="1:31">
      <c r="C60" s="34"/>
      <c r="D60" s="34"/>
      <c r="E60" s="34"/>
      <c r="F60" s="34"/>
      <c r="G60" s="34"/>
      <c r="H60" s="34"/>
      <c r="I60" s="34"/>
      <c r="J60" s="34"/>
      <c r="K60" s="34"/>
      <c r="L60" s="34"/>
      <c r="M60" s="34"/>
      <c r="N60" s="34"/>
      <c r="O60" s="34"/>
      <c r="P60" s="34"/>
      <c r="Q60" s="34"/>
      <c r="R60" s="34"/>
      <c r="S60" s="34"/>
      <c r="T60" s="34"/>
      <c r="U60" s="34"/>
    </row>
    <row r="61" spans="1:31">
      <c r="A61" s="65" t="s">
        <v>47</v>
      </c>
      <c r="B61" s="58"/>
      <c r="C61" s="55"/>
      <c r="D61" s="55"/>
      <c r="E61" s="55"/>
      <c r="F61" s="55"/>
      <c r="G61" s="55"/>
      <c r="H61" s="55"/>
      <c r="I61" s="55"/>
      <c r="J61" s="55">
        <f t="shared" ref="J61:T61" si="85">J58+I61</f>
        <v>0</v>
      </c>
      <c r="K61" s="55">
        <f t="shared" si="85"/>
        <v>87.647500933719087</v>
      </c>
      <c r="L61" s="55">
        <f t="shared" si="85"/>
        <v>112.60593414669208</v>
      </c>
      <c r="M61" s="55">
        <f t="shared" si="85"/>
        <v>144.2645173439102</v>
      </c>
      <c r="N61" s="55">
        <f t="shared" si="85"/>
        <v>184.3049731905526</v>
      </c>
      <c r="O61" s="55">
        <f t="shared" si="85"/>
        <v>232.81219392501549</v>
      </c>
      <c r="P61" s="55">
        <f t="shared" si="85"/>
        <v>290.49518201583129</v>
      </c>
      <c r="Q61" s="55">
        <f t="shared" si="85"/>
        <v>357.81078050333258</v>
      </c>
      <c r="R61" s="55">
        <f t="shared" si="85"/>
        <v>434.8823964418221</v>
      </c>
      <c r="S61" s="55">
        <f t="shared" si="85"/>
        <v>521.43093901407212</v>
      </c>
      <c r="T61" s="55">
        <f t="shared" si="85"/>
        <v>616.62134846797903</v>
      </c>
      <c r="U61" s="55">
        <f t="shared" ref="U61" si="86">U58+T61</f>
        <v>723.19136807556879</v>
      </c>
    </row>
    <row r="62" spans="1:31">
      <c r="A62" s="66" t="s">
        <v>46</v>
      </c>
      <c r="C62" s="56"/>
      <c r="D62" s="56"/>
      <c r="E62" s="56"/>
      <c r="F62" s="56"/>
      <c r="G62" s="56"/>
      <c r="H62" s="56"/>
      <c r="I62" s="56"/>
      <c r="J62" s="56">
        <f t="shared" ref="J62:T62" si="87">J61/$C$86</f>
        <v>0</v>
      </c>
      <c r="K62" s="56">
        <f t="shared" si="87"/>
        <v>0.17793689720814299</v>
      </c>
      <c r="L62" s="56">
        <f t="shared" si="87"/>
        <v>0.22860606766688174</v>
      </c>
      <c r="M62" s="56">
        <f t="shared" si="87"/>
        <v>0.29287749587769646</v>
      </c>
      <c r="N62" s="67">
        <f t="shared" si="87"/>
        <v>0.37416531812306802</v>
      </c>
      <c r="O62" s="56">
        <f t="shared" si="87"/>
        <v>0.47264187772524019</v>
      </c>
      <c r="P62" s="56">
        <f t="shared" si="87"/>
        <v>0.5897465505707995</v>
      </c>
      <c r="Q62" s="56">
        <f t="shared" si="87"/>
        <v>0.72640679303034328</v>
      </c>
      <c r="R62" s="56">
        <f t="shared" si="87"/>
        <v>0.8828731389822172</v>
      </c>
      <c r="S62" s="56">
        <f t="shared" si="87"/>
        <v>1.0585789943589607</v>
      </c>
      <c r="T62" s="56">
        <f t="shared" si="87"/>
        <v>1.2518290690531573</v>
      </c>
      <c r="U62" s="56">
        <f t="shared" ref="U62" si="88">U61/$C$86</f>
        <v>1.4681813714277054</v>
      </c>
    </row>
    <row r="63" spans="1:31">
      <c r="C63" s="34"/>
      <c r="D63" s="34"/>
      <c r="E63" s="34"/>
      <c r="F63" s="34"/>
      <c r="G63" s="34"/>
      <c r="H63" s="34"/>
      <c r="I63" s="34"/>
      <c r="J63" s="34"/>
      <c r="K63" s="34"/>
      <c r="L63" s="34"/>
      <c r="M63" s="34"/>
      <c r="N63" s="34"/>
      <c r="O63" s="34"/>
      <c r="P63" s="34"/>
      <c r="Q63" s="34"/>
      <c r="R63" s="34"/>
      <c r="S63" s="34"/>
      <c r="T63" s="34"/>
      <c r="U63" s="34"/>
    </row>
    <row r="64" spans="1:31" hidden="1" outlineLevel="1">
      <c r="A64" s="94" t="s">
        <v>48</v>
      </c>
      <c r="B64" s="95"/>
      <c r="C64" s="96"/>
      <c r="D64" s="96"/>
      <c r="E64" s="96"/>
      <c r="F64" s="185"/>
      <c r="G64" s="97">
        <f>Down!G64</f>
        <v>-214.3280730450748</v>
      </c>
      <c r="H64" s="34"/>
      <c r="I64" s="34"/>
      <c r="J64" s="34"/>
      <c r="K64" s="34"/>
      <c r="L64" s="34"/>
      <c r="M64" s="34"/>
      <c r="N64" s="34"/>
      <c r="O64" s="34"/>
      <c r="P64" s="34"/>
      <c r="Q64" s="34"/>
      <c r="R64" s="34"/>
      <c r="S64" s="34"/>
      <c r="T64" s="34"/>
      <c r="U64" s="34"/>
      <c r="X64" s="98"/>
    </row>
    <row r="65" spans="1:21" hidden="1" outlineLevel="1">
      <c r="C65" s="34"/>
      <c r="D65" s="34"/>
      <c r="E65" s="34"/>
      <c r="F65" s="34"/>
      <c r="G65" s="34"/>
      <c r="H65" s="34"/>
      <c r="I65" s="34"/>
      <c r="J65" s="34"/>
      <c r="K65" s="34"/>
      <c r="L65" s="34"/>
      <c r="M65" s="34"/>
      <c r="N65" s="34"/>
      <c r="O65" s="34"/>
      <c r="P65" s="34"/>
      <c r="Q65" s="34"/>
      <c r="R65" s="34"/>
      <c r="S65" s="34"/>
      <c r="T65" s="34"/>
      <c r="U65" s="34"/>
    </row>
    <row r="66" spans="1:21" collapsed="1">
      <c r="A66" s="34"/>
      <c r="B66" s="34"/>
      <c r="C66" s="68"/>
      <c r="D66" s="68"/>
      <c r="E66" s="68"/>
      <c r="F66" s="68"/>
      <c r="G66" s="68"/>
      <c r="H66" s="68"/>
      <c r="I66" s="68"/>
      <c r="J66" s="68"/>
      <c r="K66" s="68"/>
      <c r="L66" s="68"/>
      <c r="M66" s="68"/>
      <c r="N66" s="68"/>
      <c r="O66" s="68"/>
      <c r="P66" s="68"/>
      <c r="Q66" s="68"/>
      <c r="R66" s="68"/>
      <c r="S66" s="68"/>
      <c r="T66" s="68"/>
      <c r="U66" s="68"/>
    </row>
    <row r="67" spans="1:21">
      <c r="A67" s="34" t="s">
        <v>49</v>
      </c>
      <c r="B67" s="34"/>
      <c r="C67" s="68"/>
      <c r="D67" s="68"/>
      <c r="E67" s="68"/>
      <c r="F67" s="68"/>
      <c r="G67" s="68"/>
      <c r="H67" s="68"/>
      <c r="I67" s="68"/>
      <c r="J67" s="68">
        <f t="shared" ref="J67:T67" si="89">+($C$86-J61+J55)/(J7)</f>
        <v>0.7271689263642972</v>
      </c>
      <c r="K67" s="68">
        <f t="shared" si="89"/>
        <v>0.57798029431163778</v>
      </c>
      <c r="L67" s="68">
        <f t="shared" si="89"/>
        <v>0.45196296420344556</v>
      </c>
      <c r="M67" s="68">
        <f t="shared" si="89"/>
        <v>0.34525505238230919</v>
      </c>
      <c r="N67" s="68">
        <f t="shared" si="89"/>
        <v>0.2546383224670527</v>
      </c>
      <c r="O67" s="68">
        <f t="shared" si="89"/>
        <v>0.18183930791203073</v>
      </c>
      <c r="P67" s="68">
        <f t="shared" si="89"/>
        <v>0.12194847747822066</v>
      </c>
      <c r="Q67" s="68">
        <f t="shared" si="89"/>
        <v>7.1338602927245628E-2</v>
      </c>
      <c r="R67" s="68">
        <f t="shared" si="89"/>
        <v>2.726828168284957E-2</v>
      </c>
      <c r="S67" s="68">
        <f t="shared" si="89"/>
        <v>-1.2397967507568785E-2</v>
      </c>
      <c r="T67" s="68">
        <f t="shared" si="89"/>
        <v>-4.9350401076622946E-2</v>
      </c>
      <c r="U67" s="68">
        <f t="shared" ref="U67" si="90">+($C$86-U61+U55)/(U7)</f>
        <v>-8.4952311559141777E-2</v>
      </c>
    </row>
    <row r="68" spans="1:21">
      <c r="A68" s="34" t="s">
        <v>50</v>
      </c>
      <c r="B68" s="34"/>
      <c r="C68" s="68"/>
      <c r="D68" s="68"/>
      <c r="E68" s="68"/>
      <c r="F68" s="68"/>
      <c r="G68" s="68"/>
      <c r="H68" s="68"/>
      <c r="I68" s="68"/>
      <c r="J68" s="68">
        <f>+($C$86-J61+J55)/J10</f>
        <v>3.4661502194453986</v>
      </c>
      <c r="K68" s="68"/>
      <c r="L68" s="68"/>
      <c r="M68" s="68"/>
      <c r="N68" s="68"/>
      <c r="O68" s="68"/>
      <c r="P68" s="68"/>
      <c r="Q68" s="68"/>
      <c r="R68" s="68"/>
      <c r="S68" s="68"/>
      <c r="T68" s="68"/>
      <c r="U68" s="68"/>
    </row>
    <row r="69" spans="1:21" collapsed="1">
      <c r="A69" s="34" t="s">
        <v>51</v>
      </c>
      <c r="B69" s="34"/>
      <c r="C69" s="68">
        <f>($C$86-C61)/C46</f>
        <v>-1423.1371099285375</v>
      </c>
      <c r="D69" s="68">
        <f>($C$86-D61)/D46</f>
        <v>-1089.8139792386316</v>
      </c>
      <c r="E69" s="68">
        <f>($C$86-E61)/E46</f>
        <v>1044.0660134639095</v>
      </c>
      <c r="F69" s="68">
        <f>($C$86-F61)/F46</f>
        <v>-609.09507775903535</v>
      </c>
      <c r="G69" s="68">
        <f t="shared" ref="G69:T69" si="91">IFERROR(($C$86-G61)/G46,"-")</f>
        <v>-22.48596057461884</v>
      </c>
      <c r="H69" s="68">
        <f t="shared" si="91"/>
        <v>76.59178661882143</v>
      </c>
      <c r="I69" s="68">
        <f t="shared" si="91"/>
        <v>71.864588557555621</v>
      </c>
      <c r="J69" s="68">
        <f t="shared" si="91"/>
        <v>50.457707112501147</v>
      </c>
      <c r="K69" s="68">
        <f t="shared" si="91"/>
        <v>31.387330800864884</v>
      </c>
      <c r="L69" s="68">
        <f t="shared" si="91"/>
        <v>22.476867948121779</v>
      </c>
      <c r="M69" s="68">
        <f t="shared" si="91"/>
        <v>15.83638110488636</v>
      </c>
      <c r="N69" s="68">
        <f t="shared" si="91"/>
        <v>10.83804578938307</v>
      </c>
      <c r="O69" s="68">
        <f t="shared" si="91"/>
        <v>7.2191899227516503</v>
      </c>
      <c r="P69" s="68">
        <f t="shared" si="91"/>
        <v>4.5364706292242261</v>
      </c>
      <c r="Q69" s="68">
        <f t="shared" si="91"/>
        <v>2.4965158001323782</v>
      </c>
      <c r="R69" s="68">
        <f t="shared" si="91"/>
        <v>0.90087282381187295</v>
      </c>
      <c r="S69" s="68">
        <f t="shared" si="91"/>
        <v>-0.38789461148624493</v>
      </c>
      <c r="T69" s="68">
        <f t="shared" si="91"/>
        <v>-1.4681805292255328</v>
      </c>
      <c r="U69" s="68">
        <f t="shared" ref="U69" si="92">IFERROR(($C$86-U61)/U46,"-")</f>
        <v>-2.4272089016897649</v>
      </c>
    </row>
    <row r="70" spans="1:21">
      <c r="A70" s="34" t="s">
        <v>52</v>
      </c>
      <c r="B70" s="34"/>
      <c r="C70" s="68">
        <f t="shared" ref="C70:T70" si="93">IFERROR(($C$86-C61)/C49,"-")</f>
        <v>5373.7561031705627</v>
      </c>
      <c r="D70" s="68">
        <f t="shared" si="93"/>
        <v>2681.4769025953251</v>
      </c>
      <c r="E70" s="68">
        <f t="shared" si="93"/>
        <v>442.98984572160305</v>
      </c>
      <c r="F70" s="68">
        <f t="shared" si="93"/>
        <v>677.41766173589963</v>
      </c>
      <c r="G70" s="68">
        <f t="shared" si="93"/>
        <v>-28.766119640611034</v>
      </c>
      <c r="H70" s="68">
        <f t="shared" si="93"/>
        <v>41.777784447613158</v>
      </c>
      <c r="I70" s="68">
        <f>IFERROR(($C$86-I61)/I49,"-")</f>
        <v>41.207960163262733</v>
      </c>
      <c r="J70" s="68">
        <f t="shared" si="93"/>
        <v>31.474841130191116</v>
      </c>
      <c r="K70" s="68">
        <f t="shared" si="93"/>
        <v>21.035451300231333</v>
      </c>
      <c r="L70" s="68">
        <f t="shared" si="93"/>
        <v>16.05702263835196</v>
      </c>
      <c r="M70" s="68">
        <f t="shared" si="93"/>
        <v>11.980429086204701</v>
      </c>
      <c r="N70" s="68">
        <f t="shared" si="93"/>
        <v>8.6349869056774011</v>
      </c>
      <c r="O70" s="68">
        <f t="shared" si="93"/>
        <v>6.0291503480052793</v>
      </c>
      <c r="P70" s="68">
        <f t="shared" si="93"/>
        <v>3.9553971384186668</v>
      </c>
      <c r="Q70" s="68">
        <f t="shared" si="93"/>
        <v>2.264588872290572</v>
      </c>
      <c r="R70" s="68">
        <f t="shared" si="93"/>
        <v>0.84756031871576321</v>
      </c>
      <c r="S70" s="68">
        <f t="shared" si="93"/>
        <v>-0.37748552123235479</v>
      </c>
      <c r="T70" s="68">
        <f t="shared" si="93"/>
        <v>-1.4681805292255328</v>
      </c>
      <c r="U70" s="68">
        <f t="shared" ref="U70" si="94">IFERROR(($C$86-U61)/U49,"-")</f>
        <v>-2.4272089016897649</v>
      </c>
    </row>
    <row r="71" spans="1:21">
      <c r="A71" s="34"/>
      <c r="B71" s="34"/>
      <c r="C71" s="68"/>
      <c r="D71" s="68"/>
      <c r="E71" s="68"/>
      <c r="F71" s="68"/>
      <c r="G71" s="68"/>
      <c r="H71" s="68"/>
      <c r="I71" s="68"/>
      <c r="J71" s="68"/>
      <c r="K71" s="68"/>
      <c r="L71" s="68"/>
      <c r="M71" s="68"/>
      <c r="N71" s="68"/>
      <c r="O71" s="68"/>
      <c r="P71" s="68"/>
      <c r="Q71" s="68"/>
      <c r="R71" s="68"/>
      <c r="S71" s="68"/>
      <c r="T71" s="68"/>
      <c r="U71" s="68"/>
    </row>
    <row r="72" spans="1:21">
      <c r="A72" s="34" t="s">
        <v>53</v>
      </c>
      <c r="B72" s="34"/>
      <c r="C72" s="68"/>
      <c r="D72" s="68"/>
      <c r="E72" s="68"/>
      <c r="F72" s="68"/>
      <c r="G72" s="68"/>
      <c r="H72" s="68"/>
      <c r="I72" s="68"/>
      <c r="J72" s="68">
        <f t="shared" ref="J72:T72" si="95">($C$86-J61+J55)/(J$7*0.03*0.7)</f>
        <v>34.6270917316332</v>
      </c>
      <c r="K72" s="68">
        <f t="shared" si="95"/>
        <v>27.522871157697043</v>
      </c>
      <c r="L72" s="68">
        <f t="shared" si="95"/>
        <v>21.522045914449791</v>
      </c>
      <c r="M72" s="68">
        <f t="shared" si="95"/>
        <v>16.440716780109963</v>
      </c>
      <c r="N72" s="68">
        <f t="shared" si="95"/>
        <v>12.125634403192988</v>
      </c>
      <c r="O72" s="68">
        <f t="shared" si="95"/>
        <v>8.6590146624776558</v>
      </c>
      <c r="P72" s="68">
        <f t="shared" si="95"/>
        <v>5.8070703561057462</v>
      </c>
      <c r="Q72" s="68">
        <f t="shared" si="95"/>
        <v>3.39707632986884</v>
      </c>
      <c r="R72" s="68">
        <f t="shared" si="95"/>
        <v>1.2984896039452178</v>
      </c>
      <c r="S72" s="68">
        <f t="shared" si="95"/>
        <v>-0.59037940512232323</v>
      </c>
      <c r="T72" s="68">
        <f t="shared" si="95"/>
        <v>-2.3500190988868073</v>
      </c>
      <c r="U72" s="68">
        <f t="shared" ref="U72" si="96">($C$86-U61+U55)/(U$7*0.03*0.7)</f>
        <v>-4.0453481694829412</v>
      </c>
    </row>
    <row r="73" spans="1:21">
      <c r="A73" s="34" t="s">
        <v>54</v>
      </c>
      <c r="B73" s="34"/>
      <c r="C73" s="68"/>
      <c r="D73" s="68"/>
      <c r="E73" s="68"/>
      <c r="F73" s="68"/>
      <c r="G73" s="68"/>
      <c r="H73" s="68"/>
      <c r="I73" s="68"/>
      <c r="J73" s="68">
        <f t="shared" ref="J73:T73" si="97">($C$86-J61+J55)/(J$7*0.05*0.7)</f>
        <v>20.776255038979919</v>
      </c>
      <c r="K73" s="68">
        <f t="shared" si="97"/>
        <v>16.513722694618224</v>
      </c>
      <c r="L73" s="68">
        <f t="shared" si="97"/>
        <v>12.913227548669871</v>
      </c>
      <c r="M73" s="68">
        <f t="shared" si="97"/>
        <v>9.8644300680659764</v>
      </c>
      <c r="N73" s="68">
        <f t="shared" si="97"/>
        <v>7.2753806419157918</v>
      </c>
      <c r="O73" s="68">
        <f t="shared" si="97"/>
        <v>5.1954087974865928</v>
      </c>
      <c r="P73" s="68">
        <f t="shared" si="97"/>
        <v>3.484242213663447</v>
      </c>
      <c r="Q73" s="68">
        <f t="shared" si="97"/>
        <v>2.0382457979213036</v>
      </c>
      <c r="R73" s="68">
        <f t="shared" si="97"/>
        <v>0.77909376236713057</v>
      </c>
      <c r="S73" s="68">
        <f t="shared" si="97"/>
        <v>-0.35422764307339388</v>
      </c>
      <c r="T73" s="68">
        <f t="shared" si="97"/>
        <v>-1.4100114593320843</v>
      </c>
      <c r="U73" s="68">
        <f t="shared" ref="U73" si="98">($C$86-U61+U55)/(U$7*0.05*0.7)</f>
        <v>-2.4272089016897649</v>
      </c>
    </row>
    <row r="74" spans="1:21" hidden="1" outlineLevel="1">
      <c r="A74" s="34" t="s">
        <v>55</v>
      </c>
      <c r="B74" s="34"/>
      <c r="C74" s="68"/>
      <c r="D74" s="68"/>
      <c r="E74" s="68"/>
      <c r="F74" s="68"/>
      <c r="G74" s="68">
        <f t="shared" ref="G74:T74" si="99">($C$86-G61)/(G$7*0.15*0.7)</f>
        <v>30.795165780031628</v>
      </c>
      <c r="H74" s="68">
        <f t="shared" si="99"/>
        <v>16.798484790805251</v>
      </c>
      <c r="I74" s="68">
        <f t="shared" si="99"/>
        <v>9.6423095337776363</v>
      </c>
      <c r="J74" s="68">
        <f t="shared" si="99"/>
        <v>8.0352579448146972</v>
      </c>
      <c r="K74" s="68">
        <f t="shared" si="99"/>
        <v>5.5045742315394088</v>
      </c>
      <c r="L74" s="68">
        <f t="shared" si="99"/>
        <v>4.304409182889958</v>
      </c>
      <c r="M74" s="68">
        <f t="shared" si="99"/>
        <v>3.2881433560219921</v>
      </c>
      <c r="N74" s="68">
        <f t="shared" si="99"/>
        <v>2.4251268806385973</v>
      </c>
      <c r="O74" s="68">
        <f t="shared" si="99"/>
        <v>1.7318029324955309</v>
      </c>
      <c r="P74" s="68">
        <f t="shared" si="99"/>
        <v>1.1614140712211494</v>
      </c>
      <c r="Q74" s="68">
        <f t="shared" si="99"/>
        <v>0.67941526597376789</v>
      </c>
      <c r="R74" s="68">
        <f t="shared" si="99"/>
        <v>0.25969792078904358</v>
      </c>
      <c r="S74" s="68">
        <f t="shared" si="99"/>
        <v>-0.11807588102446462</v>
      </c>
      <c r="T74" s="68">
        <f t="shared" si="99"/>
        <v>-0.47000381977736139</v>
      </c>
      <c r="U74" s="68">
        <f t="shared" ref="U74" si="100">($C$86-U61)/(U$7*0.15*0.7)</f>
        <v>-0.80906963389658826</v>
      </c>
    </row>
    <row r="75" spans="1:21" ht="7.5" customHeight="1" collapsed="1">
      <c r="C75" s="34"/>
      <c r="D75" s="34"/>
      <c r="E75" s="34"/>
      <c r="F75" s="34"/>
      <c r="G75" s="34"/>
      <c r="H75" s="34"/>
      <c r="I75" s="34"/>
      <c r="J75" s="34"/>
    </row>
    <row r="76" spans="1:21">
      <c r="A76" s="46" t="s">
        <v>56</v>
      </c>
      <c r="B76" s="69"/>
      <c r="C76" s="34"/>
      <c r="E76" s="34"/>
      <c r="F76" s="92"/>
      <c r="G76" s="92"/>
      <c r="H76" s="34"/>
      <c r="I76" s="34"/>
      <c r="J76" s="34"/>
    </row>
    <row r="77" spans="1:21" ht="5.5" customHeight="1">
      <c r="C77" s="34"/>
      <c r="D77" s="34"/>
      <c r="E77" s="34"/>
      <c r="F77" s="92"/>
      <c r="G77" s="92"/>
      <c r="H77" s="191"/>
      <c r="I77" s="34"/>
      <c r="J77" s="34"/>
    </row>
    <row r="78" spans="1:21">
      <c r="A78" s="47" t="s">
        <v>57</v>
      </c>
      <c r="C78" s="34"/>
      <c r="D78" s="34"/>
      <c r="E78" s="34"/>
      <c r="F78" s="92"/>
      <c r="G78" s="92"/>
      <c r="H78" s="34"/>
      <c r="I78" s="191"/>
      <c r="J78" s="34"/>
      <c r="K78" s="34"/>
    </row>
    <row r="79" spans="1:21" ht="13.5">
      <c r="A79" s="35" t="s">
        <v>58</v>
      </c>
      <c r="C79" s="34"/>
      <c r="D79" s="34"/>
      <c r="E79" s="34"/>
      <c r="F79" s="34"/>
      <c r="G79" s="34"/>
      <c r="H79" s="34"/>
      <c r="I79" s="34"/>
      <c r="J79" s="92"/>
      <c r="K79" s="34"/>
      <c r="L79" s="34"/>
      <c r="M79" s="34"/>
      <c r="N79" s="34"/>
      <c r="O79" s="34"/>
      <c r="P79" s="34"/>
      <c r="Q79" s="34"/>
      <c r="R79" s="34"/>
      <c r="S79" s="34"/>
      <c r="T79" s="122">
        <v>15</v>
      </c>
      <c r="U79" s="70"/>
    </row>
    <row r="80" spans="1:21">
      <c r="A80" s="65" t="s">
        <v>59</v>
      </c>
      <c r="C80" s="55"/>
      <c r="D80" s="55"/>
      <c r="E80" s="55"/>
      <c r="F80" s="55"/>
      <c r="G80" s="55"/>
      <c r="H80" s="55"/>
      <c r="I80" s="55"/>
      <c r="J80" s="92"/>
      <c r="K80" s="55"/>
      <c r="L80" s="55"/>
      <c r="M80" s="55"/>
      <c r="N80" s="55"/>
      <c r="O80" s="55"/>
      <c r="P80" s="55"/>
      <c r="Q80" s="55"/>
      <c r="R80" s="55"/>
      <c r="S80" s="55"/>
      <c r="T80" s="55">
        <f>+T79*U46</f>
        <v>1425.1866867390122</v>
      </c>
      <c r="U80" s="55"/>
    </row>
    <row r="81" spans="1:24">
      <c r="A81" s="65" t="s">
        <v>60</v>
      </c>
      <c r="C81" s="55"/>
      <c r="D81" s="55"/>
      <c r="E81" s="55"/>
      <c r="F81" s="55"/>
      <c r="G81" s="55"/>
      <c r="H81" s="55"/>
      <c r="I81" s="55"/>
      <c r="J81" s="55">
        <f>-$C$86+J61</f>
        <v>-492.57631390072396</v>
      </c>
      <c r="K81" s="55">
        <f t="shared" ref="K81:T81" si="101">+K58+K80</f>
        <v>87.647500933719087</v>
      </c>
      <c r="L81" s="55">
        <f t="shared" si="101"/>
        <v>24.958433212972992</v>
      </c>
      <c r="M81" s="55">
        <f t="shared" si="101"/>
        <v>31.658583197218121</v>
      </c>
      <c r="N81" s="55">
        <f t="shared" si="101"/>
        <v>40.040455846642402</v>
      </c>
      <c r="O81" s="55">
        <f t="shared" si="101"/>
        <v>48.507220734462905</v>
      </c>
      <c r="P81" s="55">
        <f t="shared" si="101"/>
        <v>57.682988090815776</v>
      </c>
      <c r="Q81" s="55">
        <f t="shared" si="101"/>
        <v>67.31559848750129</v>
      </c>
      <c r="R81" s="55">
        <f t="shared" si="101"/>
        <v>77.071615938489501</v>
      </c>
      <c r="S81" s="55">
        <f t="shared" si="101"/>
        <v>86.54854257225</v>
      </c>
      <c r="T81" s="55">
        <f t="shared" si="101"/>
        <v>1520.3770961929192</v>
      </c>
      <c r="U81" s="55"/>
    </row>
    <row r="82" spans="1:24">
      <c r="A82" s="71" t="s">
        <v>61</v>
      </c>
      <c r="B82" s="72"/>
      <c r="C82" s="72"/>
      <c r="D82" s="72"/>
      <c r="E82" s="72"/>
      <c r="F82" s="72"/>
      <c r="G82" s="72"/>
      <c r="H82" s="72"/>
      <c r="I82" s="72"/>
      <c r="J82" s="73">
        <f>XIRR(J81:T81,J3:T3)</f>
        <v>0.17161563038825989</v>
      </c>
      <c r="K82" s="74"/>
      <c r="L82" s="50"/>
      <c r="M82" s="50"/>
      <c r="N82" s="50"/>
      <c r="O82" s="50"/>
      <c r="P82" s="50"/>
      <c r="Q82" s="50"/>
      <c r="R82" s="50"/>
      <c r="S82" s="50"/>
      <c r="T82" s="50"/>
      <c r="U82" s="50"/>
    </row>
    <row r="83" spans="1:24">
      <c r="N83" s="99" t="str">
        <f>+Simple!N73</f>
        <v>AUD / USD &gt;&gt;</v>
      </c>
      <c r="O83" s="98">
        <f>+Simple!O73</f>
        <v>0.69278464789220273</v>
      </c>
      <c r="P83" s="100"/>
      <c r="V83" s="42"/>
      <c r="W83" s="42"/>
      <c r="X83" s="42"/>
    </row>
    <row r="84" spans="1:24">
      <c r="A84" s="75" t="s">
        <v>62</v>
      </c>
      <c r="B84" s="76"/>
      <c r="C84" s="77"/>
      <c r="D84" s="78"/>
      <c r="E84" s="34"/>
      <c r="F84" s="34"/>
      <c r="G84" s="34"/>
      <c r="H84" s="34"/>
      <c r="I84" s="34"/>
      <c r="J84" s="34"/>
      <c r="N84" s="101"/>
      <c r="O84" s="102" t="s">
        <v>63</v>
      </c>
      <c r="P84" s="78"/>
      <c r="V84" s="42"/>
      <c r="W84" s="103">
        <f ca="1">+X84-1</f>
        <v>45795</v>
      </c>
      <c r="X84" s="103">
        <f ca="1">TODAY()-1</f>
        <v>45796</v>
      </c>
    </row>
    <row r="85" spans="1:24">
      <c r="C85" s="79" t="s">
        <v>64</v>
      </c>
      <c r="D85" s="79" t="s">
        <v>65</v>
      </c>
      <c r="E85" s="34"/>
      <c r="F85" s="34"/>
      <c r="G85" s="34"/>
      <c r="H85" s="34"/>
      <c r="I85" s="34"/>
      <c r="J85" s="34"/>
      <c r="O85" s="79" t="s">
        <v>64</v>
      </c>
      <c r="P85" s="79" t="s">
        <v>66</v>
      </c>
      <c r="V85" s="42"/>
      <c r="W85" s="104" t="s">
        <v>67</v>
      </c>
      <c r="X85" s="104" t="s">
        <v>68</v>
      </c>
    </row>
    <row r="86" spans="1:24">
      <c r="A86" s="35" t="s">
        <v>69</v>
      </c>
      <c r="C86" s="54">
        <f>+D86*D89</f>
        <v>492.57631390072396</v>
      </c>
      <c r="D86" s="89">
        <f>Down!D86</f>
        <v>1.2920433683189581</v>
      </c>
      <c r="E86" s="138"/>
      <c r="F86" s="34"/>
      <c r="G86" s="34"/>
      <c r="H86" s="80"/>
      <c r="I86" s="34"/>
      <c r="J86" s="34"/>
      <c r="N86" s="35" t="s">
        <v>70</v>
      </c>
      <c r="O86" s="54">
        <f>+P86*P89</f>
        <v>711.0092803</v>
      </c>
      <c r="P86" s="89">
        <f>+Simple!D76</f>
        <v>1.865</v>
      </c>
      <c r="V86" s="42"/>
      <c r="W86" s="42"/>
      <c r="X86" s="42"/>
    </row>
    <row r="87" spans="1:24" ht="13.5">
      <c r="A87" s="35" t="s">
        <v>43</v>
      </c>
      <c r="C87" s="82">
        <f>Down!C87</f>
        <v>-54.700444767743953</v>
      </c>
      <c r="D87" s="83">
        <f>+C87/D89</f>
        <v>-0.14348100976797121</v>
      </c>
      <c r="E87" s="40"/>
      <c r="F87" s="34"/>
      <c r="G87" s="34"/>
      <c r="H87" s="34"/>
      <c r="I87" s="34"/>
      <c r="J87" s="34"/>
      <c r="N87" s="35" t="s">
        <v>71</v>
      </c>
      <c r="O87" s="82">
        <f>+Simple!C77</f>
        <v>-78.957357000000002</v>
      </c>
      <c r="P87" s="105">
        <f>+O87/P89</f>
        <v>-0.20710766354957799</v>
      </c>
      <c r="V87" s="42"/>
      <c r="W87" s="42"/>
      <c r="X87" s="42"/>
    </row>
    <row r="88" spans="1:24">
      <c r="A88" s="48" t="s">
        <v>72</v>
      </c>
      <c r="B88" s="49"/>
      <c r="C88" s="54">
        <f>+C87+C86</f>
        <v>437.87586913298003</v>
      </c>
      <c r="D88" s="89">
        <f>+C88/D89</f>
        <v>1.1485623585509868</v>
      </c>
      <c r="E88" s="34"/>
      <c r="F88" s="34"/>
      <c r="G88" s="34"/>
      <c r="H88" s="34"/>
      <c r="I88" s="34"/>
      <c r="J88" s="34"/>
      <c r="N88" s="48" t="s">
        <v>73</v>
      </c>
      <c r="O88" s="106">
        <f>+O87+O86</f>
        <v>632.0519233</v>
      </c>
      <c r="P88" s="107">
        <f>+O88/P89</f>
        <v>1.6578923364504219</v>
      </c>
      <c r="V88" s="42"/>
      <c r="W88" s="42"/>
      <c r="X88" s="42"/>
    </row>
    <row r="89" spans="1:24">
      <c r="A89" s="51" t="s">
        <v>74</v>
      </c>
      <c r="C89" s="92"/>
      <c r="D89" s="109">
        <f>+Simple!D79</f>
        <v>381.23822000000001</v>
      </c>
      <c r="E89" s="40"/>
      <c r="F89" s="34"/>
      <c r="G89" s="34"/>
      <c r="H89" s="34"/>
      <c r="I89" s="34"/>
      <c r="J89" s="34"/>
      <c r="N89" s="108" t="s">
        <v>74</v>
      </c>
      <c r="O89" s="40"/>
      <c r="P89" s="109">
        <f>+D89</f>
        <v>381.23822000000001</v>
      </c>
      <c r="V89" s="42"/>
      <c r="W89" s="42"/>
      <c r="X89" s="42"/>
    </row>
    <row r="90" spans="1:24">
      <c r="I90" s="35">
        <f>+I49/D89</f>
        <v>3.1354218049133777E-2</v>
      </c>
      <c r="J90" s="35">
        <f>+J49/D89</f>
        <v>4.1050036217009263E-2</v>
      </c>
      <c r="K90" s="35">
        <f>+K49/D89</f>
        <v>5.0492911473225398E-2</v>
      </c>
      <c r="W90" s="81"/>
    </row>
    <row r="91" spans="1:24">
      <c r="C91" s="85"/>
      <c r="D91" s="85"/>
      <c r="E91" s="85"/>
      <c r="F91" s="85"/>
      <c r="G91" s="85"/>
      <c r="H91" s="85"/>
      <c r="I91" s="85"/>
      <c r="J91" s="85">
        <f>J82</f>
        <v>0.17161563038825989</v>
      </c>
      <c r="K91" s="86">
        <f>+K53/J53-1</f>
        <v>0.27726759446818305</v>
      </c>
      <c r="O91" s="86"/>
    </row>
    <row r="92" spans="1:24">
      <c r="H92" s="85"/>
      <c r="I92" s="85"/>
      <c r="J92" s="110"/>
    </row>
    <row r="93" spans="1:24">
      <c r="K93" s="86"/>
      <c r="L93" s="86"/>
    </row>
    <row r="94" spans="1:24">
      <c r="B94" s="35" t="s">
        <v>1615</v>
      </c>
      <c r="C94" s="86">
        <f t="shared" ref="C94:M94" si="102">+$D$86/C69</f>
        <v>-9.0788396936949923E-4</v>
      </c>
      <c r="D94" s="86">
        <f t="shared" si="102"/>
        <v>-1.1855632180655348E-3</v>
      </c>
      <c r="E94" s="86">
        <f t="shared" si="102"/>
        <v>1.2375111838305428E-3</v>
      </c>
      <c r="F94" s="86">
        <f t="shared" si="102"/>
        <v>-2.1212507135546159E-3</v>
      </c>
      <c r="G94" s="86">
        <f t="shared" si="102"/>
        <v>-5.7460003277661154E-2</v>
      </c>
      <c r="H94" s="86">
        <f t="shared" si="102"/>
        <v>1.6869215686913554E-2</v>
      </c>
      <c r="I94" s="86">
        <f t="shared" si="102"/>
        <v>1.797885988429717E-2</v>
      </c>
      <c r="J94" s="86">
        <f t="shared" si="102"/>
        <v>2.5606462169162812E-2</v>
      </c>
      <c r="K94" s="86">
        <f t="shared" si="102"/>
        <v>4.1164486923601529E-2</v>
      </c>
      <c r="L94" s="86">
        <f t="shared" si="102"/>
        <v>5.7483247723886029E-2</v>
      </c>
      <c r="M94" s="86">
        <f t="shared" si="102"/>
        <v>8.1587034295372854E-2</v>
      </c>
    </row>
    <row r="95" spans="1:24">
      <c r="B95" s="35" t="s">
        <v>1616</v>
      </c>
      <c r="C95" s="86">
        <f t="shared" ref="C95:M95" si="103">+$D$86/C70</f>
        <v>2.4043580384242621E-4</v>
      </c>
      <c r="D95" s="86">
        <f t="shared" si="103"/>
        <v>4.8184020047624729E-4</v>
      </c>
      <c r="E95" s="86">
        <f t="shared" si="103"/>
        <v>2.9166433063816605E-3</v>
      </c>
      <c r="F95" s="86">
        <f t="shared" si="103"/>
        <v>1.9073068821501712E-3</v>
      </c>
      <c r="G95" s="86">
        <f t="shared" si="103"/>
        <v>-4.4915455558868458E-2</v>
      </c>
      <c r="H95" s="86">
        <f t="shared" si="103"/>
        <v>3.0926565048922189E-2</v>
      </c>
      <c r="I95" s="86">
        <f t="shared" si="103"/>
        <v>3.1354218049133777E-2</v>
      </c>
      <c r="J95" s="86">
        <f t="shared" si="103"/>
        <v>4.1050036217009263E-2</v>
      </c>
      <c r="K95" s="86">
        <f t="shared" si="103"/>
        <v>6.1422184381884362E-2</v>
      </c>
      <c r="L95" s="86">
        <f t="shared" si="103"/>
        <v>8.0465936769182331E-2</v>
      </c>
      <c r="M95" s="86">
        <f t="shared" si="103"/>
        <v>0.1078461680313878</v>
      </c>
    </row>
    <row r="96" spans="1:24">
      <c r="C96" s="86"/>
      <c r="D96" s="131" t="s">
        <v>75</v>
      </c>
      <c r="E96" s="131" t="s">
        <v>76</v>
      </c>
      <c r="F96" s="131" t="s">
        <v>77</v>
      </c>
      <c r="G96" s="131" t="s">
        <v>78</v>
      </c>
      <c r="H96" s="131" t="s">
        <v>79</v>
      </c>
      <c r="I96" s="131" t="s">
        <v>80</v>
      </c>
      <c r="J96" s="131" t="s">
        <v>81</v>
      </c>
      <c r="K96" s="131" t="s">
        <v>82</v>
      </c>
      <c r="L96" s="131" t="s">
        <v>83</v>
      </c>
      <c r="M96" s="131" t="s">
        <v>84</v>
      </c>
    </row>
    <row r="97" spans="2:13">
      <c r="B97" s="35" t="s">
        <v>1615</v>
      </c>
      <c r="C97" s="86"/>
      <c r="D97" s="86">
        <f t="shared" ref="D97:M97" si="104">AVERAGE(C94:D94)</f>
        <v>-1.046723593717517E-3</v>
      </c>
      <c r="E97" s="86">
        <f t="shared" si="104"/>
        <v>2.5973982882504E-5</v>
      </c>
      <c r="F97" s="86">
        <f t="shared" si="104"/>
        <v>-4.4186976486203656E-4</v>
      </c>
      <c r="G97" s="86">
        <f t="shared" si="104"/>
        <v>-2.9790626995607885E-2</v>
      </c>
      <c r="H97" s="86">
        <f t="shared" si="104"/>
        <v>-2.02953937953738E-2</v>
      </c>
      <c r="I97" s="86">
        <f t="shared" si="104"/>
        <v>1.7424037785605362E-2</v>
      </c>
      <c r="J97" s="86">
        <f t="shared" si="104"/>
        <v>2.1792661026729991E-2</v>
      </c>
      <c r="K97" s="86">
        <f t="shared" si="104"/>
        <v>3.3385474546382174E-2</v>
      </c>
      <c r="L97" s="86">
        <f t="shared" si="104"/>
        <v>4.9323867323743775E-2</v>
      </c>
      <c r="M97" s="86">
        <f t="shared" si="104"/>
        <v>6.9535141009629445E-2</v>
      </c>
    </row>
    <row r="98" spans="2:13">
      <c r="B98" s="35" t="s">
        <v>1616</v>
      </c>
      <c r="D98" s="86">
        <f t="shared" ref="D98:M98" si="105">AVERAGE(C95:D95)</f>
        <v>3.6113800215933673E-4</v>
      </c>
      <c r="E98" s="86">
        <f t="shared" si="105"/>
        <v>1.699241753428954E-3</v>
      </c>
      <c r="F98" s="86">
        <f t="shared" si="105"/>
        <v>2.4119750942659156E-3</v>
      </c>
      <c r="G98" s="86">
        <f t="shared" si="105"/>
        <v>-2.1504074338359144E-2</v>
      </c>
      <c r="H98" s="86">
        <f t="shared" si="105"/>
        <v>-6.9944452549731348E-3</v>
      </c>
      <c r="I98" s="86">
        <f t="shared" si="105"/>
        <v>3.1140391549027983E-2</v>
      </c>
      <c r="J98" s="86">
        <f t="shared" si="105"/>
        <v>3.620212713307152E-2</v>
      </c>
      <c r="K98" s="86">
        <f t="shared" si="105"/>
        <v>5.1236110299446816E-2</v>
      </c>
      <c r="L98" s="86">
        <f t="shared" si="105"/>
        <v>7.0944060575533346E-2</v>
      </c>
      <c r="M98" s="86">
        <f t="shared" si="105"/>
        <v>9.4156052400285073E-2</v>
      </c>
    </row>
    <row r="100" spans="2:13">
      <c r="B100" s="35" t="s">
        <v>1617</v>
      </c>
      <c r="I100" s="86">
        <f t="shared" ref="I100:K101" si="106">AVERAGE(H69:I69)</f>
        <v>74.228187588188518</v>
      </c>
      <c r="J100" s="86">
        <f t="shared" si="106"/>
        <v>61.161147835028387</v>
      </c>
      <c r="K100" s="86">
        <f t="shared" si="106"/>
        <v>40.922518956683014</v>
      </c>
    </row>
    <row r="101" spans="2:13">
      <c r="B101" s="35" t="s">
        <v>1618</v>
      </c>
      <c r="I101" s="86">
        <f t="shared" si="106"/>
        <v>41.492872305437942</v>
      </c>
      <c r="J101" s="86">
        <f t="shared" si="106"/>
        <v>36.341400646726925</v>
      </c>
      <c r="K101" s="86">
        <f t="shared" si="106"/>
        <v>26.255146215211226</v>
      </c>
    </row>
    <row r="103" spans="2:13">
      <c r="C103" s="88"/>
    </row>
    <row r="104" spans="2:13">
      <c r="C104" s="88"/>
      <c r="H104" s="49" t="s">
        <v>85</v>
      </c>
    </row>
    <row r="105" spans="2:13">
      <c r="C105" s="88"/>
      <c r="H105" s="235" t="s">
        <v>86</v>
      </c>
    </row>
    <row r="106" spans="2:13">
      <c r="H106" s="35" t="s">
        <v>87</v>
      </c>
      <c r="I106" s="58">
        <v>740.6</v>
      </c>
      <c r="J106" s="58">
        <v>930</v>
      </c>
    </row>
    <row r="107" spans="2:13">
      <c r="H107" s="35" t="s">
        <v>88</v>
      </c>
      <c r="I107" s="58">
        <v>741</v>
      </c>
      <c r="J107" s="58">
        <v>982</v>
      </c>
    </row>
    <row r="108" spans="2:13">
      <c r="H108" s="35" t="s">
        <v>89</v>
      </c>
      <c r="I108" s="58">
        <v>740.1</v>
      </c>
      <c r="J108" s="58">
        <v>953</v>
      </c>
    </row>
    <row r="109" spans="2:13" ht="13.5">
      <c r="I109" s="236"/>
      <c r="J109" s="236"/>
    </row>
    <row r="110" spans="2:13">
      <c r="H110" s="65" t="s">
        <v>91</v>
      </c>
      <c r="I110" s="58">
        <f>+AVERAGE(I106:I109)</f>
        <v>740.56666666666661</v>
      </c>
      <c r="J110" s="58">
        <f>+AVERAGE(J106:J109)</f>
        <v>955</v>
      </c>
    </row>
    <row r="111" spans="2:13" ht="13.5">
      <c r="H111" s="35" t="s">
        <v>92</v>
      </c>
      <c r="I111" s="236">
        <f>+'Historical - USD'!K181/2+J111/2</f>
        <v>1.5254231978619199</v>
      </c>
      <c r="J111" s="236">
        <f>+'Historical - USD'!L181</f>
        <v>1.51924340659341</v>
      </c>
    </row>
    <row r="112" spans="2:13">
      <c r="I112" s="58">
        <f>INT(I110/I111)</f>
        <v>485</v>
      </c>
      <c r="J112" s="58">
        <f>INT(J110/J111)</f>
        <v>628</v>
      </c>
    </row>
    <row r="114" spans="8:10">
      <c r="H114" s="235" t="s">
        <v>93</v>
      </c>
    </row>
    <row r="115" spans="8:10">
      <c r="H115" s="35" t="s">
        <v>87</v>
      </c>
      <c r="I115" s="58">
        <v>33.4</v>
      </c>
      <c r="J115" s="58">
        <v>38.9</v>
      </c>
    </row>
    <row r="116" spans="8:10">
      <c r="H116" s="35" t="s">
        <v>88</v>
      </c>
      <c r="I116" s="58">
        <v>29.3</v>
      </c>
      <c r="J116" s="58">
        <v>12.4</v>
      </c>
    </row>
    <row r="117" spans="8:10">
      <c r="H117" s="35" t="s">
        <v>89</v>
      </c>
      <c r="I117" s="58">
        <v>32</v>
      </c>
      <c r="J117" s="58">
        <v>33.1</v>
      </c>
    </row>
    <row r="118" spans="8:10" ht="13.5">
      <c r="I118" s="236"/>
      <c r="J118" s="236"/>
    </row>
    <row r="119" spans="8:10">
      <c r="H119" s="65" t="s">
        <v>91</v>
      </c>
      <c r="I119" s="58">
        <f>+AVERAGE(I115:I118)</f>
        <v>31.566666666666666</v>
      </c>
      <c r="J119" s="58">
        <f>+AVERAGE(J115:J118)</f>
        <v>28.133333333333336</v>
      </c>
    </row>
    <row r="120" spans="8:10" ht="13.5">
      <c r="I120" s="236">
        <f>+I111</f>
        <v>1.5254231978619199</v>
      </c>
      <c r="J120" s="236">
        <f>+J111</f>
        <v>1.51924340659341</v>
      </c>
    </row>
    <row r="121" spans="8:10">
      <c r="I121" s="58">
        <f>INT(I119/I120)</f>
        <v>20</v>
      </c>
      <c r="J121" s="58">
        <f>INT(J119/J120)</f>
        <v>18</v>
      </c>
    </row>
  </sheetData>
  <pageMargins left="0.3" right="0.3" top="0.3" bottom="0.3" header="0.3" footer="0.3"/>
  <pageSetup scale="54" fitToHeight="0" orientation="landscape" r:id="rId1"/>
  <headerFooter>
    <oddFooter>Page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86F65-1108-4A4F-BEF4-6F58F45E517C}">
  <sheetPr>
    <pageSetUpPr fitToPage="1"/>
  </sheetPr>
  <dimension ref="A1:AE104"/>
  <sheetViews>
    <sheetView view="pageBreakPreview" zoomScale="70" zoomScaleNormal="55" zoomScaleSheetLayoutView="70" workbookViewId="0">
      <pane xSplit="1" ySplit="5" topLeftCell="B6" activePane="bottomRight" state="frozen"/>
      <selection activeCell="D86" sqref="D86"/>
      <selection pane="topRight" activeCell="D86" sqref="D86"/>
      <selection pane="bottomLeft" activeCell="D86" sqref="D86"/>
      <selection pane="bottomRight" activeCell="A7" sqref="A7:A38"/>
    </sheetView>
  </sheetViews>
  <sheetFormatPr defaultColWidth="3.54296875" defaultRowHeight="12" outlineLevelRow="1"/>
  <cols>
    <col min="1" max="1" width="18.81640625" style="35" customWidth="1"/>
    <col min="2" max="2" width="5.1796875" style="35" customWidth="1"/>
    <col min="3" max="21" width="11.7265625" style="35" customWidth="1"/>
    <col min="22" max="22" width="8.26953125" style="35" customWidth="1"/>
    <col min="23" max="23" width="11.81640625" style="35" bestFit="1" customWidth="1"/>
    <col min="24" max="24" width="8.26953125" style="35" customWidth="1"/>
    <col min="25" max="31" width="8.7265625" style="35" customWidth="1"/>
    <col min="32" max="256" width="3.54296875" style="35"/>
    <col min="257" max="257" width="9.26953125" style="35" customWidth="1"/>
    <col min="258" max="258" width="1.7265625" style="35" customWidth="1"/>
    <col min="259" max="274" width="8.26953125" style="35" customWidth="1"/>
    <col min="275" max="276" width="10.81640625" style="35" customWidth="1"/>
    <col min="277" max="277" width="42.1796875" style="35" customWidth="1"/>
    <col min="278" max="280" width="8.26953125" style="35" customWidth="1"/>
    <col min="281" max="287" width="8.7265625" style="35" customWidth="1"/>
    <col min="288" max="512" width="3.54296875" style="35"/>
    <col min="513" max="513" width="9.26953125" style="35" customWidth="1"/>
    <col min="514" max="514" width="1.7265625" style="35" customWidth="1"/>
    <col min="515" max="530" width="8.26953125" style="35" customWidth="1"/>
    <col min="531" max="532" width="10.81640625" style="35" customWidth="1"/>
    <col min="533" max="533" width="42.1796875" style="35" customWidth="1"/>
    <col min="534" max="536" width="8.26953125" style="35" customWidth="1"/>
    <col min="537" max="543" width="8.7265625" style="35" customWidth="1"/>
    <col min="544" max="768" width="3.54296875" style="35"/>
    <col min="769" max="769" width="9.26953125" style="35" customWidth="1"/>
    <col min="770" max="770" width="1.7265625" style="35" customWidth="1"/>
    <col min="771" max="786" width="8.26953125" style="35" customWidth="1"/>
    <col min="787" max="788" width="10.81640625" style="35" customWidth="1"/>
    <col min="789" max="789" width="42.1796875" style="35" customWidth="1"/>
    <col min="790" max="792" width="8.26953125" style="35" customWidth="1"/>
    <col min="793" max="799" width="8.7265625" style="35" customWidth="1"/>
    <col min="800" max="1024" width="3.54296875" style="35"/>
    <col min="1025" max="1025" width="9.26953125" style="35" customWidth="1"/>
    <col min="1026" max="1026" width="1.7265625" style="35" customWidth="1"/>
    <col min="1027" max="1042" width="8.26953125" style="35" customWidth="1"/>
    <col min="1043" max="1044" width="10.81640625" style="35" customWidth="1"/>
    <col min="1045" max="1045" width="42.1796875" style="35" customWidth="1"/>
    <col min="1046" max="1048" width="8.26953125" style="35" customWidth="1"/>
    <col min="1049" max="1055" width="8.7265625" style="35" customWidth="1"/>
    <col min="1056" max="1280" width="3.54296875" style="35"/>
    <col min="1281" max="1281" width="9.26953125" style="35" customWidth="1"/>
    <col min="1282" max="1282" width="1.7265625" style="35" customWidth="1"/>
    <col min="1283" max="1298" width="8.26953125" style="35" customWidth="1"/>
    <col min="1299" max="1300" width="10.81640625" style="35" customWidth="1"/>
    <col min="1301" max="1301" width="42.1796875" style="35" customWidth="1"/>
    <col min="1302" max="1304" width="8.26953125" style="35" customWidth="1"/>
    <col min="1305" max="1311" width="8.7265625" style="35" customWidth="1"/>
    <col min="1312" max="1536" width="3.54296875" style="35"/>
    <col min="1537" max="1537" width="9.26953125" style="35" customWidth="1"/>
    <col min="1538" max="1538" width="1.7265625" style="35" customWidth="1"/>
    <col min="1539" max="1554" width="8.26953125" style="35" customWidth="1"/>
    <col min="1555" max="1556" width="10.81640625" style="35" customWidth="1"/>
    <col min="1557" max="1557" width="42.1796875" style="35" customWidth="1"/>
    <col min="1558" max="1560" width="8.26953125" style="35" customWidth="1"/>
    <col min="1561" max="1567" width="8.7265625" style="35" customWidth="1"/>
    <col min="1568" max="1792" width="3.54296875" style="35"/>
    <col min="1793" max="1793" width="9.26953125" style="35" customWidth="1"/>
    <col min="1794" max="1794" width="1.7265625" style="35" customWidth="1"/>
    <col min="1795" max="1810" width="8.26953125" style="35" customWidth="1"/>
    <col min="1811" max="1812" width="10.81640625" style="35" customWidth="1"/>
    <col min="1813" max="1813" width="42.1796875" style="35" customWidth="1"/>
    <col min="1814" max="1816" width="8.26953125" style="35" customWidth="1"/>
    <col min="1817" max="1823" width="8.7265625" style="35" customWidth="1"/>
    <col min="1824" max="2048" width="3.54296875" style="35"/>
    <col min="2049" max="2049" width="9.26953125" style="35" customWidth="1"/>
    <col min="2050" max="2050" width="1.7265625" style="35" customWidth="1"/>
    <col min="2051" max="2066" width="8.26953125" style="35" customWidth="1"/>
    <col min="2067" max="2068" width="10.81640625" style="35" customWidth="1"/>
    <col min="2069" max="2069" width="42.1796875" style="35" customWidth="1"/>
    <col min="2070" max="2072" width="8.26953125" style="35" customWidth="1"/>
    <col min="2073" max="2079" width="8.7265625" style="35" customWidth="1"/>
    <col min="2080" max="2304" width="3.54296875" style="35"/>
    <col min="2305" max="2305" width="9.26953125" style="35" customWidth="1"/>
    <col min="2306" max="2306" width="1.7265625" style="35" customWidth="1"/>
    <col min="2307" max="2322" width="8.26953125" style="35" customWidth="1"/>
    <col min="2323" max="2324" width="10.81640625" style="35" customWidth="1"/>
    <col min="2325" max="2325" width="42.1796875" style="35" customWidth="1"/>
    <col min="2326" max="2328" width="8.26953125" style="35" customWidth="1"/>
    <col min="2329" max="2335" width="8.7265625" style="35" customWidth="1"/>
    <col min="2336" max="2560" width="3.54296875" style="35"/>
    <col min="2561" max="2561" width="9.26953125" style="35" customWidth="1"/>
    <col min="2562" max="2562" width="1.7265625" style="35" customWidth="1"/>
    <col min="2563" max="2578" width="8.26953125" style="35" customWidth="1"/>
    <col min="2579" max="2580" width="10.81640625" style="35" customWidth="1"/>
    <col min="2581" max="2581" width="42.1796875" style="35" customWidth="1"/>
    <col min="2582" max="2584" width="8.26953125" style="35" customWidth="1"/>
    <col min="2585" max="2591" width="8.7265625" style="35" customWidth="1"/>
    <col min="2592" max="2816" width="3.54296875" style="35"/>
    <col min="2817" max="2817" width="9.26953125" style="35" customWidth="1"/>
    <col min="2818" max="2818" width="1.7265625" style="35" customWidth="1"/>
    <col min="2819" max="2834" width="8.26953125" style="35" customWidth="1"/>
    <col min="2835" max="2836" width="10.81640625" style="35" customWidth="1"/>
    <col min="2837" max="2837" width="42.1796875" style="35" customWidth="1"/>
    <col min="2838" max="2840" width="8.26953125" style="35" customWidth="1"/>
    <col min="2841" max="2847" width="8.7265625" style="35" customWidth="1"/>
    <col min="2848" max="3072" width="3.54296875" style="35"/>
    <col min="3073" max="3073" width="9.26953125" style="35" customWidth="1"/>
    <col min="3074" max="3074" width="1.7265625" style="35" customWidth="1"/>
    <col min="3075" max="3090" width="8.26953125" style="35" customWidth="1"/>
    <col min="3091" max="3092" width="10.81640625" style="35" customWidth="1"/>
    <col min="3093" max="3093" width="42.1796875" style="35" customWidth="1"/>
    <col min="3094" max="3096" width="8.26953125" style="35" customWidth="1"/>
    <col min="3097" max="3103" width="8.7265625" style="35" customWidth="1"/>
    <col min="3104" max="3328" width="3.54296875" style="35"/>
    <col min="3329" max="3329" width="9.26953125" style="35" customWidth="1"/>
    <col min="3330" max="3330" width="1.7265625" style="35" customWidth="1"/>
    <col min="3331" max="3346" width="8.26953125" style="35" customWidth="1"/>
    <col min="3347" max="3348" width="10.81640625" style="35" customWidth="1"/>
    <col min="3349" max="3349" width="42.1796875" style="35" customWidth="1"/>
    <col min="3350" max="3352" width="8.26953125" style="35" customWidth="1"/>
    <col min="3353" max="3359" width="8.7265625" style="35" customWidth="1"/>
    <col min="3360" max="3584" width="3.54296875" style="35"/>
    <col min="3585" max="3585" width="9.26953125" style="35" customWidth="1"/>
    <col min="3586" max="3586" width="1.7265625" style="35" customWidth="1"/>
    <col min="3587" max="3602" width="8.26953125" style="35" customWidth="1"/>
    <col min="3603" max="3604" width="10.81640625" style="35" customWidth="1"/>
    <col min="3605" max="3605" width="42.1796875" style="35" customWidth="1"/>
    <col min="3606" max="3608" width="8.26953125" style="35" customWidth="1"/>
    <col min="3609" max="3615" width="8.7265625" style="35" customWidth="1"/>
    <col min="3616" max="3840" width="3.54296875" style="35"/>
    <col min="3841" max="3841" width="9.26953125" style="35" customWidth="1"/>
    <col min="3842" max="3842" width="1.7265625" style="35" customWidth="1"/>
    <col min="3843" max="3858" width="8.26953125" style="35" customWidth="1"/>
    <col min="3859" max="3860" width="10.81640625" style="35" customWidth="1"/>
    <col min="3861" max="3861" width="42.1796875" style="35" customWidth="1"/>
    <col min="3862" max="3864" width="8.26953125" style="35" customWidth="1"/>
    <col min="3865" max="3871" width="8.7265625" style="35" customWidth="1"/>
    <col min="3872" max="4096" width="3.54296875" style="35"/>
    <col min="4097" max="4097" width="9.26953125" style="35" customWidth="1"/>
    <col min="4098" max="4098" width="1.7265625" style="35" customWidth="1"/>
    <col min="4099" max="4114" width="8.26953125" style="35" customWidth="1"/>
    <col min="4115" max="4116" width="10.81640625" style="35" customWidth="1"/>
    <col min="4117" max="4117" width="42.1796875" style="35" customWidth="1"/>
    <col min="4118" max="4120" width="8.26953125" style="35" customWidth="1"/>
    <col min="4121" max="4127" width="8.7265625" style="35" customWidth="1"/>
    <col min="4128" max="4352" width="3.54296875" style="35"/>
    <col min="4353" max="4353" width="9.26953125" style="35" customWidth="1"/>
    <col min="4354" max="4354" width="1.7265625" style="35" customWidth="1"/>
    <col min="4355" max="4370" width="8.26953125" style="35" customWidth="1"/>
    <col min="4371" max="4372" width="10.81640625" style="35" customWidth="1"/>
    <col min="4373" max="4373" width="42.1796875" style="35" customWidth="1"/>
    <col min="4374" max="4376" width="8.26953125" style="35" customWidth="1"/>
    <col min="4377" max="4383" width="8.7265625" style="35" customWidth="1"/>
    <col min="4384" max="4608" width="3.54296875" style="35"/>
    <col min="4609" max="4609" width="9.26953125" style="35" customWidth="1"/>
    <col min="4610" max="4610" width="1.7265625" style="35" customWidth="1"/>
    <col min="4611" max="4626" width="8.26953125" style="35" customWidth="1"/>
    <col min="4627" max="4628" width="10.81640625" style="35" customWidth="1"/>
    <col min="4629" max="4629" width="42.1796875" style="35" customWidth="1"/>
    <col min="4630" max="4632" width="8.26953125" style="35" customWidth="1"/>
    <col min="4633" max="4639" width="8.7265625" style="35" customWidth="1"/>
    <col min="4640" max="4864" width="3.54296875" style="35"/>
    <col min="4865" max="4865" width="9.26953125" style="35" customWidth="1"/>
    <col min="4866" max="4866" width="1.7265625" style="35" customWidth="1"/>
    <col min="4867" max="4882" width="8.26953125" style="35" customWidth="1"/>
    <col min="4883" max="4884" width="10.81640625" style="35" customWidth="1"/>
    <col min="4885" max="4885" width="42.1796875" style="35" customWidth="1"/>
    <col min="4886" max="4888" width="8.26953125" style="35" customWidth="1"/>
    <col min="4889" max="4895" width="8.7265625" style="35" customWidth="1"/>
    <col min="4896" max="5120" width="3.54296875" style="35"/>
    <col min="5121" max="5121" width="9.26953125" style="35" customWidth="1"/>
    <col min="5122" max="5122" width="1.7265625" style="35" customWidth="1"/>
    <col min="5123" max="5138" width="8.26953125" style="35" customWidth="1"/>
    <col min="5139" max="5140" width="10.81640625" style="35" customWidth="1"/>
    <col min="5141" max="5141" width="42.1796875" style="35" customWidth="1"/>
    <col min="5142" max="5144" width="8.26953125" style="35" customWidth="1"/>
    <col min="5145" max="5151" width="8.7265625" style="35" customWidth="1"/>
    <col min="5152" max="5376" width="3.54296875" style="35"/>
    <col min="5377" max="5377" width="9.26953125" style="35" customWidth="1"/>
    <col min="5378" max="5378" width="1.7265625" style="35" customWidth="1"/>
    <col min="5379" max="5394" width="8.26953125" style="35" customWidth="1"/>
    <col min="5395" max="5396" width="10.81640625" style="35" customWidth="1"/>
    <col min="5397" max="5397" width="42.1796875" style="35" customWidth="1"/>
    <col min="5398" max="5400" width="8.26953125" style="35" customWidth="1"/>
    <col min="5401" max="5407" width="8.7265625" style="35" customWidth="1"/>
    <col min="5408" max="5632" width="3.54296875" style="35"/>
    <col min="5633" max="5633" width="9.26953125" style="35" customWidth="1"/>
    <col min="5634" max="5634" width="1.7265625" style="35" customWidth="1"/>
    <col min="5635" max="5650" width="8.26953125" style="35" customWidth="1"/>
    <col min="5651" max="5652" width="10.81640625" style="35" customWidth="1"/>
    <col min="5653" max="5653" width="42.1796875" style="35" customWidth="1"/>
    <col min="5654" max="5656" width="8.26953125" style="35" customWidth="1"/>
    <col min="5657" max="5663" width="8.7265625" style="35" customWidth="1"/>
    <col min="5664" max="5888" width="3.54296875" style="35"/>
    <col min="5889" max="5889" width="9.26953125" style="35" customWidth="1"/>
    <col min="5890" max="5890" width="1.7265625" style="35" customWidth="1"/>
    <col min="5891" max="5906" width="8.26953125" style="35" customWidth="1"/>
    <col min="5907" max="5908" width="10.81640625" style="35" customWidth="1"/>
    <col min="5909" max="5909" width="42.1796875" style="35" customWidth="1"/>
    <col min="5910" max="5912" width="8.26953125" style="35" customWidth="1"/>
    <col min="5913" max="5919" width="8.7265625" style="35" customWidth="1"/>
    <col min="5920" max="6144" width="3.54296875" style="35"/>
    <col min="6145" max="6145" width="9.26953125" style="35" customWidth="1"/>
    <col min="6146" max="6146" width="1.7265625" style="35" customWidth="1"/>
    <col min="6147" max="6162" width="8.26953125" style="35" customWidth="1"/>
    <col min="6163" max="6164" width="10.81640625" style="35" customWidth="1"/>
    <col min="6165" max="6165" width="42.1796875" style="35" customWidth="1"/>
    <col min="6166" max="6168" width="8.26953125" style="35" customWidth="1"/>
    <col min="6169" max="6175" width="8.7265625" style="35" customWidth="1"/>
    <col min="6176" max="6400" width="3.54296875" style="35"/>
    <col min="6401" max="6401" width="9.26953125" style="35" customWidth="1"/>
    <col min="6402" max="6402" width="1.7265625" style="35" customWidth="1"/>
    <col min="6403" max="6418" width="8.26953125" style="35" customWidth="1"/>
    <col min="6419" max="6420" width="10.81640625" style="35" customWidth="1"/>
    <col min="6421" max="6421" width="42.1796875" style="35" customWidth="1"/>
    <col min="6422" max="6424" width="8.26953125" style="35" customWidth="1"/>
    <col min="6425" max="6431" width="8.7265625" style="35" customWidth="1"/>
    <col min="6432" max="6656" width="3.54296875" style="35"/>
    <col min="6657" max="6657" width="9.26953125" style="35" customWidth="1"/>
    <col min="6658" max="6658" width="1.7265625" style="35" customWidth="1"/>
    <col min="6659" max="6674" width="8.26953125" style="35" customWidth="1"/>
    <col min="6675" max="6676" width="10.81640625" style="35" customWidth="1"/>
    <col min="6677" max="6677" width="42.1796875" style="35" customWidth="1"/>
    <col min="6678" max="6680" width="8.26953125" style="35" customWidth="1"/>
    <col min="6681" max="6687" width="8.7265625" style="35" customWidth="1"/>
    <col min="6688" max="6912" width="3.54296875" style="35"/>
    <col min="6913" max="6913" width="9.26953125" style="35" customWidth="1"/>
    <col min="6914" max="6914" width="1.7265625" style="35" customWidth="1"/>
    <col min="6915" max="6930" width="8.26953125" style="35" customWidth="1"/>
    <col min="6931" max="6932" width="10.81640625" style="35" customWidth="1"/>
    <col min="6933" max="6933" width="42.1796875" style="35" customWidth="1"/>
    <col min="6934" max="6936" width="8.26953125" style="35" customWidth="1"/>
    <col min="6937" max="6943" width="8.7265625" style="35" customWidth="1"/>
    <col min="6944" max="7168" width="3.54296875" style="35"/>
    <col min="7169" max="7169" width="9.26953125" style="35" customWidth="1"/>
    <col min="7170" max="7170" width="1.7265625" style="35" customWidth="1"/>
    <col min="7171" max="7186" width="8.26953125" style="35" customWidth="1"/>
    <col min="7187" max="7188" width="10.81640625" style="35" customWidth="1"/>
    <col min="7189" max="7189" width="42.1796875" style="35" customWidth="1"/>
    <col min="7190" max="7192" width="8.26953125" style="35" customWidth="1"/>
    <col min="7193" max="7199" width="8.7265625" style="35" customWidth="1"/>
    <col min="7200" max="7424" width="3.54296875" style="35"/>
    <col min="7425" max="7425" width="9.26953125" style="35" customWidth="1"/>
    <col min="7426" max="7426" width="1.7265625" style="35" customWidth="1"/>
    <col min="7427" max="7442" width="8.26953125" style="35" customWidth="1"/>
    <col min="7443" max="7444" width="10.81640625" style="35" customWidth="1"/>
    <col min="7445" max="7445" width="42.1796875" style="35" customWidth="1"/>
    <col min="7446" max="7448" width="8.26953125" style="35" customWidth="1"/>
    <col min="7449" max="7455" width="8.7265625" style="35" customWidth="1"/>
    <col min="7456" max="7680" width="3.54296875" style="35"/>
    <col min="7681" max="7681" width="9.26953125" style="35" customWidth="1"/>
    <col min="7682" max="7682" width="1.7265625" style="35" customWidth="1"/>
    <col min="7683" max="7698" width="8.26953125" style="35" customWidth="1"/>
    <col min="7699" max="7700" width="10.81640625" style="35" customWidth="1"/>
    <col min="7701" max="7701" width="42.1796875" style="35" customWidth="1"/>
    <col min="7702" max="7704" width="8.26953125" style="35" customWidth="1"/>
    <col min="7705" max="7711" width="8.7265625" style="35" customWidth="1"/>
    <col min="7712" max="7936" width="3.54296875" style="35"/>
    <col min="7937" max="7937" width="9.26953125" style="35" customWidth="1"/>
    <col min="7938" max="7938" width="1.7265625" style="35" customWidth="1"/>
    <col min="7939" max="7954" width="8.26953125" style="35" customWidth="1"/>
    <col min="7955" max="7956" width="10.81640625" style="35" customWidth="1"/>
    <col min="7957" max="7957" width="42.1796875" style="35" customWidth="1"/>
    <col min="7958" max="7960" width="8.26953125" style="35" customWidth="1"/>
    <col min="7961" max="7967" width="8.7265625" style="35" customWidth="1"/>
    <col min="7968" max="8192" width="3.54296875" style="35"/>
    <col min="8193" max="8193" width="9.26953125" style="35" customWidth="1"/>
    <col min="8194" max="8194" width="1.7265625" style="35" customWidth="1"/>
    <col min="8195" max="8210" width="8.26953125" style="35" customWidth="1"/>
    <col min="8211" max="8212" width="10.81640625" style="35" customWidth="1"/>
    <col min="8213" max="8213" width="42.1796875" style="35" customWidth="1"/>
    <col min="8214" max="8216" width="8.26953125" style="35" customWidth="1"/>
    <col min="8217" max="8223" width="8.7265625" style="35" customWidth="1"/>
    <col min="8224" max="8448" width="3.54296875" style="35"/>
    <col min="8449" max="8449" width="9.26953125" style="35" customWidth="1"/>
    <col min="8450" max="8450" width="1.7265625" style="35" customWidth="1"/>
    <col min="8451" max="8466" width="8.26953125" style="35" customWidth="1"/>
    <col min="8467" max="8468" width="10.81640625" style="35" customWidth="1"/>
    <col min="8469" max="8469" width="42.1796875" style="35" customWidth="1"/>
    <col min="8470" max="8472" width="8.26953125" style="35" customWidth="1"/>
    <col min="8473" max="8479" width="8.7265625" style="35" customWidth="1"/>
    <col min="8480" max="8704" width="3.54296875" style="35"/>
    <col min="8705" max="8705" width="9.26953125" style="35" customWidth="1"/>
    <col min="8706" max="8706" width="1.7265625" style="35" customWidth="1"/>
    <col min="8707" max="8722" width="8.26953125" style="35" customWidth="1"/>
    <col min="8723" max="8724" width="10.81640625" style="35" customWidth="1"/>
    <col min="8725" max="8725" width="42.1796875" style="35" customWidth="1"/>
    <col min="8726" max="8728" width="8.26953125" style="35" customWidth="1"/>
    <col min="8729" max="8735" width="8.7265625" style="35" customWidth="1"/>
    <col min="8736" max="8960" width="3.54296875" style="35"/>
    <col min="8961" max="8961" width="9.26953125" style="35" customWidth="1"/>
    <col min="8962" max="8962" width="1.7265625" style="35" customWidth="1"/>
    <col min="8963" max="8978" width="8.26953125" style="35" customWidth="1"/>
    <col min="8979" max="8980" width="10.81640625" style="35" customWidth="1"/>
    <col min="8981" max="8981" width="42.1796875" style="35" customWidth="1"/>
    <col min="8982" max="8984" width="8.26953125" style="35" customWidth="1"/>
    <col min="8985" max="8991" width="8.7265625" style="35" customWidth="1"/>
    <col min="8992" max="9216" width="3.54296875" style="35"/>
    <col min="9217" max="9217" width="9.26953125" style="35" customWidth="1"/>
    <col min="9218" max="9218" width="1.7265625" style="35" customWidth="1"/>
    <col min="9219" max="9234" width="8.26953125" style="35" customWidth="1"/>
    <col min="9235" max="9236" width="10.81640625" style="35" customWidth="1"/>
    <col min="9237" max="9237" width="42.1796875" style="35" customWidth="1"/>
    <col min="9238" max="9240" width="8.26953125" style="35" customWidth="1"/>
    <col min="9241" max="9247" width="8.7265625" style="35" customWidth="1"/>
    <col min="9248" max="9472" width="3.54296875" style="35"/>
    <col min="9473" max="9473" width="9.26953125" style="35" customWidth="1"/>
    <col min="9474" max="9474" width="1.7265625" style="35" customWidth="1"/>
    <col min="9475" max="9490" width="8.26953125" style="35" customWidth="1"/>
    <col min="9491" max="9492" width="10.81640625" style="35" customWidth="1"/>
    <col min="9493" max="9493" width="42.1796875" style="35" customWidth="1"/>
    <col min="9494" max="9496" width="8.26953125" style="35" customWidth="1"/>
    <col min="9497" max="9503" width="8.7265625" style="35" customWidth="1"/>
    <col min="9504" max="9728" width="3.54296875" style="35"/>
    <col min="9729" max="9729" width="9.26953125" style="35" customWidth="1"/>
    <col min="9730" max="9730" width="1.7265625" style="35" customWidth="1"/>
    <col min="9731" max="9746" width="8.26953125" style="35" customWidth="1"/>
    <col min="9747" max="9748" width="10.81640625" style="35" customWidth="1"/>
    <col min="9749" max="9749" width="42.1796875" style="35" customWidth="1"/>
    <col min="9750" max="9752" width="8.26953125" style="35" customWidth="1"/>
    <col min="9753" max="9759" width="8.7265625" style="35" customWidth="1"/>
    <col min="9760" max="9984" width="3.54296875" style="35"/>
    <col min="9985" max="9985" width="9.26953125" style="35" customWidth="1"/>
    <col min="9986" max="9986" width="1.7265625" style="35" customWidth="1"/>
    <col min="9987" max="10002" width="8.26953125" style="35" customWidth="1"/>
    <col min="10003" max="10004" width="10.81640625" style="35" customWidth="1"/>
    <col min="10005" max="10005" width="42.1796875" style="35" customWidth="1"/>
    <col min="10006" max="10008" width="8.26953125" style="35" customWidth="1"/>
    <col min="10009" max="10015" width="8.7265625" style="35" customWidth="1"/>
    <col min="10016" max="10240" width="3.54296875" style="35"/>
    <col min="10241" max="10241" width="9.26953125" style="35" customWidth="1"/>
    <col min="10242" max="10242" width="1.7265625" style="35" customWidth="1"/>
    <col min="10243" max="10258" width="8.26953125" style="35" customWidth="1"/>
    <col min="10259" max="10260" width="10.81640625" style="35" customWidth="1"/>
    <col min="10261" max="10261" width="42.1796875" style="35" customWidth="1"/>
    <col min="10262" max="10264" width="8.26953125" style="35" customWidth="1"/>
    <col min="10265" max="10271" width="8.7265625" style="35" customWidth="1"/>
    <col min="10272" max="10496" width="3.54296875" style="35"/>
    <col min="10497" max="10497" width="9.26953125" style="35" customWidth="1"/>
    <col min="10498" max="10498" width="1.7265625" style="35" customWidth="1"/>
    <col min="10499" max="10514" width="8.26953125" style="35" customWidth="1"/>
    <col min="10515" max="10516" width="10.81640625" style="35" customWidth="1"/>
    <col min="10517" max="10517" width="42.1796875" style="35" customWidth="1"/>
    <col min="10518" max="10520" width="8.26953125" style="35" customWidth="1"/>
    <col min="10521" max="10527" width="8.7265625" style="35" customWidth="1"/>
    <col min="10528" max="10752" width="3.54296875" style="35"/>
    <col min="10753" max="10753" width="9.26953125" style="35" customWidth="1"/>
    <col min="10754" max="10754" width="1.7265625" style="35" customWidth="1"/>
    <col min="10755" max="10770" width="8.26953125" style="35" customWidth="1"/>
    <col min="10771" max="10772" width="10.81640625" style="35" customWidth="1"/>
    <col min="10773" max="10773" width="42.1796875" style="35" customWidth="1"/>
    <col min="10774" max="10776" width="8.26953125" style="35" customWidth="1"/>
    <col min="10777" max="10783" width="8.7265625" style="35" customWidth="1"/>
    <col min="10784" max="11008" width="3.54296875" style="35"/>
    <col min="11009" max="11009" width="9.26953125" style="35" customWidth="1"/>
    <col min="11010" max="11010" width="1.7265625" style="35" customWidth="1"/>
    <col min="11011" max="11026" width="8.26953125" style="35" customWidth="1"/>
    <col min="11027" max="11028" width="10.81640625" style="35" customWidth="1"/>
    <col min="11029" max="11029" width="42.1796875" style="35" customWidth="1"/>
    <col min="11030" max="11032" width="8.26953125" style="35" customWidth="1"/>
    <col min="11033" max="11039" width="8.7265625" style="35" customWidth="1"/>
    <col min="11040" max="11264" width="3.54296875" style="35"/>
    <col min="11265" max="11265" width="9.26953125" style="35" customWidth="1"/>
    <col min="11266" max="11266" width="1.7265625" style="35" customWidth="1"/>
    <col min="11267" max="11282" width="8.26953125" style="35" customWidth="1"/>
    <col min="11283" max="11284" width="10.81640625" style="35" customWidth="1"/>
    <col min="11285" max="11285" width="42.1796875" style="35" customWidth="1"/>
    <col min="11286" max="11288" width="8.26953125" style="35" customWidth="1"/>
    <col min="11289" max="11295" width="8.7265625" style="35" customWidth="1"/>
    <col min="11296" max="11520" width="3.54296875" style="35"/>
    <col min="11521" max="11521" width="9.26953125" style="35" customWidth="1"/>
    <col min="11522" max="11522" width="1.7265625" style="35" customWidth="1"/>
    <col min="11523" max="11538" width="8.26953125" style="35" customWidth="1"/>
    <col min="11539" max="11540" width="10.81640625" style="35" customWidth="1"/>
    <col min="11541" max="11541" width="42.1796875" style="35" customWidth="1"/>
    <col min="11542" max="11544" width="8.26953125" style="35" customWidth="1"/>
    <col min="11545" max="11551" width="8.7265625" style="35" customWidth="1"/>
    <col min="11552" max="11776" width="3.54296875" style="35"/>
    <col min="11777" max="11777" width="9.26953125" style="35" customWidth="1"/>
    <col min="11778" max="11778" width="1.7265625" style="35" customWidth="1"/>
    <col min="11779" max="11794" width="8.26953125" style="35" customWidth="1"/>
    <col min="11795" max="11796" width="10.81640625" style="35" customWidth="1"/>
    <col min="11797" max="11797" width="42.1796875" style="35" customWidth="1"/>
    <col min="11798" max="11800" width="8.26953125" style="35" customWidth="1"/>
    <col min="11801" max="11807" width="8.7265625" style="35" customWidth="1"/>
    <col min="11808" max="12032" width="3.54296875" style="35"/>
    <col min="12033" max="12033" width="9.26953125" style="35" customWidth="1"/>
    <col min="12034" max="12034" width="1.7265625" style="35" customWidth="1"/>
    <col min="12035" max="12050" width="8.26953125" style="35" customWidth="1"/>
    <col min="12051" max="12052" width="10.81640625" style="35" customWidth="1"/>
    <col min="12053" max="12053" width="42.1796875" style="35" customWidth="1"/>
    <col min="12054" max="12056" width="8.26953125" style="35" customWidth="1"/>
    <col min="12057" max="12063" width="8.7265625" style="35" customWidth="1"/>
    <col min="12064" max="12288" width="3.54296875" style="35"/>
    <col min="12289" max="12289" width="9.26953125" style="35" customWidth="1"/>
    <col min="12290" max="12290" width="1.7265625" style="35" customWidth="1"/>
    <col min="12291" max="12306" width="8.26953125" style="35" customWidth="1"/>
    <col min="12307" max="12308" width="10.81640625" style="35" customWidth="1"/>
    <col min="12309" max="12309" width="42.1796875" style="35" customWidth="1"/>
    <col min="12310" max="12312" width="8.26953125" style="35" customWidth="1"/>
    <col min="12313" max="12319" width="8.7265625" style="35" customWidth="1"/>
    <col min="12320" max="12544" width="3.54296875" style="35"/>
    <col min="12545" max="12545" width="9.26953125" style="35" customWidth="1"/>
    <col min="12546" max="12546" width="1.7265625" style="35" customWidth="1"/>
    <col min="12547" max="12562" width="8.26953125" style="35" customWidth="1"/>
    <col min="12563" max="12564" width="10.81640625" style="35" customWidth="1"/>
    <col min="12565" max="12565" width="42.1796875" style="35" customWidth="1"/>
    <col min="12566" max="12568" width="8.26953125" style="35" customWidth="1"/>
    <col min="12569" max="12575" width="8.7265625" style="35" customWidth="1"/>
    <col min="12576" max="12800" width="3.54296875" style="35"/>
    <col min="12801" max="12801" width="9.26953125" style="35" customWidth="1"/>
    <col min="12802" max="12802" width="1.7265625" style="35" customWidth="1"/>
    <col min="12803" max="12818" width="8.26953125" style="35" customWidth="1"/>
    <col min="12819" max="12820" width="10.81640625" style="35" customWidth="1"/>
    <col min="12821" max="12821" width="42.1796875" style="35" customWidth="1"/>
    <col min="12822" max="12824" width="8.26953125" style="35" customWidth="1"/>
    <col min="12825" max="12831" width="8.7265625" style="35" customWidth="1"/>
    <col min="12832" max="13056" width="3.54296875" style="35"/>
    <col min="13057" max="13057" width="9.26953125" style="35" customWidth="1"/>
    <col min="13058" max="13058" width="1.7265625" style="35" customWidth="1"/>
    <col min="13059" max="13074" width="8.26953125" style="35" customWidth="1"/>
    <col min="13075" max="13076" width="10.81640625" style="35" customWidth="1"/>
    <col min="13077" max="13077" width="42.1796875" style="35" customWidth="1"/>
    <col min="13078" max="13080" width="8.26953125" style="35" customWidth="1"/>
    <col min="13081" max="13087" width="8.7265625" style="35" customWidth="1"/>
    <col min="13088" max="13312" width="3.54296875" style="35"/>
    <col min="13313" max="13313" width="9.26953125" style="35" customWidth="1"/>
    <col min="13314" max="13314" width="1.7265625" style="35" customWidth="1"/>
    <col min="13315" max="13330" width="8.26953125" style="35" customWidth="1"/>
    <col min="13331" max="13332" width="10.81640625" style="35" customWidth="1"/>
    <col min="13333" max="13333" width="42.1796875" style="35" customWidth="1"/>
    <col min="13334" max="13336" width="8.26953125" style="35" customWidth="1"/>
    <col min="13337" max="13343" width="8.7265625" style="35" customWidth="1"/>
    <col min="13344" max="13568" width="3.54296875" style="35"/>
    <col min="13569" max="13569" width="9.26953125" style="35" customWidth="1"/>
    <col min="13570" max="13570" width="1.7265625" style="35" customWidth="1"/>
    <col min="13571" max="13586" width="8.26953125" style="35" customWidth="1"/>
    <col min="13587" max="13588" width="10.81640625" style="35" customWidth="1"/>
    <col min="13589" max="13589" width="42.1796875" style="35" customWidth="1"/>
    <col min="13590" max="13592" width="8.26953125" style="35" customWidth="1"/>
    <col min="13593" max="13599" width="8.7265625" style="35" customWidth="1"/>
    <col min="13600" max="13824" width="3.54296875" style="35"/>
    <col min="13825" max="13825" width="9.26953125" style="35" customWidth="1"/>
    <col min="13826" max="13826" width="1.7265625" style="35" customWidth="1"/>
    <col min="13827" max="13842" width="8.26953125" style="35" customWidth="1"/>
    <col min="13843" max="13844" width="10.81640625" style="35" customWidth="1"/>
    <col min="13845" max="13845" width="42.1796875" style="35" customWidth="1"/>
    <col min="13846" max="13848" width="8.26953125" style="35" customWidth="1"/>
    <col min="13849" max="13855" width="8.7265625" style="35" customWidth="1"/>
    <col min="13856" max="14080" width="3.54296875" style="35"/>
    <col min="14081" max="14081" width="9.26953125" style="35" customWidth="1"/>
    <col min="14082" max="14082" width="1.7265625" style="35" customWidth="1"/>
    <col min="14083" max="14098" width="8.26953125" style="35" customWidth="1"/>
    <col min="14099" max="14100" width="10.81640625" style="35" customWidth="1"/>
    <col min="14101" max="14101" width="42.1796875" style="35" customWidth="1"/>
    <col min="14102" max="14104" width="8.26953125" style="35" customWidth="1"/>
    <col min="14105" max="14111" width="8.7265625" style="35" customWidth="1"/>
    <col min="14112" max="14336" width="3.54296875" style="35"/>
    <col min="14337" max="14337" width="9.26953125" style="35" customWidth="1"/>
    <col min="14338" max="14338" width="1.7265625" style="35" customWidth="1"/>
    <col min="14339" max="14354" width="8.26953125" style="35" customWidth="1"/>
    <col min="14355" max="14356" width="10.81640625" style="35" customWidth="1"/>
    <col min="14357" max="14357" width="42.1796875" style="35" customWidth="1"/>
    <col min="14358" max="14360" width="8.26953125" style="35" customWidth="1"/>
    <col min="14361" max="14367" width="8.7265625" style="35" customWidth="1"/>
    <col min="14368" max="14592" width="3.54296875" style="35"/>
    <col min="14593" max="14593" width="9.26953125" style="35" customWidth="1"/>
    <col min="14594" max="14594" width="1.7265625" style="35" customWidth="1"/>
    <col min="14595" max="14610" width="8.26953125" style="35" customWidth="1"/>
    <col min="14611" max="14612" width="10.81640625" style="35" customWidth="1"/>
    <col min="14613" max="14613" width="42.1796875" style="35" customWidth="1"/>
    <col min="14614" max="14616" width="8.26953125" style="35" customWidth="1"/>
    <col min="14617" max="14623" width="8.7265625" style="35" customWidth="1"/>
    <col min="14624" max="14848" width="3.54296875" style="35"/>
    <col min="14849" max="14849" width="9.26953125" style="35" customWidth="1"/>
    <col min="14850" max="14850" width="1.7265625" style="35" customWidth="1"/>
    <col min="14851" max="14866" width="8.26953125" style="35" customWidth="1"/>
    <col min="14867" max="14868" width="10.81640625" style="35" customWidth="1"/>
    <col min="14869" max="14869" width="42.1796875" style="35" customWidth="1"/>
    <col min="14870" max="14872" width="8.26953125" style="35" customWidth="1"/>
    <col min="14873" max="14879" width="8.7265625" style="35" customWidth="1"/>
    <col min="14880" max="15104" width="3.54296875" style="35"/>
    <col min="15105" max="15105" width="9.26953125" style="35" customWidth="1"/>
    <col min="15106" max="15106" width="1.7265625" style="35" customWidth="1"/>
    <col min="15107" max="15122" width="8.26953125" style="35" customWidth="1"/>
    <col min="15123" max="15124" width="10.81640625" style="35" customWidth="1"/>
    <col min="15125" max="15125" width="42.1796875" style="35" customWidth="1"/>
    <col min="15126" max="15128" width="8.26953125" style="35" customWidth="1"/>
    <col min="15129" max="15135" width="8.7265625" style="35" customWidth="1"/>
    <col min="15136" max="15360" width="3.54296875" style="35"/>
    <col min="15361" max="15361" width="9.26953125" style="35" customWidth="1"/>
    <col min="15362" max="15362" width="1.7265625" style="35" customWidth="1"/>
    <col min="15363" max="15378" width="8.26953125" style="35" customWidth="1"/>
    <col min="15379" max="15380" width="10.81640625" style="35" customWidth="1"/>
    <col min="15381" max="15381" width="42.1796875" style="35" customWidth="1"/>
    <col min="15382" max="15384" width="8.26953125" style="35" customWidth="1"/>
    <col min="15385" max="15391" width="8.7265625" style="35" customWidth="1"/>
    <col min="15392" max="15616" width="3.54296875" style="35"/>
    <col min="15617" max="15617" width="9.26953125" style="35" customWidth="1"/>
    <col min="15618" max="15618" width="1.7265625" style="35" customWidth="1"/>
    <col min="15619" max="15634" width="8.26953125" style="35" customWidth="1"/>
    <col min="15635" max="15636" width="10.81640625" style="35" customWidth="1"/>
    <col min="15637" max="15637" width="42.1796875" style="35" customWidth="1"/>
    <col min="15638" max="15640" width="8.26953125" style="35" customWidth="1"/>
    <col min="15641" max="15647" width="8.7265625" style="35" customWidth="1"/>
    <col min="15648" max="15872" width="3.54296875" style="35"/>
    <col min="15873" max="15873" width="9.26953125" style="35" customWidth="1"/>
    <col min="15874" max="15874" width="1.7265625" style="35" customWidth="1"/>
    <col min="15875" max="15890" width="8.26953125" style="35" customWidth="1"/>
    <col min="15891" max="15892" width="10.81640625" style="35" customWidth="1"/>
    <col min="15893" max="15893" width="42.1796875" style="35" customWidth="1"/>
    <col min="15894" max="15896" width="8.26953125" style="35" customWidth="1"/>
    <col min="15897" max="15903" width="8.7265625" style="35" customWidth="1"/>
    <col min="15904" max="16128" width="3.54296875" style="35"/>
    <col min="16129" max="16129" width="9.26953125" style="35" customWidth="1"/>
    <col min="16130" max="16130" width="1.7265625" style="35" customWidth="1"/>
    <col min="16131" max="16146" width="8.26953125" style="35" customWidth="1"/>
    <col min="16147" max="16148" width="10.81640625" style="35" customWidth="1"/>
    <col min="16149" max="16149" width="42.1796875" style="35" customWidth="1"/>
    <col min="16150" max="16152" width="8.26953125" style="35" customWidth="1"/>
    <col min="16153" max="16159" width="8.7265625" style="35" customWidth="1"/>
    <col min="16160" max="16384" width="3.54296875" style="35"/>
  </cols>
  <sheetData>
    <row r="1" spans="1:31">
      <c r="A1" s="34" t="s">
        <v>0</v>
      </c>
      <c r="H1" s="370"/>
      <c r="I1" s="371" t="s">
        <v>4201</v>
      </c>
      <c r="J1" s="370"/>
      <c r="K1" s="370"/>
      <c r="L1" s="86"/>
      <c r="N1" s="36"/>
      <c r="O1" s="36"/>
      <c r="P1" s="37"/>
      <c r="Q1" s="37"/>
      <c r="R1" s="37"/>
      <c r="S1" s="37"/>
      <c r="T1" s="37"/>
      <c r="U1" s="37">
        <f>+'Simple - 5%'!U1</f>
        <v>45565</v>
      </c>
    </row>
    <row r="2" spans="1:31">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row>
    <row r="3" spans="1:31">
      <c r="A3" s="40" t="s">
        <v>3</v>
      </c>
      <c r="C3" s="41"/>
      <c r="D3" s="41"/>
      <c r="E3" s="41"/>
      <c r="F3" s="41"/>
      <c r="G3" s="41"/>
      <c r="H3" s="41">
        <f ca="1">TODAY()</f>
        <v>45797</v>
      </c>
      <c r="I3" s="41"/>
      <c r="J3" s="41">
        <f>+'Simple - 5%'!J3</f>
        <v>45565</v>
      </c>
      <c r="K3" s="41">
        <v>46203</v>
      </c>
      <c r="L3" s="41">
        <v>46568</v>
      </c>
      <c r="M3" s="41">
        <v>46934</v>
      </c>
      <c r="N3" s="41">
        <v>47299</v>
      </c>
      <c r="O3" s="41">
        <v>47664</v>
      </c>
      <c r="P3" s="41">
        <v>48029</v>
      </c>
      <c r="Q3" s="41">
        <v>48395</v>
      </c>
      <c r="R3" s="41">
        <v>48760</v>
      </c>
      <c r="S3" s="41">
        <v>49125</v>
      </c>
      <c r="T3" s="41">
        <v>49490</v>
      </c>
      <c r="U3" s="41">
        <v>49856</v>
      </c>
    </row>
    <row r="4" spans="1:31" ht="13.5">
      <c r="A4" s="42"/>
      <c r="C4" s="43" t="str">
        <f>+Historical!C4</f>
        <v>FYE June 30th</v>
      </c>
      <c r="D4" s="44"/>
      <c r="E4" s="44"/>
      <c r="F4" s="44"/>
      <c r="G4" s="44"/>
      <c r="H4" s="44"/>
      <c r="I4" s="44"/>
      <c r="J4" s="44"/>
      <c r="K4" s="44"/>
      <c r="L4" s="44"/>
      <c r="M4" s="44"/>
      <c r="N4" s="44"/>
      <c r="O4" s="44"/>
      <c r="P4" s="44"/>
      <c r="Q4" s="44"/>
      <c r="R4" s="44"/>
      <c r="S4" s="44"/>
      <c r="T4" s="44"/>
      <c r="U4" s="44"/>
    </row>
    <row r="5" spans="1:31" ht="13.5">
      <c r="C5" s="45" t="s">
        <v>4</v>
      </c>
      <c r="D5" s="45" t="s">
        <v>5</v>
      </c>
      <c r="E5" s="45" t="s">
        <v>6</v>
      </c>
      <c r="F5" s="45" t="s">
        <v>7</v>
      </c>
      <c r="G5" s="45" t="s">
        <v>8</v>
      </c>
      <c r="H5" s="45" t="s">
        <v>9</v>
      </c>
      <c r="I5" s="45" t="s">
        <v>4196</v>
      </c>
      <c r="J5" s="45" t="s">
        <v>11</v>
      </c>
      <c r="K5" s="45" t="s">
        <v>12</v>
      </c>
      <c r="L5" s="45" t="s">
        <v>13</v>
      </c>
      <c r="M5" s="45" t="s">
        <v>14</v>
      </c>
      <c r="N5" s="45" t="s">
        <v>15</v>
      </c>
      <c r="O5" s="45" t="s">
        <v>16</v>
      </c>
      <c r="P5" s="45" t="s">
        <v>17</v>
      </c>
      <c r="Q5" s="45" t="s">
        <v>18</v>
      </c>
      <c r="R5" s="45" t="s">
        <v>19</v>
      </c>
      <c r="S5" s="45" t="s">
        <v>20</v>
      </c>
      <c r="T5" s="45" t="s">
        <v>21</v>
      </c>
      <c r="U5" s="45" t="s">
        <v>4195</v>
      </c>
    </row>
    <row r="6" spans="1:31" ht="13.5">
      <c r="C6" s="45"/>
      <c r="D6" s="45"/>
      <c r="E6" s="45"/>
      <c r="F6" s="93"/>
      <c r="G6" s="45"/>
      <c r="H6" s="45"/>
      <c r="I6" s="93"/>
      <c r="J6" s="93" t="str">
        <f>+'Simple - 5%'!J6</f>
        <v>c = 628</v>
      </c>
      <c r="K6" s="45"/>
      <c r="L6" s="45"/>
      <c r="M6" s="45"/>
      <c r="N6" s="45"/>
      <c r="O6" s="45"/>
      <c r="P6" s="45"/>
      <c r="Q6" s="45"/>
      <c r="R6" s="45"/>
      <c r="S6" s="45"/>
      <c r="T6" s="45"/>
      <c r="U6" s="45"/>
      <c r="W6" s="35" t="s">
        <v>22</v>
      </c>
    </row>
    <row r="7" spans="1:31" s="34" customFormat="1">
      <c r="A7" s="50" t="s">
        <v>23</v>
      </c>
      <c r="B7" s="54"/>
      <c r="C7" s="53">
        <f>+'Historical - USD'!Q33</f>
        <v>0.42151179143997225</v>
      </c>
      <c r="D7" s="53">
        <f>+'Historical - USD'!R33</f>
        <v>4.0829256170548218</v>
      </c>
      <c r="E7" s="53">
        <f>+'Historical - USD'!S33</f>
        <v>15.1969708197214</v>
      </c>
      <c r="F7" s="53">
        <f>+'Historical - USD'!T33</f>
        <v>69.29545015814108</v>
      </c>
      <c r="G7" s="53">
        <f>+'Historical - USD'!U33</f>
        <v>152.33569525294132</v>
      </c>
      <c r="H7" s="53">
        <f>+'Historical - USD'!V33</f>
        <v>279.26346024365614</v>
      </c>
      <c r="I7" s="53">
        <f>+'Historical - USD'!W33</f>
        <v>486.52275402455365</v>
      </c>
      <c r="J7" s="55">
        <f t="shared" ref="J7:U7" si="0">+I7*(1+J8)</f>
        <v>583.82730482946431</v>
      </c>
      <c r="K7" s="55">
        <f t="shared" si="0"/>
        <v>700.5927657953572</v>
      </c>
      <c r="L7" s="55">
        <f t="shared" si="0"/>
        <v>840.71131895442863</v>
      </c>
      <c r="M7" s="55">
        <f t="shared" si="0"/>
        <v>1008.8535827453143</v>
      </c>
      <c r="N7" s="55">
        <f t="shared" si="0"/>
        <v>1210.6242992943771</v>
      </c>
      <c r="O7" s="55">
        <f t="shared" si="0"/>
        <v>1428.5366731673648</v>
      </c>
      <c r="P7" s="55">
        <f t="shared" si="0"/>
        <v>1657.1025408741432</v>
      </c>
      <c r="Q7" s="55">
        <f t="shared" si="0"/>
        <v>1889.0968965965235</v>
      </c>
      <c r="R7" s="55">
        <f t="shared" si="0"/>
        <v>2115.7885241881063</v>
      </c>
      <c r="S7" s="55">
        <f t="shared" si="0"/>
        <v>2327.3673766069173</v>
      </c>
      <c r="T7" s="55">
        <f t="shared" si="0"/>
        <v>2513.5567667354708</v>
      </c>
      <c r="U7" s="55">
        <f t="shared" si="0"/>
        <v>2714.6413080743087</v>
      </c>
      <c r="V7" s="54"/>
      <c r="W7" s="54">
        <f>+AVERAGE(P7)/0.85</f>
        <v>1949.5324010284039</v>
      </c>
      <c r="X7" s="34" t="s">
        <v>24</v>
      </c>
    </row>
    <row r="8" spans="1:31">
      <c r="A8" s="51" t="s">
        <v>4252</v>
      </c>
      <c r="C8" s="52"/>
      <c r="D8" s="52">
        <f t="shared" ref="D8:I8" si="1">D7/C7-1</f>
        <v>8.6863852921093763</v>
      </c>
      <c r="E8" s="52">
        <f t="shared" si="1"/>
        <v>2.72207878493843</v>
      </c>
      <c r="F8" s="56">
        <f t="shared" si="1"/>
        <v>3.5598199128088766</v>
      </c>
      <c r="G8" s="56">
        <f t="shared" si="1"/>
        <v>1.1983506118409184</v>
      </c>
      <c r="H8" s="56">
        <f t="shared" si="1"/>
        <v>0.83321092131401864</v>
      </c>
      <c r="I8" s="56">
        <f t="shared" si="1"/>
        <v>0.74216402532599401</v>
      </c>
      <c r="J8" s="118">
        <f>+'Simple - 5%'!J8</f>
        <v>0.2</v>
      </c>
      <c r="K8" s="118">
        <f>+'Simple - 5%'!K8</f>
        <v>0.2</v>
      </c>
      <c r="L8" s="118">
        <f>+'Simple - 5%'!L8</f>
        <v>0.2</v>
      </c>
      <c r="M8" s="118">
        <f>+'Simple - 5%'!M8</f>
        <v>0.2</v>
      </c>
      <c r="N8" s="118">
        <f>+'Simple - 5%'!N8</f>
        <v>0.2</v>
      </c>
      <c r="O8" s="118">
        <f>+'Simple - 5%'!O8</f>
        <v>0.18</v>
      </c>
      <c r="P8" s="118">
        <f>+'Simple - 5%'!P8</f>
        <v>0.16</v>
      </c>
      <c r="Q8" s="118">
        <f>+'Simple - 5%'!Q8</f>
        <v>0.14000000000000001</v>
      </c>
      <c r="R8" s="118">
        <f>+'Simple - 5%'!R8</f>
        <v>0.12</v>
      </c>
      <c r="S8" s="118">
        <f>+'Simple - 5%'!S8</f>
        <v>0.1</v>
      </c>
      <c r="T8" s="118">
        <f>+'Simple - 5%'!T8</f>
        <v>0.08</v>
      </c>
      <c r="U8" s="118">
        <f>+'Simple - 5%'!U8</f>
        <v>0.08</v>
      </c>
      <c r="X8" s="98"/>
    </row>
    <row r="9" spans="1:31">
      <c r="A9" s="51"/>
      <c r="C9" s="52"/>
      <c r="D9" s="52"/>
      <c r="E9" s="52"/>
      <c r="F9" s="52"/>
      <c r="G9" s="52"/>
      <c r="H9" s="52"/>
      <c r="I9" s="52"/>
      <c r="J9" s="52"/>
      <c r="K9" s="52"/>
      <c r="L9" s="52"/>
      <c r="M9" s="52"/>
      <c r="N9" s="52"/>
      <c r="O9" s="52"/>
      <c r="P9" s="52"/>
      <c r="Q9" s="52"/>
      <c r="R9" s="52"/>
      <c r="S9" s="52"/>
      <c r="T9" s="52"/>
      <c r="U9" s="52"/>
    </row>
    <row r="10" spans="1:31" s="34" customFormat="1">
      <c r="A10" s="50" t="s">
        <v>26</v>
      </c>
      <c r="B10" s="54"/>
      <c r="C10" s="53">
        <f>+'Historical - USD'!Q40</f>
        <v>0.21772943638719156</v>
      </c>
      <c r="D10" s="53">
        <f>+'Historical - USD'!R40</f>
        <v>1.0461156178198256</v>
      </c>
      <c r="E10" s="53">
        <f>+'Historical - USD'!S40</f>
        <v>4.2722599178136935</v>
      </c>
      <c r="F10" s="53">
        <f>+'Historical - USD'!T40</f>
        <v>16.396602767294507</v>
      </c>
      <c r="G10" s="53">
        <f>+'Historical - USD'!U40</f>
        <v>27.170855716618469</v>
      </c>
      <c r="H10" s="53">
        <f>+'Historical - USD'!V40</f>
        <v>64.125255761920656</v>
      </c>
      <c r="I10" s="53">
        <f>+'Historical - USD'!W40</f>
        <v>101.55215696590894</v>
      </c>
      <c r="J10" s="53">
        <f>+'Historical - USD'!X40</f>
        <v>122.48201824989903</v>
      </c>
      <c r="K10" s="55"/>
      <c r="L10" s="55"/>
      <c r="M10" s="55"/>
      <c r="N10" s="55"/>
      <c r="O10" s="55"/>
      <c r="P10" s="55"/>
      <c r="Q10" s="55"/>
      <c r="R10" s="55"/>
      <c r="S10" s="55"/>
      <c r="T10" s="55"/>
      <c r="U10" s="55"/>
    </row>
    <row r="11" spans="1:31">
      <c r="A11" s="51" t="s">
        <v>4252</v>
      </c>
      <c r="C11" s="52"/>
      <c r="D11" s="52">
        <f t="shared" ref="D11:J11" si="2">D10/C10-1</f>
        <v>3.8046586404582543</v>
      </c>
      <c r="E11" s="52">
        <f t="shared" si="2"/>
        <v>3.0839270966218502</v>
      </c>
      <c r="F11" s="56">
        <f t="shared" si="2"/>
        <v>2.8379225708920308</v>
      </c>
      <c r="G11" s="56">
        <f t="shared" si="2"/>
        <v>0.65710276099478548</v>
      </c>
      <c r="H11" s="56">
        <f t="shared" si="2"/>
        <v>1.3600749431936303</v>
      </c>
      <c r="I11" s="56">
        <f t="shared" si="2"/>
        <v>0.58365305150507329</v>
      </c>
      <c r="J11" s="56">
        <f t="shared" si="2"/>
        <v>0.20609962318196984</v>
      </c>
      <c r="K11" s="56"/>
      <c r="L11" s="56"/>
      <c r="M11" s="56"/>
      <c r="N11" s="56"/>
      <c r="O11" s="56"/>
      <c r="P11" s="56"/>
      <c r="Q11" s="56"/>
      <c r="R11" s="56"/>
      <c r="S11" s="56"/>
      <c r="T11" s="56"/>
      <c r="U11" s="56"/>
    </row>
    <row r="12" spans="1:31">
      <c r="A12" s="51" t="s">
        <v>27</v>
      </c>
      <c r="C12" s="52">
        <f t="shared" ref="C12:J12" si="3">+C10/C7</f>
        <v>0.51654411764705888</v>
      </c>
      <c r="D12" s="52">
        <f t="shared" si="3"/>
        <v>0.25621716287215412</v>
      </c>
      <c r="E12" s="52">
        <f t="shared" si="3"/>
        <v>0.28112575647440868</v>
      </c>
      <c r="F12" s="52">
        <f t="shared" si="3"/>
        <v>0.23661874956978218</v>
      </c>
      <c r="G12" s="52">
        <f t="shared" si="3"/>
        <v>0.17836171405200482</v>
      </c>
      <c r="H12" s="52">
        <f t="shared" si="3"/>
        <v>0.22962279313581394</v>
      </c>
      <c r="I12" s="52">
        <f t="shared" si="3"/>
        <v>0.20873053958085552</v>
      </c>
      <c r="J12" s="52">
        <f t="shared" si="3"/>
        <v>0.20979152094586595</v>
      </c>
      <c r="K12" s="56"/>
      <c r="L12" s="56"/>
      <c r="M12" s="56"/>
      <c r="N12" s="56"/>
      <c r="O12" s="56"/>
      <c r="P12" s="56"/>
      <c r="Q12" s="56"/>
      <c r="R12" s="56"/>
      <c r="S12" s="56"/>
      <c r="T12" s="56"/>
      <c r="U12" s="56"/>
    </row>
    <row r="13" spans="1:31">
      <c r="A13" s="51"/>
      <c r="C13" s="52"/>
      <c r="D13" s="52"/>
      <c r="E13" s="52"/>
      <c r="F13" s="52"/>
      <c r="G13" s="52"/>
      <c r="H13" s="52"/>
      <c r="I13" s="52"/>
      <c r="J13" s="52"/>
      <c r="K13" s="52"/>
      <c r="L13" s="52"/>
      <c r="M13" s="52"/>
      <c r="N13" s="52"/>
      <c r="O13" s="52"/>
      <c r="P13" s="52"/>
      <c r="Q13" s="52"/>
      <c r="R13" s="52"/>
      <c r="S13" s="52"/>
      <c r="T13" s="52"/>
      <c r="U13" s="52"/>
    </row>
    <row r="14" spans="1:31">
      <c r="A14" s="51"/>
      <c r="C14" s="52"/>
      <c r="D14" s="52"/>
      <c r="E14" s="52"/>
      <c r="F14" s="52"/>
      <c r="G14" s="52"/>
      <c r="H14" s="52"/>
      <c r="I14" s="93"/>
      <c r="J14" s="93" t="str">
        <f>+'Simple - 5%'!J14</f>
        <v>c = 18</v>
      </c>
      <c r="K14" s="52"/>
      <c r="L14" s="52"/>
      <c r="M14" s="52"/>
      <c r="N14" s="52"/>
      <c r="O14" s="52"/>
      <c r="P14" s="52"/>
      <c r="Q14" s="52"/>
      <c r="R14" s="52"/>
      <c r="S14" s="52"/>
      <c r="T14" s="52"/>
      <c r="U14" s="52"/>
    </row>
    <row r="15" spans="1:31" s="34" customFormat="1">
      <c r="A15" s="50" t="s">
        <v>28</v>
      </c>
      <c r="B15" s="54"/>
      <c r="C15" s="53">
        <f>+'Historical - USD'!Q114</f>
        <v>0.13094759697307962</v>
      </c>
      <c r="D15" s="53">
        <f>+'Historical - USD'!R114</f>
        <v>0.43331925112700909</v>
      </c>
      <c r="E15" s="53">
        <f>+'Historical - USD'!S114</f>
        <v>1.8333797801119438</v>
      </c>
      <c r="F15" s="53">
        <f>+'Historical - USD'!T114</f>
        <v>1.5305748024914749</v>
      </c>
      <c r="G15" s="53">
        <f>+'Historical - USD'!U114</f>
        <v>-15.865268926498235</v>
      </c>
      <c r="H15" s="53">
        <f>+'Historical - USD'!V114</f>
        <v>19.41599918774542</v>
      </c>
      <c r="I15" s="53">
        <f>+'Historical - USD'!W114</f>
        <v>19.962779999556489</v>
      </c>
      <c r="J15" s="53">
        <f>+'Historical - USD'!X114</f>
        <v>28.145783613733176</v>
      </c>
      <c r="K15" s="55">
        <f t="shared" ref="K15:U15" si="4">+K17*K7</f>
        <v>34.298543260680354</v>
      </c>
      <c r="L15" s="55">
        <f t="shared" si="4"/>
        <v>41.78657542185708</v>
      </c>
      <c r="M15" s="55">
        <f t="shared" si="4"/>
        <v>50.897878717077276</v>
      </c>
      <c r="N15" s="55">
        <f t="shared" si="4"/>
        <v>61.982240313511269</v>
      </c>
      <c r="O15" s="55">
        <f t="shared" si="4"/>
        <v>74.206690876505164</v>
      </c>
      <c r="P15" s="55">
        <f t="shared" si="4"/>
        <v>87.318232292357777</v>
      </c>
      <c r="Q15" s="55">
        <f t="shared" si="4"/>
        <v>100.9546416114853</v>
      </c>
      <c r="R15" s="55">
        <f t="shared" si="4"/>
        <v>114.65047821884465</v>
      </c>
      <c r="S15" s="55">
        <f t="shared" si="4"/>
        <v>127.85493361610837</v>
      </c>
      <c r="T15" s="55">
        <f t="shared" si="4"/>
        <v>139.96188848680663</v>
      </c>
      <c r="U15" s="55">
        <f t="shared" si="4"/>
        <v>135.73206540371544</v>
      </c>
    </row>
    <row r="16" spans="1:31">
      <c r="A16" s="51" t="s">
        <v>4252</v>
      </c>
      <c r="C16" s="52"/>
      <c r="D16" s="52">
        <f>+D15/C15-1</f>
        <v>2.3091042611197472</v>
      </c>
      <c r="E16" s="52">
        <f>+E15/D15-1</f>
        <v>3.231013912591127</v>
      </c>
      <c r="F16" s="56">
        <f t="shared" ref="F16:U16" si="5">+IFERROR(F15/E15-1,"-")</f>
        <v>-0.16516216711083176</v>
      </c>
      <c r="G16" s="56">
        <f t="shared" si="5"/>
        <v>-11.365562598229564</v>
      </c>
      <c r="H16" s="56">
        <f t="shared" si="5"/>
        <v>-2.2238052363119252</v>
      </c>
      <c r="I16" s="56">
        <f t="shared" si="5"/>
        <v>2.81613532491376E-2</v>
      </c>
      <c r="J16" s="56">
        <f t="shared" si="5"/>
        <v>0.40991302886464154</v>
      </c>
      <c r="K16" s="56">
        <f t="shared" si="5"/>
        <v>0.21860324556552979</v>
      </c>
      <c r="L16" s="56">
        <f t="shared" si="5"/>
        <v>0.21831924767956434</v>
      </c>
      <c r="M16" s="56">
        <f t="shared" si="5"/>
        <v>0.21804379045750655</v>
      </c>
      <c r="N16" s="56">
        <f t="shared" si="5"/>
        <v>0.21777649434169777</v>
      </c>
      <c r="O16" s="56">
        <f t="shared" si="5"/>
        <v>0.19722505190457174</v>
      </c>
      <c r="P16" s="56">
        <f t="shared" si="5"/>
        <v>0.17668947720189876</v>
      </c>
      <c r="Q16" s="56">
        <f t="shared" si="5"/>
        <v>0.15616909505760801</v>
      </c>
      <c r="R16" s="56">
        <f t="shared" si="5"/>
        <v>0.13566326806514284</v>
      </c>
      <c r="S16" s="56">
        <f t="shared" si="5"/>
        <v>0.11517139398284115</v>
      </c>
      <c r="T16" s="56">
        <f t="shared" si="5"/>
        <v>9.4692903341923929E-2</v>
      </c>
      <c r="U16" s="56">
        <f t="shared" si="5"/>
        <v>-3.0221249004438122E-2</v>
      </c>
    </row>
    <row r="17" spans="1:21">
      <c r="A17" s="51" t="s">
        <v>27</v>
      </c>
      <c r="C17" s="52">
        <f t="shared" ref="C17:I17" si="6">+C15/C7</f>
        <v>0.31066176470588236</v>
      </c>
      <c r="D17" s="52">
        <f t="shared" si="6"/>
        <v>0.10612959719789841</v>
      </c>
      <c r="E17" s="52">
        <f t="shared" si="6"/>
        <v>0.12064113314824107</v>
      </c>
      <c r="F17" s="52">
        <f t="shared" si="6"/>
        <v>2.2087666636099592E-2</v>
      </c>
      <c r="G17" s="52">
        <f t="shared" si="6"/>
        <v>-0.10414675890739342</v>
      </c>
      <c r="H17" s="52">
        <f t="shared" si="6"/>
        <v>6.9525741644843361E-2</v>
      </c>
      <c r="I17" s="52">
        <f t="shared" si="6"/>
        <v>4.103154443327231E-2</v>
      </c>
      <c r="J17" s="52">
        <f t="shared" ref="J17" si="7">+J15/J7</f>
        <v>4.820909090909091E-2</v>
      </c>
      <c r="K17" s="56">
        <f t="shared" ref="K17:T17" si="8">($U$17-$I$17)/12+J17</f>
        <v>4.8956462206318219E-2</v>
      </c>
      <c r="L17" s="56">
        <f t="shared" si="8"/>
        <v>4.9703833503545528E-2</v>
      </c>
      <c r="M17" s="56">
        <f t="shared" si="8"/>
        <v>5.0451204800772836E-2</v>
      </c>
      <c r="N17" s="56">
        <f t="shared" si="8"/>
        <v>5.1198576098000145E-2</v>
      </c>
      <c r="O17" s="56">
        <f t="shared" si="8"/>
        <v>5.1945947395227454E-2</v>
      </c>
      <c r="P17" s="56">
        <f t="shared" si="8"/>
        <v>5.2693318692454763E-2</v>
      </c>
      <c r="Q17" s="56">
        <f t="shared" si="8"/>
        <v>5.3440689989682072E-2</v>
      </c>
      <c r="R17" s="56">
        <f t="shared" si="8"/>
        <v>5.4188061286909381E-2</v>
      </c>
      <c r="S17" s="56">
        <f t="shared" si="8"/>
        <v>5.493543258413669E-2</v>
      </c>
      <c r="T17" s="56">
        <f t="shared" si="8"/>
        <v>5.5682803881363999E-2</v>
      </c>
      <c r="U17" s="118">
        <v>0.05</v>
      </c>
    </row>
    <row r="18" spans="1:21" hidden="1" outlineLevel="1">
      <c r="A18" s="51" t="s">
        <v>29</v>
      </c>
      <c r="C18" s="52"/>
      <c r="D18" s="52">
        <f t="shared" ref="D18:U18" si="9">(D15-C15)/(D7-C7)</f>
        <v>8.2583304853051723E-2</v>
      </c>
      <c r="E18" s="52">
        <f t="shared" si="9"/>
        <v>0.12597218235616139</v>
      </c>
      <c r="F18" s="52">
        <f t="shared" si="9"/>
        <v>-5.5972918522577166E-3</v>
      </c>
      <c r="G18" s="52">
        <f t="shared" si="9"/>
        <v>-0.20948690251492275</v>
      </c>
      <c r="H18" s="52">
        <f t="shared" si="9"/>
        <v>0.27796336063133703</v>
      </c>
      <c r="I18" s="52">
        <f t="shared" si="9"/>
        <v>2.6381485811154655E-3</v>
      </c>
      <c r="J18" s="52">
        <f t="shared" ref="J18" si="10">(J15-I15)/(J7-I7)</f>
        <v>8.4096823288183936E-2</v>
      </c>
      <c r="K18" s="52">
        <f t="shared" si="9"/>
        <v>5.2693318692454742E-2</v>
      </c>
      <c r="L18" s="52">
        <f t="shared" si="9"/>
        <v>5.3440689989682079E-2</v>
      </c>
      <c r="M18" s="52">
        <f t="shared" si="9"/>
        <v>5.4188061286909388E-2</v>
      </c>
      <c r="N18" s="52">
        <f t="shared" si="9"/>
        <v>5.4935432584136676E-2</v>
      </c>
      <c r="O18" s="52">
        <f t="shared" si="9"/>
        <v>5.609801015760138E-2</v>
      </c>
      <c r="P18" s="52">
        <f t="shared" si="9"/>
        <v>5.7364389300125482E-2</v>
      </c>
      <c r="Q18" s="52">
        <f t="shared" si="9"/>
        <v>5.8779056398448534E-2</v>
      </c>
      <c r="R18" s="52">
        <f t="shared" si="9"/>
        <v>6.0416155430470291E-2</v>
      </c>
      <c r="S18" s="52">
        <f t="shared" si="9"/>
        <v>6.2409145556409744E-2</v>
      </c>
      <c r="T18" s="52">
        <f t="shared" si="9"/>
        <v>6.502494509670545E-2</v>
      </c>
      <c r="U18" s="52">
        <f t="shared" si="9"/>
        <v>-2.1035048517049945E-2</v>
      </c>
    </row>
    <row r="19" spans="1:21" collapsed="1">
      <c r="A19" s="51" t="s">
        <v>30</v>
      </c>
      <c r="C19" s="52">
        <f t="shared" ref="C19:I19" si="11">+C15/C$10</f>
        <v>0.60142348754448394</v>
      </c>
      <c r="D19" s="52">
        <f t="shared" si="11"/>
        <v>0.4142173615857826</v>
      </c>
      <c r="E19" s="52">
        <f t="shared" si="11"/>
        <v>0.42913582398567318</v>
      </c>
      <c r="F19" s="52">
        <f t="shared" si="11"/>
        <v>9.3347068549128775E-2</v>
      </c>
      <c r="G19" s="52">
        <f t="shared" si="11"/>
        <v>-0.58390759172132312</v>
      </c>
      <c r="H19" s="52">
        <f t="shared" si="11"/>
        <v>0.30278240541966267</v>
      </c>
      <c r="I19" s="52">
        <f t="shared" si="11"/>
        <v>0.19657662225981073</v>
      </c>
      <c r="J19" s="52">
        <f t="shared" ref="J19" si="12">+J15/J$10</f>
        <v>0.22979523048279277</v>
      </c>
      <c r="K19" s="52"/>
      <c r="L19" s="52"/>
      <c r="M19" s="52"/>
      <c r="N19" s="52"/>
      <c r="O19" s="52"/>
      <c r="P19" s="52"/>
      <c r="Q19" s="52"/>
      <c r="R19" s="52"/>
      <c r="S19" s="52"/>
      <c r="T19" s="52"/>
      <c r="U19" s="52"/>
    </row>
    <row r="20" spans="1:21">
      <c r="C20" s="34"/>
      <c r="D20" s="34"/>
      <c r="E20" s="34"/>
      <c r="F20" s="34"/>
      <c r="G20" s="34"/>
      <c r="H20" s="34"/>
      <c r="I20" s="34"/>
      <c r="J20" s="34"/>
      <c r="K20" s="34"/>
      <c r="L20" s="34"/>
      <c r="M20" s="34"/>
      <c r="N20" s="34"/>
      <c r="O20" s="34"/>
      <c r="P20" s="34"/>
      <c r="Q20" s="34"/>
      <c r="R20" s="34"/>
      <c r="S20" s="34"/>
      <c r="T20" s="34"/>
      <c r="U20" s="34"/>
    </row>
    <row r="21" spans="1:21">
      <c r="A21" s="35" t="s">
        <v>31</v>
      </c>
      <c r="B21" s="58"/>
      <c r="C21" s="53">
        <f>+'Historical - USD'!Q120</f>
        <v>0.43778338633011815</v>
      </c>
      <c r="D21" s="53">
        <f>+'Historical - USD'!R120</f>
        <v>0.80657444764235353</v>
      </c>
      <c r="E21" s="53">
        <f>+'Historical - USD'!S120</f>
        <v>0.88504926094406966</v>
      </c>
      <c r="F21" s="53">
        <f>+'Historical - USD'!T120</f>
        <v>2.0347208621357233</v>
      </c>
      <c r="G21" s="53">
        <f>+'Historical - USD'!U120</f>
        <v>6.0664968319692836</v>
      </c>
      <c r="H21" s="53">
        <f>+'Historical - USD'!V120</f>
        <v>8.0984135817659855</v>
      </c>
      <c r="I21" s="53">
        <f>+'Historical - USD'!W120</f>
        <v>9.3570270108481353</v>
      </c>
      <c r="J21" s="53">
        <f>+'Historical - USD'!X120</f>
        <v>11.676546096589286</v>
      </c>
      <c r="K21" s="55">
        <f t="shared" ref="K21:U21" si="13">+K22*K7</f>
        <v>14.011855315907145</v>
      </c>
      <c r="L21" s="55">
        <f t="shared" si="13"/>
        <v>16.814226379088574</v>
      </c>
      <c r="M21" s="55">
        <f t="shared" si="13"/>
        <v>20.177071654906285</v>
      </c>
      <c r="N21" s="55">
        <f t="shared" si="13"/>
        <v>24.212485985887543</v>
      </c>
      <c r="O21" s="55">
        <f t="shared" si="13"/>
        <v>28.570733463347295</v>
      </c>
      <c r="P21" s="55">
        <f t="shared" si="13"/>
        <v>33.142050817482861</v>
      </c>
      <c r="Q21" s="55">
        <f t="shared" si="13"/>
        <v>37.781937931930472</v>
      </c>
      <c r="R21" s="55">
        <f t="shared" si="13"/>
        <v>42.31577048376213</v>
      </c>
      <c r="S21" s="55">
        <f t="shared" si="13"/>
        <v>46.547347532138346</v>
      </c>
      <c r="T21" s="55">
        <f t="shared" si="13"/>
        <v>50.271135334709413</v>
      </c>
      <c r="U21" s="55">
        <f t="shared" si="13"/>
        <v>54.292826161486175</v>
      </c>
    </row>
    <row r="22" spans="1:21">
      <c r="A22" s="51" t="s">
        <v>32</v>
      </c>
      <c r="C22" s="52">
        <f t="shared" ref="C22:J22" si="14">+C21/C7</f>
        <v>1.0386029411764703</v>
      </c>
      <c r="D22" s="52">
        <f t="shared" si="14"/>
        <v>0.19754816112084062</v>
      </c>
      <c r="E22" s="52">
        <f t="shared" si="14"/>
        <v>5.8238531312801121E-2</v>
      </c>
      <c r="F22" s="52">
        <f t="shared" si="14"/>
        <v>2.9362979207036396E-2</v>
      </c>
      <c r="G22" s="52">
        <f t="shared" si="14"/>
        <v>3.9823212950164749E-2</v>
      </c>
      <c r="H22" s="52">
        <f t="shared" si="14"/>
        <v>2.8999187987931378E-2</v>
      </c>
      <c r="I22" s="52">
        <f t="shared" si="14"/>
        <v>1.9232455077272517E-2</v>
      </c>
      <c r="J22" s="52">
        <f t="shared" si="14"/>
        <v>0.02</v>
      </c>
      <c r="K22" s="118">
        <f>+'Simple - 5%'!K22</f>
        <v>0.02</v>
      </c>
      <c r="L22" s="118">
        <f>+'Simple - 5%'!L22</f>
        <v>0.02</v>
      </c>
      <c r="M22" s="118">
        <f>+'Simple - 5%'!M22</f>
        <v>0.02</v>
      </c>
      <c r="N22" s="118">
        <f>+'Simple - 5%'!N22</f>
        <v>0.02</v>
      </c>
      <c r="O22" s="118">
        <f>+'Simple - 5%'!O22</f>
        <v>0.02</v>
      </c>
      <c r="P22" s="118">
        <f>+'Simple - 5%'!P22</f>
        <v>0.02</v>
      </c>
      <c r="Q22" s="118">
        <f>+'Simple - 5%'!Q22</f>
        <v>0.02</v>
      </c>
      <c r="R22" s="118">
        <f>+'Simple - 5%'!R22</f>
        <v>0.02</v>
      </c>
      <c r="S22" s="118">
        <f>+'Simple - 5%'!S22</f>
        <v>0.02</v>
      </c>
      <c r="T22" s="118">
        <f>+'Simple - 5%'!T22</f>
        <v>0.02</v>
      </c>
      <c r="U22" s="118">
        <f>+'Simple - 5%'!U22</f>
        <v>0.02</v>
      </c>
    </row>
    <row r="23" spans="1:21" collapsed="1">
      <c r="A23" s="51" t="s">
        <v>30</v>
      </c>
      <c r="C23" s="52">
        <f t="shared" ref="C23:I23" si="15">+C21/C$10</f>
        <v>2.0106761565836293</v>
      </c>
      <c r="D23" s="52">
        <f t="shared" si="15"/>
        <v>0.77101845522898149</v>
      </c>
      <c r="E23" s="52">
        <f t="shared" si="15"/>
        <v>0.20716184828871295</v>
      </c>
      <c r="F23" s="52">
        <f t="shared" si="15"/>
        <v>0.12409405112833986</v>
      </c>
      <c r="G23" s="52">
        <f t="shared" si="15"/>
        <v>0.22327220368914777</v>
      </c>
      <c r="H23" s="52">
        <f t="shared" si="15"/>
        <v>0.1262905462994667</v>
      </c>
      <c r="I23" s="52">
        <f t="shared" si="15"/>
        <v>9.2140110957852822E-2</v>
      </c>
      <c r="J23" s="52">
        <f t="shared" ref="J23" si="16">+J21/J$10</f>
        <v>9.5332737518790123E-2</v>
      </c>
      <c r="K23" s="34"/>
      <c r="L23" s="34"/>
      <c r="M23" s="34"/>
      <c r="N23" s="34"/>
      <c r="O23" s="34"/>
      <c r="P23" s="34"/>
      <c r="Q23" s="34"/>
      <c r="R23" s="34"/>
      <c r="S23" s="34"/>
      <c r="T23" s="34"/>
      <c r="U23" s="34"/>
    </row>
    <row r="24" spans="1:21">
      <c r="C24" s="34"/>
      <c r="D24" s="34"/>
      <c r="E24" s="34"/>
      <c r="F24" s="34"/>
      <c r="G24" s="34"/>
      <c r="H24" s="34"/>
      <c r="I24" s="34"/>
      <c r="J24" s="34"/>
      <c r="K24" s="34"/>
      <c r="L24" s="34"/>
      <c r="M24" s="34"/>
      <c r="N24" s="34"/>
      <c r="O24" s="34"/>
      <c r="P24" s="34"/>
      <c r="Q24" s="34"/>
      <c r="R24" s="34"/>
      <c r="S24" s="34"/>
      <c r="T24" s="34"/>
      <c r="U24" s="34"/>
    </row>
    <row r="25" spans="1:21">
      <c r="A25" s="35" t="s">
        <v>33</v>
      </c>
      <c r="B25" s="58"/>
      <c r="C25" s="55">
        <f t="shared" ref="C25:U25" si="17">+C15-C21</f>
        <v>-0.30683578935703854</v>
      </c>
      <c r="D25" s="55">
        <f t="shared" si="17"/>
        <v>-0.37325519651534445</v>
      </c>
      <c r="E25" s="55">
        <f t="shared" si="17"/>
        <v>0.94833051916787414</v>
      </c>
      <c r="F25" s="55">
        <f t="shared" si="17"/>
        <v>-0.50414605964424841</v>
      </c>
      <c r="G25" s="55">
        <f t="shared" si="17"/>
        <v>-21.93176575846752</v>
      </c>
      <c r="H25" s="55">
        <f t="shared" si="17"/>
        <v>11.317585605979435</v>
      </c>
      <c r="I25" s="55">
        <f t="shared" si="17"/>
        <v>10.605752988708353</v>
      </c>
      <c r="J25" s="55">
        <f t="shared" si="17"/>
        <v>16.469237517143888</v>
      </c>
      <c r="K25" s="55">
        <f t="shared" si="17"/>
        <v>20.28668794477321</v>
      </c>
      <c r="L25" s="55">
        <f t="shared" si="17"/>
        <v>24.972349042768506</v>
      </c>
      <c r="M25" s="55">
        <f t="shared" si="17"/>
        <v>30.720807062170991</v>
      </c>
      <c r="N25" s="55">
        <f t="shared" si="17"/>
        <v>37.76975432762373</v>
      </c>
      <c r="O25" s="55">
        <f t="shared" si="17"/>
        <v>45.635957413157868</v>
      </c>
      <c r="P25" s="55">
        <f t="shared" si="17"/>
        <v>54.176181474874916</v>
      </c>
      <c r="Q25" s="55">
        <f t="shared" si="17"/>
        <v>63.172703679554829</v>
      </c>
      <c r="R25" s="55">
        <f t="shared" si="17"/>
        <v>72.334707735082532</v>
      </c>
      <c r="S25" s="55">
        <f t="shared" si="17"/>
        <v>81.307586083970023</v>
      </c>
      <c r="T25" s="55">
        <f t="shared" si="17"/>
        <v>89.690753152097216</v>
      </c>
      <c r="U25" s="55">
        <f t="shared" si="17"/>
        <v>81.439239242229263</v>
      </c>
    </row>
    <row r="26" spans="1:21">
      <c r="A26" s="51" t="s">
        <v>4252</v>
      </c>
      <c r="C26" s="56"/>
      <c r="D26" s="56">
        <f>+D25/C25-1</f>
        <v>0.21646564534562596</v>
      </c>
      <c r="E26" s="56">
        <f>+E25/D25-1</f>
        <v>-3.5407027899982322</v>
      </c>
      <c r="F26" s="56">
        <f t="shared" ref="F26:U26" si="18">+IFERROR(F25/E25-1,"-")</f>
        <v>-1.5316142942300521</v>
      </c>
      <c r="G26" s="56">
        <f t="shared" si="18"/>
        <v>42.502801100823262</v>
      </c>
      <c r="H26" s="56">
        <f t="shared" si="18"/>
        <v>-1.5160362248356536</v>
      </c>
      <c r="I26" s="56">
        <f t="shared" si="18"/>
        <v>-6.2896154891463607E-2</v>
      </c>
      <c r="J26" s="56">
        <f t="shared" si="18"/>
        <v>0.55285886204197121</v>
      </c>
      <c r="K26" s="56">
        <f t="shared" si="18"/>
        <v>0.23179278479987264</v>
      </c>
      <c r="L26" s="56">
        <f t="shared" si="18"/>
        <v>0.23097220752599679</v>
      </c>
      <c r="M26" s="56">
        <f t="shared" si="18"/>
        <v>0.2301929229628128</v>
      </c>
      <c r="N26" s="56">
        <f t="shared" si="18"/>
        <v>0.22945189073931194</v>
      </c>
      <c r="O26" s="56">
        <f t="shared" si="18"/>
        <v>0.20826725578622618</v>
      </c>
      <c r="P26" s="56">
        <f t="shared" si="18"/>
        <v>0.18713804959539893</v>
      </c>
      <c r="Q26" s="56">
        <f t="shared" si="18"/>
        <v>0.1660604708519775</v>
      </c>
      <c r="R26" s="56">
        <f t="shared" si="18"/>
        <v>0.14503105806587291</v>
      </c>
      <c r="S26" s="56">
        <f t="shared" si="18"/>
        <v>0.12404665242789981</v>
      </c>
      <c r="T26" s="56">
        <f t="shared" si="18"/>
        <v>0.10310436543362034</v>
      </c>
      <c r="U26" s="56">
        <f t="shared" si="18"/>
        <v>-9.199960553207831E-2</v>
      </c>
    </row>
    <row r="27" spans="1:21">
      <c r="A27" s="51" t="s">
        <v>27</v>
      </c>
      <c r="C27" s="56">
        <f t="shared" ref="C27:U27" si="19">+C25/C7</f>
        <v>-0.72794117647058798</v>
      </c>
      <c r="D27" s="56">
        <f t="shared" si="19"/>
        <v>-9.1418563922942203E-2</v>
      </c>
      <c r="E27" s="56">
        <f t="shared" si="19"/>
        <v>6.2402601835439955E-2</v>
      </c>
      <c r="F27" s="56">
        <f t="shared" si="19"/>
        <v>-7.2753125709368021E-3</v>
      </c>
      <c r="G27" s="56">
        <f t="shared" si="19"/>
        <v>-0.14396997185755817</v>
      </c>
      <c r="H27" s="56">
        <f t="shared" si="19"/>
        <v>4.0526553656911976E-2</v>
      </c>
      <c r="I27" s="56">
        <f t="shared" si="19"/>
        <v>2.1799089355999793E-2</v>
      </c>
      <c r="J27" s="56">
        <f t="shared" si="19"/>
        <v>2.8209090909090909E-2</v>
      </c>
      <c r="K27" s="56">
        <f t="shared" si="19"/>
        <v>2.8956462206318215E-2</v>
      </c>
      <c r="L27" s="56">
        <f t="shared" si="19"/>
        <v>2.9703833503545527E-2</v>
      </c>
      <c r="M27" s="56">
        <f t="shared" si="19"/>
        <v>3.0451204800772836E-2</v>
      </c>
      <c r="N27" s="56">
        <f t="shared" si="19"/>
        <v>3.1198576098000145E-2</v>
      </c>
      <c r="O27" s="56">
        <f t="shared" si="19"/>
        <v>3.194594739522745E-2</v>
      </c>
      <c r="P27" s="56">
        <f t="shared" si="19"/>
        <v>3.2693318692454766E-2</v>
      </c>
      <c r="Q27" s="56">
        <f t="shared" si="19"/>
        <v>3.3440689989682068E-2</v>
      </c>
      <c r="R27" s="56">
        <f t="shared" si="19"/>
        <v>3.4188061286909384E-2</v>
      </c>
      <c r="S27" s="56">
        <f t="shared" si="19"/>
        <v>3.4935432584136686E-2</v>
      </c>
      <c r="T27" s="56">
        <f t="shared" si="19"/>
        <v>3.5682803881364002E-2</v>
      </c>
      <c r="U27" s="59">
        <f t="shared" si="19"/>
        <v>3.0000000000000002E-2</v>
      </c>
    </row>
    <row r="28" spans="1:21" hidden="1" outlineLevel="1">
      <c r="A28" s="51" t="s">
        <v>29</v>
      </c>
      <c r="C28" s="52"/>
      <c r="D28" s="52">
        <f t="shared" ref="D28:U28" si="20">(D25-C25)/(D7-C7)</f>
        <v>-1.8140371539989014E-2</v>
      </c>
      <c r="E28" s="52">
        <f t="shared" si="20"/>
        <v>0.1189113137101631</v>
      </c>
      <c r="F28" s="52">
        <f t="shared" si="20"/>
        <v>-2.6848750585501249E-2</v>
      </c>
      <c r="G28" s="52">
        <f t="shared" si="20"/>
        <v>-0.25803897464851067</v>
      </c>
      <c r="H28" s="52">
        <f t="shared" si="20"/>
        <v>0.26195491086508338</v>
      </c>
      <c r="I28" s="52">
        <f t="shared" si="20"/>
        <v>-3.4345027635942333E-3</v>
      </c>
      <c r="J28" s="52">
        <f t="shared" si="20"/>
        <v>6.0259098674546506E-2</v>
      </c>
      <c r="K28" s="52">
        <f t="shared" si="20"/>
        <v>3.2693318692454752E-2</v>
      </c>
      <c r="L28" s="52">
        <f t="shared" si="20"/>
        <v>3.3440689989682082E-2</v>
      </c>
      <c r="M28" s="52">
        <f t="shared" si="20"/>
        <v>3.4188061286909391E-2</v>
      </c>
      <c r="N28" s="52">
        <f t="shared" si="20"/>
        <v>3.4935432584136693E-2</v>
      </c>
      <c r="O28" s="52">
        <f t="shared" si="20"/>
        <v>3.6098010157601376E-2</v>
      </c>
      <c r="P28" s="52">
        <f t="shared" si="20"/>
        <v>3.7364389300125492E-2</v>
      </c>
      <c r="Q28" s="52">
        <f t="shared" si="20"/>
        <v>3.8779056398448516E-2</v>
      </c>
      <c r="R28" s="52">
        <f t="shared" si="20"/>
        <v>4.0416155430470314E-2</v>
      </c>
      <c r="S28" s="52">
        <f t="shared" si="20"/>
        <v>4.2409145556409733E-2</v>
      </c>
      <c r="T28" s="52">
        <f t="shared" si="20"/>
        <v>4.5024945096705467E-2</v>
      </c>
      <c r="U28" s="52">
        <f t="shared" si="20"/>
        <v>-4.103504851704997E-2</v>
      </c>
    </row>
    <row r="29" spans="1:21" collapsed="1">
      <c r="A29" s="51" t="s">
        <v>30</v>
      </c>
      <c r="C29" s="52">
        <f t="shared" ref="C29:J29" si="21">+C25/C$10</f>
        <v>-1.4092526690391454</v>
      </c>
      <c r="D29" s="52">
        <f t="shared" si="21"/>
        <v>-0.35680109364319884</v>
      </c>
      <c r="E29" s="52">
        <f t="shared" si="21"/>
        <v>0.22197397569696023</v>
      </c>
      <c r="F29" s="52">
        <f t="shared" si="21"/>
        <v>-3.0746982579211081E-2</v>
      </c>
      <c r="G29" s="52">
        <f t="shared" si="21"/>
        <v>-0.80717979541047091</v>
      </c>
      <c r="H29" s="52">
        <f t="shared" si="21"/>
        <v>0.17649185912019597</v>
      </c>
      <c r="I29" s="52">
        <f t="shared" si="21"/>
        <v>0.10443651130195793</v>
      </c>
      <c r="J29" s="52">
        <f t="shared" si="21"/>
        <v>0.13446249296400262</v>
      </c>
      <c r="K29" s="34"/>
      <c r="L29" s="34"/>
      <c r="M29" s="34"/>
      <c r="N29" s="34"/>
      <c r="O29" s="34"/>
      <c r="P29" s="34"/>
      <c r="Q29" s="34"/>
      <c r="R29" s="34"/>
      <c r="S29" s="34"/>
      <c r="T29" s="34"/>
      <c r="U29" s="34"/>
    </row>
    <row r="30" spans="1:21">
      <c r="C30" s="34"/>
      <c r="D30" s="34"/>
      <c r="E30" s="34"/>
      <c r="F30" s="34"/>
      <c r="G30" s="34"/>
      <c r="H30" s="34"/>
      <c r="I30" s="34"/>
      <c r="J30" s="34"/>
      <c r="K30" s="34"/>
      <c r="L30" s="34"/>
      <c r="M30" s="34"/>
      <c r="N30" s="34"/>
      <c r="O30" s="34"/>
      <c r="P30" s="34"/>
      <c r="Q30" s="34"/>
      <c r="R30" s="34"/>
      <c r="S30" s="34"/>
      <c r="T30" s="34"/>
      <c r="U30" s="34"/>
    </row>
    <row r="31" spans="1:21">
      <c r="A31" s="35" t="s">
        <v>34</v>
      </c>
      <c r="B31" s="58"/>
      <c r="C31" s="53">
        <f>+'Historical - USD'!Q130</f>
        <v>0</v>
      </c>
      <c r="D31" s="53">
        <f>+'Historical - USD'!R130</f>
        <v>0.17089653633556959</v>
      </c>
      <c r="E31" s="53">
        <f>+'Historical - USD'!S130</f>
        <v>0.24489991939785954</v>
      </c>
      <c r="F31" s="53">
        <f>+'Historical - USD'!T130</f>
        <v>0.49888073518175047</v>
      </c>
      <c r="G31" s="53">
        <f>+'Historical - USD'!U130</f>
        <v>1.2840357889516987</v>
      </c>
      <c r="H31" s="53">
        <f>+'Historical - USD'!V130</f>
        <v>2.739214733075678</v>
      </c>
      <c r="I31" s="53">
        <f>+'Historical - USD'!W130</f>
        <v>4.2578292722233622</v>
      </c>
      <c r="J31" s="53">
        <f>+'Historical - USD'!X130</f>
        <v>5.788865416150113</v>
      </c>
      <c r="K31" s="55">
        <f t="shared" ref="K31:U31" si="22">+K32*K7</f>
        <v>7.6630549688260903</v>
      </c>
      <c r="L31" s="55">
        <f t="shared" si="22"/>
        <v>10.055365725926453</v>
      </c>
      <c r="M31" s="55">
        <f t="shared" si="22"/>
        <v>13.098078587113918</v>
      </c>
      <c r="N31" s="55">
        <f t="shared" si="22"/>
        <v>16.95566196373931</v>
      </c>
      <c r="O31" s="55">
        <f t="shared" si="22"/>
        <v>21.468482955071462</v>
      </c>
      <c r="P31" s="55">
        <f t="shared" si="22"/>
        <v>26.597970359799429</v>
      </c>
      <c r="Q31" s="55">
        <f t="shared" si="22"/>
        <v>32.253450560556203</v>
      </c>
      <c r="R31" s="55">
        <f t="shared" si="22"/>
        <v>38.287440700253981</v>
      </c>
      <c r="S31" s="55">
        <f t="shared" si="22"/>
        <v>44.496118449953521</v>
      </c>
      <c r="T31" s="55">
        <f t="shared" si="22"/>
        <v>50.271135334709413</v>
      </c>
      <c r="U31" s="55">
        <f t="shared" si="22"/>
        <v>54.292826161486175</v>
      </c>
    </row>
    <row r="32" spans="1:21">
      <c r="A32" s="51" t="s">
        <v>32</v>
      </c>
      <c r="C32" s="56">
        <f t="shared" ref="C32:J32" si="23">+C31/C7</f>
        <v>0</v>
      </c>
      <c r="D32" s="56">
        <f t="shared" si="23"/>
        <v>4.1856392294220661E-2</v>
      </c>
      <c r="E32" s="56">
        <f t="shared" si="23"/>
        <v>1.6115048341084411E-2</v>
      </c>
      <c r="F32" s="56">
        <f t="shared" si="23"/>
        <v>7.1993288743090753E-3</v>
      </c>
      <c r="G32" s="56">
        <f t="shared" si="23"/>
        <v>8.4289882736915938E-3</v>
      </c>
      <c r="H32" s="56">
        <f t="shared" si="23"/>
        <v>9.8087115682292461E-3</v>
      </c>
      <c r="I32" s="56">
        <f t="shared" si="23"/>
        <v>8.7515521874409179E-3</v>
      </c>
      <c r="J32" s="56">
        <f t="shared" si="23"/>
        <v>9.9153728649965037E-3</v>
      </c>
      <c r="K32" s="56">
        <f t="shared" ref="K32:S32" si="24">($T$32-$I$32)/11+J32</f>
        <v>1.0937959029774602E-2</v>
      </c>
      <c r="L32" s="56">
        <f t="shared" si="24"/>
        <v>1.19605451945527E-2</v>
      </c>
      <c r="M32" s="56">
        <f t="shared" si="24"/>
        <v>1.2983131359330798E-2</v>
      </c>
      <c r="N32" s="56">
        <f t="shared" si="24"/>
        <v>1.4005717524108896E-2</v>
      </c>
      <c r="O32" s="56">
        <f t="shared" si="24"/>
        <v>1.5028303688886994E-2</v>
      </c>
      <c r="P32" s="56">
        <f t="shared" si="24"/>
        <v>1.6050889853665092E-2</v>
      </c>
      <c r="Q32" s="56">
        <f t="shared" si="24"/>
        <v>1.7073476018443192E-2</v>
      </c>
      <c r="R32" s="56">
        <f t="shared" si="24"/>
        <v>1.8096062183221292E-2</v>
      </c>
      <c r="S32" s="56">
        <f t="shared" si="24"/>
        <v>1.9118648347999392E-2</v>
      </c>
      <c r="T32" s="118">
        <f>+T22</f>
        <v>0.02</v>
      </c>
      <c r="U32" s="118">
        <f>+U22</f>
        <v>0.02</v>
      </c>
    </row>
    <row r="33" spans="1:31" collapsed="1">
      <c r="A33" s="51" t="s">
        <v>30</v>
      </c>
      <c r="C33" s="52">
        <f t="shared" ref="C33:J33" si="25">+C31/C$10</f>
        <v>0</v>
      </c>
      <c r="D33" s="52">
        <f t="shared" si="25"/>
        <v>0.16336295283663704</v>
      </c>
      <c r="E33" s="52">
        <f t="shared" si="25"/>
        <v>5.7323272485534024E-2</v>
      </c>
      <c r="F33" s="52">
        <f t="shared" si="25"/>
        <v>3.0425859689474408E-2</v>
      </c>
      <c r="G33" s="52">
        <f t="shared" si="25"/>
        <v>4.7257833994766157E-2</v>
      </c>
      <c r="H33" s="52">
        <f t="shared" si="25"/>
        <v>4.271662858150032E-2</v>
      </c>
      <c r="I33" s="52">
        <f t="shared" si="25"/>
        <v>4.1927511925253499E-2</v>
      </c>
      <c r="J33" s="52">
        <f t="shared" si="25"/>
        <v>4.7262981936982293E-2</v>
      </c>
      <c r="K33" s="34"/>
      <c r="L33" s="34"/>
      <c r="M33" s="34"/>
      <c r="N33" s="34"/>
      <c r="O33" s="34"/>
      <c r="P33" s="34"/>
      <c r="Q33" s="34"/>
      <c r="R33" s="34"/>
      <c r="S33" s="34"/>
      <c r="T33" s="34"/>
      <c r="U33" s="34"/>
    </row>
    <row r="34" spans="1:31">
      <c r="C34" s="34"/>
      <c r="D34" s="34"/>
      <c r="E34" s="34"/>
      <c r="F34" s="34"/>
      <c r="G34" s="34"/>
      <c r="H34" s="34"/>
      <c r="I34" s="34"/>
      <c r="J34" s="34"/>
      <c r="K34" s="34"/>
      <c r="L34" s="34"/>
      <c r="M34" s="34"/>
      <c r="N34" s="34"/>
      <c r="O34" s="34"/>
      <c r="P34" s="34"/>
      <c r="Q34" s="34"/>
      <c r="R34" s="34"/>
      <c r="S34" s="34"/>
      <c r="T34" s="34"/>
      <c r="U34" s="34"/>
    </row>
    <row r="35" spans="1:31" s="34" customFormat="1">
      <c r="A35" s="50" t="s">
        <v>35</v>
      </c>
      <c r="B35" s="54"/>
      <c r="C35" s="55">
        <f t="shared" ref="C35:U35" si="26">+C15-C31</f>
        <v>0.13094759697307962</v>
      </c>
      <c r="D35" s="55">
        <f t="shared" si="26"/>
        <v>0.26242271479143953</v>
      </c>
      <c r="E35" s="55">
        <f t="shared" si="26"/>
        <v>1.5884798607140842</v>
      </c>
      <c r="F35" s="55">
        <f t="shared" si="26"/>
        <v>1.0316940673097243</v>
      </c>
      <c r="G35" s="55">
        <f t="shared" si="26"/>
        <v>-17.149304715449933</v>
      </c>
      <c r="H35" s="55">
        <f t="shared" si="26"/>
        <v>16.676784454669743</v>
      </c>
      <c r="I35" s="55">
        <f t="shared" si="26"/>
        <v>15.704950727333127</v>
      </c>
      <c r="J35" s="55">
        <f t="shared" si="26"/>
        <v>22.356918197583063</v>
      </c>
      <c r="K35" s="55">
        <f t="shared" si="26"/>
        <v>26.635488291854266</v>
      </c>
      <c r="L35" s="55">
        <f t="shared" si="26"/>
        <v>31.731209695930627</v>
      </c>
      <c r="M35" s="55">
        <f t="shared" si="26"/>
        <v>37.799800129963359</v>
      </c>
      <c r="N35" s="55">
        <f t="shared" si="26"/>
        <v>45.02657834977196</v>
      </c>
      <c r="O35" s="55">
        <f t="shared" si="26"/>
        <v>52.738207921433698</v>
      </c>
      <c r="P35" s="55">
        <f t="shared" si="26"/>
        <v>60.720261932558344</v>
      </c>
      <c r="Q35" s="55">
        <f t="shared" si="26"/>
        <v>68.701191050929097</v>
      </c>
      <c r="R35" s="55">
        <f t="shared" si="26"/>
        <v>76.363037518590673</v>
      </c>
      <c r="S35" s="55">
        <f t="shared" si="26"/>
        <v>83.358815166154841</v>
      </c>
      <c r="T35" s="55">
        <f t="shared" si="26"/>
        <v>89.690753152097216</v>
      </c>
      <c r="U35" s="55">
        <f t="shared" si="26"/>
        <v>81.439239242229263</v>
      </c>
    </row>
    <row r="36" spans="1:31">
      <c r="A36" s="51" t="s">
        <v>4252</v>
      </c>
      <c r="C36" s="56"/>
      <c r="D36" s="56">
        <f t="shared" ref="D36:U36" si="27">+D35/C35-1</f>
        <v>1.00402848816988</v>
      </c>
      <c r="E36" s="56">
        <f t="shared" si="27"/>
        <v>5.0531340130999283</v>
      </c>
      <c r="F36" s="56">
        <f t="shared" si="27"/>
        <v>-0.35051485837161489</v>
      </c>
      <c r="G36" s="56">
        <f t="shared" si="27"/>
        <v>-17.622471000699811</v>
      </c>
      <c r="H36" s="56">
        <f t="shared" si="27"/>
        <v>-1.972446681155855</v>
      </c>
      <c r="I36" s="56">
        <f t="shared" si="27"/>
        <v>-5.8274647008733638E-2</v>
      </c>
      <c r="J36" s="56">
        <f t="shared" si="27"/>
        <v>0.42355863356341228</v>
      </c>
      <c r="K36" s="56">
        <f t="shared" si="27"/>
        <v>0.19137566530675709</v>
      </c>
      <c r="L36" s="56">
        <f t="shared" si="27"/>
        <v>0.19131323399221278</v>
      </c>
      <c r="M36" s="56">
        <f t="shared" si="27"/>
        <v>0.19124989220978228</v>
      </c>
      <c r="N36" s="56">
        <f t="shared" si="27"/>
        <v>0.19118561989644056</v>
      </c>
      <c r="O36" s="56">
        <f t="shared" si="27"/>
        <v>0.1712683897887346</v>
      </c>
      <c r="P36" s="56">
        <f t="shared" si="27"/>
        <v>0.15135239375247345</v>
      </c>
      <c r="Q36" s="56">
        <f t="shared" si="27"/>
        <v>0.13143765959433984</v>
      </c>
      <c r="R36" s="56">
        <f t="shared" si="27"/>
        <v>0.11152421596274431</v>
      </c>
      <c r="S36" s="56">
        <f t="shared" si="27"/>
        <v>9.1612092379916632E-2</v>
      </c>
      <c r="T36" s="56">
        <f t="shared" si="27"/>
        <v>7.5960028622302778E-2</v>
      </c>
      <c r="U36" s="56">
        <f t="shared" si="27"/>
        <v>-9.199960553207831E-2</v>
      </c>
    </row>
    <row r="37" spans="1:31">
      <c r="A37" s="51" t="s">
        <v>27</v>
      </c>
      <c r="C37" s="52">
        <f t="shared" ref="C37:U37" si="28">+C35/C7</f>
        <v>0.31066176470588236</v>
      </c>
      <c r="D37" s="52">
        <f t="shared" si="28"/>
        <v>6.4273204903677758E-2</v>
      </c>
      <c r="E37" s="52">
        <f t="shared" si="28"/>
        <v>0.10452608480715667</v>
      </c>
      <c r="F37" s="52">
        <f t="shared" si="28"/>
        <v>1.4888337761790516E-2</v>
      </c>
      <c r="G37" s="52">
        <f t="shared" si="28"/>
        <v>-0.112575747181085</v>
      </c>
      <c r="H37" s="52">
        <f t="shared" si="28"/>
        <v>5.9717030076614115E-2</v>
      </c>
      <c r="I37" s="52">
        <f t="shared" si="28"/>
        <v>3.2279992245831397E-2</v>
      </c>
      <c r="J37" s="52">
        <f t="shared" si="28"/>
        <v>3.8293718044094406E-2</v>
      </c>
      <c r="K37" s="52">
        <f t="shared" si="28"/>
        <v>3.8018503176543615E-2</v>
      </c>
      <c r="L37" s="52">
        <f t="shared" si="28"/>
        <v>3.7743288308992831E-2</v>
      </c>
      <c r="M37" s="52">
        <f t="shared" si="28"/>
        <v>3.746807344144204E-2</v>
      </c>
      <c r="N37" s="52">
        <f t="shared" si="28"/>
        <v>3.7192858573891249E-2</v>
      </c>
      <c r="O37" s="52">
        <f t="shared" si="28"/>
        <v>3.6917643706340458E-2</v>
      </c>
      <c r="P37" s="52">
        <f t="shared" si="28"/>
        <v>3.6642428838789674E-2</v>
      </c>
      <c r="Q37" s="52">
        <f t="shared" si="28"/>
        <v>3.6367213971238876E-2</v>
      </c>
      <c r="R37" s="52">
        <f t="shared" si="28"/>
        <v>3.6091999103688086E-2</v>
      </c>
      <c r="S37" s="52">
        <f t="shared" si="28"/>
        <v>3.5816784236137295E-2</v>
      </c>
      <c r="T37" s="52">
        <f t="shared" si="28"/>
        <v>3.5682803881364002E-2</v>
      </c>
      <c r="U37" s="52">
        <f t="shared" si="28"/>
        <v>3.0000000000000002E-2</v>
      </c>
    </row>
    <row r="38" spans="1:31">
      <c r="A38" s="51" t="s">
        <v>30</v>
      </c>
      <c r="C38" s="52">
        <f t="shared" ref="C38:J38" si="29">+C35/C10</f>
        <v>0.60142348754448394</v>
      </c>
      <c r="D38" s="52">
        <f t="shared" si="29"/>
        <v>0.25085440874914561</v>
      </c>
      <c r="E38" s="52">
        <f t="shared" si="29"/>
        <v>0.37181255150013914</v>
      </c>
      <c r="F38" s="52">
        <f t="shared" si="29"/>
        <v>6.2921208859654368E-2</v>
      </c>
      <c r="G38" s="52">
        <f t="shared" si="29"/>
        <v>-0.63116542571608925</v>
      </c>
      <c r="H38" s="52">
        <f t="shared" si="29"/>
        <v>0.2600657768381624</v>
      </c>
      <c r="I38" s="52">
        <f t="shared" si="29"/>
        <v>0.15464911033455725</v>
      </c>
      <c r="J38" s="52">
        <f t="shared" si="29"/>
        <v>0.18253224854581046</v>
      </c>
      <c r="K38" s="52"/>
      <c r="L38" s="52"/>
      <c r="M38" s="52"/>
      <c r="N38" s="52"/>
      <c r="O38" s="52"/>
      <c r="P38" s="52"/>
      <c r="Q38" s="52"/>
      <c r="R38" s="52"/>
      <c r="S38" s="52"/>
      <c r="T38" s="52"/>
      <c r="U38" s="52"/>
    </row>
    <row r="39" spans="1:31">
      <c r="C39" s="34"/>
      <c r="D39" s="34"/>
      <c r="E39" s="34"/>
      <c r="F39" s="34"/>
      <c r="G39" s="34"/>
      <c r="H39" s="34"/>
      <c r="I39" s="34"/>
      <c r="J39" s="34"/>
      <c r="K39" s="34"/>
      <c r="L39" s="34"/>
      <c r="M39" s="34"/>
      <c r="N39" s="34"/>
      <c r="O39" s="34"/>
      <c r="P39" s="34"/>
      <c r="Q39" s="34"/>
      <c r="R39" s="34"/>
      <c r="S39" s="34"/>
      <c r="T39" s="34"/>
      <c r="U39" s="34"/>
    </row>
    <row r="40" spans="1:31">
      <c r="A40" s="35" t="s">
        <v>36</v>
      </c>
      <c r="B40" s="58"/>
      <c r="C40" s="53">
        <f>+'Historical - USD'!Q132</f>
        <v>0</v>
      </c>
      <c r="D40" s="53">
        <f>+'Historical - USD'!R132</f>
        <v>0</v>
      </c>
      <c r="E40" s="53">
        <f>+'Historical - USD'!S132</f>
        <v>0</v>
      </c>
      <c r="F40" s="53">
        <f>+'Historical - USD'!T132</f>
        <v>-7.0749051826770768E-3</v>
      </c>
      <c r="G40" s="53">
        <f>+'Historical - USD'!U132</f>
        <v>-2.5816387697817581E-2</v>
      </c>
      <c r="H40" s="53">
        <f>+'Historical - USD'!V132</f>
        <v>-0.16662784528069635</v>
      </c>
      <c r="I40" s="53">
        <f>+'Historical - USD'!W132</f>
        <v>-1.3713725277292057</v>
      </c>
      <c r="J40" s="53">
        <f>+'Historical - USD'!X132</f>
        <v>0</v>
      </c>
      <c r="K40" s="55">
        <v>0</v>
      </c>
      <c r="L40" s="55">
        <v>0</v>
      </c>
      <c r="M40" s="55">
        <v>0</v>
      </c>
      <c r="N40" s="55">
        <v>0</v>
      </c>
      <c r="O40" s="55">
        <v>0</v>
      </c>
      <c r="P40" s="55">
        <v>0</v>
      </c>
      <c r="Q40" s="55">
        <v>0</v>
      </c>
      <c r="R40" s="55">
        <v>0</v>
      </c>
      <c r="S40" s="55">
        <v>0</v>
      </c>
      <c r="T40" s="55">
        <v>0</v>
      </c>
      <c r="U40" s="55">
        <v>0</v>
      </c>
    </row>
    <row r="41" spans="1:31" hidden="1" outlineLevel="1">
      <c r="A41" s="51" t="s">
        <v>37</v>
      </c>
      <c r="C41" s="57"/>
      <c r="D41" s="57"/>
      <c r="E41" s="57"/>
      <c r="F41" s="57"/>
      <c r="G41" s="57">
        <v>0.05</v>
      </c>
      <c r="H41" s="57">
        <f t="shared" ref="H41:P41" si="30">G41</f>
        <v>0.05</v>
      </c>
      <c r="I41" s="57">
        <f t="shared" si="30"/>
        <v>0.05</v>
      </c>
      <c r="J41" s="57">
        <f t="shared" si="30"/>
        <v>0.05</v>
      </c>
      <c r="K41" s="57">
        <f t="shared" si="30"/>
        <v>0.05</v>
      </c>
      <c r="L41" s="57">
        <f t="shared" si="30"/>
        <v>0.05</v>
      </c>
      <c r="M41" s="57">
        <f t="shared" si="30"/>
        <v>0.05</v>
      </c>
      <c r="N41" s="57">
        <f t="shared" si="30"/>
        <v>0.05</v>
      </c>
      <c r="O41" s="57">
        <f t="shared" si="30"/>
        <v>0.05</v>
      </c>
      <c r="P41" s="57">
        <f t="shared" si="30"/>
        <v>0.05</v>
      </c>
      <c r="Q41" s="57"/>
      <c r="R41" s="57"/>
      <c r="S41" s="57"/>
      <c r="T41" s="57"/>
      <c r="U41" s="57"/>
    </row>
    <row r="42" spans="1:31" collapsed="1">
      <c r="C42" s="34"/>
      <c r="D42" s="34"/>
      <c r="E42" s="34"/>
      <c r="F42" s="34"/>
      <c r="G42" s="34"/>
      <c r="H42" s="34"/>
      <c r="I42" s="34"/>
      <c r="J42" s="34"/>
      <c r="K42" s="34"/>
      <c r="L42" s="34"/>
      <c r="M42" s="34"/>
      <c r="N42" s="34"/>
      <c r="O42" s="34"/>
      <c r="P42" s="34"/>
      <c r="Q42" s="34"/>
      <c r="R42" s="34"/>
      <c r="S42" s="34"/>
      <c r="T42" s="34"/>
      <c r="U42" s="34"/>
    </row>
    <row r="43" spans="1:31">
      <c r="A43" s="34" t="s">
        <v>38</v>
      </c>
      <c r="B43" s="54"/>
      <c r="C43" s="55">
        <f t="shared" ref="C43:U43" si="31">+MAX((C15-C31-C40)*C44,0)</f>
        <v>3.9284279091923884E-2</v>
      </c>
      <c r="D43" s="55">
        <f t="shared" si="31"/>
        <v>7.8726814437431861E-2</v>
      </c>
      <c r="E43" s="55">
        <f t="shared" si="31"/>
        <v>0.47654395821422524</v>
      </c>
      <c r="F43" s="55">
        <f t="shared" si="31"/>
        <v>0.3116306917477204</v>
      </c>
      <c r="G43" s="55">
        <f t="shared" si="31"/>
        <v>0</v>
      </c>
      <c r="H43" s="55">
        <f t="shared" si="31"/>
        <v>5.0530236899851317</v>
      </c>
      <c r="I43" s="55">
        <f t="shared" si="31"/>
        <v>5.1228969765187005</v>
      </c>
      <c r="J43" s="55">
        <f t="shared" si="31"/>
        <v>6.7070754592749191</v>
      </c>
      <c r="K43" s="55">
        <f t="shared" si="31"/>
        <v>7.9906464875562797</v>
      </c>
      <c r="L43" s="55">
        <f t="shared" si="31"/>
        <v>9.519362908779188</v>
      </c>
      <c r="M43" s="55">
        <f t="shared" si="31"/>
        <v>11.339940038989008</v>
      </c>
      <c r="N43" s="55">
        <f t="shared" si="31"/>
        <v>13.507973504931588</v>
      </c>
      <c r="O43" s="55">
        <f t="shared" si="31"/>
        <v>15.821462376430109</v>
      </c>
      <c r="P43" s="55">
        <f t="shared" si="31"/>
        <v>18.216078579767501</v>
      </c>
      <c r="Q43" s="55">
        <f t="shared" si="31"/>
        <v>20.61035731527873</v>
      </c>
      <c r="R43" s="55">
        <f t="shared" si="31"/>
        <v>22.908911255577202</v>
      </c>
      <c r="S43" s="55">
        <f t="shared" si="31"/>
        <v>25.00764454984645</v>
      </c>
      <c r="T43" s="55">
        <f t="shared" si="31"/>
        <v>26.907225945629165</v>
      </c>
      <c r="U43" s="55">
        <f t="shared" si="31"/>
        <v>24.431771772668778</v>
      </c>
      <c r="V43" s="34"/>
      <c r="W43" s="34"/>
      <c r="X43" s="34"/>
      <c r="Y43" s="34"/>
      <c r="Z43" s="34"/>
      <c r="AA43" s="34"/>
      <c r="AB43" s="34"/>
      <c r="AC43" s="34"/>
      <c r="AD43" s="34"/>
      <c r="AE43" s="34"/>
    </row>
    <row r="44" spans="1:31">
      <c r="A44" s="51" t="s">
        <v>37</v>
      </c>
      <c r="C44" s="118">
        <v>0.3</v>
      </c>
      <c r="D44" s="118">
        <f t="shared" ref="D44:U44" si="32">C44</f>
        <v>0.3</v>
      </c>
      <c r="E44" s="118">
        <f t="shared" si="32"/>
        <v>0.3</v>
      </c>
      <c r="F44" s="118">
        <f t="shared" si="32"/>
        <v>0.3</v>
      </c>
      <c r="G44" s="118">
        <f t="shared" si="32"/>
        <v>0.3</v>
      </c>
      <c r="H44" s="118">
        <f t="shared" si="32"/>
        <v>0.3</v>
      </c>
      <c r="I44" s="118">
        <f t="shared" si="32"/>
        <v>0.3</v>
      </c>
      <c r="J44" s="118">
        <f t="shared" si="32"/>
        <v>0.3</v>
      </c>
      <c r="K44" s="118">
        <f t="shared" si="32"/>
        <v>0.3</v>
      </c>
      <c r="L44" s="118">
        <f t="shared" si="32"/>
        <v>0.3</v>
      </c>
      <c r="M44" s="118">
        <f t="shared" si="32"/>
        <v>0.3</v>
      </c>
      <c r="N44" s="118">
        <f t="shared" si="32"/>
        <v>0.3</v>
      </c>
      <c r="O44" s="118">
        <f t="shared" si="32"/>
        <v>0.3</v>
      </c>
      <c r="P44" s="118">
        <f t="shared" si="32"/>
        <v>0.3</v>
      </c>
      <c r="Q44" s="118">
        <f t="shared" si="32"/>
        <v>0.3</v>
      </c>
      <c r="R44" s="118">
        <f t="shared" si="32"/>
        <v>0.3</v>
      </c>
      <c r="S44" s="118">
        <f t="shared" si="32"/>
        <v>0.3</v>
      </c>
      <c r="T44" s="118">
        <f t="shared" si="32"/>
        <v>0.3</v>
      </c>
      <c r="U44" s="118">
        <f t="shared" si="32"/>
        <v>0.3</v>
      </c>
    </row>
    <row r="45" spans="1:31">
      <c r="C45" s="34"/>
      <c r="D45" s="60"/>
      <c r="E45" s="60"/>
      <c r="F45" s="34"/>
      <c r="G45" s="34"/>
      <c r="H45" s="34"/>
      <c r="I45" s="34"/>
      <c r="J45" s="34"/>
      <c r="K45" s="34"/>
      <c r="L45" s="34"/>
      <c r="M45" s="34"/>
      <c r="N45" s="34"/>
      <c r="O45" s="34"/>
      <c r="P45" s="34"/>
      <c r="Q45" s="34"/>
      <c r="R45" s="34"/>
      <c r="S45" s="34"/>
      <c r="T45" s="34"/>
      <c r="U45" s="34"/>
    </row>
    <row r="46" spans="1:31">
      <c r="A46" s="35" t="s">
        <v>39</v>
      </c>
      <c r="B46" s="58"/>
      <c r="C46" s="55">
        <f t="shared" ref="C46:U46" si="33">+C25-C40-C43</f>
        <v>-0.34612006844896243</v>
      </c>
      <c r="D46" s="55">
        <f t="shared" si="33"/>
        <v>-0.45198201095277629</v>
      </c>
      <c r="E46" s="55">
        <f t="shared" si="33"/>
        <v>0.4717865609536489</v>
      </c>
      <c r="F46" s="55">
        <f t="shared" si="33"/>
        <v>-0.80870184620929175</v>
      </c>
      <c r="G46" s="55">
        <f t="shared" si="33"/>
        <v>-21.905949370769704</v>
      </c>
      <c r="H46" s="55">
        <f t="shared" si="33"/>
        <v>6.4311897612750002</v>
      </c>
      <c r="I46" s="55">
        <f t="shared" si="33"/>
        <v>6.8542285399188581</v>
      </c>
      <c r="J46" s="55">
        <f t="shared" si="33"/>
        <v>9.7621620578689701</v>
      </c>
      <c r="K46" s="55">
        <f t="shared" si="33"/>
        <v>12.29604145721693</v>
      </c>
      <c r="L46" s="55">
        <f t="shared" si="33"/>
        <v>15.452986133989318</v>
      </c>
      <c r="M46" s="55">
        <f t="shared" si="33"/>
        <v>19.380867023181985</v>
      </c>
      <c r="N46" s="55">
        <f t="shared" si="33"/>
        <v>24.261780822692142</v>
      </c>
      <c r="O46" s="55">
        <f t="shared" si="33"/>
        <v>29.814495036727759</v>
      </c>
      <c r="P46" s="55">
        <f t="shared" si="33"/>
        <v>35.960102895107411</v>
      </c>
      <c r="Q46" s="55">
        <f t="shared" si="33"/>
        <v>42.562346364276095</v>
      </c>
      <c r="R46" s="55">
        <f t="shared" si="33"/>
        <v>49.42579647950533</v>
      </c>
      <c r="S46" s="55">
        <f t="shared" si="33"/>
        <v>56.299941534123576</v>
      </c>
      <c r="T46" s="55">
        <f t="shared" si="33"/>
        <v>62.783527206468051</v>
      </c>
      <c r="U46" s="55">
        <f t="shared" si="33"/>
        <v>57.007467469560481</v>
      </c>
    </row>
    <row r="47" spans="1:31">
      <c r="A47" s="51" t="s">
        <v>25</v>
      </c>
      <c r="C47" s="56"/>
      <c r="D47" s="56">
        <f>+D46/C46-1</f>
        <v>0.30585323462520897</v>
      </c>
      <c r="E47" s="56">
        <f>+E46/D46-1</f>
        <v>-2.0438171199759139</v>
      </c>
      <c r="F47" s="56">
        <f t="shared" ref="F47:U47" si="34">+IFERROR(F46/E46-1,"-")</f>
        <v>-2.7141264994378327</v>
      </c>
      <c r="G47" s="56">
        <f t="shared" si="34"/>
        <v>26.087794436789814</v>
      </c>
      <c r="H47" s="56">
        <f t="shared" si="34"/>
        <v>-1.2935818782570769</v>
      </c>
      <c r="I47" s="56">
        <f t="shared" si="34"/>
        <v>6.5779240598863753E-2</v>
      </c>
      <c r="J47" s="56">
        <f t="shared" si="34"/>
        <v>0.42425394791177129</v>
      </c>
      <c r="K47" s="56">
        <f t="shared" si="34"/>
        <v>0.25956129229646208</v>
      </c>
      <c r="L47" s="56">
        <f t="shared" si="34"/>
        <v>0.256744797726709</v>
      </c>
      <c r="M47" s="56">
        <f t="shared" si="34"/>
        <v>0.25418264503280508</v>
      </c>
      <c r="N47" s="56">
        <f t="shared" si="34"/>
        <v>0.25184187031839</v>
      </c>
      <c r="O47" s="56">
        <f t="shared" si="34"/>
        <v>0.22886672065070113</v>
      </c>
      <c r="P47" s="56">
        <f t="shared" si="34"/>
        <v>0.20612818868168059</v>
      </c>
      <c r="Q47" s="56">
        <f t="shared" si="34"/>
        <v>0.18359912618789975</v>
      </c>
      <c r="R47" s="56">
        <f t="shared" si="34"/>
        <v>0.161256385080075</v>
      </c>
      <c r="S47" s="56">
        <f t="shared" si="34"/>
        <v>0.13908010683183725</v>
      </c>
      <c r="T47" s="56">
        <f t="shared" si="34"/>
        <v>0.11516149920714835</v>
      </c>
      <c r="U47" s="56">
        <f t="shared" si="34"/>
        <v>-9.199960553207831E-2</v>
      </c>
    </row>
    <row r="48" spans="1:31">
      <c r="A48" s="34"/>
      <c r="B48" s="58"/>
      <c r="C48" s="55"/>
      <c r="D48" s="55"/>
      <c r="E48" s="55"/>
      <c r="F48" s="55"/>
      <c r="G48" s="55"/>
      <c r="H48" s="55"/>
      <c r="I48" s="55"/>
      <c r="J48" s="55"/>
      <c r="K48" s="55"/>
      <c r="L48" s="55"/>
      <c r="M48" s="55"/>
      <c r="N48" s="55"/>
      <c r="O48" s="55"/>
      <c r="P48" s="55"/>
      <c r="Q48" s="55"/>
      <c r="R48" s="55"/>
      <c r="S48" s="55"/>
      <c r="T48" s="55"/>
      <c r="U48" s="55"/>
      <c r="V48" s="58"/>
      <c r="W48" s="58"/>
      <c r="X48" s="58"/>
      <c r="Y48" s="58"/>
      <c r="Z48" s="58"/>
      <c r="AA48" s="58"/>
      <c r="AB48" s="58"/>
      <c r="AC48" s="58"/>
      <c r="AD48" s="58"/>
      <c r="AE48" s="58"/>
    </row>
    <row r="49" spans="1:31">
      <c r="A49" s="35" t="s">
        <v>40</v>
      </c>
      <c r="B49" s="58"/>
      <c r="C49" s="55">
        <f t="shared" ref="C49:U49" si="35">+C15-C31-C40-C43</f>
        <v>9.1663317881155726E-2</v>
      </c>
      <c r="D49" s="55">
        <f t="shared" si="35"/>
        <v>0.18369590035400768</v>
      </c>
      <c r="E49" s="55">
        <f t="shared" si="35"/>
        <v>1.111935902499859</v>
      </c>
      <c r="F49" s="55">
        <f t="shared" si="35"/>
        <v>0.72713828074468101</v>
      </c>
      <c r="G49" s="55">
        <f t="shared" si="35"/>
        <v>-17.123488327752117</v>
      </c>
      <c r="H49" s="55">
        <f t="shared" si="35"/>
        <v>11.790388609965309</v>
      </c>
      <c r="I49" s="55">
        <f t="shared" si="35"/>
        <v>11.953426278543635</v>
      </c>
      <c r="J49" s="55">
        <f t="shared" si="35"/>
        <v>15.649842738308145</v>
      </c>
      <c r="K49" s="55">
        <f t="shared" si="35"/>
        <v>18.644841804297986</v>
      </c>
      <c r="L49" s="55">
        <f t="shared" si="35"/>
        <v>22.211846787151437</v>
      </c>
      <c r="M49" s="55">
        <f t="shared" si="35"/>
        <v>26.459860090974352</v>
      </c>
      <c r="N49" s="55">
        <f t="shared" si="35"/>
        <v>31.518604844840372</v>
      </c>
      <c r="O49" s="55">
        <f t="shared" si="35"/>
        <v>36.916745545003593</v>
      </c>
      <c r="P49" s="55">
        <f t="shared" si="35"/>
        <v>42.504183352790847</v>
      </c>
      <c r="Q49" s="55">
        <f t="shared" si="35"/>
        <v>48.090833735650364</v>
      </c>
      <c r="R49" s="55">
        <f t="shared" si="35"/>
        <v>53.454126263013471</v>
      </c>
      <c r="S49" s="55">
        <f t="shared" si="35"/>
        <v>58.351170616308394</v>
      </c>
      <c r="T49" s="55">
        <f t="shared" si="35"/>
        <v>62.783527206468051</v>
      </c>
      <c r="U49" s="55">
        <f t="shared" si="35"/>
        <v>57.007467469560481</v>
      </c>
    </row>
    <row r="50" spans="1:31">
      <c r="A50" s="51" t="s">
        <v>25</v>
      </c>
      <c r="C50" s="56"/>
      <c r="D50" s="56">
        <f>+D49/C49-1</f>
        <v>1.0040284881698804</v>
      </c>
      <c r="E50" s="56">
        <f>+E49/D49-1</f>
        <v>5.0531340130999283</v>
      </c>
      <c r="F50" s="56">
        <f t="shared" ref="F50:U50" si="36">+IFERROR(F49/E49-1,"-")</f>
        <v>-0.34606097427924964</v>
      </c>
      <c r="G50" s="56">
        <f t="shared" si="36"/>
        <v>-24.549149840131527</v>
      </c>
      <c r="H50" s="56">
        <f t="shared" si="36"/>
        <v>-1.6885506261511312</v>
      </c>
      <c r="I50" s="56">
        <f t="shared" si="36"/>
        <v>1.382801483239704E-2</v>
      </c>
      <c r="J50" s="56">
        <f t="shared" si="36"/>
        <v>0.30923488994946724</v>
      </c>
      <c r="K50" s="56">
        <f t="shared" si="36"/>
        <v>0.19137566530675709</v>
      </c>
      <c r="L50" s="56">
        <f t="shared" si="36"/>
        <v>0.19131323399221278</v>
      </c>
      <c r="M50" s="56">
        <f t="shared" si="36"/>
        <v>0.1912498922097825</v>
      </c>
      <c r="N50" s="56">
        <f t="shared" si="36"/>
        <v>0.19118561989644056</v>
      </c>
      <c r="O50" s="56">
        <f t="shared" si="36"/>
        <v>0.1712683897887346</v>
      </c>
      <c r="P50" s="56">
        <f t="shared" si="36"/>
        <v>0.15135239375247345</v>
      </c>
      <c r="Q50" s="56">
        <f t="shared" si="36"/>
        <v>0.13143765959433962</v>
      </c>
      <c r="R50" s="56">
        <f t="shared" si="36"/>
        <v>0.11152421596274453</v>
      </c>
      <c r="S50" s="56">
        <f t="shared" si="36"/>
        <v>9.1612092379916632E-2</v>
      </c>
      <c r="T50" s="56">
        <f t="shared" si="36"/>
        <v>7.5960028622302778E-2</v>
      </c>
      <c r="U50" s="56">
        <f t="shared" si="36"/>
        <v>-9.199960553207831E-2</v>
      </c>
    </row>
    <row r="51" spans="1:31">
      <c r="A51" s="34"/>
      <c r="B51" s="58"/>
      <c r="C51" s="55"/>
      <c r="D51" s="55"/>
      <c r="E51" s="55"/>
      <c r="F51" s="55"/>
      <c r="G51" s="55"/>
      <c r="H51" s="55"/>
      <c r="I51" s="55"/>
      <c r="J51" s="55"/>
      <c r="K51" s="55"/>
      <c r="L51" s="55"/>
      <c r="M51" s="55"/>
      <c r="N51" s="55"/>
      <c r="O51" s="55"/>
      <c r="P51" s="55"/>
      <c r="Q51" s="55"/>
      <c r="R51" s="55"/>
      <c r="S51" s="55"/>
      <c r="T51" s="55"/>
      <c r="U51" s="55"/>
      <c r="V51" s="58"/>
      <c r="W51" s="58"/>
      <c r="X51" s="58"/>
      <c r="Y51" s="58"/>
      <c r="Z51" s="58"/>
      <c r="AA51" s="58"/>
      <c r="AB51" s="58"/>
      <c r="AC51" s="58"/>
      <c r="AD51" s="58"/>
      <c r="AE51" s="58"/>
    </row>
    <row r="52" spans="1:31" ht="13.5">
      <c r="A52" s="34" t="s">
        <v>41</v>
      </c>
      <c r="C52" s="61">
        <f t="shared" ref="C52:J52" si="37">C53-C46-SUM(C48:C48)</f>
        <v>-0.71387993155103757</v>
      </c>
      <c r="D52" s="61">
        <f t="shared" si="37"/>
        <v>7.9982010952776406E-2</v>
      </c>
      <c r="E52" s="61">
        <f t="shared" si="37"/>
        <v>3.7221444390463514</v>
      </c>
      <c r="F52" s="61">
        <f t="shared" si="37"/>
        <v>8.1824757556801817</v>
      </c>
      <c r="G52" s="61">
        <f t="shared" si="37"/>
        <v>5.4401249618434946</v>
      </c>
      <c r="H52" s="61">
        <f t="shared" si="37"/>
        <v>9.8710336611714489</v>
      </c>
      <c r="I52" s="61">
        <f t="shared" si="37"/>
        <v>24.881363022435856</v>
      </c>
      <c r="J52" s="61">
        <f t="shared" si="37"/>
        <v>5.5926951020074842</v>
      </c>
      <c r="K52" s="121">
        <f t="shared" ref="K52:U52" si="38">+J52/(J7-I7)*(K7-J7)</f>
        <v>6.7112341224089862</v>
      </c>
      <c r="L52" s="121">
        <f t="shared" si="38"/>
        <v>8.0534809468907813</v>
      </c>
      <c r="M52" s="121">
        <f t="shared" si="38"/>
        <v>9.6641771362689326</v>
      </c>
      <c r="N52" s="121">
        <f t="shared" si="38"/>
        <v>11.597012563522725</v>
      </c>
      <c r="O52" s="121">
        <f t="shared" si="38"/>
        <v>12.524773568604532</v>
      </c>
      <c r="P52" s="121">
        <f t="shared" si="38"/>
        <v>13.13709583195854</v>
      </c>
      <c r="Q52" s="121">
        <f t="shared" si="38"/>
        <v>13.334152269437935</v>
      </c>
      <c r="R52" s="121">
        <f t="shared" si="38"/>
        <v>13.029371646136482</v>
      </c>
      <c r="S52" s="121">
        <f t="shared" si="38"/>
        <v>12.160746869727408</v>
      </c>
      <c r="T52" s="121">
        <f t="shared" si="38"/>
        <v>10.701457245360103</v>
      </c>
      <c r="U52" s="121">
        <f t="shared" si="38"/>
        <v>11.557573824988919</v>
      </c>
    </row>
    <row r="53" spans="1:31">
      <c r="A53" s="62" t="s">
        <v>42</v>
      </c>
      <c r="B53" s="53"/>
      <c r="C53" s="53">
        <f>+'Historical - USD'!Q148</f>
        <v>-1.06</v>
      </c>
      <c r="D53" s="53">
        <f>+'Historical - USD'!R148</f>
        <v>-0.37199999999999989</v>
      </c>
      <c r="E53" s="53">
        <f>+'Historical - USD'!S148</f>
        <v>4.1939310000000001</v>
      </c>
      <c r="F53" s="53">
        <f>+'Historical - USD'!T148</f>
        <v>7.3737739094708905</v>
      </c>
      <c r="G53" s="53">
        <f>+'Historical - USD'!U148</f>
        <v>-16.46582440892621</v>
      </c>
      <c r="H53" s="53">
        <f>+'Historical - USD'!V148</f>
        <v>16.302223422446449</v>
      </c>
      <c r="I53" s="53">
        <f>+'Historical - USD'!W148</f>
        <v>31.735591562354713</v>
      </c>
      <c r="J53" s="53">
        <f>+'Historical - USD'!X148</f>
        <v>15.354857159876454</v>
      </c>
      <c r="K53" s="55">
        <f t="shared" ref="K53:U53" si="39">+K46+K52+K48</f>
        <v>19.007275579625915</v>
      </c>
      <c r="L53" s="55">
        <f t="shared" si="39"/>
        <v>23.5064670808801</v>
      </c>
      <c r="M53" s="55">
        <f t="shared" si="39"/>
        <v>29.045044159450917</v>
      </c>
      <c r="N53" s="55">
        <f t="shared" si="39"/>
        <v>35.85879338621487</v>
      </c>
      <c r="O53" s="55">
        <f t="shared" si="39"/>
        <v>42.339268605332293</v>
      </c>
      <c r="P53" s="55">
        <f t="shared" si="39"/>
        <v>49.097198727065951</v>
      </c>
      <c r="Q53" s="55">
        <f t="shared" si="39"/>
        <v>55.896498633714032</v>
      </c>
      <c r="R53" s="55">
        <f t="shared" si="39"/>
        <v>62.455168125641812</v>
      </c>
      <c r="S53" s="55">
        <f t="shared" si="39"/>
        <v>68.46068840385098</v>
      </c>
      <c r="T53" s="55">
        <f t="shared" si="39"/>
        <v>73.484984451828154</v>
      </c>
      <c r="U53" s="55">
        <f t="shared" si="39"/>
        <v>68.565041294549403</v>
      </c>
      <c r="V53" s="63"/>
      <c r="W53" s="63"/>
      <c r="X53" s="63"/>
      <c r="Y53" s="63"/>
      <c r="Z53" s="63"/>
      <c r="AA53" s="63"/>
      <c r="AB53" s="63"/>
      <c r="AC53" s="63"/>
      <c r="AD53" s="63"/>
      <c r="AE53" s="63"/>
    </row>
    <row r="54" spans="1:31">
      <c r="C54" s="34"/>
      <c r="D54" s="34"/>
      <c r="E54" s="34"/>
      <c r="F54" s="34"/>
      <c r="G54" s="34"/>
      <c r="H54" s="34"/>
      <c r="I54" s="34"/>
      <c r="J54" s="34"/>
      <c r="K54" s="34"/>
      <c r="L54" s="34"/>
      <c r="M54" s="34"/>
      <c r="N54" s="34"/>
      <c r="O54" s="34"/>
      <c r="P54" s="34"/>
      <c r="Q54" s="34"/>
      <c r="R54" s="34"/>
      <c r="S54" s="34"/>
      <c r="T54" s="34"/>
      <c r="U54" s="34"/>
    </row>
    <row r="55" spans="1:31">
      <c r="A55" s="35" t="s">
        <v>43</v>
      </c>
      <c r="B55" s="58"/>
      <c r="C55" s="53">
        <f>+'Historical - USD'!Q157</f>
        <v>-0.24484876120410151</v>
      </c>
      <c r="D55" s="53">
        <f>+'Historical - USD'!R157</f>
        <v>-0.58347938765617069</v>
      </c>
      <c r="E55" s="53">
        <f>+'Historical - USD'!S157</f>
        <v>-3.0639729932710362</v>
      </c>
      <c r="F55" s="53">
        <f>+'Historical - USD'!T157</f>
        <v>-36.339216416289275</v>
      </c>
      <c r="G55" s="53">
        <f>+'Historical - USD'!U157</f>
        <v>-16.304137214963198</v>
      </c>
      <c r="H55" s="53">
        <f>+'Historical - USD'!V157</f>
        <v>-30.769202710783336</v>
      </c>
      <c r="I55" s="53">
        <f>+'Historical - USD'!W157</f>
        <v>-52.680382305844681</v>
      </c>
      <c r="J55" s="55">
        <f>+I55-J53</f>
        <v>-68.035239465721133</v>
      </c>
      <c r="K55" s="55">
        <v>0</v>
      </c>
      <c r="L55" s="55">
        <f t="shared" ref="L55:U55" si="40">+K55</f>
        <v>0</v>
      </c>
      <c r="M55" s="55">
        <f t="shared" si="40"/>
        <v>0</v>
      </c>
      <c r="N55" s="55">
        <f t="shared" si="40"/>
        <v>0</v>
      </c>
      <c r="O55" s="55">
        <f t="shared" si="40"/>
        <v>0</v>
      </c>
      <c r="P55" s="55">
        <f t="shared" si="40"/>
        <v>0</v>
      </c>
      <c r="Q55" s="55">
        <f t="shared" si="40"/>
        <v>0</v>
      </c>
      <c r="R55" s="55">
        <f t="shared" si="40"/>
        <v>0</v>
      </c>
      <c r="S55" s="55">
        <f t="shared" si="40"/>
        <v>0</v>
      </c>
      <c r="T55" s="55">
        <f t="shared" si="40"/>
        <v>0</v>
      </c>
      <c r="U55" s="55">
        <f t="shared" si="40"/>
        <v>0</v>
      </c>
    </row>
    <row r="56" spans="1:31" outlineLevel="1">
      <c r="A56" s="51" t="s">
        <v>44</v>
      </c>
      <c r="B56" s="42"/>
      <c r="C56" s="64">
        <f t="shared" ref="C56:J56" si="41">+C55/C15</f>
        <v>-1.8698224852071004</v>
      </c>
      <c r="D56" s="64">
        <f t="shared" si="41"/>
        <v>-1.3465346534653466</v>
      </c>
      <c r="E56" s="64">
        <f t="shared" si="41"/>
        <v>-1.6712156567385912</v>
      </c>
      <c r="F56" s="64">
        <f t="shared" si="41"/>
        <v>-23.742202182563162</v>
      </c>
      <c r="G56" s="64">
        <f t="shared" si="41"/>
        <v>1.0276622029225084</v>
      </c>
      <c r="H56" s="64">
        <f t="shared" si="41"/>
        <v>-1.5847344457144183</v>
      </c>
      <c r="I56" s="64">
        <f t="shared" si="41"/>
        <v>-2.6389301643866774</v>
      </c>
      <c r="J56" s="179">
        <f t="shared" si="41"/>
        <v>-2.4172444583324619</v>
      </c>
      <c r="K56" s="55">
        <v>0</v>
      </c>
      <c r="L56" s="55">
        <f t="shared" ref="L56:U56" si="42">+K56</f>
        <v>0</v>
      </c>
      <c r="M56" s="55">
        <f t="shared" si="42"/>
        <v>0</v>
      </c>
      <c r="N56" s="55">
        <f t="shared" si="42"/>
        <v>0</v>
      </c>
      <c r="O56" s="55">
        <f t="shared" si="42"/>
        <v>0</v>
      </c>
      <c r="P56" s="55">
        <f t="shared" si="42"/>
        <v>0</v>
      </c>
      <c r="Q56" s="55">
        <f t="shared" si="42"/>
        <v>0</v>
      </c>
      <c r="R56" s="55">
        <f t="shared" si="42"/>
        <v>0</v>
      </c>
      <c r="S56" s="55">
        <f t="shared" si="42"/>
        <v>0</v>
      </c>
      <c r="T56" s="55">
        <f t="shared" si="42"/>
        <v>0</v>
      </c>
      <c r="U56" s="55">
        <f t="shared" si="42"/>
        <v>0</v>
      </c>
    </row>
    <row r="57" spans="1:31">
      <c r="C57" s="34"/>
      <c r="D57" s="34"/>
      <c r="E57" s="34"/>
      <c r="F57" s="34"/>
      <c r="G57" s="34"/>
      <c r="H57" s="34"/>
      <c r="I57" s="34"/>
      <c r="J57" s="34"/>
      <c r="K57" s="34"/>
      <c r="L57" s="34"/>
      <c r="M57" s="34"/>
      <c r="N57" s="34"/>
      <c r="O57" s="34"/>
      <c r="P57" s="34"/>
      <c r="Q57" s="34"/>
      <c r="R57" s="34"/>
      <c r="S57" s="34"/>
      <c r="T57" s="34"/>
      <c r="U57" s="34"/>
    </row>
    <row r="58" spans="1:31">
      <c r="A58" s="65" t="s">
        <v>45</v>
      </c>
      <c r="B58" s="58"/>
      <c r="C58" s="55"/>
      <c r="D58" s="55"/>
      <c r="E58" s="55"/>
      <c r="F58" s="55"/>
      <c r="G58" s="55"/>
      <c r="H58" s="55"/>
      <c r="I58" s="55"/>
      <c r="J58" s="55">
        <f t="shared" ref="J58:U58" si="43">+J53+(J55-I55)</f>
        <v>0</v>
      </c>
      <c r="K58" s="55">
        <f t="shared" si="43"/>
        <v>87.042515045347045</v>
      </c>
      <c r="L58" s="55">
        <f t="shared" si="43"/>
        <v>23.5064670808801</v>
      </c>
      <c r="M58" s="55">
        <f t="shared" si="43"/>
        <v>29.045044159450917</v>
      </c>
      <c r="N58" s="55">
        <f t="shared" si="43"/>
        <v>35.85879338621487</v>
      </c>
      <c r="O58" s="55">
        <f t="shared" si="43"/>
        <v>42.339268605332293</v>
      </c>
      <c r="P58" s="55">
        <f t="shared" si="43"/>
        <v>49.097198727065951</v>
      </c>
      <c r="Q58" s="55">
        <f t="shared" si="43"/>
        <v>55.896498633714032</v>
      </c>
      <c r="R58" s="55">
        <f t="shared" si="43"/>
        <v>62.455168125641812</v>
      </c>
      <c r="S58" s="55">
        <f t="shared" si="43"/>
        <v>68.46068840385098</v>
      </c>
      <c r="T58" s="55">
        <f t="shared" si="43"/>
        <v>73.484984451828154</v>
      </c>
      <c r="U58" s="55">
        <f t="shared" si="43"/>
        <v>68.565041294549403</v>
      </c>
    </row>
    <row r="59" spans="1:31">
      <c r="A59" s="66" t="s">
        <v>46</v>
      </c>
      <c r="C59" s="56"/>
      <c r="D59" s="56"/>
      <c r="E59" s="56"/>
      <c r="F59" s="56"/>
      <c r="G59" s="56"/>
      <c r="H59" s="56"/>
      <c r="I59" s="56"/>
      <c r="J59" s="56">
        <f t="shared" ref="J59:U59" si="44">+J58/$C$86</f>
        <v>0</v>
      </c>
      <c r="K59" s="56">
        <f t="shared" si="44"/>
        <v>0.17670868977855478</v>
      </c>
      <c r="L59" s="56">
        <f t="shared" si="44"/>
        <v>4.772147262772708E-2</v>
      </c>
      <c r="M59" s="56">
        <f t="shared" si="44"/>
        <v>5.896557211499371E-2</v>
      </c>
      <c r="N59" s="56">
        <f t="shared" si="44"/>
        <v>7.2798452492057936E-2</v>
      </c>
      <c r="O59" s="56">
        <f t="shared" si="44"/>
        <v>8.5954739216034526E-2</v>
      </c>
      <c r="P59" s="56">
        <f t="shared" si="44"/>
        <v>9.9674298868055636E-2</v>
      </c>
      <c r="Q59" s="56">
        <f t="shared" si="44"/>
        <v>0.11347784506946403</v>
      </c>
      <c r="R59" s="56">
        <f t="shared" si="44"/>
        <v>0.12679287729257177</v>
      </c>
      <c r="S59" s="56">
        <f t="shared" si="44"/>
        <v>0.13898493791085711</v>
      </c>
      <c r="T59" s="56">
        <f t="shared" si="44"/>
        <v>0.14918497373513304</v>
      </c>
      <c r="U59" s="56">
        <f t="shared" si="44"/>
        <v>0.13919678912609734</v>
      </c>
    </row>
    <row r="60" spans="1:31">
      <c r="C60" s="34"/>
      <c r="D60" s="34"/>
      <c r="E60" s="34"/>
      <c r="F60" s="34"/>
      <c r="G60" s="34"/>
      <c r="H60" s="34"/>
      <c r="I60" s="34"/>
      <c r="J60" s="34"/>
      <c r="K60" s="34"/>
      <c r="L60" s="34"/>
      <c r="M60" s="34"/>
      <c r="N60" s="34"/>
      <c r="O60" s="34"/>
      <c r="P60" s="34"/>
      <c r="Q60" s="34"/>
      <c r="R60" s="34"/>
      <c r="S60" s="34"/>
      <c r="T60" s="34"/>
      <c r="U60" s="34"/>
    </row>
    <row r="61" spans="1:31">
      <c r="A61" s="65" t="s">
        <v>47</v>
      </c>
      <c r="B61" s="58"/>
      <c r="C61" s="55"/>
      <c r="D61" s="55"/>
      <c r="E61" s="55"/>
      <c r="F61" s="55"/>
      <c r="G61" s="55"/>
      <c r="H61" s="55"/>
      <c r="I61" s="55"/>
      <c r="J61" s="55">
        <f t="shared" ref="J61:U61" si="45">J58+I61</f>
        <v>0</v>
      </c>
      <c r="K61" s="55">
        <f t="shared" si="45"/>
        <v>87.042515045347045</v>
      </c>
      <c r="L61" s="55">
        <f t="shared" si="45"/>
        <v>110.54898212622714</v>
      </c>
      <c r="M61" s="55">
        <f t="shared" si="45"/>
        <v>139.59402628567807</v>
      </c>
      <c r="N61" s="55">
        <f t="shared" si="45"/>
        <v>175.45281967189294</v>
      </c>
      <c r="O61" s="55">
        <f t="shared" si="45"/>
        <v>217.79208827722522</v>
      </c>
      <c r="P61" s="55">
        <f t="shared" si="45"/>
        <v>266.88928700429119</v>
      </c>
      <c r="Q61" s="55">
        <f t="shared" si="45"/>
        <v>322.78578563800522</v>
      </c>
      <c r="R61" s="55">
        <f t="shared" si="45"/>
        <v>385.24095376364704</v>
      </c>
      <c r="S61" s="55">
        <f t="shared" si="45"/>
        <v>453.70164216749799</v>
      </c>
      <c r="T61" s="55">
        <f t="shared" si="45"/>
        <v>527.18662661932615</v>
      </c>
      <c r="U61" s="55">
        <f t="shared" si="45"/>
        <v>595.75166791387551</v>
      </c>
    </row>
    <row r="62" spans="1:31">
      <c r="A62" s="66" t="s">
        <v>46</v>
      </c>
      <c r="C62" s="56"/>
      <c r="D62" s="56"/>
      <c r="E62" s="56"/>
      <c r="F62" s="56"/>
      <c r="G62" s="56"/>
      <c r="H62" s="56"/>
      <c r="I62" s="56"/>
      <c r="J62" s="56">
        <f t="shared" ref="J62:U62" si="46">J61/$C$86</f>
        <v>0</v>
      </c>
      <c r="K62" s="56">
        <f t="shared" si="46"/>
        <v>0.17670868977855478</v>
      </c>
      <c r="L62" s="56">
        <f t="shared" si="46"/>
        <v>0.22443016240628186</v>
      </c>
      <c r="M62" s="56">
        <f t="shared" si="46"/>
        <v>0.28339573452127559</v>
      </c>
      <c r="N62" s="67">
        <f t="shared" si="46"/>
        <v>0.3561941870133335</v>
      </c>
      <c r="O62" s="56">
        <f t="shared" si="46"/>
        <v>0.44214892622936802</v>
      </c>
      <c r="P62" s="56">
        <f t="shared" si="46"/>
        <v>0.54182322509742364</v>
      </c>
      <c r="Q62" s="56">
        <f t="shared" si="46"/>
        <v>0.65530107016688777</v>
      </c>
      <c r="R62" s="56">
        <f t="shared" si="46"/>
        <v>0.78209394745945948</v>
      </c>
      <c r="S62" s="56">
        <f t="shared" si="46"/>
        <v>0.92107888537031657</v>
      </c>
      <c r="T62" s="56">
        <f t="shared" si="46"/>
        <v>1.0702638591054496</v>
      </c>
      <c r="U62" s="56">
        <f t="shared" si="46"/>
        <v>1.2094606482315469</v>
      </c>
    </row>
    <row r="63" spans="1:31">
      <c r="C63" s="34"/>
      <c r="D63" s="34"/>
      <c r="E63" s="34"/>
      <c r="F63" s="34"/>
      <c r="G63" s="34"/>
      <c r="H63" s="34"/>
      <c r="I63" s="34"/>
      <c r="J63" s="34"/>
      <c r="K63" s="34"/>
      <c r="L63" s="34"/>
      <c r="M63" s="34"/>
      <c r="N63" s="34"/>
      <c r="O63" s="34"/>
      <c r="P63" s="34"/>
      <c r="Q63" s="34"/>
      <c r="R63" s="34"/>
      <c r="S63" s="34"/>
      <c r="T63" s="34"/>
      <c r="U63" s="34"/>
    </row>
    <row r="64" spans="1:31" hidden="1" outlineLevel="1">
      <c r="A64" s="94" t="s">
        <v>48</v>
      </c>
      <c r="B64" s="95"/>
      <c r="C64" s="96"/>
      <c r="D64" s="96"/>
      <c r="E64" s="96"/>
      <c r="F64" s="185"/>
      <c r="G64" s="97">
        <f>Down!G64</f>
        <v>-214.3280730450748</v>
      </c>
      <c r="H64" s="34"/>
      <c r="I64" s="34"/>
      <c r="J64" s="34"/>
      <c r="K64" s="34"/>
      <c r="L64" s="34"/>
      <c r="M64" s="34"/>
      <c r="N64" s="34"/>
      <c r="O64" s="34"/>
      <c r="P64" s="34"/>
      <c r="Q64" s="34"/>
      <c r="R64" s="34"/>
      <c r="S64" s="34"/>
      <c r="T64" s="34"/>
      <c r="U64" s="34"/>
      <c r="X64" s="98"/>
    </row>
    <row r="65" spans="1:21" hidden="1" outlineLevel="1">
      <c r="C65" s="34"/>
      <c r="D65" s="34"/>
      <c r="E65" s="34"/>
      <c r="F65" s="34"/>
      <c r="G65" s="34"/>
      <c r="H65" s="34"/>
      <c r="I65" s="34"/>
      <c r="J65" s="34"/>
      <c r="K65" s="34"/>
      <c r="L65" s="34"/>
      <c r="M65" s="34"/>
      <c r="N65" s="34"/>
      <c r="O65" s="34"/>
      <c r="P65" s="34"/>
      <c r="Q65" s="34"/>
      <c r="R65" s="34"/>
      <c r="S65" s="34"/>
      <c r="T65" s="34"/>
      <c r="U65" s="34"/>
    </row>
    <row r="66" spans="1:21" collapsed="1">
      <c r="A66" s="34"/>
      <c r="B66" s="34"/>
      <c r="C66" s="68"/>
      <c r="D66" s="68"/>
      <c r="E66" s="68"/>
      <c r="F66" s="68"/>
      <c r="G66" s="68"/>
      <c r="H66" s="68"/>
      <c r="I66" s="68"/>
      <c r="J66" s="68"/>
      <c r="K66" s="68"/>
      <c r="L66" s="68"/>
      <c r="M66" s="68"/>
      <c r="N66" s="68"/>
      <c r="O66" s="68"/>
      <c r="P66" s="68"/>
      <c r="Q66" s="68"/>
      <c r="R66" s="68"/>
      <c r="S66" s="68"/>
      <c r="T66" s="68"/>
      <c r="U66" s="68"/>
    </row>
    <row r="67" spans="1:21">
      <c r="A67" s="34" t="s">
        <v>49</v>
      </c>
      <c r="B67" s="34"/>
      <c r="C67" s="68"/>
      <c r="D67" s="68"/>
      <c r="E67" s="68"/>
      <c r="F67" s="68"/>
      <c r="G67" s="68"/>
      <c r="H67" s="68"/>
      <c r="I67" s="68"/>
      <c r="J67" s="68">
        <f t="shared" ref="J67:U67" si="47">+($C$86-J61+J55)/(J7)</f>
        <v>0.7271689263642972</v>
      </c>
      <c r="K67" s="68">
        <f t="shared" si="47"/>
        <v>0.57884382861845474</v>
      </c>
      <c r="L67" s="68">
        <f t="shared" si="47"/>
        <v>0.45440964473942674</v>
      </c>
      <c r="M67" s="68">
        <f t="shared" si="47"/>
        <v>0.34988455574941096</v>
      </c>
      <c r="N67" s="68">
        <f t="shared" si="47"/>
        <v>0.26195037916690522</v>
      </c>
      <c r="O67" s="68">
        <f t="shared" si="47"/>
        <v>0.19235363766632926</v>
      </c>
      <c r="P67" s="68">
        <f t="shared" si="47"/>
        <v>0.13619376069351743</v>
      </c>
      <c r="Q67" s="68">
        <f t="shared" si="47"/>
        <v>8.9879205544522625E-2</v>
      </c>
      <c r="R67" s="68">
        <f t="shared" si="47"/>
        <v>5.0730665617096507E-2</v>
      </c>
      <c r="S67" s="68">
        <f t="shared" si="47"/>
        <v>1.6703281194007963E-2</v>
      </c>
      <c r="T67" s="68">
        <f t="shared" si="47"/>
        <v>-1.3769457358845723E-2</v>
      </c>
      <c r="U67" s="68">
        <f t="shared" si="47"/>
        <v>-3.8006993301940614E-2</v>
      </c>
    </row>
    <row r="68" spans="1:21">
      <c r="A68" s="34" t="s">
        <v>95</v>
      </c>
      <c r="B68" s="34"/>
      <c r="C68" s="68"/>
      <c r="D68" s="68"/>
      <c r="E68" s="68"/>
      <c r="F68" s="68"/>
      <c r="G68" s="68"/>
      <c r="H68" s="68"/>
      <c r="I68" s="68"/>
      <c r="J68" s="68">
        <f>+($C$86-J61+J55)/(J10)</f>
        <v>3.4661502194453986</v>
      </c>
      <c r="K68" s="68"/>
      <c r="L68" s="68"/>
      <c r="M68" s="68"/>
      <c r="N68" s="68"/>
      <c r="O68" s="68"/>
      <c r="P68" s="68"/>
      <c r="Q68" s="68"/>
      <c r="R68" s="68"/>
      <c r="S68" s="68"/>
      <c r="T68" s="68"/>
      <c r="U68" s="68"/>
    </row>
    <row r="69" spans="1:21" collapsed="1">
      <c r="A69" s="34" t="s">
        <v>51</v>
      </c>
      <c r="B69" s="34"/>
      <c r="C69" s="68">
        <f>($C$86-C61)/C46</f>
        <v>-1423.1371099285375</v>
      </c>
      <c r="D69" s="68">
        <f>($C$86-D61)/D46</f>
        <v>-1089.8139792386316</v>
      </c>
      <c r="E69" s="68">
        <f>($C$86-E61)/E46</f>
        <v>1044.0660134639095</v>
      </c>
      <c r="F69" s="68">
        <f>($C$86-F61)/F46</f>
        <v>-609.09507775903535</v>
      </c>
      <c r="G69" s="68">
        <f t="shared" ref="G69:U69" si="48">IFERROR(($C$86-G61)/G46,"-")</f>
        <v>-22.48596057461884</v>
      </c>
      <c r="H69" s="68">
        <f t="shared" si="48"/>
        <v>76.59178661882143</v>
      </c>
      <c r="I69" s="68">
        <f t="shared" si="48"/>
        <v>71.864588557555621</v>
      </c>
      <c r="J69" s="68">
        <f t="shared" si="48"/>
        <v>50.457707112501147</v>
      </c>
      <c r="K69" s="68">
        <f t="shared" si="48"/>
        <v>32.980841864139656</v>
      </c>
      <c r="L69" s="68">
        <f t="shared" si="48"/>
        <v>24.721909957209885</v>
      </c>
      <c r="M69" s="68">
        <f t="shared" si="48"/>
        <v>18.212925520454483</v>
      </c>
      <c r="N69" s="68">
        <f t="shared" si="48"/>
        <v>13.070907554000494</v>
      </c>
      <c r="O69" s="68">
        <f t="shared" si="48"/>
        <v>9.2164641824387328</v>
      </c>
      <c r="P69" s="68">
        <f t="shared" si="48"/>
        <v>6.2760395195403866</v>
      </c>
      <c r="Q69" s="68">
        <f t="shared" si="48"/>
        <v>3.989219175313822</v>
      </c>
      <c r="R69" s="68">
        <f t="shared" si="48"/>
        <v>2.1716465445647213</v>
      </c>
      <c r="S69" s="68">
        <f t="shared" si="48"/>
        <v>0.69049222208630368</v>
      </c>
      <c r="T69" s="68">
        <f t="shared" si="48"/>
        <v>-0.55126422898770466</v>
      </c>
      <c r="U69" s="68">
        <f t="shared" si="48"/>
        <v>-1.8098568239019339</v>
      </c>
    </row>
    <row r="70" spans="1:21">
      <c r="A70" s="34" t="s">
        <v>52</v>
      </c>
      <c r="B70" s="34"/>
      <c r="C70" s="68">
        <f t="shared" ref="C70:U70" si="49">IFERROR(($C$86-C61)/C49,"-")</f>
        <v>5373.7561031705627</v>
      </c>
      <c r="D70" s="68">
        <f t="shared" si="49"/>
        <v>2681.4769025953251</v>
      </c>
      <c r="E70" s="68">
        <f t="shared" si="49"/>
        <v>442.98984572160305</v>
      </c>
      <c r="F70" s="68">
        <f t="shared" si="49"/>
        <v>677.41766173589963</v>
      </c>
      <c r="G70" s="68">
        <f t="shared" si="49"/>
        <v>-28.766119640611034</v>
      </c>
      <c r="H70" s="68">
        <f t="shared" si="49"/>
        <v>41.777784447613158</v>
      </c>
      <c r="I70" s="68">
        <f t="shared" si="49"/>
        <v>41.207960163262733</v>
      </c>
      <c r="J70" s="68">
        <f t="shared" si="49"/>
        <v>31.474841130191116</v>
      </c>
      <c r="K70" s="68">
        <f t="shared" si="49"/>
        <v>21.75045533300764</v>
      </c>
      <c r="L70" s="68">
        <f t="shared" si="49"/>
        <v>17.199260171175077</v>
      </c>
      <c r="M70" s="68">
        <f t="shared" si="49"/>
        <v>13.340293047711567</v>
      </c>
      <c r="N70" s="68">
        <f t="shared" si="49"/>
        <v>10.061469909279454</v>
      </c>
      <c r="O70" s="68">
        <f t="shared" si="49"/>
        <v>7.4433491242753584</v>
      </c>
      <c r="P70" s="68">
        <f t="shared" si="49"/>
        <v>5.3097603363696679</v>
      </c>
      <c r="Q70" s="68">
        <f t="shared" si="49"/>
        <v>3.5306214318520079</v>
      </c>
      <c r="R70" s="68">
        <f t="shared" si="49"/>
        <v>2.0079901710290513</v>
      </c>
      <c r="S70" s="68">
        <f t="shared" si="49"/>
        <v>0.66621922615483908</v>
      </c>
      <c r="T70" s="68">
        <f t="shared" si="49"/>
        <v>-0.55126422898770466</v>
      </c>
      <c r="U70" s="68">
        <f t="shared" si="49"/>
        <v>-1.8098568239019339</v>
      </c>
    </row>
    <row r="71" spans="1:21">
      <c r="A71" s="34"/>
      <c r="B71" s="34"/>
      <c r="C71" s="68"/>
      <c r="D71" s="68"/>
      <c r="E71" s="68"/>
      <c r="F71" s="68"/>
      <c r="G71" s="68"/>
      <c r="H71" s="68"/>
      <c r="I71" s="68"/>
      <c r="J71" s="68"/>
      <c r="K71" s="68"/>
      <c r="L71" s="68"/>
      <c r="M71" s="68"/>
      <c r="N71" s="68"/>
      <c r="O71" s="68"/>
      <c r="P71" s="68"/>
      <c r="Q71" s="68"/>
      <c r="R71" s="68"/>
      <c r="S71" s="68"/>
      <c r="T71" s="68"/>
      <c r="U71" s="68"/>
    </row>
    <row r="72" spans="1:21">
      <c r="A72" s="34" t="s">
        <v>53</v>
      </c>
      <c r="B72" s="34"/>
      <c r="C72" s="68"/>
      <c r="D72" s="68"/>
      <c r="E72" s="68"/>
      <c r="F72" s="68"/>
      <c r="G72" s="68"/>
      <c r="H72" s="68"/>
      <c r="I72" s="68"/>
      <c r="J72" s="68">
        <f t="shared" ref="J72:U72" si="50">($C$86-J61+J55)/(J$7*0.03*0.7)</f>
        <v>34.6270917316332</v>
      </c>
      <c r="K72" s="68">
        <f t="shared" si="50"/>
        <v>27.563991838974037</v>
      </c>
      <c r="L72" s="68">
        <f t="shared" si="50"/>
        <v>21.638554511401278</v>
      </c>
      <c r="M72" s="68">
        <f t="shared" si="50"/>
        <v>16.661169321400521</v>
      </c>
      <c r="N72" s="68">
        <f t="shared" si="50"/>
        <v>12.47382757937644</v>
      </c>
      <c r="O72" s="68">
        <f t="shared" si="50"/>
        <v>9.1596970317299675</v>
      </c>
      <c r="P72" s="68">
        <f t="shared" si="50"/>
        <v>6.4854171758817838</v>
      </c>
      <c r="Q72" s="68">
        <f t="shared" si="50"/>
        <v>4.2799621687867928</v>
      </c>
      <c r="R72" s="68">
        <f t="shared" si="50"/>
        <v>2.4157459817665003</v>
      </c>
      <c r="S72" s="68">
        <f t="shared" si="50"/>
        <v>0.79539434257180786</v>
      </c>
      <c r="T72" s="68">
        <f t="shared" si="50"/>
        <v>-0.65568844565932016</v>
      </c>
      <c r="U72" s="68">
        <f t="shared" si="50"/>
        <v>-1.8098568239019339</v>
      </c>
    </row>
    <row r="73" spans="1:21">
      <c r="A73" s="34" t="s">
        <v>54</v>
      </c>
      <c r="B73" s="34"/>
      <c r="C73" s="68"/>
      <c r="D73" s="68"/>
      <c r="E73" s="68"/>
      <c r="F73" s="68"/>
      <c r="G73" s="68"/>
      <c r="H73" s="68"/>
      <c r="I73" s="68"/>
      <c r="J73" s="68">
        <f t="shared" ref="J73:U73" si="51">($C$86-J61+J55)/(J$7*0.05*0.7)</f>
        <v>20.776255038979919</v>
      </c>
      <c r="K73" s="68">
        <f t="shared" si="51"/>
        <v>16.538395103384421</v>
      </c>
      <c r="L73" s="68">
        <f t="shared" si="51"/>
        <v>12.983132706840763</v>
      </c>
      <c r="M73" s="68">
        <f t="shared" si="51"/>
        <v>9.9967015928403136</v>
      </c>
      <c r="N73" s="68">
        <f t="shared" si="51"/>
        <v>7.4842965476258634</v>
      </c>
      <c r="O73" s="68">
        <f t="shared" si="51"/>
        <v>5.4958182190379796</v>
      </c>
      <c r="P73" s="68">
        <f t="shared" si="51"/>
        <v>3.8912503055290699</v>
      </c>
      <c r="Q73" s="68">
        <f t="shared" si="51"/>
        <v>2.5679773012720748</v>
      </c>
      <c r="R73" s="68">
        <f t="shared" si="51"/>
        <v>1.4494475890599001</v>
      </c>
      <c r="S73" s="68">
        <f t="shared" si="51"/>
        <v>0.47723660554308461</v>
      </c>
      <c r="T73" s="68">
        <f t="shared" si="51"/>
        <v>-0.39341306739559206</v>
      </c>
      <c r="U73" s="68">
        <f t="shared" si="51"/>
        <v>-1.0859140943411603</v>
      </c>
    </row>
    <row r="74" spans="1:21" hidden="1" outlineLevel="1">
      <c r="A74" s="34" t="s">
        <v>55</v>
      </c>
      <c r="B74" s="34"/>
      <c r="C74" s="68"/>
      <c r="D74" s="68"/>
      <c r="E74" s="68"/>
      <c r="F74" s="68"/>
      <c r="G74" s="68">
        <f t="shared" ref="G74:U74" si="52">($C$86-G61)/(G$7*0.15*0.7)</f>
        <v>30.795165780031628</v>
      </c>
      <c r="H74" s="68">
        <f t="shared" si="52"/>
        <v>16.798484790805251</v>
      </c>
      <c r="I74" s="68">
        <f t="shared" si="52"/>
        <v>9.6423095337776363</v>
      </c>
      <c r="J74" s="68">
        <f t="shared" si="52"/>
        <v>8.0352579448146972</v>
      </c>
      <c r="K74" s="68">
        <f t="shared" si="52"/>
        <v>5.5127983677948071</v>
      </c>
      <c r="L74" s="68">
        <f t="shared" si="52"/>
        <v>4.3277109022802556</v>
      </c>
      <c r="M74" s="68">
        <f t="shared" si="52"/>
        <v>3.3322338642801044</v>
      </c>
      <c r="N74" s="68">
        <f t="shared" si="52"/>
        <v>2.4947655158752879</v>
      </c>
      <c r="O74" s="68">
        <f t="shared" si="52"/>
        <v>1.8319394063459931</v>
      </c>
      <c r="P74" s="68">
        <f t="shared" si="52"/>
        <v>1.2970834351763569</v>
      </c>
      <c r="Q74" s="68">
        <f t="shared" si="52"/>
        <v>0.85599243375735845</v>
      </c>
      <c r="R74" s="68">
        <f t="shared" si="52"/>
        <v>0.48314919635330011</v>
      </c>
      <c r="S74" s="68">
        <f t="shared" si="52"/>
        <v>0.15907886851436154</v>
      </c>
      <c r="T74" s="68">
        <f t="shared" si="52"/>
        <v>-0.13113768913186402</v>
      </c>
      <c r="U74" s="68">
        <f t="shared" si="52"/>
        <v>-0.36197136478038677</v>
      </c>
    </row>
    <row r="75" spans="1:21" collapsed="1">
      <c r="C75" s="34"/>
      <c r="D75" s="34"/>
      <c r="E75" s="34"/>
      <c r="F75" s="34"/>
      <c r="G75" s="34"/>
      <c r="H75" s="34"/>
      <c r="I75" s="34"/>
      <c r="J75" s="34"/>
    </row>
    <row r="76" spans="1:21">
      <c r="A76" s="46" t="s">
        <v>56</v>
      </c>
      <c r="B76" s="69"/>
      <c r="C76" s="34"/>
      <c r="E76" s="34"/>
      <c r="F76" s="92"/>
      <c r="G76" s="92"/>
      <c r="H76" s="34"/>
      <c r="I76" s="34"/>
      <c r="J76" s="34"/>
    </row>
    <row r="77" spans="1:21">
      <c r="C77" s="34"/>
      <c r="D77" s="34"/>
      <c r="E77" s="34"/>
      <c r="F77" s="92"/>
      <c r="G77" s="92"/>
      <c r="H77" s="34"/>
      <c r="I77" s="34"/>
      <c r="J77" s="34"/>
    </row>
    <row r="78" spans="1:21">
      <c r="A78" s="47" t="s">
        <v>57</v>
      </c>
      <c r="C78" s="34"/>
      <c r="D78" s="34"/>
      <c r="E78" s="34"/>
      <c r="F78" s="92"/>
      <c r="G78" s="92"/>
      <c r="H78" s="92"/>
      <c r="I78" s="92"/>
      <c r="J78" s="34"/>
      <c r="K78" s="34"/>
      <c r="L78" s="34"/>
      <c r="M78" s="34"/>
    </row>
    <row r="79" spans="1:21" ht="13.5">
      <c r="A79" s="35" t="s">
        <v>58</v>
      </c>
      <c r="C79" s="34"/>
      <c r="D79" s="34"/>
      <c r="E79" s="34"/>
      <c r="F79" s="34"/>
      <c r="G79" s="34"/>
      <c r="H79" s="34"/>
      <c r="I79" s="34"/>
      <c r="J79" s="92"/>
      <c r="K79" s="34"/>
      <c r="L79" s="34"/>
      <c r="M79" s="34"/>
      <c r="N79" s="34"/>
      <c r="O79" s="34"/>
      <c r="P79" s="34"/>
      <c r="Q79" s="34"/>
      <c r="R79" s="34"/>
      <c r="S79" s="34"/>
      <c r="T79" s="122">
        <f>+'Simple - 5%'!T79</f>
        <v>15</v>
      </c>
      <c r="U79" s="70"/>
    </row>
    <row r="80" spans="1:21">
      <c r="A80" s="65" t="s">
        <v>59</v>
      </c>
      <c r="C80" s="55"/>
      <c r="D80" s="55"/>
      <c r="E80" s="55"/>
      <c r="F80" s="55"/>
      <c r="G80" s="55"/>
      <c r="H80" s="55"/>
      <c r="I80" s="55"/>
      <c r="J80" s="92"/>
      <c r="K80" s="55"/>
      <c r="L80" s="55"/>
      <c r="M80" s="55"/>
      <c r="N80" s="55"/>
      <c r="O80" s="55"/>
      <c r="P80" s="55"/>
      <c r="Q80" s="55"/>
      <c r="R80" s="55"/>
      <c r="S80" s="55"/>
      <c r="T80" s="55">
        <f>+T79*U46</f>
        <v>855.11201204340728</v>
      </c>
      <c r="U80" s="55"/>
    </row>
    <row r="81" spans="1:24">
      <c r="A81" s="65" t="s">
        <v>60</v>
      </c>
      <c r="C81" s="55"/>
      <c r="D81" s="55"/>
      <c r="E81" s="55"/>
      <c r="F81" s="55"/>
      <c r="G81" s="55"/>
      <c r="H81" s="55"/>
      <c r="I81" s="55"/>
      <c r="J81" s="55">
        <f>-$C$86+J61</f>
        <v>-492.57631390072396</v>
      </c>
      <c r="K81" s="55">
        <f t="shared" ref="K81:T81" si="53">+K58+K80</f>
        <v>87.042515045347045</v>
      </c>
      <c r="L81" s="55">
        <f t="shared" si="53"/>
        <v>23.5064670808801</v>
      </c>
      <c r="M81" s="55">
        <f t="shared" si="53"/>
        <v>29.045044159450917</v>
      </c>
      <c r="N81" s="55">
        <f t="shared" si="53"/>
        <v>35.85879338621487</v>
      </c>
      <c r="O81" s="55">
        <f t="shared" si="53"/>
        <v>42.339268605332293</v>
      </c>
      <c r="P81" s="55">
        <f t="shared" si="53"/>
        <v>49.097198727065951</v>
      </c>
      <c r="Q81" s="55">
        <f t="shared" si="53"/>
        <v>55.896498633714032</v>
      </c>
      <c r="R81" s="55">
        <f t="shared" si="53"/>
        <v>62.455168125641812</v>
      </c>
      <c r="S81" s="55">
        <f t="shared" si="53"/>
        <v>68.46068840385098</v>
      </c>
      <c r="T81" s="55">
        <f t="shared" si="53"/>
        <v>928.59699649523543</v>
      </c>
      <c r="U81" s="55"/>
    </row>
    <row r="82" spans="1:24">
      <c r="A82" s="71" t="s">
        <v>61</v>
      </c>
      <c r="B82" s="72"/>
      <c r="C82" s="72"/>
      <c r="D82" s="72"/>
      <c r="E82" s="72"/>
      <c r="F82" s="72"/>
      <c r="G82" s="72"/>
      <c r="H82" s="72"/>
      <c r="I82" s="72"/>
      <c r="J82" s="73">
        <f>XIRR(J81:T81,J3:T3)</f>
        <v>0.12675519585609438</v>
      </c>
      <c r="K82" s="74"/>
      <c r="L82" s="50"/>
      <c r="M82" s="50"/>
      <c r="N82" s="50"/>
      <c r="O82" s="50"/>
      <c r="P82" s="50"/>
      <c r="Q82" s="50"/>
      <c r="R82" s="50"/>
      <c r="S82" s="50"/>
      <c r="T82" s="50"/>
      <c r="U82" s="50"/>
    </row>
    <row r="83" spans="1:24">
      <c r="N83" s="99" t="str">
        <f>+Simple!N73</f>
        <v>AUD / USD &gt;&gt;</v>
      </c>
      <c r="O83" s="98">
        <f>+Simple!O73</f>
        <v>0.69278464789220273</v>
      </c>
      <c r="P83" s="100"/>
      <c r="V83" s="42"/>
      <c r="W83" s="42"/>
      <c r="X83" s="42"/>
    </row>
    <row r="84" spans="1:24">
      <c r="A84" s="75" t="s">
        <v>62</v>
      </c>
      <c r="B84" s="76"/>
      <c r="C84" s="77"/>
      <c r="D84" s="78"/>
      <c r="E84" s="34"/>
      <c r="F84" s="34"/>
      <c r="G84" s="34"/>
      <c r="H84" s="34"/>
      <c r="I84" s="34"/>
      <c r="J84" s="34"/>
      <c r="N84" s="101"/>
      <c r="O84" s="102" t="s">
        <v>63</v>
      </c>
      <c r="P84" s="78"/>
      <c r="V84" s="42"/>
      <c r="W84" s="103">
        <f ca="1">+X84-1</f>
        <v>45795</v>
      </c>
      <c r="X84" s="103">
        <f ca="1">TODAY()-1</f>
        <v>45796</v>
      </c>
    </row>
    <row r="85" spans="1:24">
      <c r="C85" s="79" t="s">
        <v>64</v>
      </c>
      <c r="D85" s="79" t="s">
        <v>65</v>
      </c>
      <c r="E85" s="34"/>
      <c r="F85" s="34"/>
      <c r="G85" s="34"/>
      <c r="H85" s="34"/>
      <c r="I85" s="34"/>
      <c r="J85" s="34"/>
      <c r="O85" s="79" t="s">
        <v>64</v>
      </c>
      <c r="P85" s="79" t="s">
        <v>66</v>
      </c>
      <c r="V85" s="42"/>
      <c r="W85" s="104" t="s">
        <v>67</v>
      </c>
      <c r="X85" s="104" t="s">
        <v>68</v>
      </c>
    </row>
    <row r="86" spans="1:24">
      <c r="A86" s="35" t="s">
        <v>69</v>
      </c>
      <c r="C86" s="54">
        <f>+D86*D89</f>
        <v>492.57631390072396</v>
      </c>
      <c r="D86" s="89">
        <f>Down!D86</f>
        <v>1.2920433683189581</v>
      </c>
      <c r="E86" s="40"/>
      <c r="F86" s="34"/>
      <c r="G86" s="34"/>
      <c r="H86" s="80"/>
      <c r="I86" s="34"/>
      <c r="J86" s="34"/>
      <c r="N86" s="35" t="s">
        <v>70</v>
      </c>
      <c r="O86" s="54">
        <f>+P86*P89</f>
        <v>711.0092803</v>
      </c>
      <c r="P86" s="89">
        <f>+Simple!D76</f>
        <v>1.865</v>
      </c>
      <c r="V86" s="42"/>
      <c r="W86" s="42"/>
      <c r="X86" s="42"/>
    </row>
    <row r="87" spans="1:24" ht="13.5">
      <c r="A87" s="35" t="s">
        <v>43</v>
      </c>
      <c r="C87" s="82">
        <f>Down!C87</f>
        <v>-54.700444767743953</v>
      </c>
      <c r="D87" s="83">
        <f>+C87/D89</f>
        <v>-0.14348100976797121</v>
      </c>
      <c r="E87" s="40"/>
      <c r="F87" s="34"/>
      <c r="G87" s="34"/>
      <c r="H87" s="34"/>
      <c r="I87" s="34"/>
      <c r="J87" s="34"/>
      <c r="N87" s="35" t="s">
        <v>71</v>
      </c>
      <c r="O87" s="82">
        <f>+Simple!C77</f>
        <v>-78.957357000000002</v>
      </c>
      <c r="P87" s="105">
        <f>+O87/P89</f>
        <v>-0.20710766354957799</v>
      </c>
      <c r="V87" s="42"/>
      <c r="W87" s="42"/>
      <c r="X87" s="42"/>
    </row>
    <row r="88" spans="1:24">
      <c r="A88" s="48" t="s">
        <v>72</v>
      </c>
      <c r="B88" s="49"/>
      <c r="C88" s="54">
        <f>+C87+C86</f>
        <v>437.87586913298003</v>
      </c>
      <c r="D88" s="89">
        <f>+C88/D89</f>
        <v>1.1485623585509868</v>
      </c>
      <c r="E88" s="34"/>
      <c r="F88" s="34"/>
      <c r="G88" s="34"/>
      <c r="H88" s="34"/>
      <c r="I88" s="34"/>
      <c r="J88" s="34"/>
      <c r="N88" s="48" t="s">
        <v>73</v>
      </c>
      <c r="O88" s="106">
        <f>+O87+O86</f>
        <v>632.0519233</v>
      </c>
      <c r="P88" s="107">
        <f>+O88/P89</f>
        <v>1.6578923364504219</v>
      </c>
      <c r="V88" s="42"/>
      <c r="W88" s="42"/>
      <c r="X88" s="42"/>
    </row>
    <row r="89" spans="1:24">
      <c r="A89" s="51" t="s">
        <v>74</v>
      </c>
      <c r="C89" s="34"/>
      <c r="D89" s="109">
        <f>+Simple!D79</f>
        <v>381.23822000000001</v>
      </c>
      <c r="E89" s="40"/>
      <c r="F89" s="34"/>
      <c r="G89" s="34"/>
      <c r="H89" s="34"/>
      <c r="I89" s="34"/>
      <c r="J89" s="34"/>
      <c r="N89" s="108" t="s">
        <v>74</v>
      </c>
      <c r="O89" s="40"/>
      <c r="P89" s="109">
        <f>+D89</f>
        <v>381.23822000000001</v>
      </c>
      <c r="V89" s="42"/>
      <c r="W89" s="42"/>
      <c r="X89" s="42"/>
    </row>
    <row r="90" spans="1:24">
      <c r="W90" s="81"/>
    </row>
    <row r="91" spans="1:24">
      <c r="C91" s="85"/>
      <c r="D91" s="85"/>
      <c r="E91" s="85"/>
      <c r="F91" s="85"/>
      <c r="G91" s="85"/>
      <c r="H91" s="85"/>
      <c r="I91" s="85"/>
      <c r="J91" s="85">
        <f>+J82</f>
        <v>0.12675519585609438</v>
      </c>
      <c r="K91" s="86">
        <f>+K53/J53-1</f>
        <v>0.23786730034151926</v>
      </c>
    </row>
    <row r="92" spans="1:24">
      <c r="H92" s="85"/>
      <c r="J92" s="110"/>
    </row>
    <row r="93" spans="1:24">
      <c r="K93" s="86">
        <f>(K91)+(K58)/$C$86</f>
        <v>0.41457599012007407</v>
      </c>
      <c r="L93" s="369">
        <f>(L47)+(L58)/$C$86</f>
        <v>0.30446627035443607</v>
      </c>
    </row>
    <row r="94" spans="1:24">
      <c r="C94" s="86">
        <f t="shared" ref="C94:J94" si="54">+$D$86/C69</f>
        <v>-9.0788396936949923E-4</v>
      </c>
      <c r="D94" s="86">
        <f t="shared" si="54"/>
        <v>-1.1855632180655348E-3</v>
      </c>
      <c r="E94" s="86">
        <f t="shared" si="54"/>
        <v>1.2375111838305428E-3</v>
      </c>
      <c r="F94" s="86">
        <f t="shared" si="54"/>
        <v>-2.1212507135546159E-3</v>
      </c>
      <c r="G94" s="86">
        <f t="shared" si="54"/>
        <v>-5.7460003277661154E-2</v>
      </c>
      <c r="H94" s="86">
        <f t="shared" si="54"/>
        <v>1.6869215686913554E-2</v>
      </c>
      <c r="I94" s="86">
        <f t="shared" si="54"/>
        <v>1.797885988429717E-2</v>
      </c>
      <c r="J94" s="86">
        <f t="shared" si="54"/>
        <v>2.5606462169162812E-2</v>
      </c>
      <c r="K94" s="86">
        <f>+J94*(1+K93)</f>
        <v>3.6222286576415706E-2</v>
      </c>
      <c r="L94" s="86">
        <f>+K94*(1+L93)</f>
        <v>4.7250751074046554E-2</v>
      </c>
      <c r="M94" s="86"/>
    </row>
    <row r="95" spans="1:24">
      <c r="C95" s="86"/>
      <c r="D95" s="131" t="s">
        <v>75</v>
      </c>
      <c r="E95" s="131" t="s">
        <v>76</v>
      </c>
      <c r="F95" s="131" t="s">
        <v>77</v>
      </c>
      <c r="G95" s="131" t="s">
        <v>78</v>
      </c>
      <c r="H95" s="131" t="s">
        <v>79</v>
      </c>
      <c r="I95" s="131" t="s">
        <v>80</v>
      </c>
      <c r="J95" s="131" t="s">
        <v>81</v>
      </c>
      <c r="K95" s="131" t="s">
        <v>82</v>
      </c>
      <c r="L95" s="131" t="s">
        <v>83</v>
      </c>
      <c r="M95" s="131"/>
    </row>
    <row r="96" spans="1:24">
      <c r="C96" s="86"/>
      <c r="D96" s="86">
        <f t="shared" ref="D96:L96" si="55">AVERAGE(C94:D94)</f>
        <v>-1.046723593717517E-3</v>
      </c>
      <c r="E96" s="86">
        <f t="shared" si="55"/>
        <v>2.5973982882504E-5</v>
      </c>
      <c r="F96" s="86">
        <f t="shared" si="55"/>
        <v>-4.4186976486203656E-4</v>
      </c>
      <c r="G96" s="86">
        <f t="shared" si="55"/>
        <v>-2.9790626995607885E-2</v>
      </c>
      <c r="H96" s="86">
        <f t="shared" si="55"/>
        <v>-2.02953937953738E-2</v>
      </c>
      <c r="I96" s="86">
        <f t="shared" si="55"/>
        <v>1.7424037785605362E-2</v>
      </c>
      <c r="J96" s="86">
        <f t="shared" si="55"/>
        <v>2.1792661026729991E-2</v>
      </c>
      <c r="K96" s="86">
        <f t="shared" si="55"/>
        <v>3.0914374372789259E-2</v>
      </c>
      <c r="L96" s="86">
        <f t="shared" si="55"/>
        <v>4.1736518825231134E-2</v>
      </c>
      <c r="M96" s="86"/>
    </row>
    <row r="102" spans="3:3">
      <c r="C102" s="88"/>
    </row>
    <row r="103" spans="3:3">
      <c r="C103" s="88"/>
    </row>
    <row r="104" spans="3:3">
      <c r="C104" s="88"/>
    </row>
  </sheetData>
  <pageMargins left="0.3" right="0.3" top="0.3" bottom="0.3" header="0.3" footer="0.3"/>
  <pageSetup scale="54" fitToHeight="0" orientation="landscape" r:id="rId1"/>
  <headerFooter>
    <oddFooter>Page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99F79-6271-4CA9-BC23-54C28EE9C5B9}">
  <sheetPr>
    <pageSetUpPr fitToPage="1"/>
  </sheetPr>
  <dimension ref="A1:AE104"/>
  <sheetViews>
    <sheetView view="pageBreakPreview" zoomScale="70" zoomScaleNormal="85" zoomScaleSheetLayoutView="70" workbookViewId="0">
      <pane xSplit="1" ySplit="5" topLeftCell="B6" activePane="bottomRight" state="frozen"/>
      <selection activeCell="D86" sqref="D86"/>
      <selection pane="topRight" activeCell="D86" sqref="D86"/>
      <selection pane="bottomLeft" activeCell="D86" sqref="D86"/>
      <selection pane="bottomRight" activeCell="A7" sqref="A7:A38"/>
    </sheetView>
  </sheetViews>
  <sheetFormatPr defaultColWidth="3.54296875" defaultRowHeight="12" outlineLevelRow="1"/>
  <cols>
    <col min="1" max="1" width="18.81640625" style="35" customWidth="1"/>
    <col min="2" max="2" width="5.1796875" style="35" customWidth="1"/>
    <col min="3" max="21" width="11.7265625" style="35" customWidth="1"/>
    <col min="22" max="22" width="8.26953125" style="35" customWidth="1"/>
    <col min="23" max="23" width="11.81640625" style="35" bestFit="1" customWidth="1"/>
    <col min="24" max="24" width="8.26953125" style="35" customWidth="1"/>
    <col min="25" max="31" width="8.7265625" style="35" customWidth="1"/>
    <col min="32" max="256" width="3.54296875" style="35"/>
    <col min="257" max="257" width="9.26953125" style="35" customWidth="1"/>
    <col min="258" max="258" width="1.7265625" style="35" customWidth="1"/>
    <col min="259" max="274" width="8.26953125" style="35" customWidth="1"/>
    <col min="275" max="276" width="10.81640625" style="35" customWidth="1"/>
    <col min="277" max="277" width="42.1796875" style="35" customWidth="1"/>
    <col min="278" max="280" width="8.26953125" style="35" customWidth="1"/>
    <col min="281" max="287" width="8.7265625" style="35" customWidth="1"/>
    <col min="288" max="512" width="3.54296875" style="35"/>
    <col min="513" max="513" width="9.26953125" style="35" customWidth="1"/>
    <col min="514" max="514" width="1.7265625" style="35" customWidth="1"/>
    <col min="515" max="530" width="8.26953125" style="35" customWidth="1"/>
    <col min="531" max="532" width="10.81640625" style="35" customWidth="1"/>
    <col min="533" max="533" width="42.1796875" style="35" customWidth="1"/>
    <col min="534" max="536" width="8.26953125" style="35" customWidth="1"/>
    <col min="537" max="543" width="8.7265625" style="35" customWidth="1"/>
    <col min="544" max="768" width="3.54296875" style="35"/>
    <col min="769" max="769" width="9.26953125" style="35" customWidth="1"/>
    <col min="770" max="770" width="1.7265625" style="35" customWidth="1"/>
    <col min="771" max="786" width="8.26953125" style="35" customWidth="1"/>
    <col min="787" max="788" width="10.81640625" style="35" customWidth="1"/>
    <col min="789" max="789" width="42.1796875" style="35" customWidth="1"/>
    <col min="790" max="792" width="8.26953125" style="35" customWidth="1"/>
    <col min="793" max="799" width="8.7265625" style="35" customWidth="1"/>
    <col min="800" max="1024" width="3.54296875" style="35"/>
    <col min="1025" max="1025" width="9.26953125" style="35" customWidth="1"/>
    <col min="1026" max="1026" width="1.7265625" style="35" customWidth="1"/>
    <col min="1027" max="1042" width="8.26953125" style="35" customWidth="1"/>
    <col min="1043" max="1044" width="10.81640625" style="35" customWidth="1"/>
    <col min="1045" max="1045" width="42.1796875" style="35" customWidth="1"/>
    <col min="1046" max="1048" width="8.26953125" style="35" customWidth="1"/>
    <col min="1049" max="1055" width="8.7265625" style="35" customWidth="1"/>
    <col min="1056" max="1280" width="3.54296875" style="35"/>
    <col min="1281" max="1281" width="9.26953125" style="35" customWidth="1"/>
    <col min="1282" max="1282" width="1.7265625" style="35" customWidth="1"/>
    <col min="1283" max="1298" width="8.26953125" style="35" customWidth="1"/>
    <col min="1299" max="1300" width="10.81640625" style="35" customWidth="1"/>
    <col min="1301" max="1301" width="42.1796875" style="35" customWidth="1"/>
    <col min="1302" max="1304" width="8.26953125" style="35" customWidth="1"/>
    <col min="1305" max="1311" width="8.7265625" style="35" customWidth="1"/>
    <col min="1312" max="1536" width="3.54296875" style="35"/>
    <col min="1537" max="1537" width="9.26953125" style="35" customWidth="1"/>
    <col min="1538" max="1538" width="1.7265625" style="35" customWidth="1"/>
    <col min="1539" max="1554" width="8.26953125" style="35" customWidth="1"/>
    <col min="1555" max="1556" width="10.81640625" style="35" customWidth="1"/>
    <col min="1557" max="1557" width="42.1796875" style="35" customWidth="1"/>
    <col min="1558" max="1560" width="8.26953125" style="35" customWidth="1"/>
    <col min="1561" max="1567" width="8.7265625" style="35" customWidth="1"/>
    <col min="1568" max="1792" width="3.54296875" style="35"/>
    <col min="1793" max="1793" width="9.26953125" style="35" customWidth="1"/>
    <col min="1794" max="1794" width="1.7265625" style="35" customWidth="1"/>
    <col min="1795" max="1810" width="8.26953125" style="35" customWidth="1"/>
    <col min="1811" max="1812" width="10.81640625" style="35" customWidth="1"/>
    <col min="1813" max="1813" width="42.1796875" style="35" customWidth="1"/>
    <col min="1814" max="1816" width="8.26953125" style="35" customWidth="1"/>
    <col min="1817" max="1823" width="8.7265625" style="35" customWidth="1"/>
    <col min="1824" max="2048" width="3.54296875" style="35"/>
    <col min="2049" max="2049" width="9.26953125" style="35" customWidth="1"/>
    <col min="2050" max="2050" width="1.7265625" style="35" customWidth="1"/>
    <col min="2051" max="2066" width="8.26953125" style="35" customWidth="1"/>
    <col min="2067" max="2068" width="10.81640625" style="35" customWidth="1"/>
    <col min="2069" max="2069" width="42.1796875" style="35" customWidth="1"/>
    <col min="2070" max="2072" width="8.26953125" style="35" customWidth="1"/>
    <col min="2073" max="2079" width="8.7265625" style="35" customWidth="1"/>
    <col min="2080" max="2304" width="3.54296875" style="35"/>
    <col min="2305" max="2305" width="9.26953125" style="35" customWidth="1"/>
    <col min="2306" max="2306" width="1.7265625" style="35" customWidth="1"/>
    <col min="2307" max="2322" width="8.26953125" style="35" customWidth="1"/>
    <col min="2323" max="2324" width="10.81640625" style="35" customWidth="1"/>
    <col min="2325" max="2325" width="42.1796875" style="35" customWidth="1"/>
    <col min="2326" max="2328" width="8.26953125" style="35" customWidth="1"/>
    <col min="2329" max="2335" width="8.7265625" style="35" customWidth="1"/>
    <col min="2336" max="2560" width="3.54296875" style="35"/>
    <col min="2561" max="2561" width="9.26953125" style="35" customWidth="1"/>
    <col min="2562" max="2562" width="1.7265625" style="35" customWidth="1"/>
    <col min="2563" max="2578" width="8.26953125" style="35" customWidth="1"/>
    <col min="2579" max="2580" width="10.81640625" style="35" customWidth="1"/>
    <col min="2581" max="2581" width="42.1796875" style="35" customWidth="1"/>
    <col min="2582" max="2584" width="8.26953125" style="35" customWidth="1"/>
    <col min="2585" max="2591" width="8.7265625" style="35" customWidth="1"/>
    <col min="2592" max="2816" width="3.54296875" style="35"/>
    <col min="2817" max="2817" width="9.26953125" style="35" customWidth="1"/>
    <col min="2818" max="2818" width="1.7265625" style="35" customWidth="1"/>
    <col min="2819" max="2834" width="8.26953125" style="35" customWidth="1"/>
    <col min="2835" max="2836" width="10.81640625" style="35" customWidth="1"/>
    <col min="2837" max="2837" width="42.1796875" style="35" customWidth="1"/>
    <col min="2838" max="2840" width="8.26953125" style="35" customWidth="1"/>
    <col min="2841" max="2847" width="8.7265625" style="35" customWidth="1"/>
    <col min="2848" max="3072" width="3.54296875" style="35"/>
    <col min="3073" max="3073" width="9.26953125" style="35" customWidth="1"/>
    <col min="3074" max="3074" width="1.7265625" style="35" customWidth="1"/>
    <col min="3075" max="3090" width="8.26953125" style="35" customWidth="1"/>
    <col min="3091" max="3092" width="10.81640625" style="35" customWidth="1"/>
    <col min="3093" max="3093" width="42.1796875" style="35" customWidth="1"/>
    <col min="3094" max="3096" width="8.26953125" style="35" customWidth="1"/>
    <col min="3097" max="3103" width="8.7265625" style="35" customWidth="1"/>
    <col min="3104" max="3328" width="3.54296875" style="35"/>
    <col min="3329" max="3329" width="9.26953125" style="35" customWidth="1"/>
    <col min="3330" max="3330" width="1.7265625" style="35" customWidth="1"/>
    <col min="3331" max="3346" width="8.26953125" style="35" customWidth="1"/>
    <col min="3347" max="3348" width="10.81640625" style="35" customWidth="1"/>
    <col min="3349" max="3349" width="42.1796875" style="35" customWidth="1"/>
    <col min="3350" max="3352" width="8.26953125" style="35" customWidth="1"/>
    <col min="3353" max="3359" width="8.7265625" style="35" customWidth="1"/>
    <col min="3360" max="3584" width="3.54296875" style="35"/>
    <col min="3585" max="3585" width="9.26953125" style="35" customWidth="1"/>
    <col min="3586" max="3586" width="1.7265625" style="35" customWidth="1"/>
    <col min="3587" max="3602" width="8.26953125" style="35" customWidth="1"/>
    <col min="3603" max="3604" width="10.81640625" style="35" customWidth="1"/>
    <col min="3605" max="3605" width="42.1796875" style="35" customWidth="1"/>
    <col min="3606" max="3608" width="8.26953125" style="35" customWidth="1"/>
    <col min="3609" max="3615" width="8.7265625" style="35" customWidth="1"/>
    <col min="3616" max="3840" width="3.54296875" style="35"/>
    <col min="3841" max="3841" width="9.26953125" style="35" customWidth="1"/>
    <col min="3842" max="3842" width="1.7265625" style="35" customWidth="1"/>
    <col min="3843" max="3858" width="8.26953125" style="35" customWidth="1"/>
    <col min="3859" max="3860" width="10.81640625" style="35" customWidth="1"/>
    <col min="3861" max="3861" width="42.1796875" style="35" customWidth="1"/>
    <col min="3862" max="3864" width="8.26953125" style="35" customWidth="1"/>
    <col min="3865" max="3871" width="8.7265625" style="35" customWidth="1"/>
    <col min="3872" max="4096" width="3.54296875" style="35"/>
    <col min="4097" max="4097" width="9.26953125" style="35" customWidth="1"/>
    <col min="4098" max="4098" width="1.7265625" style="35" customWidth="1"/>
    <col min="4099" max="4114" width="8.26953125" style="35" customWidth="1"/>
    <col min="4115" max="4116" width="10.81640625" style="35" customWidth="1"/>
    <col min="4117" max="4117" width="42.1796875" style="35" customWidth="1"/>
    <col min="4118" max="4120" width="8.26953125" style="35" customWidth="1"/>
    <col min="4121" max="4127" width="8.7265625" style="35" customWidth="1"/>
    <col min="4128" max="4352" width="3.54296875" style="35"/>
    <col min="4353" max="4353" width="9.26953125" style="35" customWidth="1"/>
    <col min="4354" max="4354" width="1.7265625" style="35" customWidth="1"/>
    <col min="4355" max="4370" width="8.26953125" style="35" customWidth="1"/>
    <col min="4371" max="4372" width="10.81640625" style="35" customWidth="1"/>
    <col min="4373" max="4373" width="42.1796875" style="35" customWidth="1"/>
    <col min="4374" max="4376" width="8.26953125" style="35" customWidth="1"/>
    <col min="4377" max="4383" width="8.7265625" style="35" customWidth="1"/>
    <col min="4384" max="4608" width="3.54296875" style="35"/>
    <col min="4609" max="4609" width="9.26953125" style="35" customWidth="1"/>
    <col min="4610" max="4610" width="1.7265625" style="35" customWidth="1"/>
    <col min="4611" max="4626" width="8.26953125" style="35" customWidth="1"/>
    <col min="4627" max="4628" width="10.81640625" style="35" customWidth="1"/>
    <col min="4629" max="4629" width="42.1796875" style="35" customWidth="1"/>
    <col min="4630" max="4632" width="8.26953125" style="35" customWidth="1"/>
    <col min="4633" max="4639" width="8.7265625" style="35" customWidth="1"/>
    <col min="4640" max="4864" width="3.54296875" style="35"/>
    <col min="4865" max="4865" width="9.26953125" style="35" customWidth="1"/>
    <col min="4866" max="4866" width="1.7265625" style="35" customWidth="1"/>
    <col min="4867" max="4882" width="8.26953125" style="35" customWidth="1"/>
    <col min="4883" max="4884" width="10.81640625" style="35" customWidth="1"/>
    <col min="4885" max="4885" width="42.1796875" style="35" customWidth="1"/>
    <col min="4886" max="4888" width="8.26953125" style="35" customWidth="1"/>
    <col min="4889" max="4895" width="8.7265625" style="35" customWidth="1"/>
    <col min="4896" max="5120" width="3.54296875" style="35"/>
    <col min="5121" max="5121" width="9.26953125" style="35" customWidth="1"/>
    <col min="5122" max="5122" width="1.7265625" style="35" customWidth="1"/>
    <col min="5123" max="5138" width="8.26953125" style="35" customWidth="1"/>
    <col min="5139" max="5140" width="10.81640625" style="35" customWidth="1"/>
    <col min="5141" max="5141" width="42.1796875" style="35" customWidth="1"/>
    <col min="5142" max="5144" width="8.26953125" style="35" customWidth="1"/>
    <col min="5145" max="5151" width="8.7265625" style="35" customWidth="1"/>
    <col min="5152" max="5376" width="3.54296875" style="35"/>
    <col min="5377" max="5377" width="9.26953125" style="35" customWidth="1"/>
    <col min="5378" max="5378" width="1.7265625" style="35" customWidth="1"/>
    <col min="5379" max="5394" width="8.26953125" style="35" customWidth="1"/>
    <col min="5395" max="5396" width="10.81640625" style="35" customWidth="1"/>
    <col min="5397" max="5397" width="42.1796875" style="35" customWidth="1"/>
    <col min="5398" max="5400" width="8.26953125" style="35" customWidth="1"/>
    <col min="5401" max="5407" width="8.7265625" style="35" customWidth="1"/>
    <col min="5408" max="5632" width="3.54296875" style="35"/>
    <col min="5633" max="5633" width="9.26953125" style="35" customWidth="1"/>
    <col min="5634" max="5634" width="1.7265625" style="35" customWidth="1"/>
    <col min="5635" max="5650" width="8.26953125" style="35" customWidth="1"/>
    <col min="5651" max="5652" width="10.81640625" style="35" customWidth="1"/>
    <col min="5653" max="5653" width="42.1796875" style="35" customWidth="1"/>
    <col min="5654" max="5656" width="8.26953125" style="35" customWidth="1"/>
    <col min="5657" max="5663" width="8.7265625" style="35" customWidth="1"/>
    <col min="5664" max="5888" width="3.54296875" style="35"/>
    <col min="5889" max="5889" width="9.26953125" style="35" customWidth="1"/>
    <col min="5890" max="5890" width="1.7265625" style="35" customWidth="1"/>
    <col min="5891" max="5906" width="8.26953125" style="35" customWidth="1"/>
    <col min="5907" max="5908" width="10.81640625" style="35" customWidth="1"/>
    <col min="5909" max="5909" width="42.1796875" style="35" customWidth="1"/>
    <col min="5910" max="5912" width="8.26953125" style="35" customWidth="1"/>
    <col min="5913" max="5919" width="8.7265625" style="35" customWidth="1"/>
    <col min="5920" max="6144" width="3.54296875" style="35"/>
    <col min="6145" max="6145" width="9.26953125" style="35" customWidth="1"/>
    <col min="6146" max="6146" width="1.7265625" style="35" customWidth="1"/>
    <col min="6147" max="6162" width="8.26953125" style="35" customWidth="1"/>
    <col min="6163" max="6164" width="10.81640625" style="35" customWidth="1"/>
    <col min="6165" max="6165" width="42.1796875" style="35" customWidth="1"/>
    <col min="6166" max="6168" width="8.26953125" style="35" customWidth="1"/>
    <col min="6169" max="6175" width="8.7265625" style="35" customWidth="1"/>
    <col min="6176" max="6400" width="3.54296875" style="35"/>
    <col min="6401" max="6401" width="9.26953125" style="35" customWidth="1"/>
    <col min="6402" max="6402" width="1.7265625" style="35" customWidth="1"/>
    <col min="6403" max="6418" width="8.26953125" style="35" customWidth="1"/>
    <col min="6419" max="6420" width="10.81640625" style="35" customWidth="1"/>
    <col min="6421" max="6421" width="42.1796875" style="35" customWidth="1"/>
    <col min="6422" max="6424" width="8.26953125" style="35" customWidth="1"/>
    <col min="6425" max="6431" width="8.7265625" style="35" customWidth="1"/>
    <col min="6432" max="6656" width="3.54296875" style="35"/>
    <col min="6657" max="6657" width="9.26953125" style="35" customWidth="1"/>
    <col min="6658" max="6658" width="1.7265625" style="35" customWidth="1"/>
    <col min="6659" max="6674" width="8.26953125" style="35" customWidth="1"/>
    <col min="6675" max="6676" width="10.81640625" style="35" customWidth="1"/>
    <col min="6677" max="6677" width="42.1796875" style="35" customWidth="1"/>
    <col min="6678" max="6680" width="8.26953125" style="35" customWidth="1"/>
    <col min="6681" max="6687" width="8.7265625" style="35" customWidth="1"/>
    <col min="6688" max="6912" width="3.54296875" style="35"/>
    <col min="6913" max="6913" width="9.26953125" style="35" customWidth="1"/>
    <col min="6914" max="6914" width="1.7265625" style="35" customWidth="1"/>
    <col min="6915" max="6930" width="8.26953125" style="35" customWidth="1"/>
    <col min="6931" max="6932" width="10.81640625" style="35" customWidth="1"/>
    <col min="6933" max="6933" width="42.1796875" style="35" customWidth="1"/>
    <col min="6934" max="6936" width="8.26953125" style="35" customWidth="1"/>
    <col min="6937" max="6943" width="8.7265625" style="35" customWidth="1"/>
    <col min="6944" max="7168" width="3.54296875" style="35"/>
    <col min="7169" max="7169" width="9.26953125" style="35" customWidth="1"/>
    <col min="7170" max="7170" width="1.7265625" style="35" customWidth="1"/>
    <col min="7171" max="7186" width="8.26953125" style="35" customWidth="1"/>
    <col min="7187" max="7188" width="10.81640625" style="35" customWidth="1"/>
    <col min="7189" max="7189" width="42.1796875" style="35" customWidth="1"/>
    <col min="7190" max="7192" width="8.26953125" style="35" customWidth="1"/>
    <col min="7193" max="7199" width="8.7265625" style="35" customWidth="1"/>
    <col min="7200" max="7424" width="3.54296875" style="35"/>
    <col min="7425" max="7425" width="9.26953125" style="35" customWidth="1"/>
    <col min="7426" max="7426" width="1.7265625" style="35" customWidth="1"/>
    <col min="7427" max="7442" width="8.26953125" style="35" customWidth="1"/>
    <col min="7443" max="7444" width="10.81640625" style="35" customWidth="1"/>
    <col min="7445" max="7445" width="42.1796875" style="35" customWidth="1"/>
    <col min="7446" max="7448" width="8.26953125" style="35" customWidth="1"/>
    <col min="7449" max="7455" width="8.7265625" style="35" customWidth="1"/>
    <col min="7456" max="7680" width="3.54296875" style="35"/>
    <col min="7681" max="7681" width="9.26953125" style="35" customWidth="1"/>
    <col min="7682" max="7682" width="1.7265625" style="35" customWidth="1"/>
    <col min="7683" max="7698" width="8.26953125" style="35" customWidth="1"/>
    <col min="7699" max="7700" width="10.81640625" style="35" customWidth="1"/>
    <col min="7701" max="7701" width="42.1796875" style="35" customWidth="1"/>
    <col min="7702" max="7704" width="8.26953125" style="35" customWidth="1"/>
    <col min="7705" max="7711" width="8.7265625" style="35" customWidth="1"/>
    <col min="7712" max="7936" width="3.54296875" style="35"/>
    <col min="7937" max="7937" width="9.26953125" style="35" customWidth="1"/>
    <col min="7938" max="7938" width="1.7265625" style="35" customWidth="1"/>
    <col min="7939" max="7954" width="8.26953125" style="35" customWidth="1"/>
    <col min="7955" max="7956" width="10.81640625" style="35" customWidth="1"/>
    <col min="7957" max="7957" width="42.1796875" style="35" customWidth="1"/>
    <col min="7958" max="7960" width="8.26953125" style="35" customWidth="1"/>
    <col min="7961" max="7967" width="8.7265625" style="35" customWidth="1"/>
    <col min="7968" max="8192" width="3.54296875" style="35"/>
    <col min="8193" max="8193" width="9.26953125" style="35" customWidth="1"/>
    <col min="8194" max="8194" width="1.7265625" style="35" customWidth="1"/>
    <col min="8195" max="8210" width="8.26953125" style="35" customWidth="1"/>
    <col min="8211" max="8212" width="10.81640625" style="35" customWidth="1"/>
    <col min="8213" max="8213" width="42.1796875" style="35" customWidth="1"/>
    <col min="8214" max="8216" width="8.26953125" style="35" customWidth="1"/>
    <col min="8217" max="8223" width="8.7265625" style="35" customWidth="1"/>
    <col min="8224" max="8448" width="3.54296875" style="35"/>
    <col min="8449" max="8449" width="9.26953125" style="35" customWidth="1"/>
    <col min="8450" max="8450" width="1.7265625" style="35" customWidth="1"/>
    <col min="8451" max="8466" width="8.26953125" style="35" customWidth="1"/>
    <col min="8467" max="8468" width="10.81640625" style="35" customWidth="1"/>
    <col min="8469" max="8469" width="42.1796875" style="35" customWidth="1"/>
    <col min="8470" max="8472" width="8.26953125" style="35" customWidth="1"/>
    <col min="8473" max="8479" width="8.7265625" style="35" customWidth="1"/>
    <col min="8480" max="8704" width="3.54296875" style="35"/>
    <col min="8705" max="8705" width="9.26953125" style="35" customWidth="1"/>
    <col min="8706" max="8706" width="1.7265625" style="35" customWidth="1"/>
    <col min="8707" max="8722" width="8.26953125" style="35" customWidth="1"/>
    <col min="8723" max="8724" width="10.81640625" style="35" customWidth="1"/>
    <col min="8725" max="8725" width="42.1796875" style="35" customWidth="1"/>
    <col min="8726" max="8728" width="8.26953125" style="35" customWidth="1"/>
    <col min="8729" max="8735" width="8.7265625" style="35" customWidth="1"/>
    <col min="8736" max="8960" width="3.54296875" style="35"/>
    <col min="8961" max="8961" width="9.26953125" style="35" customWidth="1"/>
    <col min="8962" max="8962" width="1.7265625" style="35" customWidth="1"/>
    <col min="8963" max="8978" width="8.26953125" style="35" customWidth="1"/>
    <col min="8979" max="8980" width="10.81640625" style="35" customWidth="1"/>
    <col min="8981" max="8981" width="42.1796875" style="35" customWidth="1"/>
    <col min="8982" max="8984" width="8.26953125" style="35" customWidth="1"/>
    <col min="8985" max="8991" width="8.7265625" style="35" customWidth="1"/>
    <col min="8992" max="9216" width="3.54296875" style="35"/>
    <col min="9217" max="9217" width="9.26953125" style="35" customWidth="1"/>
    <col min="9218" max="9218" width="1.7265625" style="35" customWidth="1"/>
    <col min="9219" max="9234" width="8.26953125" style="35" customWidth="1"/>
    <col min="9235" max="9236" width="10.81640625" style="35" customWidth="1"/>
    <col min="9237" max="9237" width="42.1796875" style="35" customWidth="1"/>
    <col min="9238" max="9240" width="8.26953125" style="35" customWidth="1"/>
    <col min="9241" max="9247" width="8.7265625" style="35" customWidth="1"/>
    <col min="9248" max="9472" width="3.54296875" style="35"/>
    <col min="9473" max="9473" width="9.26953125" style="35" customWidth="1"/>
    <col min="9474" max="9474" width="1.7265625" style="35" customWidth="1"/>
    <col min="9475" max="9490" width="8.26953125" style="35" customWidth="1"/>
    <col min="9491" max="9492" width="10.81640625" style="35" customWidth="1"/>
    <col min="9493" max="9493" width="42.1796875" style="35" customWidth="1"/>
    <col min="9494" max="9496" width="8.26953125" style="35" customWidth="1"/>
    <col min="9497" max="9503" width="8.7265625" style="35" customWidth="1"/>
    <col min="9504" max="9728" width="3.54296875" style="35"/>
    <col min="9729" max="9729" width="9.26953125" style="35" customWidth="1"/>
    <col min="9730" max="9730" width="1.7265625" style="35" customWidth="1"/>
    <col min="9731" max="9746" width="8.26953125" style="35" customWidth="1"/>
    <col min="9747" max="9748" width="10.81640625" style="35" customWidth="1"/>
    <col min="9749" max="9749" width="42.1796875" style="35" customWidth="1"/>
    <col min="9750" max="9752" width="8.26953125" style="35" customWidth="1"/>
    <col min="9753" max="9759" width="8.7265625" style="35" customWidth="1"/>
    <col min="9760" max="9984" width="3.54296875" style="35"/>
    <col min="9985" max="9985" width="9.26953125" style="35" customWidth="1"/>
    <col min="9986" max="9986" width="1.7265625" style="35" customWidth="1"/>
    <col min="9987" max="10002" width="8.26953125" style="35" customWidth="1"/>
    <col min="10003" max="10004" width="10.81640625" style="35" customWidth="1"/>
    <col min="10005" max="10005" width="42.1796875" style="35" customWidth="1"/>
    <col min="10006" max="10008" width="8.26953125" style="35" customWidth="1"/>
    <col min="10009" max="10015" width="8.7265625" style="35" customWidth="1"/>
    <col min="10016" max="10240" width="3.54296875" style="35"/>
    <col min="10241" max="10241" width="9.26953125" style="35" customWidth="1"/>
    <col min="10242" max="10242" width="1.7265625" style="35" customWidth="1"/>
    <col min="10243" max="10258" width="8.26953125" style="35" customWidth="1"/>
    <col min="10259" max="10260" width="10.81640625" style="35" customWidth="1"/>
    <col min="10261" max="10261" width="42.1796875" style="35" customWidth="1"/>
    <col min="10262" max="10264" width="8.26953125" style="35" customWidth="1"/>
    <col min="10265" max="10271" width="8.7265625" style="35" customWidth="1"/>
    <col min="10272" max="10496" width="3.54296875" style="35"/>
    <col min="10497" max="10497" width="9.26953125" style="35" customWidth="1"/>
    <col min="10498" max="10498" width="1.7265625" style="35" customWidth="1"/>
    <col min="10499" max="10514" width="8.26953125" style="35" customWidth="1"/>
    <col min="10515" max="10516" width="10.81640625" style="35" customWidth="1"/>
    <col min="10517" max="10517" width="42.1796875" style="35" customWidth="1"/>
    <col min="10518" max="10520" width="8.26953125" style="35" customWidth="1"/>
    <col min="10521" max="10527" width="8.7265625" style="35" customWidth="1"/>
    <col min="10528" max="10752" width="3.54296875" style="35"/>
    <col min="10753" max="10753" width="9.26953125" style="35" customWidth="1"/>
    <col min="10754" max="10754" width="1.7265625" style="35" customWidth="1"/>
    <col min="10755" max="10770" width="8.26953125" style="35" customWidth="1"/>
    <col min="10771" max="10772" width="10.81640625" style="35" customWidth="1"/>
    <col min="10773" max="10773" width="42.1796875" style="35" customWidth="1"/>
    <col min="10774" max="10776" width="8.26953125" style="35" customWidth="1"/>
    <col min="10777" max="10783" width="8.7265625" style="35" customWidth="1"/>
    <col min="10784" max="11008" width="3.54296875" style="35"/>
    <col min="11009" max="11009" width="9.26953125" style="35" customWidth="1"/>
    <col min="11010" max="11010" width="1.7265625" style="35" customWidth="1"/>
    <col min="11011" max="11026" width="8.26953125" style="35" customWidth="1"/>
    <col min="11027" max="11028" width="10.81640625" style="35" customWidth="1"/>
    <col min="11029" max="11029" width="42.1796875" style="35" customWidth="1"/>
    <col min="11030" max="11032" width="8.26953125" style="35" customWidth="1"/>
    <col min="11033" max="11039" width="8.7265625" style="35" customWidth="1"/>
    <col min="11040" max="11264" width="3.54296875" style="35"/>
    <col min="11265" max="11265" width="9.26953125" style="35" customWidth="1"/>
    <col min="11266" max="11266" width="1.7265625" style="35" customWidth="1"/>
    <col min="11267" max="11282" width="8.26953125" style="35" customWidth="1"/>
    <col min="11283" max="11284" width="10.81640625" style="35" customWidth="1"/>
    <col min="11285" max="11285" width="42.1796875" style="35" customWidth="1"/>
    <col min="11286" max="11288" width="8.26953125" style="35" customWidth="1"/>
    <col min="11289" max="11295" width="8.7265625" style="35" customWidth="1"/>
    <col min="11296" max="11520" width="3.54296875" style="35"/>
    <col min="11521" max="11521" width="9.26953125" style="35" customWidth="1"/>
    <col min="11522" max="11522" width="1.7265625" style="35" customWidth="1"/>
    <col min="11523" max="11538" width="8.26953125" style="35" customWidth="1"/>
    <col min="11539" max="11540" width="10.81640625" style="35" customWidth="1"/>
    <col min="11541" max="11541" width="42.1796875" style="35" customWidth="1"/>
    <col min="11542" max="11544" width="8.26953125" style="35" customWidth="1"/>
    <col min="11545" max="11551" width="8.7265625" style="35" customWidth="1"/>
    <col min="11552" max="11776" width="3.54296875" style="35"/>
    <col min="11777" max="11777" width="9.26953125" style="35" customWidth="1"/>
    <col min="11778" max="11778" width="1.7265625" style="35" customWidth="1"/>
    <col min="11779" max="11794" width="8.26953125" style="35" customWidth="1"/>
    <col min="11795" max="11796" width="10.81640625" style="35" customWidth="1"/>
    <col min="11797" max="11797" width="42.1796875" style="35" customWidth="1"/>
    <col min="11798" max="11800" width="8.26953125" style="35" customWidth="1"/>
    <col min="11801" max="11807" width="8.7265625" style="35" customWidth="1"/>
    <col min="11808" max="12032" width="3.54296875" style="35"/>
    <col min="12033" max="12033" width="9.26953125" style="35" customWidth="1"/>
    <col min="12034" max="12034" width="1.7265625" style="35" customWidth="1"/>
    <col min="12035" max="12050" width="8.26953125" style="35" customWidth="1"/>
    <col min="12051" max="12052" width="10.81640625" style="35" customWidth="1"/>
    <col min="12053" max="12053" width="42.1796875" style="35" customWidth="1"/>
    <col min="12054" max="12056" width="8.26953125" style="35" customWidth="1"/>
    <col min="12057" max="12063" width="8.7265625" style="35" customWidth="1"/>
    <col min="12064" max="12288" width="3.54296875" style="35"/>
    <col min="12289" max="12289" width="9.26953125" style="35" customWidth="1"/>
    <col min="12290" max="12290" width="1.7265625" style="35" customWidth="1"/>
    <col min="12291" max="12306" width="8.26953125" style="35" customWidth="1"/>
    <col min="12307" max="12308" width="10.81640625" style="35" customWidth="1"/>
    <col min="12309" max="12309" width="42.1796875" style="35" customWidth="1"/>
    <col min="12310" max="12312" width="8.26953125" style="35" customWidth="1"/>
    <col min="12313" max="12319" width="8.7265625" style="35" customWidth="1"/>
    <col min="12320" max="12544" width="3.54296875" style="35"/>
    <col min="12545" max="12545" width="9.26953125" style="35" customWidth="1"/>
    <col min="12546" max="12546" width="1.7265625" style="35" customWidth="1"/>
    <col min="12547" max="12562" width="8.26953125" style="35" customWidth="1"/>
    <col min="12563" max="12564" width="10.81640625" style="35" customWidth="1"/>
    <col min="12565" max="12565" width="42.1796875" style="35" customWidth="1"/>
    <col min="12566" max="12568" width="8.26953125" style="35" customWidth="1"/>
    <col min="12569" max="12575" width="8.7265625" style="35" customWidth="1"/>
    <col min="12576" max="12800" width="3.54296875" style="35"/>
    <col min="12801" max="12801" width="9.26953125" style="35" customWidth="1"/>
    <col min="12802" max="12802" width="1.7265625" style="35" customWidth="1"/>
    <col min="12803" max="12818" width="8.26953125" style="35" customWidth="1"/>
    <col min="12819" max="12820" width="10.81640625" style="35" customWidth="1"/>
    <col min="12821" max="12821" width="42.1796875" style="35" customWidth="1"/>
    <col min="12822" max="12824" width="8.26953125" style="35" customWidth="1"/>
    <col min="12825" max="12831" width="8.7265625" style="35" customWidth="1"/>
    <col min="12832" max="13056" width="3.54296875" style="35"/>
    <col min="13057" max="13057" width="9.26953125" style="35" customWidth="1"/>
    <col min="13058" max="13058" width="1.7265625" style="35" customWidth="1"/>
    <col min="13059" max="13074" width="8.26953125" style="35" customWidth="1"/>
    <col min="13075" max="13076" width="10.81640625" style="35" customWidth="1"/>
    <col min="13077" max="13077" width="42.1796875" style="35" customWidth="1"/>
    <col min="13078" max="13080" width="8.26953125" style="35" customWidth="1"/>
    <col min="13081" max="13087" width="8.7265625" style="35" customWidth="1"/>
    <col min="13088" max="13312" width="3.54296875" style="35"/>
    <col min="13313" max="13313" width="9.26953125" style="35" customWidth="1"/>
    <col min="13314" max="13314" width="1.7265625" style="35" customWidth="1"/>
    <col min="13315" max="13330" width="8.26953125" style="35" customWidth="1"/>
    <col min="13331" max="13332" width="10.81640625" style="35" customWidth="1"/>
    <col min="13333" max="13333" width="42.1796875" style="35" customWidth="1"/>
    <col min="13334" max="13336" width="8.26953125" style="35" customWidth="1"/>
    <col min="13337" max="13343" width="8.7265625" style="35" customWidth="1"/>
    <col min="13344" max="13568" width="3.54296875" style="35"/>
    <col min="13569" max="13569" width="9.26953125" style="35" customWidth="1"/>
    <col min="13570" max="13570" width="1.7265625" style="35" customWidth="1"/>
    <col min="13571" max="13586" width="8.26953125" style="35" customWidth="1"/>
    <col min="13587" max="13588" width="10.81640625" style="35" customWidth="1"/>
    <col min="13589" max="13589" width="42.1796875" style="35" customWidth="1"/>
    <col min="13590" max="13592" width="8.26953125" style="35" customWidth="1"/>
    <col min="13593" max="13599" width="8.7265625" style="35" customWidth="1"/>
    <col min="13600" max="13824" width="3.54296875" style="35"/>
    <col min="13825" max="13825" width="9.26953125" style="35" customWidth="1"/>
    <col min="13826" max="13826" width="1.7265625" style="35" customWidth="1"/>
    <col min="13827" max="13842" width="8.26953125" style="35" customWidth="1"/>
    <col min="13843" max="13844" width="10.81640625" style="35" customWidth="1"/>
    <col min="13845" max="13845" width="42.1796875" style="35" customWidth="1"/>
    <col min="13846" max="13848" width="8.26953125" style="35" customWidth="1"/>
    <col min="13849" max="13855" width="8.7265625" style="35" customWidth="1"/>
    <col min="13856" max="14080" width="3.54296875" style="35"/>
    <col min="14081" max="14081" width="9.26953125" style="35" customWidth="1"/>
    <col min="14082" max="14082" width="1.7265625" style="35" customWidth="1"/>
    <col min="14083" max="14098" width="8.26953125" style="35" customWidth="1"/>
    <col min="14099" max="14100" width="10.81640625" style="35" customWidth="1"/>
    <col min="14101" max="14101" width="42.1796875" style="35" customWidth="1"/>
    <col min="14102" max="14104" width="8.26953125" style="35" customWidth="1"/>
    <col min="14105" max="14111" width="8.7265625" style="35" customWidth="1"/>
    <col min="14112" max="14336" width="3.54296875" style="35"/>
    <col min="14337" max="14337" width="9.26953125" style="35" customWidth="1"/>
    <col min="14338" max="14338" width="1.7265625" style="35" customWidth="1"/>
    <col min="14339" max="14354" width="8.26953125" style="35" customWidth="1"/>
    <col min="14355" max="14356" width="10.81640625" style="35" customWidth="1"/>
    <col min="14357" max="14357" width="42.1796875" style="35" customWidth="1"/>
    <col min="14358" max="14360" width="8.26953125" style="35" customWidth="1"/>
    <col min="14361" max="14367" width="8.7265625" style="35" customWidth="1"/>
    <col min="14368" max="14592" width="3.54296875" style="35"/>
    <col min="14593" max="14593" width="9.26953125" style="35" customWidth="1"/>
    <col min="14594" max="14594" width="1.7265625" style="35" customWidth="1"/>
    <col min="14595" max="14610" width="8.26953125" style="35" customWidth="1"/>
    <col min="14611" max="14612" width="10.81640625" style="35" customWidth="1"/>
    <col min="14613" max="14613" width="42.1796875" style="35" customWidth="1"/>
    <col min="14614" max="14616" width="8.26953125" style="35" customWidth="1"/>
    <col min="14617" max="14623" width="8.7265625" style="35" customWidth="1"/>
    <col min="14624" max="14848" width="3.54296875" style="35"/>
    <col min="14849" max="14849" width="9.26953125" style="35" customWidth="1"/>
    <col min="14850" max="14850" width="1.7265625" style="35" customWidth="1"/>
    <col min="14851" max="14866" width="8.26953125" style="35" customWidth="1"/>
    <col min="14867" max="14868" width="10.81640625" style="35" customWidth="1"/>
    <col min="14869" max="14869" width="42.1796875" style="35" customWidth="1"/>
    <col min="14870" max="14872" width="8.26953125" style="35" customWidth="1"/>
    <col min="14873" max="14879" width="8.7265625" style="35" customWidth="1"/>
    <col min="14880" max="15104" width="3.54296875" style="35"/>
    <col min="15105" max="15105" width="9.26953125" style="35" customWidth="1"/>
    <col min="15106" max="15106" width="1.7265625" style="35" customWidth="1"/>
    <col min="15107" max="15122" width="8.26953125" style="35" customWidth="1"/>
    <col min="15123" max="15124" width="10.81640625" style="35" customWidth="1"/>
    <col min="15125" max="15125" width="42.1796875" style="35" customWidth="1"/>
    <col min="15126" max="15128" width="8.26953125" style="35" customWidth="1"/>
    <col min="15129" max="15135" width="8.7265625" style="35" customWidth="1"/>
    <col min="15136" max="15360" width="3.54296875" style="35"/>
    <col min="15361" max="15361" width="9.26953125" style="35" customWidth="1"/>
    <col min="15362" max="15362" width="1.7265625" style="35" customWidth="1"/>
    <col min="15363" max="15378" width="8.26953125" style="35" customWidth="1"/>
    <col min="15379" max="15380" width="10.81640625" style="35" customWidth="1"/>
    <col min="15381" max="15381" width="42.1796875" style="35" customWidth="1"/>
    <col min="15382" max="15384" width="8.26953125" style="35" customWidth="1"/>
    <col min="15385" max="15391" width="8.7265625" style="35" customWidth="1"/>
    <col min="15392" max="15616" width="3.54296875" style="35"/>
    <col min="15617" max="15617" width="9.26953125" style="35" customWidth="1"/>
    <col min="15618" max="15618" width="1.7265625" style="35" customWidth="1"/>
    <col min="15619" max="15634" width="8.26953125" style="35" customWidth="1"/>
    <col min="15635" max="15636" width="10.81640625" style="35" customWidth="1"/>
    <col min="15637" max="15637" width="42.1796875" style="35" customWidth="1"/>
    <col min="15638" max="15640" width="8.26953125" style="35" customWidth="1"/>
    <col min="15641" max="15647" width="8.7265625" style="35" customWidth="1"/>
    <col min="15648" max="15872" width="3.54296875" style="35"/>
    <col min="15873" max="15873" width="9.26953125" style="35" customWidth="1"/>
    <col min="15874" max="15874" width="1.7265625" style="35" customWidth="1"/>
    <col min="15875" max="15890" width="8.26953125" style="35" customWidth="1"/>
    <col min="15891" max="15892" width="10.81640625" style="35" customWidth="1"/>
    <col min="15893" max="15893" width="42.1796875" style="35" customWidth="1"/>
    <col min="15894" max="15896" width="8.26953125" style="35" customWidth="1"/>
    <col min="15897" max="15903" width="8.7265625" style="35" customWidth="1"/>
    <col min="15904" max="16128" width="3.54296875" style="35"/>
    <col min="16129" max="16129" width="9.26953125" style="35" customWidth="1"/>
    <col min="16130" max="16130" width="1.7265625" style="35" customWidth="1"/>
    <col min="16131" max="16146" width="8.26953125" style="35" customWidth="1"/>
    <col min="16147" max="16148" width="10.81640625" style="35" customWidth="1"/>
    <col min="16149" max="16149" width="42.1796875" style="35" customWidth="1"/>
    <col min="16150" max="16152" width="8.26953125" style="35" customWidth="1"/>
    <col min="16153" max="16159" width="8.7265625" style="35" customWidth="1"/>
    <col min="16160" max="16384" width="3.54296875" style="35"/>
  </cols>
  <sheetData>
    <row r="1" spans="1:31">
      <c r="A1" s="34" t="s">
        <v>0</v>
      </c>
      <c r="H1" s="189"/>
      <c r="I1" s="190" t="s">
        <v>4202</v>
      </c>
      <c r="J1" s="189"/>
      <c r="K1" s="189"/>
      <c r="L1" s="86"/>
      <c r="N1" s="36"/>
      <c r="O1" s="36"/>
      <c r="P1" s="37"/>
      <c r="Q1" s="37"/>
      <c r="R1" s="37"/>
      <c r="S1" s="37"/>
      <c r="T1" s="37"/>
      <c r="U1" s="37">
        <f>+'Simple - 5%'!U1</f>
        <v>45565</v>
      </c>
    </row>
    <row r="2" spans="1:31">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row>
    <row r="3" spans="1:31">
      <c r="A3" s="40" t="s">
        <v>3</v>
      </c>
      <c r="C3" s="41"/>
      <c r="D3" s="41"/>
      <c r="E3" s="41"/>
      <c r="F3" s="41"/>
      <c r="G3" s="41"/>
      <c r="H3" s="41">
        <f ca="1">TODAY()</f>
        <v>45797</v>
      </c>
      <c r="I3" s="41"/>
      <c r="J3" s="41">
        <f>+'Simple - 5%'!J3</f>
        <v>45565</v>
      </c>
      <c r="K3" s="41">
        <v>46203</v>
      </c>
      <c r="L3" s="41">
        <v>46568</v>
      </c>
      <c r="M3" s="41">
        <v>46934</v>
      </c>
      <c r="N3" s="41">
        <v>47299</v>
      </c>
      <c r="O3" s="41">
        <v>47664</v>
      </c>
      <c r="P3" s="41">
        <v>48029</v>
      </c>
      <c r="Q3" s="41">
        <v>48395</v>
      </c>
      <c r="R3" s="41">
        <v>48760</v>
      </c>
      <c r="S3" s="41">
        <v>49125</v>
      </c>
      <c r="T3" s="41">
        <v>49490</v>
      </c>
      <c r="U3" s="41">
        <v>49856</v>
      </c>
    </row>
    <row r="4" spans="1:31" ht="13.5">
      <c r="A4" s="42"/>
      <c r="C4" s="43" t="str">
        <f>+Historical!C4</f>
        <v>FYE June 30th</v>
      </c>
      <c r="D4" s="44"/>
      <c r="E4" s="44"/>
      <c r="F4" s="44"/>
      <c r="G4" s="44"/>
      <c r="H4" s="44"/>
      <c r="I4" s="44"/>
      <c r="J4" s="44"/>
      <c r="K4" s="44"/>
      <c r="L4" s="44"/>
      <c r="M4" s="44"/>
      <c r="N4" s="44"/>
      <c r="O4" s="44"/>
      <c r="P4" s="44"/>
      <c r="Q4" s="44"/>
      <c r="R4" s="44"/>
      <c r="S4" s="44"/>
      <c r="T4" s="44"/>
      <c r="U4" s="44"/>
    </row>
    <row r="5" spans="1:31" ht="13.5">
      <c r="C5" s="45" t="s">
        <v>4</v>
      </c>
      <c r="D5" s="45" t="s">
        <v>5</v>
      </c>
      <c r="E5" s="45" t="s">
        <v>6</v>
      </c>
      <c r="F5" s="45" t="s">
        <v>7</v>
      </c>
      <c r="G5" s="45" t="s">
        <v>8</v>
      </c>
      <c r="H5" s="45" t="s">
        <v>9</v>
      </c>
      <c r="I5" s="45" t="s">
        <v>4196</v>
      </c>
      <c r="J5" s="45" t="s">
        <v>11</v>
      </c>
      <c r="K5" s="45" t="s">
        <v>12</v>
      </c>
      <c r="L5" s="45" t="s">
        <v>13</v>
      </c>
      <c r="M5" s="45" t="s">
        <v>14</v>
      </c>
      <c r="N5" s="45" t="s">
        <v>15</v>
      </c>
      <c r="O5" s="45" t="s">
        <v>16</v>
      </c>
      <c r="P5" s="45" t="s">
        <v>17</v>
      </c>
      <c r="Q5" s="45" t="s">
        <v>18</v>
      </c>
      <c r="R5" s="45" t="s">
        <v>19</v>
      </c>
      <c r="S5" s="45" t="s">
        <v>20</v>
      </c>
      <c r="T5" s="45" t="s">
        <v>21</v>
      </c>
      <c r="U5" s="45" t="s">
        <v>4195</v>
      </c>
    </row>
    <row r="6" spans="1:31" ht="13.5">
      <c r="C6" s="45"/>
      <c r="D6" s="45"/>
      <c r="E6" s="45"/>
      <c r="F6" s="93"/>
      <c r="G6" s="45"/>
      <c r="H6" s="45"/>
      <c r="I6" s="93"/>
      <c r="J6" s="93" t="str">
        <f>+'Simple - 5%'!J6</f>
        <v>c = 628</v>
      </c>
      <c r="K6" s="45"/>
      <c r="L6" s="45"/>
      <c r="M6" s="45"/>
      <c r="N6" s="45"/>
      <c r="O6" s="45"/>
      <c r="P6" s="45"/>
      <c r="Q6" s="45"/>
      <c r="R6" s="45"/>
      <c r="S6" s="45"/>
      <c r="T6" s="45"/>
      <c r="U6" s="45"/>
      <c r="W6" s="35" t="s">
        <v>22</v>
      </c>
    </row>
    <row r="7" spans="1:31" s="34" customFormat="1">
      <c r="A7" s="50" t="s">
        <v>23</v>
      </c>
      <c r="B7" s="54"/>
      <c r="C7" s="53">
        <f>+'Historical - USD'!Q33</f>
        <v>0.42151179143997225</v>
      </c>
      <c r="D7" s="53">
        <f>+'Historical - USD'!R33</f>
        <v>4.0829256170548218</v>
      </c>
      <c r="E7" s="53">
        <f>+'Historical - USD'!S33</f>
        <v>15.1969708197214</v>
      </c>
      <c r="F7" s="53">
        <f>+'Historical - USD'!T33</f>
        <v>69.29545015814108</v>
      </c>
      <c r="G7" s="53">
        <f>+'Historical - USD'!U33</f>
        <v>152.33569525294132</v>
      </c>
      <c r="H7" s="53">
        <f>+'Historical - USD'!V33</f>
        <v>279.26346024365614</v>
      </c>
      <c r="I7" s="53">
        <f>+'Historical - USD'!W33</f>
        <v>486.52275402455365</v>
      </c>
      <c r="J7" s="55">
        <f t="shared" ref="J7:U7" si="0">+I7*(1+J8)</f>
        <v>583.82730482946431</v>
      </c>
      <c r="K7" s="55">
        <f t="shared" si="0"/>
        <v>700.5927657953572</v>
      </c>
      <c r="L7" s="55">
        <f t="shared" si="0"/>
        <v>840.71131895442863</v>
      </c>
      <c r="M7" s="55">
        <f t="shared" si="0"/>
        <v>1008.8535827453143</v>
      </c>
      <c r="N7" s="55">
        <f t="shared" si="0"/>
        <v>1210.6242992943771</v>
      </c>
      <c r="O7" s="55">
        <f t="shared" si="0"/>
        <v>1428.5366731673648</v>
      </c>
      <c r="P7" s="55">
        <f t="shared" si="0"/>
        <v>1657.1025408741432</v>
      </c>
      <c r="Q7" s="55">
        <f t="shared" si="0"/>
        <v>1889.0968965965235</v>
      </c>
      <c r="R7" s="55">
        <f t="shared" si="0"/>
        <v>2115.7885241881063</v>
      </c>
      <c r="S7" s="55">
        <f t="shared" si="0"/>
        <v>2327.3673766069173</v>
      </c>
      <c r="T7" s="55">
        <f t="shared" si="0"/>
        <v>2513.5567667354708</v>
      </c>
      <c r="U7" s="55">
        <f t="shared" si="0"/>
        <v>2714.6413080743087</v>
      </c>
      <c r="V7" s="54"/>
      <c r="W7" s="54">
        <f>+AVERAGE(P7)/0.85</f>
        <v>1949.5324010284039</v>
      </c>
      <c r="X7" s="34" t="s">
        <v>24</v>
      </c>
    </row>
    <row r="8" spans="1:31">
      <c r="A8" s="51" t="s">
        <v>4252</v>
      </c>
      <c r="C8" s="52"/>
      <c r="D8" s="52">
        <f t="shared" ref="D8:I8" si="1">D7/C7-1</f>
        <v>8.6863852921093763</v>
      </c>
      <c r="E8" s="52">
        <f t="shared" si="1"/>
        <v>2.72207878493843</v>
      </c>
      <c r="F8" s="56">
        <f t="shared" si="1"/>
        <v>3.5598199128088766</v>
      </c>
      <c r="G8" s="56">
        <f t="shared" si="1"/>
        <v>1.1983506118409184</v>
      </c>
      <c r="H8" s="56">
        <f t="shared" si="1"/>
        <v>0.83321092131401864</v>
      </c>
      <c r="I8" s="56">
        <f t="shared" si="1"/>
        <v>0.74216402532599401</v>
      </c>
      <c r="J8" s="118">
        <f>+'Simple - 3%'!J8</f>
        <v>0.2</v>
      </c>
      <c r="K8" s="118">
        <f>+'Simple - 3%'!K8</f>
        <v>0.2</v>
      </c>
      <c r="L8" s="118">
        <f>+'Simple - 3%'!L8</f>
        <v>0.2</v>
      </c>
      <c r="M8" s="118">
        <f>+'Simple - 3%'!M8</f>
        <v>0.2</v>
      </c>
      <c r="N8" s="118">
        <f>+'Simple - 3%'!N8</f>
        <v>0.2</v>
      </c>
      <c r="O8" s="118">
        <f>+'Simple - 3%'!O8</f>
        <v>0.18</v>
      </c>
      <c r="P8" s="118">
        <f>+'Simple - 3%'!P8</f>
        <v>0.16</v>
      </c>
      <c r="Q8" s="118">
        <f>+'Simple - 3%'!Q8</f>
        <v>0.14000000000000001</v>
      </c>
      <c r="R8" s="118">
        <f>+'Simple - 3%'!R8</f>
        <v>0.12</v>
      </c>
      <c r="S8" s="118">
        <f>+'Simple - 3%'!S8</f>
        <v>0.1</v>
      </c>
      <c r="T8" s="118">
        <f>+'Simple - 3%'!T8</f>
        <v>0.08</v>
      </c>
      <c r="U8" s="118">
        <f>+'Simple - 3%'!U8</f>
        <v>0.08</v>
      </c>
      <c r="X8" s="98"/>
    </row>
    <row r="9" spans="1:31">
      <c r="A9" s="51"/>
      <c r="C9" s="52"/>
      <c r="D9" s="52"/>
      <c r="E9" s="52"/>
      <c r="F9" s="52"/>
      <c r="G9" s="52"/>
      <c r="H9" s="52"/>
      <c r="I9" s="52"/>
      <c r="J9" s="52"/>
      <c r="K9" s="52"/>
      <c r="L9" s="52"/>
      <c r="M9" s="52"/>
      <c r="N9" s="52"/>
      <c r="O9" s="52"/>
      <c r="P9" s="52"/>
      <c r="Q9" s="52"/>
      <c r="R9" s="52"/>
      <c r="S9" s="52"/>
      <c r="T9" s="52"/>
      <c r="U9" s="52"/>
    </row>
    <row r="10" spans="1:31" s="34" customFormat="1">
      <c r="A10" s="50" t="s">
        <v>26</v>
      </c>
      <c r="B10" s="54"/>
      <c r="C10" s="53">
        <f>+'Historical - USD'!Q40</f>
        <v>0.21772943638719156</v>
      </c>
      <c r="D10" s="53">
        <f>+'Historical - USD'!R40</f>
        <v>1.0461156178198256</v>
      </c>
      <c r="E10" s="53">
        <f>+'Historical - USD'!S40</f>
        <v>4.2722599178136935</v>
      </c>
      <c r="F10" s="53">
        <f>+'Historical - USD'!T40</f>
        <v>16.396602767294507</v>
      </c>
      <c r="G10" s="53">
        <f>+'Historical - USD'!U40</f>
        <v>27.170855716618469</v>
      </c>
      <c r="H10" s="53">
        <f>+'Historical - USD'!V40</f>
        <v>64.125255761920656</v>
      </c>
      <c r="I10" s="53">
        <f>+'Historical - USD'!W40</f>
        <v>101.55215696590894</v>
      </c>
      <c r="J10" s="55">
        <f>+J12*J7</f>
        <v>122.48201824989903</v>
      </c>
      <c r="K10" s="55"/>
      <c r="L10" s="55"/>
      <c r="M10" s="55"/>
      <c r="N10" s="55"/>
      <c r="O10" s="55"/>
      <c r="P10" s="55"/>
      <c r="Q10" s="55"/>
      <c r="R10" s="55"/>
      <c r="S10" s="55"/>
      <c r="T10" s="55"/>
      <c r="U10" s="55"/>
    </row>
    <row r="11" spans="1:31">
      <c r="A11" s="51" t="s">
        <v>4252</v>
      </c>
      <c r="C11" s="52"/>
      <c r="D11" s="52">
        <f t="shared" ref="D11:J11" si="2">D10/C10-1</f>
        <v>3.8046586404582543</v>
      </c>
      <c r="E11" s="52">
        <f t="shared" si="2"/>
        <v>3.0839270966218502</v>
      </c>
      <c r="F11" s="56">
        <f t="shared" si="2"/>
        <v>2.8379225708920308</v>
      </c>
      <c r="G11" s="56">
        <f t="shared" si="2"/>
        <v>0.65710276099478548</v>
      </c>
      <c r="H11" s="56">
        <f t="shared" si="2"/>
        <v>1.3600749431936303</v>
      </c>
      <c r="I11" s="56">
        <f t="shared" si="2"/>
        <v>0.58365305150507329</v>
      </c>
      <c r="J11" s="56">
        <f t="shared" si="2"/>
        <v>0.20609962318196984</v>
      </c>
      <c r="K11" s="56"/>
      <c r="L11" s="56"/>
      <c r="M11" s="56"/>
      <c r="N11" s="56"/>
      <c r="O11" s="56"/>
      <c r="P11" s="56"/>
      <c r="Q11" s="56"/>
      <c r="R11" s="56"/>
      <c r="S11" s="56"/>
      <c r="T11" s="56"/>
      <c r="U11" s="56"/>
    </row>
    <row r="12" spans="1:31">
      <c r="A12" s="51" t="s">
        <v>27</v>
      </c>
      <c r="C12" s="52">
        <f t="shared" ref="C12:I12" si="3">+C10/C7</f>
        <v>0.51654411764705888</v>
      </c>
      <c r="D12" s="52">
        <f t="shared" si="3"/>
        <v>0.25621716287215412</v>
      </c>
      <c r="E12" s="52">
        <f t="shared" si="3"/>
        <v>0.28112575647440868</v>
      </c>
      <c r="F12" s="52">
        <f t="shared" si="3"/>
        <v>0.23661874956978218</v>
      </c>
      <c r="G12" s="52">
        <f t="shared" si="3"/>
        <v>0.17836171405200482</v>
      </c>
      <c r="H12" s="52">
        <f t="shared" si="3"/>
        <v>0.22962279313581394</v>
      </c>
      <c r="I12" s="52">
        <f t="shared" si="3"/>
        <v>0.20873053958085552</v>
      </c>
      <c r="J12" s="234">
        <f>+'Simple - 3%'!J12</f>
        <v>0.20979152094586595</v>
      </c>
      <c r="K12" s="56"/>
      <c r="L12" s="56"/>
      <c r="M12" s="56"/>
      <c r="N12" s="56"/>
      <c r="O12" s="56"/>
      <c r="P12" s="56"/>
      <c r="Q12" s="56"/>
      <c r="R12" s="56"/>
      <c r="S12" s="56"/>
      <c r="T12" s="56"/>
      <c r="U12" s="56"/>
    </row>
    <row r="13" spans="1:31">
      <c r="A13" s="51"/>
      <c r="C13" s="52"/>
      <c r="D13" s="52"/>
      <c r="E13" s="52"/>
      <c r="F13" s="52"/>
      <c r="G13" s="52"/>
      <c r="H13" s="52"/>
      <c r="I13" s="52"/>
      <c r="J13" s="52"/>
      <c r="K13" s="52"/>
      <c r="L13" s="52"/>
      <c r="M13" s="52"/>
      <c r="N13" s="52"/>
      <c r="O13" s="52"/>
      <c r="P13" s="52"/>
      <c r="Q13" s="52"/>
      <c r="R13" s="52"/>
      <c r="S13" s="52"/>
      <c r="T13" s="52"/>
      <c r="U13" s="52"/>
    </row>
    <row r="14" spans="1:31">
      <c r="A14" s="51"/>
      <c r="C14" s="52"/>
      <c r="D14" s="52"/>
      <c r="E14" s="52"/>
      <c r="F14" s="52"/>
      <c r="G14" s="52"/>
      <c r="H14" s="52"/>
      <c r="I14" s="93"/>
      <c r="J14" s="93" t="str">
        <f>+'Simple - 5%'!J14</f>
        <v>c = 18</v>
      </c>
      <c r="K14" s="52"/>
      <c r="L14" s="52"/>
      <c r="M14" s="52"/>
      <c r="N14" s="52"/>
      <c r="O14" s="52"/>
      <c r="P14" s="52"/>
      <c r="Q14" s="52"/>
      <c r="R14" s="52"/>
      <c r="S14" s="52"/>
      <c r="T14" s="52"/>
      <c r="U14" s="52"/>
    </row>
    <row r="15" spans="1:31" s="34" customFormat="1">
      <c r="A15" s="50" t="s">
        <v>28</v>
      </c>
      <c r="B15" s="54"/>
      <c r="C15" s="53">
        <f>+'Historical - USD'!Q114</f>
        <v>0.13094759697307962</v>
      </c>
      <c r="D15" s="53">
        <f>+'Historical - USD'!R114</f>
        <v>0.43331925112700909</v>
      </c>
      <c r="E15" s="53">
        <f>+'Historical - USD'!S114</f>
        <v>1.8333797801119438</v>
      </c>
      <c r="F15" s="53">
        <f>+'Historical - USD'!T114</f>
        <v>1.5305748024914749</v>
      </c>
      <c r="G15" s="53">
        <f>+'Historical - USD'!U114</f>
        <v>-15.865268926498235</v>
      </c>
      <c r="H15" s="53">
        <f>+'Historical - USD'!V114</f>
        <v>19.41599918774542</v>
      </c>
      <c r="I15" s="53">
        <f>+'Historical - USD'!W114</f>
        <v>19.962779999556489</v>
      </c>
      <c r="J15" s="53">
        <f>+'Historical - USD'!X114</f>
        <v>28.145783613733176</v>
      </c>
      <c r="K15" s="55">
        <f t="shared" ref="K15:U15" si="4">+K17*K7</f>
        <v>33.130888651021422</v>
      </c>
      <c r="L15" s="55">
        <f t="shared" si="4"/>
        <v>38.984204358675647</v>
      </c>
      <c r="M15" s="55">
        <f t="shared" si="4"/>
        <v>45.853610803350691</v>
      </c>
      <c r="N15" s="55">
        <f t="shared" si="4"/>
        <v>53.91141165154874</v>
      </c>
      <c r="O15" s="55">
        <f t="shared" si="4"/>
        <v>62.302218600110436</v>
      </c>
      <c r="P15" s="55">
        <f t="shared" si="4"/>
        <v>70.7472068836163</v>
      </c>
      <c r="Q15" s="55">
        <f t="shared" si="4"/>
        <v>78.915177817859146</v>
      </c>
      <c r="R15" s="55">
        <f t="shared" si="4"/>
        <v>86.439964563003173</v>
      </c>
      <c r="S15" s="55">
        <f t="shared" si="4"/>
        <v>92.944422967004527</v>
      </c>
      <c r="T15" s="55">
        <f t="shared" si="4"/>
        <v>98.069275707882014</v>
      </c>
      <c r="U15" s="55">
        <f t="shared" si="4"/>
        <v>81.439239242229263</v>
      </c>
    </row>
    <row r="16" spans="1:31">
      <c r="A16" s="51" t="s">
        <v>4252</v>
      </c>
      <c r="C16" s="52"/>
      <c r="D16" s="52">
        <f>+D15/C15-1</f>
        <v>2.3091042611197472</v>
      </c>
      <c r="E16" s="52">
        <f>+E15/D15-1</f>
        <v>3.231013912591127</v>
      </c>
      <c r="F16" s="56">
        <f t="shared" ref="F16:U16" si="5">+IFERROR(F15/E15-1,"-")</f>
        <v>-0.16516216711083176</v>
      </c>
      <c r="G16" s="56">
        <f t="shared" si="5"/>
        <v>-11.365562598229564</v>
      </c>
      <c r="H16" s="56">
        <f t="shared" si="5"/>
        <v>-2.2238052363119252</v>
      </c>
      <c r="I16" s="56">
        <f t="shared" si="5"/>
        <v>2.81613532491376E-2</v>
      </c>
      <c r="J16" s="56">
        <f t="shared" si="5"/>
        <v>0.40991302886464154</v>
      </c>
      <c r="K16" s="56">
        <f t="shared" si="5"/>
        <v>0.17711729421723632</v>
      </c>
      <c r="L16" s="56">
        <f t="shared" si="5"/>
        <v>0.17667246325050701</v>
      </c>
      <c r="M16" s="56">
        <f t="shared" si="5"/>
        <v>0.17620999473204102</v>
      </c>
      <c r="N16" s="56">
        <f t="shared" si="5"/>
        <v>0.1757288184512884</v>
      </c>
      <c r="O16" s="56">
        <f t="shared" si="5"/>
        <v>0.15564064622894458</v>
      </c>
      <c r="P16" s="56">
        <f t="shared" si="5"/>
        <v>0.13554875690238899</v>
      </c>
      <c r="Q16" s="56">
        <f t="shared" si="5"/>
        <v>0.11545291035559435</v>
      </c>
      <c r="R16" s="56">
        <f t="shared" si="5"/>
        <v>9.5352845336187153E-2</v>
      </c>
      <c r="S16" s="56">
        <f t="shared" si="5"/>
        <v>7.5248277077444525E-2</v>
      </c>
      <c r="T16" s="56">
        <f t="shared" si="5"/>
        <v>5.5138894591844734E-2</v>
      </c>
      <c r="U16" s="56">
        <f t="shared" si="5"/>
        <v>-0.16957437837298273</v>
      </c>
    </row>
    <row r="17" spans="1:21">
      <c r="A17" s="51" t="s">
        <v>27</v>
      </c>
      <c r="C17" s="52">
        <f t="shared" ref="C17:I17" si="6">+C15/C7</f>
        <v>0.31066176470588236</v>
      </c>
      <c r="D17" s="52">
        <f t="shared" si="6"/>
        <v>0.10612959719789841</v>
      </c>
      <c r="E17" s="52">
        <f t="shared" si="6"/>
        <v>0.12064113314824107</v>
      </c>
      <c r="F17" s="52">
        <f t="shared" si="6"/>
        <v>2.2087666636099592E-2</v>
      </c>
      <c r="G17" s="52">
        <f t="shared" si="6"/>
        <v>-0.10414675890739342</v>
      </c>
      <c r="H17" s="52">
        <f t="shared" si="6"/>
        <v>6.9525741644843361E-2</v>
      </c>
      <c r="I17" s="52">
        <f t="shared" si="6"/>
        <v>4.103154443327231E-2</v>
      </c>
      <c r="J17" s="52">
        <f t="shared" ref="J17" si="7">+J15/J7</f>
        <v>4.820909090909091E-2</v>
      </c>
      <c r="K17" s="56">
        <f t="shared" ref="K17:T17" si="8">($U$17-$I$17)/12+J17</f>
        <v>4.7289795539651548E-2</v>
      </c>
      <c r="L17" s="56">
        <f t="shared" si="8"/>
        <v>4.6370500170212187E-2</v>
      </c>
      <c r="M17" s="56">
        <f t="shared" si="8"/>
        <v>4.5451204800772825E-2</v>
      </c>
      <c r="N17" s="56">
        <f t="shared" si="8"/>
        <v>4.4531909431333463E-2</v>
      </c>
      <c r="O17" s="56">
        <f t="shared" si="8"/>
        <v>4.3612614061894102E-2</v>
      </c>
      <c r="P17" s="56">
        <f t="shared" si="8"/>
        <v>4.269331869245474E-2</v>
      </c>
      <c r="Q17" s="56">
        <f t="shared" si="8"/>
        <v>4.1774023323015379E-2</v>
      </c>
      <c r="R17" s="56">
        <f t="shared" si="8"/>
        <v>4.0854727953576017E-2</v>
      </c>
      <c r="S17" s="56">
        <f t="shared" si="8"/>
        <v>3.9935432584136656E-2</v>
      </c>
      <c r="T17" s="56">
        <f t="shared" si="8"/>
        <v>3.9016137214697294E-2</v>
      </c>
      <c r="U17" s="118">
        <v>0.03</v>
      </c>
    </row>
    <row r="18" spans="1:21" hidden="1" outlineLevel="1">
      <c r="A18" s="51" t="s">
        <v>29</v>
      </c>
      <c r="C18" s="52"/>
      <c r="D18" s="52">
        <f t="shared" ref="D18:U18" si="9">(D15-C15)/(D7-C7)</f>
        <v>8.2583304853051723E-2</v>
      </c>
      <c r="E18" s="52">
        <f t="shared" si="9"/>
        <v>0.12597218235616139</v>
      </c>
      <c r="F18" s="52">
        <f t="shared" si="9"/>
        <v>-5.5972918522577166E-3</v>
      </c>
      <c r="G18" s="52">
        <f t="shared" si="9"/>
        <v>-0.20948690251492275</v>
      </c>
      <c r="H18" s="52">
        <f t="shared" si="9"/>
        <v>0.27796336063133703</v>
      </c>
      <c r="I18" s="52">
        <f t="shared" si="9"/>
        <v>2.6381485811154655E-3</v>
      </c>
      <c r="J18" s="52">
        <f t="shared" ref="J18" si="10">(J15-I15)/(J7-I7)</f>
        <v>8.4096823288183936E-2</v>
      </c>
      <c r="K18" s="52">
        <f t="shared" si="9"/>
        <v>4.2693318692454713E-2</v>
      </c>
      <c r="L18" s="52">
        <f t="shared" si="9"/>
        <v>4.1774023323015413E-2</v>
      </c>
      <c r="M18" s="52">
        <f t="shared" si="9"/>
        <v>4.0854727953575989E-2</v>
      </c>
      <c r="N18" s="52">
        <f t="shared" si="9"/>
        <v>3.9935432584136669E-2</v>
      </c>
      <c r="O18" s="52">
        <f t="shared" si="9"/>
        <v>3.8505417565008755E-2</v>
      </c>
      <c r="P18" s="52">
        <f t="shared" si="9"/>
        <v>3.6947722633458711E-2</v>
      </c>
      <c r="Q18" s="52">
        <f t="shared" si="9"/>
        <v>3.5207627827019965E-2</v>
      </c>
      <c r="R18" s="52">
        <f t="shared" si="9"/>
        <v>3.319393320824799E-2</v>
      </c>
      <c r="S18" s="52">
        <f t="shared" si="9"/>
        <v>3.0742478889743033E-2</v>
      </c>
      <c r="T18" s="52">
        <f t="shared" si="9"/>
        <v>2.7524945096705347E-2</v>
      </c>
      <c r="U18" s="52">
        <f t="shared" si="9"/>
        <v>-8.2701715183716065E-2</v>
      </c>
    </row>
    <row r="19" spans="1:21" collapsed="1">
      <c r="A19" s="51" t="s">
        <v>30</v>
      </c>
      <c r="C19" s="52">
        <f t="shared" ref="C19:I19" si="11">+C15/C$10</f>
        <v>0.60142348754448394</v>
      </c>
      <c r="D19" s="52">
        <f t="shared" si="11"/>
        <v>0.4142173615857826</v>
      </c>
      <c r="E19" s="52">
        <f t="shared" si="11"/>
        <v>0.42913582398567318</v>
      </c>
      <c r="F19" s="52">
        <f t="shared" si="11"/>
        <v>9.3347068549128775E-2</v>
      </c>
      <c r="G19" s="52">
        <f t="shared" si="11"/>
        <v>-0.58390759172132312</v>
      </c>
      <c r="H19" s="52">
        <f t="shared" si="11"/>
        <v>0.30278240541966267</v>
      </c>
      <c r="I19" s="52">
        <f t="shared" si="11"/>
        <v>0.19657662225981073</v>
      </c>
      <c r="J19" s="52">
        <f t="shared" ref="J19" si="12">+J15/J$10</f>
        <v>0.22979523048279277</v>
      </c>
      <c r="K19" s="52"/>
      <c r="L19" s="52"/>
      <c r="M19" s="52"/>
      <c r="N19" s="52"/>
      <c r="O19" s="52"/>
      <c r="P19" s="52"/>
      <c r="Q19" s="52"/>
      <c r="R19" s="52"/>
      <c r="S19" s="52"/>
      <c r="T19" s="52"/>
      <c r="U19" s="52"/>
    </row>
    <row r="20" spans="1:21">
      <c r="C20" s="34"/>
      <c r="D20" s="34"/>
      <c r="E20" s="34"/>
      <c r="F20" s="34"/>
      <c r="G20" s="34"/>
      <c r="H20" s="34"/>
      <c r="I20" s="34"/>
      <c r="J20" s="34"/>
      <c r="K20" s="34"/>
      <c r="L20" s="34"/>
      <c r="M20" s="34"/>
      <c r="N20" s="34"/>
      <c r="O20" s="34"/>
      <c r="P20" s="34"/>
      <c r="Q20" s="34"/>
      <c r="R20" s="34"/>
      <c r="S20" s="34"/>
      <c r="T20" s="34"/>
      <c r="U20" s="34"/>
    </row>
    <row r="21" spans="1:21">
      <c r="A21" s="35" t="s">
        <v>31</v>
      </c>
      <c r="B21" s="58"/>
      <c r="C21" s="53">
        <f>+'Historical - USD'!Q120</f>
        <v>0.43778338633011815</v>
      </c>
      <c r="D21" s="53">
        <f>+'Historical - USD'!R120</f>
        <v>0.80657444764235353</v>
      </c>
      <c r="E21" s="53">
        <f>+'Historical - USD'!S120</f>
        <v>0.88504926094406966</v>
      </c>
      <c r="F21" s="53">
        <f>+'Historical - USD'!T120</f>
        <v>2.0347208621357233</v>
      </c>
      <c r="G21" s="53">
        <f>+'Historical - USD'!U120</f>
        <v>6.0664968319692836</v>
      </c>
      <c r="H21" s="53">
        <f>+'Historical - USD'!V120</f>
        <v>8.0984135817659855</v>
      </c>
      <c r="I21" s="53">
        <f>+'Historical - USD'!W120</f>
        <v>9.3570270108481353</v>
      </c>
      <c r="J21" s="53">
        <f>+'Historical - USD'!X120</f>
        <v>11.676546096589286</v>
      </c>
      <c r="K21" s="55">
        <f t="shared" ref="K21:U21" si="13">+K22*K7</f>
        <v>14.011855315907145</v>
      </c>
      <c r="L21" s="55">
        <f t="shared" si="13"/>
        <v>16.814226379088574</v>
      </c>
      <c r="M21" s="55">
        <f t="shared" si="13"/>
        <v>20.177071654906285</v>
      </c>
      <c r="N21" s="55">
        <f t="shared" si="13"/>
        <v>24.212485985887543</v>
      </c>
      <c r="O21" s="55">
        <f t="shared" si="13"/>
        <v>28.570733463347295</v>
      </c>
      <c r="P21" s="55">
        <f t="shared" si="13"/>
        <v>33.142050817482861</v>
      </c>
      <c r="Q21" s="55">
        <f t="shared" si="13"/>
        <v>37.781937931930472</v>
      </c>
      <c r="R21" s="55">
        <f t="shared" si="13"/>
        <v>42.31577048376213</v>
      </c>
      <c r="S21" s="55">
        <f t="shared" si="13"/>
        <v>46.547347532138346</v>
      </c>
      <c r="T21" s="55">
        <f t="shared" si="13"/>
        <v>50.271135334709413</v>
      </c>
      <c r="U21" s="55">
        <f t="shared" si="13"/>
        <v>54.292826161486175</v>
      </c>
    </row>
    <row r="22" spans="1:21">
      <c r="A22" s="51" t="s">
        <v>32</v>
      </c>
      <c r="C22" s="52">
        <f t="shared" ref="C22:J22" si="14">+C21/C7</f>
        <v>1.0386029411764703</v>
      </c>
      <c r="D22" s="52">
        <f t="shared" si="14"/>
        <v>0.19754816112084062</v>
      </c>
      <c r="E22" s="52">
        <f t="shared" si="14"/>
        <v>5.8238531312801121E-2</v>
      </c>
      <c r="F22" s="52">
        <f t="shared" si="14"/>
        <v>2.9362979207036396E-2</v>
      </c>
      <c r="G22" s="52">
        <f t="shared" si="14"/>
        <v>3.9823212950164749E-2</v>
      </c>
      <c r="H22" s="52">
        <f t="shared" si="14"/>
        <v>2.8999187987931378E-2</v>
      </c>
      <c r="I22" s="52">
        <f t="shared" si="14"/>
        <v>1.9232455077272517E-2</v>
      </c>
      <c r="J22" s="52">
        <f t="shared" si="14"/>
        <v>0.02</v>
      </c>
      <c r="K22" s="118">
        <f>+'Simple - 5%'!K22</f>
        <v>0.02</v>
      </c>
      <c r="L22" s="118">
        <f>+'Simple - 5%'!L22</f>
        <v>0.02</v>
      </c>
      <c r="M22" s="118">
        <f>+'Simple - 5%'!M22</f>
        <v>0.02</v>
      </c>
      <c r="N22" s="118">
        <f>+'Simple - 5%'!N22</f>
        <v>0.02</v>
      </c>
      <c r="O22" s="118">
        <f>+'Simple - 5%'!O22</f>
        <v>0.02</v>
      </c>
      <c r="P22" s="118">
        <f>+'Simple - 5%'!P22</f>
        <v>0.02</v>
      </c>
      <c r="Q22" s="118">
        <f>+'Simple - 5%'!Q22</f>
        <v>0.02</v>
      </c>
      <c r="R22" s="118">
        <f>+'Simple - 5%'!R22</f>
        <v>0.02</v>
      </c>
      <c r="S22" s="118">
        <f>+'Simple - 5%'!S22</f>
        <v>0.02</v>
      </c>
      <c r="T22" s="118">
        <f>+'Simple - 5%'!T22</f>
        <v>0.02</v>
      </c>
      <c r="U22" s="118">
        <f>+'Simple - 5%'!U22</f>
        <v>0.02</v>
      </c>
    </row>
    <row r="23" spans="1:21" collapsed="1">
      <c r="A23" s="51" t="s">
        <v>30</v>
      </c>
      <c r="C23" s="52">
        <f t="shared" ref="C23:I23" si="15">+C21/C$10</f>
        <v>2.0106761565836293</v>
      </c>
      <c r="D23" s="52">
        <f t="shared" si="15"/>
        <v>0.77101845522898149</v>
      </c>
      <c r="E23" s="52">
        <f t="shared" si="15"/>
        <v>0.20716184828871295</v>
      </c>
      <c r="F23" s="52">
        <f t="shared" si="15"/>
        <v>0.12409405112833986</v>
      </c>
      <c r="G23" s="52">
        <f t="shared" si="15"/>
        <v>0.22327220368914777</v>
      </c>
      <c r="H23" s="52">
        <f t="shared" si="15"/>
        <v>0.1262905462994667</v>
      </c>
      <c r="I23" s="52">
        <f t="shared" si="15"/>
        <v>9.2140110957852822E-2</v>
      </c>
      <c r="J23" s="52">
        <f t="shared" ref="J23" si="16">+J21/J$10</f>
        <v>9.5332737518790123E-2</v>
      </c>
      <c r="K23" s="34"/>
      <c r="L23" s="34"/>
      <c r="M23" s="34"/>
      <c r="N23" s="34"/>
      <c r="O23" s="34"/>
      <c r="P23" s="34"/>
      <c r="Q23" s="34"/>
      <c r="R23" s="34"/>
      <c r="S23" s="34"/>
      <c r="T23" s="34"/>
      <c r="U23" s="34"/>
    </row>
    <row r="24" spans="1:21">
      <c r="C24" s="34"/>
      <c r="D24" s="34"/>
      <c r="E24" s="34"/>
      <c r="F24" s="34"/>
      <c r="G24" s="34"/>
      <c r="H24" s="34"/>
      <c r="I24" s="34"/>
      <c r="J24" s="34"/>
      <c r="K24" s="34"/>
      <c r="L24" s="34"/>
      <c r="M24" s="34"/>
      <c r="N24" s="34"/>
      <c r="O24" s="34"/>
      <c r="P24" s="34"/>
      <c r="Q24" s="34"/>
      <c r="R24" s="34"/>
      <c r="S24" s="34"/>
      <c r="T24" s="34"/>
      <c r="U24" s="34"/>
    </row>
    <row r="25" spans="1:21">
      <c r="A25" s="35" t="s">
        <v>33</v>
      </c>
      <c r="B25" s="58"/>
      <c r="C25" s="55">
        <f t="shared" ref="C25:U25" si="17">+C15-C21</f>
        <v>-0.30683578935703854</v>
      </c>
      <c r="D25" s="55">
        <f t="shared" si="17"/>
        <v>-0.37325519651534445</v>
      </c>
      <c r="E25" s="55">
        <f t="shared" si="17"/>
        <v>0.94833051916787414</v>
      </c>
      <c r="F25" s="55">
        <f t="shared" si="17"/>
        <v>-0.50414605964424841</v>
      </c>
      <c r="G25" s="55">
        <f t="shared" si="17"/>
        <v>-21.93176575846752</v>
      </c>
      <c r="H25" s="55">
        <f t="shared" si="17"/>
        <v>11.317585605979435</v>
      </c>
      <c r="I25" s="55">
        <f t="shared" si="17"/>
        <v>10.605752988708353</v>
      </c>
      <c r="J25" s="55">
        <f t="shared" si="17"/>
        <v>16.469237517143888</v>
      </c>
      <c r="K25" s="55">
        <f t="shared" si="17"/>
        <v>19.119033335114278</v>
      </c>
      <c r="L25" s="55">
        <f t="shared" si="17"/>
        <v>22.169977979587074</v>
      </c>
      <c r="M25" s="55">
        <f t="shared" si="17"/>
        <v>25.676539148444405</v>
      </c>
      <c r="N25" s="55">
        <f t="shared" si="17"/>
        <v>29.698925665661196</v>
      </c>
      <c r="O25" s="55">
        <f t="shared" si="17"/>
        <v>33.731485136763141</v>
      </c>
      <c r="P25" s="55">
        <f t="shared" si="17"/>
        <v>37.605156066133439</v>
      </c>
      <c r="Q25" s="55">
        <f t="shared" si="17"/>
        <v>41.133239885928674</v>
      </c>
      <c r="R25" s="55">
        <f t="shared" si="17"/>
        <v>44.124194079241043</v>
      </c>
      <c r="S25" s="55">
        <f t="shared" si="17"/>
        <v>46.397075434866181</v>
      </c>
      <c r="T25" s="55">
        <f t="shared" si="17"/>
        <v>47.7981403731726</v>
      </c>
      <c r="U25" s="55">
        <f t="shared" si="17"/>
        <v>27.146413080743088</v>
      </c>
    </row>
    <row r="26" spans="1:21">
      <c r="A26" s="51" t="s">
        <v>4252</v>
      </c>
      <c r="C26" s="56"/>
      <c r="D26" s="56">
        <f>+D25/C25-1</f>
        <v>0.21646564534562596</v>
      </c>
      <c r="E26" s="56">
        <f>+E25/D25-1</f>
        <v>-3.5407027899982322</v>
      </c>
      <c r="F26" s="56">
        <f t="shared" ref="F26:U26" si="18">+IFERROR(F25/E25-1,"-")</f>
        <v>-1.5316142942300521</v>
      </c>
      <c r="G26" s="56">
        <f t="shared" si="18"/>
        <v>42.502801100823262</v>
      </c>
      <c r="H26" s="56">
        <f t="shared" si="18"/>
        <v>-1.5160362248356536</v>
      </c>
      <c r="I26" s="56">
        <f t="shared" si="18"/>
        <v>-6.2896154891463607E-2</v>
      </c>
      <c r="J26" s="56">
        <f t="shared" si="18"/>
        <v>0.55285886204197121</v>
      </c>
      <c r="K26" s="56">
        <f t="shared" si="18"/>
        <v>0.16089365492555729</v>
      </c>
      <c r="L26" s="56">
        <f t="shared" si="18"/>
        <v>0.15957630236824727</v>
      </c>
      <c r="M26" s="56">
        <f t="shared" si="18"/>
        <v>0.15816710201904516</v>
      </c>
      <c r="N26" s="56">
        <f t="shared" si="18"/>
        <v>0.15665610127447738</v>
      </c>
      <c r="O26" s="56">
        <f t="shared" si="18"/>
        <v>0.13578132476908111</v>
      </c>
      <c r="P26" s="56">
        <f t="shared" si="18"/>
        <v>0.11483843399318561</v>
      </c>
      <c r="Q26" s="56">
        <f t="shared" si="18"/>
        <v>9.3819151118284205E-2</v>
      </c>
      <c r="R26" s="56">
        <f t="shared" si="18"/>
        <v>7.2713800362114167E-2</v>
      </c>
      <c r="S26" s="56">
        <f t="shared" si="18"/>
        <v>5.1510999873297436E-2</v>
      </c>
      <c r="T26" s="56">
        <f t="shared" si="18"/>
        <v>3.0197268366047858E-2</v>
      </c>
      <c r="U26" s="56">
        <f t="shared" si="18"/>
        <v>-0.43206131308030127</v>
      </c>
    </row>
    <row r="27" spans="1:21">
      <c r="A27" s="51" t="s">
        <v>27</v>
      </c>
      <c r="C27" s="56">
        <f t="shared" ref="C27:U27" si="19">+C25/C7</f>
        <v>-0.72794117647058798</v>
      </c>
      <c r="D27" s="56">
        <f t="shared" si="19"/>
        <v>-9.1418563922942203E-2</v>
      </c>
      <c r="E27" s="56">
        <f t="shared" si="19"/>
        <v>6.2402601835439955E-2</v>
      </c>
      <c r="F27" s="56">
        <f t="shared" si="19"/>
        <v>-7.2753125709368021E-3</v>
      </c>
      <c r="G27" s="56">
        <f t="shared" si="19"/>
        <v>-0.14396997185755817</v>
      </c>
      <c r="H27" s="56">
        <f t="shared" si="19"/>
        <v>4.0526553656911976E-2</v>
      </c>
      <c r="I27" s="56">
        <f t="shared" si="19"/>
        <v>2.1799089355999793E-2</v>
      </c>
      <c r="J27" s="56">
        <f t="shared" si="19"/>
        <v>2.8209090909090909E-2</v>
      </c>
      <c r="K27" s="56">
        <f t="shared" si="19"/>
        <v>2.7289795539651544E-2</v>
      </c>
      <c r="L27" s="56">
        <f t="shared" si="19"/>
        <v>2.637050017021219E-2</v>
      </c>
      <c r="M27" s="56">
        <f t="shared" si="19"/>
        <v>2.5451204800772825E-2</v>
      </c>
      <c r="N27" s="56">
        <f t="shared" si="19"/>
        <v>2.4531909431333463E-2</v>
      </c>
      <c r="O27" s="56">
        <f t="shared" si="19"/>
        <v>2.3612614061894105E-2</v>
      </c>
      <c r="P27" s="56">
        <f t="shared" si="19"/>
        <v>2.269331869245474E-2</v>
      </c>
      <c r="Q27" s="56">
        <f t="shared" si="19"/>
        <v>2.1774023323015378E-2</v>
      </c>
      <c r="R27" s="56">
        <f t="shared" si="19"/>
        <v>2.0854727953576017E-2</v>
      </c>
      <c r="S27" s="56">
        <f t="shared" si="19"/>
        <v>1.9935432584136652E-2</v>
      </c>
      <c r="T27" s="56">
        <f t="shared" si="19"/>
        <v>1.9016137214697297E-2</v>
      </c>
      <c r="U27" s="59">
        <f t="shared" si="19"/>
        <v>0.01</v>
      </c>
    </row>
    <row r="28" spans="1:21" hidden="1" outlineLevel="1">
      <c r="A28" s="51" t="s">
        <v>29</v>
      </c>
      <c r="C28" s="52"/>
      <c r="D28" s="52">
        <f t="shared" ref="D28:U28" si="20">(D25-C25)/(D7-C7)</f>
        <v>-1.8140371539989014E-2</v>
      </c>
      <c r="E28" s="52">
        <f t="shared" si="20"/>
        <v>0.1189113137101631</v>
      </c>
      <c r="F28" s="52">
        <f t="shared" si="20"/>
        <v>-2.6848750585501249E-2</v>
      </c>
      <c r="G28" s="52">
        <f t="shared" si="20"/>
        <v>-0.25803897464851067</v>
      </c>
      <c r="H28" s="52">
        <f t="shared" si="20"/>
        <v>0.26195491086508338</v>
      </c>
      <c r="I28" s="52">
        <f t="shared" si="20"/>
        <v>-3.4345027635942333E-3</v>
      </c>
      <c r="J28" s="52">
        <f t="shared" si="20"/>
        <v>6.0259098674546506E-2</v>
      </c>
      <c r="K28" s="52">
        <f t="shared" si="20"/>
        <v>2.2693318692454723E-2</v>
      </c>
      <c r="L28" s="52">
        <f t="shared" si="20"/>
        <v>2.1774023323015413E-2</v>
      </c>
      <c r="M28" s="52">
        <f t="shared" si="20"/>
        <v>2.0854727953575992E-2</v>
      </c>
      <c r="N28" s="52">
        <f t="shared" si="20"/>
        <v>1.9935432584136669E-2</v>
      </c>
      <c r="O28" s="52">
        <f t="shared" si="20"/>
        <v>1.8505417565008769E-2</v>
      </c>
      <c r="P28" s="52">
        <f t="shared" si="20"/>
        <v>1.6947722633458718E-2</v>
      </c>
      <c r="Q28" s="52">
        <f t="shared" si="20"/>
        <v>1.5207627827019947E-2</v>
      </c>
      <c r="R28" s="52">
        <f t="shared" si="20"/>
        <v>1.3193933208247983E-2</v>
      </c>
      <c r="S28" s="52">
        <f t="shared" si="20"/>
        <v>1.0742478889743052E-2</v>
      </c>
      <c r="T28" s="52">
        <f t="shared" si="20"/>
        <v>7.5249450967053572E-3</v>
      </c>
      <c r="U28" s="52">
        <f t="shared" si="20"/>
        <v>-0.1027017151837161</v>
      </c>
    </row>
    <row r="29" spans="1:21" collapsed="1">
      <c r="A29" s="51" t="s">
        <v>30</v>
      </c>
      <c r="C29" s="52">
        <f t="shared" ref="C29:J29" si="21">+C25/C$10</f>
        <v>-1.4092526690391454</v>
      </c>
      <c r="D29" s="52">
        <f t="shared" si="21"/>
        <v>-0.35680109364319884</v>
      </c>
      <c r="E29" s="52">
        <f t="shared" si="21"/>
        <v>0.22197397569696023</v>
      </c>
      <c r="F29" s="52">
        <f t="shared" si="21"/>
        <v>-3.0746982579211081E-2</v>
      </c>
      <c r="G29" s="52">
        <f t="shared" si="21"/>
        <v>-0.80717979541047091</v>
      </c>
      <c r="H29" s="52">
        <f t="shared" si="21"/>
        <v>0.17649185912019597</v>
      </c>
      <c r="I29" s="52">
        <f t="shared" si="21"/>
        <v>0.10443651130195793</v>
      </c>
      <c r="J29" s="52">
        <f t="shared" si="21"/>
        <v>0.13446249296400262</v>
      </c>
      <c r="K29" s="34"/>
      <c r="L29" s="34"/>
      <c r="M29" s="34"/>
      <c r="N29" s="34"/>
      <c r="O29" s="34"/>
      <c r="P29" s="34"/>
      <c r="Q29" s="34"/>
      <c r="R29" s="34"/>
      <c r="S29" s="34"/>
      <c r="T29" s="34"/>
      <c r="U29" s="34"/>
    </row>
    <row r="30" spans="1:21">
      <c r="C30" s="34"/>
      <c r="D30" s="34"/>
      <c r="E30" s="34"/>
      <c r="F30" s="34"/>
      <c r="G30" s="34"/>
      <c r="H30" s="34"/>
      <c r="I30" s="34"/>
      <c r="J30" s="34"/>
      <c r="K30" s="34"/>
      <c r="L30" s="34"/>
      <c r="M30" s="34"/>
      <c r="N30" s="34"/>
      <c r="O30" s="34"/>
      <c r="P30" s="34"/>
      <c r="Q30" s="34"/>
      <c r="R30" s="34"/>
      <c r="S30" s="34"/>
      <c r="T30" s="34"/>
      <c r="U30" s="34"/>
    </row>
    <row r="31" spans="1:21">
      <c r="A31" s="35" t="s">
        <v>34</v>
      </c>
      <c r="B31" s="58"/>
      <c r="C31" s="53">
        <f>+'Historical - USD'!Q130</f>
        <v>0</v>
      </c>
      <c r="D31" s="53">
        <f>+'Historical - USD'!R130</f>
        <v>0.17089653633556959</v>
      </c>
      <c r="E31" s="53">
        <f>+'Historical - USD'!S130</f>
        <v>0.24489991939785954</v>
      </c>
      <c r="F31" s="53">
        <f>+'Historical - USD'!T130</f>
        <v>0.49888073518175047</v>
      </c>
      <c r="G31" s="53">
        <f>+'Historical - USD'!U130</f>
        <v>1.2840357889516987</v>
      </c>
      <c r="H31" s="53">
        <f>+'Historical - USD'!V130</f>
        <v>2.739214733075678</v>
      </c>
      <c r="I31" s="53">
        <f>+'Historical - USD'!W130</f>
        <v>4.2578292722233622</v>
      </c>
      <c r="J31" s="53">
        <f>+'Historical - USD'!X130</f>
        <v>5.788865416150113</v>
      </c>
      <c r="K31" s="55">
        <f t="shared" ref="K31:U31" si="22">+K32*K7</f>
        <v>7.6630549688260903</v>
      </c>
      <c r="L31" s="55">
        <f t="shared" si="22"/>
        <v>10.055365725926453</v>
      </c>
      <c r="M31" s="55">
        <f t="shared" si="22"/>
        <v>13.098078587113918</v>
      </c>
      <c r="N31" s="55">
        <f t="shared" si="22"/>
        <v>16.95566196373931</v>
      </c>
      <c r="O31" s="55">
        <f t="shared" si="22"/>
        <v>21.468482955071462</v>
      </c>
      <c r="P31" s="55">
        <f t="shared" si="22"/>
        <v>26.597970359799429</v>
      </c>
      <c r="Q31" s="55">
        <f t="shared" si="22"/>
        <v>32.253450560556203</v>
      </c>
      <c r="R31" s="55">
        <f t="shared" si="22"/>
        <v>38.287440700253981</v>
      </c>
      <c r="S31" s="55">
        <f t="shared" si="22"/>
        <v>44.496118449953521</v>
      </c>
      <c r="T31" s="55">
        <f t="shared" si="22"/>
        <v>50.271135334709413</v>
      </c>
      <c r="U31" s="55">
        <f t="shared" si="22"/>
        <v>54.292826161486175</v>
      </c>
    </row>
    <row r="32" spans="1:21">
      <c r="A32" s="51" t="s">
        <v>32</v>
      </c>
      <c r="C32" s="56">
        <f t="shared" ref="C32:J32" si="23">+C31/C7</f>
        <v>0</v>
      </c>
      <c r="D32" s="56">
        <f t="shared" si="23"/>
        <v>4.1856392294220661E-2</v>
      </c>
      <c r="E32" s="56">
        <f t="shared" si="23"/>
        <v>1.6115048341084411E-2</v>
      </c>
      <c r="F32" s="56">
        <f t="shared" si="23"/>
        <v>7.1993288743090753E-3</v>
      </c>
      <c r="G32" s="56">
        <f t="shared" si="23"/>
        <v>8.4289882736915938E-3</v>
      </c>
      <c r="H32" s="56">
        <f t="shared" si="23"/>
        <v>9.8087115682292461E-3</v>
      </c>
      <c r="I32" s="56">
        <f t="shared" si="23"/>
        <v>8.7515521874409179E-3</v>
      </c>
      <c r="J32" s="56">
        <f t="shared" si="23"/>
        <v>9.9153728649965037E-3</v>
      </c>
      <c r="K32" s="56">
        <f t="shared" ref="K32:S32" si="24">($T$32-$I$32)/11+J32</f>
        <v>1.0937959029774602E-2</v>
      </c>
      <c r="L32" s="56">
        <f t="shared" si="24"/>
        <v>1.19605451945527E-2</v>
      </c>
      <c r="M32" s="56">
        <f t="shared" si="24"/>
        <v>1.2983131359330798E-2</v>
      </c>
      <c r="N32" s="56">
        <f t="shared" si="24"/>
        <v>1.4005717524108896E-2</v>
      </c>
      <c r="O32" s="56">
        <f t="shared" si="24"/>
        <v>1.5028303688886994E-2</v>
      </c>
      <c r="P32" s="56">
        <f t="shared" si="24"/>
        <v>1.6050889853665092E-2</v>
      </c>
      <c r="Q32" s="56">
        <f t="shared" si="24"/>
        <v>1.7073476018443192E-2</v>
      </c>
      <c r="R32" s="56">
        <f t="shared" si="24"/>
        <v>1.8096062183221292E-2</v>
      </c>
      <c r="S32" s="56">
        <f t="shared" si="24"/>
        <v>1.9118648347999392E-2</v>
      </c>
      <c r="T32" s="118">
        <f>+T22</f>
        <v>0.02</v>
      </c>
      <c r="U32" s="118">
        <f>+U22</f>
        <v>0.02</v>
      </c>
    </row>
    <row r="33" spans="1:31" collapsed="1">
      <c r="A33" s="51" t="s">
        <v>30</v>
      </c>
      <c r="C33" s="52">
        <f t="shared" ref="C33:I33" si="25">+C31/C$10</f>
        <v>0</v>
      </c>
      <c r="D33" s="52">
        <f t="shared" si="25"/>
        <v>0.16336295283663704</v>
      </c>
      <c r="E33" s="52">
        <f t="shared" si="25"/>
        <v>5.7323272485534024E-2</v>
      </c>
      <c r="F33" s="52">
        <f t="shared" si="25"/>
        <v>3.0425859689474408E-2</v>
      </c>
      <c r="G33" s="52">
        <f t="shared" si="25"/>
        <v>4.7257833994766157E-2</v>
      </c>
      <c r="H33" s="52">
        <f t="shared" si="25"/>
        <v>4.271662858150032E-2</v>
      </c>
      <c r="I33" s="52">
        <f t="shared" si="25"/>
        <v>4.1927511925253499E-2</v>
      </c>
      <c r="J33" s="52">
        <f t="shared" ref="J33" si="26">+J31/J$10</f>
        <v>4.7262981936982293E-2</v>
      </c>
      <c r="K33" s="34"/>
      <c r="L33" s="34"/>
      <c r="M33" s="34"/>
      <c r="N33" s="34"/>
      <c r="O33" s="34"/>
      <c r="P33" s="34"/>
      <c r="Q33" s="34"/>
      <c r="R33" s="34"/>
      <c r="S33" s="34"/>
      <c r="T33" s="34"/>
      <c r="U33" s="34"/>
    </row>
    <row r="34" spans="1:31">
      <c r="C34" s="34"/>
      <c r="D34" s="34"/>
      <c r="E34" s="34"/>
      <c r="F34" s="34"/>
      <c r="G34" s="34"/>
      <c r="H34" s="34"/>
      <c r="I34" s="34"/>
      <c r="J34" s="34"/>
      <c r="K34" s="34"/>
      <c r="L34" s="34"/>
      <c r="M34" s="34"/>
      <c r="N34" s="34"/>
      <c r="O34" s="34"/>
      <c r="P34" s="34"/>
      <c r="Q34" s="34"/>
      <c r="R34" s="34"/>
      <c r="S34" s="34"/>
      <c r="T34" s="34"/>
      <c r="U34" s="34"/>
    </row>
    <row r="35" spans="1:31" s="34" customFormat="1">
      <c r="A35" s="50" t="s">
        <v>35</v>
      </c>
      <c r="B35" s="54"/>
      <c r="C35" s="55">
        <f t="shared" ref="C35:U35" si="27">+C15-C31</f>
        <v>0.13094759697307962</v>
      </c>
      <c r="D35" s="55">
        <f t="shared" si="27"/>
        <v>0.26242271479143953</v>
      </c>
      <c r="E35" s="55">
        <f t="shared" si="27"/>
        <v>1.5884798607140842</v>
      </c>
      <c r="F35" s="55">
        <f t="shared" si="27"/>
        <v>1.0316940673097243</v>
      </c>
      <c r="G35" s="55">
        <f t="shared" si="27"/>
        <v>-17.149304715449933</v>
      </c>
      <c r="H35" s="55">
        <f t="shared" si="27"/>
        <v>16.676784454669743</v>
      </c>
      <c r="I35" s="55">
        <f t="shared" si="27"/>
        <v>15.704950727333127</v>
      </c>
      <c r="J35" s="55">
        <f t="shared" si="27"/>
        <v>22.356918197583063</v>
      </c>
      <c r="K35" s="55">
        <f t="shared" si="27"/>
        <v>25.467833682195334</v>
      </c>
      <c r="L35" s="55">
        <f t="shared" si="27"/>
        <v>28.928838632749194</v>
      </c>
      <c r="M35" s="55">
        <f t="shared" si="27"/>
        <v>32.755532216236773</v>
      </c>
      <c r="N35" s="55">
        <f t="shared" si="27"/>
        <v>36.95574968780943</v>
      </c>
      <c r="O35" s="55">
        <f t="shared" si="27"/>
        <v>40.833735645038971</v>
      </c>
      <c r="P35" s="55">
        <f t="shared" si="27"/>
        <v>44.149236523816867</v>
      </c>
      <c r="Q35" s="55">
        <f t="shared" si="27"/>
        <v>46.661727257302942</v>
      </c>
      <c r="R35" s="55">
        <f t="shared" si="27"/>
        <v>48.152523862749192</v>
      </c>
      <c r="S35" s="55">
        <f t="shared" si="27"/>
        <v>48.448304517051007</v>
      </c>
      <c r="T35" s="55">
        <f t="shared" si="27"/>
        <v>47.7981403731726</v>
      </c>
      <c r="U35" s="55">
        <f t="shared" si="27"/>
        <v>27.146413080743088</v>
      </c>
    </row>
    <row r="36" spans="1:31">
      <c r="A36" s="51" t="s">
        <v>4252</v>
      </c>
      <c r="C36" s="56"/>
      <c r="D36" s="56">
        <f t="shared" ref="D36:U36" si="28">+D35/C35-1</f>
        <v>1.00402848816988</v>
      </c>
      <c r="E36" s="56">
        <f t="shared" si="28"/>
        <v>5.0531340130999283</v>
      </c>
      <c r="F36" s="56">
        <f t="shared" si="28"/>
        <v>-0.35051485837161489</v>
      </c>
      <c r="G36" s="56">
        <f t="shared" si="28"/>
        <v>-17.622471000699811</v>
      </c>
      <c r="H36" s="56">
        <f t="shared" si="28"/>
        <v>-1.972446681155855</v>
      </c>
      <c r="I36" s="56">
        <f t="shared" si="28"/>
        <v>-5.8274647008733638E-2</v>
      </c>
      <c r="J36" s="56">
        <f t="shared" si="28"/>
        <v>0.42355863356341228</v>
      </c>
      <c r="K36" s="56">
        <f t="shared" si="28"/>
        <v>0.13914777775358056</v>
      </c>
      <c r="L36" s="56">
        <f t="shared" si="28"/>
        <v>0.13589710824024515</v>
      </c>
      <c r="M36" s="56">
        <f t="shared" si="28"/>
        <v>0.13227954402412578</v>
      </c>
      <c r="N36" s="56">
        <f t="shared" si="28"/>
        <v>0.1282292543392296</v>
      </c>
      <c r="O36" s="56">
        <f t="shared" si="28"/>
        <v>0.10493592986178202</v>
      </c>
      <c r="P36" s="56">
        <f t="shared" si="28"/>
        <v>8.1195139910759329E-2</v>
      </c>
      <c r="Q36" s="56">
        <f t="shared" si="28"/>
        <v>5.690904149906828E-2</v>
      </c>
      <c r="R36" s="56">
        <f t="shared" si="28"/>
        <v>3.1949023173224456E-2</v>
      </c>
      <c r="S36" s="56">
        <f t="shared" si="28"/>
        <v>6.1425784273507755E-3</v>
      </c>
      <c r="T36" s="56">
        <f t="shared" si="28"/>
        <v>-1.3419750192694258E-2</v>
      </c>
      <c r="U36" s="56">
        <f t="shared" si="28"/>
        <v>-0.43206131308030127</v>
      </c>
    </row>
    <row r="37" spans="1:31">
      <c r="A37" s="51" t="s">
        <v>27</v>
      </c>
      <c r="C37" s="52">
        <f t="shared" ref="C37:U37" si="29">+C35/C7</f>
        <v>0.31066176470588236</v>
      </c>
      <c r="D37" s="52">
        <f t="shared" si="29"/>
        <v>6.4273204903677758E-2</v>
      </c>
      <c r="E37" s="52">
        <f t="shared" si="29"/>
        <v>0.10452608480715667</v>
      </c>
      <c r="F37" s="52">
        <f t="shared" si="29"/>
        <v>1.4888337761790516E-2</v>
      </c>
      <c r="G37" s="52">
        <f t="shared" si="29"/>
        <v>-0.112575747181085</v>
      </c>
      <c r="H37" s="52">
        <f t="shared" si="29"/>
        <v>5.9717030076614115E-2</v>
      </c>
      <c r="I37" s="52">
        <f t="shared" si="29"/>
        <v>3.2279992245831397E-2</v>
      </c>
      <c r="J37" s="52">
        <f t="shared" si="29"/>
        <v>3.8293718044094406E-2</v>
      </c>
      <c r="K37" s="52">
        <f t="shared" si="29"/>
        <v>3.6351836509876945E-2</v>
      </c>
      <c r="L37" s="52">
        <f t="shared" si="29"/>
        <v>3.440995497565949E-2</v>
      </c>
      <c r="M37" s="52">
        <f t="shared" si="29"/>
        <v>3.2468073441442029E-2</v>
      </c>
      <c r="N37" s="52">
        <f t="shared" si="29"/>
        <v>3.0526191907224571E-2</v>
      </c>
      <c r="O37" s="52">
        <f t="shared" si="29"/>
        <v>2.8584310373007106E-2</v>
      </c>
      <c r="P37" s="52">
        <f t="shared" si="29"/>
        <v>2.6642428838789645E-2</v>
      </c>
      <c r="Q37" s="52">
        <f t="shared" si="29"/>
        <v>2.4700547304572187E-2</v>
      </c>
      <c r="R37" s="52">
        <f t="shared" si="29"/>
        <v>2.2758665770354722E-2</v>
      </c>
      <c r="S37" s="52">
        <f t="shared" si="29"/>
        <v>2.081678423613726E-2</v>
      </c>
      <c r="T37" s="52">
        <f t="shared" si="29"/>
        <v>1.9016137214697297E-2</v>
      </c>
      <c r="U37" s="52">
        <f t="shared" si="29"/>
        <v>0.01</v>
      </c>
    </row>
    <row r="38" spans="1:31">
      <c r="A38" s="51" t="s">
        <v>30</v>
      </c>
      <c r="C38" s="52">
        <f t="shared" ref="C38:J38" si="30">+C35/C10</f>
        <v>0.60142348754448394</v>
      </c>
      <c r="D38" s="52">
        <f t="shared" si="30"/>
        <v>0.25085440874914561</v>
      </c>
      <c r="E38" s="52">
        <f t="shared" si="30"/>
        <v>0.37181255150013914</v>
      </c>
      <c r="F38" s="52">
        <f t="shared" si="30"/>
        <v>6.2921208859654368E-2</v>
      </c>
      <c r="G38" s="52">
        <f t="shared" si="30"/>
        <v>-0.63116542571608925</v>
      </c>
      <c r="H38" s="52">
        <f t="shared" si="30"/>
        <v>0.2600657768381624</v>
      </c>
      <c r="I38" s="52">
        <f t="shared" si="30"/>
        <v>0.15464911033455725</v>
      </c>
      <c r="J38" s="52">
        <f t="shared" si="30"/>
        <v>0.18253224854581046</v>
      </c>
      <c r="K38" s="52"/>
      <c r="L38" s="52"/>
      <c r="M38" s="52"/>
      <c r="N38" s="52"/>
      <c r="O38" s="52"/>
      <c r="P38" s="52"/>
      <c r="Q38" s="52"/>
      <c r="R38" s="52"/>
      <c r="S38" s="52"/>
      <c r="T38" s="52"/>
      <c r="U38" s="52"/>
    </row>
    <row r="39" spans="1:31">
      <c r="C39" s="34"/>
      <c r="D39" s="34"/>
      <c r="E39" s="34"/>
      <c r="F39" s="34"/>
      <c r="G39" s="34"/>
      <c r="H39" s="34"/>
      <c r="I39" s="34"/>
      <c r="J39" s="34"/>
      <c r="K39" s="34"/>
      <c r="L39" s="34"/>
      <c r="M39" s="34"/>
      <c r="N39" s="34"/>
      <c r="O39" s="34"/>
      <c r="P39" s="34"/>
      <c r="Q39" s="34"/>
      <c r="R39" s="34"/>
      <c r="S39" s="34"/>
      <c r="T39" s="34"/>
      <c r="U39" s="34"/>
    </row>
    <row r="40" spans="1:31">
      <c r="A40" s="35" t="s">
        <v>36</v>
      </c>
      <c r="B40" s="58"/>
      <c r="C40" s="53">
        <f>+'Historical - USD'!Q132</f>
        <v>0</v>
      </c>
      <c r="D40" s="53">
        <f>+'Historical - USD'!R132</f>
        <v>0</v>
      </c>
      <c r="E40" s="53">
        <f>+'Historical - USD'!S132</f>
        <v>0</v>
      </c>
      <c r="F40" s="53">
        <f>+'Historical - USD'!T132</f>
        <v>-7.0749051826770768E-3</v>
      </c>
      <c r="G40" s="53">
        <f>+'Historical - USD'!U132</f>
        <v>-2.5816387697817581E-2</v>
      </c>
      <c r="H40" s="53">
        <f>+'Historical - USD'!V132</f>
        <v>-0.16662784528069635</v>
      </c>
      <c r="I40" s="53">
        <f>+'Historical - USD'!W132</f>
        <v>-1.3713725277292057</v>
      </c>
      <c r="J40" s="53">
        <f>+'Historical - USD'!X132</f>
        <v>0</v>
      </c>
      <c r="K40" s="55">
        <v>0</v>
      </c>
      <c r="L40" s="55">
        <v>0</v>
      </c>
      <c r="M40" s="55">
        <v>0</v>
      </c>
      <c r="N40" s="55">
        <v>0</v>
      </c>
      <c r="O40" s="55">
        <v>0</v>
      </c>
      <c r="P40" s="55">
        <v>0</v>
      </c>
      <c r="Q40" s="55">
        <v>0</v>
      </c>
      <c r="R40" s="55">
        <v>0</v>
      </c>
      <c r="S40" s="55">
        <v>0</v>
      </c>
      <c r="T40" s="55">
        <v>0</v>
      </c>
      <c r="U40" s="55">
        <v>0</v>
      </c>
    </row>
    <row r="41" spans="1:31" hidden="1" outlineLevel="1">
      <c r="A41" s="51" t="s">
        <v>37</v>
      </c>
      <c r="C41" s="57"/>
      <c r="D41" s="57"/>
      <c r="E41" s="57"/>
      <c r="F41" s="57"/>
      <c r="G41" s="57">
        <v>0.05</v>
      </c>
      <c r="H41" s="57">
        <f t="shared" ref="H41:P41" si="31">G41</f>
        <v>0.05</v>
      </c>
      <c r="I41" s="57">
        <f t="shared" si="31"/>
        <v>0.05</v>
      </c>
      <c r="J41" s="57">
        <f t="shared" si="31"/>
        <v>0.05</v>
      </c>
      <c r="K41" s="57">
        <f t="shared" si="31"/>
        <v>0.05</v>
      </c>
      <c r="L41" s="57">
        <f t="shared" si="31"/>
        <v>0.05</v>
      </c>
      <c r="M41" s="57">
        <f t="shared" si="31"/>
        <v>0.05</v>
      </c>
      <c r="N41" s="57">
        <f t="shared" si="31"/>
        <v>0.05</v>
      </c>
      <c r="O41" s="57">
        <f t="shared" si="31"/>
        <v>0.05</v>
      </c>
      <c r="P41" s="57">
        <f t="shared" si="31"/>
        <v>0.05</v>
      </c>
      <c r="Q41" s="57"/>
      <c r="R41" s="57"/>
      <c r="S41" s="57"/>
      <c r="T41" s="57"/>
      <c r="U41" s="57"/>
    </row>
    <row r="42" spans="1:31" collapsed="1">
      <c r="C42" s="34"/>
      <c r="D42" s="34"/>
      <c r="E42" s="34"/>
      <c r="F42" s="34"/>
      <c r="G42" s="34"/>
      <c r="H42" s="34"/>
      <c r="I42" s="34"/>
      <c r="J42" s="34"/>
      <c r="K42" s="34"/>
      <c r="L42" s="34"/>
      <c r="M42" s="34"/>
      <c r="N42" s="34"/>
      <c r="O42" s="34"/>
      <c r="P42" s="34"/>
      <c r="Q42" s="34"/>
      <c r="R42" s="34"/>
      <c r="S42" s="34"/>
      <c r="T42" s="34"/>
      <c r="U42" s="34"/>
    </row>
    <row r="43" spans="1:31">
      <c r="A43" s="34" t="s">
        <v>38</v>
      </c>
      <c r="B43" s="54"/>
      <c r="C43" s="55">
        <f t="shared" ref="C43:U43" si="32">+MAX((C15-C31-C40)*C44,0)</f>
        <v>3.9284279091923884E-2</v>
      </c>
      <c r="D43" s="55">
        <f t="shared" si="32"/>
        <v>7.8726814437431861E-2</v>
      </c>
      <c r="E43" s="55">
        <f t="shared" si="32"/>
        <v>0.47654395821422524</v>
      </c>
      <c r="F43" s="55">
        <f t="shared" si="32"/>
        <v>0.3116306917477204</v>
      </c>
      <c r="G43" s="55">
        <f t="shared" si="32"/>
        <v>0</v>
      </c>
      <c r="H43" s="55">
        <f t="shared" si="32"/>
        <v>5.0530236899851317</v>
      </c>
      <c r="I43" s="55">
        <f t="shared" si="32"/>
        <v>5.1228969765187005</v>
      </c>
      <c r="J43" s="55">
        <f t="shared" si="32"/>
        <v>6.7070754592749191</v>
      </c>
      <c r="K43" s="55">
        <f t="shared" si="32"/>
        <v>7.6403501046585998</v>
      </c>
      <c r="L43" s="55">
        <f t="shared" si="32"/>
        <v>8.6786515898247583</v>
      </c>
      <c r="M43" s="55">
        <f t="shared" si="32"/>
        <v>9.8266596648710323</v>
      </c>
      <c r="N43" s="55">
        <f t="shared" si="32"/>
        <v>11.086724906342829</v>
      </c>
      <c r="O43" s="55">
        <f t="shared" si="32"/>
        <v>12.250120693511692</v>
      </c>
      <c r="P43" s="55">
        <f t="shared" si="32"/>
        <v>13.244770957145059</v>
      </c>
      <c r="Q43" s="55">
        <f t="shared" si="32"/>
        <v>13.998518177190883</v>
      </c>
      <c r="R43" s="55">
        <f t="shared" si="32"/>
        <v>14.445757158824756</v>
      </c>
      <c r="S43" s="55">
        <f t="shared" si="32"/>
        <v>14.534491355115302</v>
      </c>
      <c r="T43" s="55">
        <f t="shared" si="32"/>
        <v>14.339442111951779</v>
      </c>
      <c r="U43" s="55">
        <f t="shared" si="32"/>
        <v>8.1439239242229267</v>
      </c>
      <c r="V43" s="34"/>
      <c r="W43" s="34"/>
      <c r="X43" s="34"/>
      <c r="Y43" s="34"/>
      <c r="Z43" s="34"/>
      <c r="AA43" s="34"/>
      <c r="AB43" s="34"/>
      <c r="AC43" s="34"/>
      <c r="AD43" s="34"/>
      <c r="AE43" s="34"/>
    </row>
    <row r="44" spans="1:31">
      <c r="A44" s="51" t="s">
        <v>37</v>
      </c>
      <c r="C44" s="118">
        <v>0.3</v>
      </c>
      <c r="D44" s="118">
        <f t="shared" ref="D44:U44" si="33">C44</f>
        <v>0.3</v>
      </c>
      <c r="E44" s="118">
        <f t="shared" si="33"/>
        <v>0.3</v>
      </c>
      <c r="F44" s="118">
        <f t="shared" si="33"/>
        <v>0.3</v>
      </c>
      <c r="G44" s="118">
        <f t="shared" si="33"/>
        <v>0.3</v>
      </c>
      <c r="H44" s="118">
        <f t="shared" si="33"/>
        <v>0.3</v>
      </c>
      <c r="I44" s="118">
        <f t="shared" si="33"/>
        <v>0.3</v>
      </c>
      <c r="J44" s="118">
        <f t="shared" si="33"/>
        <v>0.3</v>
      </c>
      <c r="K44" s="118">
        <f t="shared" si="33"/>
        <v>0.3</v>
      </c>
      <c r="L44" s="118">
        <f t="shared" si="33"/>
        <v>0.3</v>
      </c>
      <c r="M44" s="118">
        <f t="shared" si="33"/>
        <v>0.3</v>
      </c>
      <c r="N44" s="118">
        <f t="shared" si="33"/>
        <v>0.3</v>
      </c>
      <c r="O44" s="118">
        <f t="shared" si="33"/>
        <v>0.3</v>
      </c>
      <c r="P44" s="118">
        <f t="shared" si="33"/>
        <v>0.3</v>
      </c>
      <c r="Q44" s="118">
        <f t="shared" si="33"/>
        <v>0.3</v>
      </c>
      <c r="R44" s="118">
        <f t="shared" si="33"/>
        <v>0.3</v>
      </c>
      <c r="S44" s="118">
        <f t="shared" si="33"/>
        <v>0.3</v>
      </c>
      <c r="T44" s="118">
        <f t="shared" si="33"/>
        <v>0.3</v>
      </c>
      <c r="U44" s="118">
        <f t="shared" si="33"/>
        <v>0.3</v>
      </c>
    </row>
    <row r="45" spans="1:31">
      <c r="C45" s="34"/>
      <c r="D45" s="60"/>
      <c r="E45" s="60"/>
      <c r="F45" s="34"/>
      <c r="G45" s="34"/>
      <c r="H45" s="34"/>
      <c r="I45" s="34"/>
      <c r="J45" s="34"/>
      <c r="K45" s="34"/>
      <c r="L45" s="34"/>
      <c r="M45" s="34"/>
      <c r="N45" s="34"/>
      <c r="O45" s="34"/>
      <c r="P45" s="34"/>
      <c r="Q45" s="34"/>
      <c r="R45" s="34"/>
      <c r="S45" s="34"/>
      <c r="T45" s="34"/>
      <c r="U45" s="34"/>
    </row>
    <row r="46" spans="1:31">
      <c r="A46" s="35" t="s">
        <v>39</v>
      </c>
      <c r="B46" s="58"/>
      <c r="C46" s="55">
        <f t="shared" ref="C46:U46" si="34">+C25-C40-C43</f>
        <v>-0.34612006844896243</v>
      </c>
      <c r="D46" s="55">
        <f t="shared" si="34"/>
        <v>-0.45198201095277629</v>
      </c>
      <c r="E46" s="55">
        <f t="shared" si="34"/>
        <v>0.4717865609536489</v>
      </c>
      <c r="F46" s="55">
        <f t="shared" si="34"/>
        <v>-0.80870184620929175</v>
      </c>
      <c r="G46" s="55">
        <f t="shared" si="34"/>
        <v>-21.905949370769704</v>
      </c>
      <c r="H46" s="55">
        <f t="shared" si="34"/>
        <v>6.4311897612750002</v>
      </c>
      <c r="I46" s="55">
        <f t="shared" si="34"/>
        <v>6.8542285399188581</v>
      </c>
      <c r="J46" s="55">
        <f t="shared" si="34"/>
        <v>9.7621620578689701</v>
      </c>
      <c r="K46" s="55">
        <f t="shared" si="34"/>
        <v>11.478683230455678</v>
      </c>
      <c r="L46" s="55">
        <f t="shared" si="34"/>
        <v>13.491326389762316</v>
      </c>
      <c r="M46" s="55">
        <f t="shared" si="34"/>
        <v>15.849879483573373</v>
      </c>
      <c r="N46" s="55">
        <f t="shared" si="34"/>
        <v>18.61220075931837</v>
      </c>
      <c r="O46" s="55">
        <f t="shared" si="34"/>
        <v>21.481364443251451</v>
      </c>
      <c r="P46" s="55">
        <f t="shared" si="34"/>
        <v>24.360385108988382</v>
      </c>
      <c r="Q46" s="55">
        <f t="shared" si="34"/>
        <v>27.134721708737793</v>
      </c>
      <c r="R46" s="55">
        <f t="shared" si="34"/>
        <v>29.678436920416289</v>
      </c>
      <c r="S46" s="55">
        <f t="shared" si="34"/>
        <v>31.862584079750881</v>
      </c>
      <c r="T46" s="55">
        <f t="shared" si="34"/>
        <v>33.458698261220817</v>
      </c>
      <c r="U46" s="55">
        <f t="shared" si="34"/>
        <v>19.002489156520163</v>
      </c>
    </row>
    <row r="47" spans="1:31">
      <c r="A47" s="51" t="s">
        <v>25</v>
      </c>
      <c r="C47" s="56"/>
      <c r="D47" s="56">
        <f>+D46/C46-1</f>
        <v>0.30585323462520897</v>
      </c>
      <c r="E47" s="56">
        <f>+E46/D46-1</f>
        <v>-2.0438171199759139</v>
      </c>
      <c r="F47" s="56">
        <f t="shared" ref="F47:U47" si="35">+IFERROR(F46/E46-1,"-")</f>
        <v>-2.7141264994378327</v>
      </c>
      <c r="G47" s="56">
        <f t="shared" si="35"/>
        <v>26.087794436789814</v>
      </c>
      <c r="H47" s="56">
        <f t="shared" si="35"/>
        <v>-1.2935818782570769</v>
      </c>
      <c r="I47" s="56">
        <f t="shared" si="35"/>
        <v>6.5779240598863753E-2</v>
      </c>
      <c r="J47" s="56">
        <f t="shared" si="35"/>
        <v>0.42425394791177129</v>
      </c>
      <c r="K47" s="56">
        <f t="shared" si="35"/>
        <v>0.17583411977913999</v>
      </c>
      <c r="L47" s="56">
        <f t="shared" si="35"/>
        <v>0.17533745978516224</v>
      </c>
      <c r="M47" s="56">
        <f t="shared" si="35"/>
        <v>0.1748199565908366</v>
      </c>
      <c r="N47" s="56">
        <f t="shared" si="35"/>
        <v>0.17428026999245216</v>
      </c>
      <c r="O47" s="56">
        <f t="shared" si="35"/>
        <v>0.15415499333127536</v>
      </c>
      <c r="P47" s="56">
        <f t="shared" si="35"/>
        <v>0.13402410602653303</v>
      </c>
      <c r="Q47" s="56">
        <f t="shared" si="35"/>
        <v>0.11388722252694383</v>
      </c>
      <c r="R47" s="56">
        <f t="shared" si="35"/>
        <v>9.3743921127423357E-2</v>
      </c>
      <c r="S47" s="56">
        <f t="shared" si="35"/>
        <v>7.359373962959892E-2</v>
      </c>
      <c r="T47" s="56">
        <f t="shared" si="35"/>
        <v>5.0093682843642684E-2</v>
      </c>
      <c r="U47" s="56">
        <f t="shared" si="35"/>
        <v>-0.43206131308030116</v>
      </c>
    </row>
    <row r="48" spans="1:31">
      <c r="A48" s="34"/>
      <c r="B48" s="58"/>
      <c r="C48" s="55"/>
      <c r="D48" s="55"/>
      <c r="E48" s="55"/>
      <c r="F48" s="55"/>
      <c r="G48" s="55"/>
      <c r="H48" s="55"/>
      <c r="I48" s="55"/>
      <c r="J48" s="55"/>
      <c r="K48" s="55"/>
      <c r="L48" s="55"/>
      <c r="M48" s="55"/>
      <c r="N48" s="55"/>
      <c r="O48" s="55"/>
      <c r="P48" s="55"/>
      <c r="Q48" s="55"/>
      <c r="R48" s="55"/>
      <c r="S48" s="55"/>
      <c r="T48" s="55"/>
      <c r="U48" s="55"/>
      <c r="V48" s="58"/>
      <c r="W48" s="58"/>
      <c r="X48" s="58"/>
      <c r="Y48" s="58"/>
      <c r="Z48" s="58"/>
      <c r="AA48" s="58"/>
      <c r="AB48" s="58"/>
      <c r="AC48" s="58"/>
      <c r="AD48" s="58"/>
      <c r="AE48" s="58"/>
    </row>
    <row r="49" spans="1:31">
      <c r="A49" s="35" t="s">
        <v>40</v>
      </c>
      <c r="B49" s="58"/>
      <c r="C49" s="55">
        <f t="shared" ref="C49:U49" si="36">+C15-C31-C40-C43</f>
        <v>9.1663317881155726E-2</v>
      </c>
      <c r="D49" s="55">
        <f t="shared" si="36"/>
        <v>0.18369590035400768</v>
      </c>
      <c r="E49" s="55">
        <f t="shared" si="36"/>
        <v>1.111935902499859</v>
      </c>
      <c r="F49" s="55">
        <f t="shared" si="36"/>
        <v>0.72713828074468101</v>
      </c>
      <c r="G49" s="55">
        <f t="shared" si="36"/>
        <v>-17.123488327752117</v>
      </c>
      <c r="H49" s="55">
        <f t="shared" si="36"/>
        <v>11.790388609965309</v>
      </c>
      <c r="I49" s="55">
        <f t="shared" si="36"/>
        <v>11.953426278543635</v>
      </c>
      <c r="J49" s="55">
        <f t="shared" si="36"/>
        <v>15.649842738308145</v>
      </c>
      <c r="K49" s="55">
        <f t="shared" si="36"/>
        <v>17.827483577536732</v>
      </c>
      <c r="L49" s="55">
        <f t="shared" si="36"/>
        <v>20.250187042924438</v>
      </c>
      <c r="M49" s="55">
        <f t="shared" si="36"/>
        <v>22.928872551365743</v>
      </c>
      <c r="N49" s="55">
        <f t="shared" si="36"/>
        <v>25.869024781466599</v>
      </c>
      <c r="O49" s="55">
        <f t="shared" si="36"/>
        <v>28.583614951527281</v>
      </c>
      <c r="P49" s="55">
        <f t="shared" si="36"/>
        <v>30.90446556667181</v>
      </c>
      <c r="Q49" s="55">
        <f t="shared" si="36"/>
        <v>32.663209080112061</v>
      </c>
      <c r="R49" s="55">
        <f t="shared" si="36"/>
        <v>33.706766703924437</v>
      </c>
      <c r="S49" s="55">
        <f t="shared" si="36"/>
        <v>33.913813161935707</v>
      </c>
      <c r="T49" s="55">
        <f t="shared" si="36"/>
        <v>33.458698261220817</v>
      </c>
      <c r="U49" s="55">
        <f t="shared" si="36"/>
        <v>19.002489156520163</v>
      </c>
    </row>
    <row r="50" spans="1:31">
      <c r="A50" s="51" t="s">
        <v>25</v>
      </c>
      <c r="C50" s="56"/>
      <c r="D50" s="56">
        <f>+D49/C49-1</f>
        <v>1.0040284881698804</v>
      </c>
      <c r="E50" s="56">
        <f>+E49/D49-1</f>
        <v>5.0531340130999283</v>
      </c>
      <c r="F50" s="56">
        <f t="shared" ref="F50:U50" si="37">+IFERROR(F49/E49-1,"-")</f>
        <v>-0.34606097427924964</v>
      </c>
      <c r="G50" s="56">
        <f t="shared" si="37"/>
        <v>-24.549149840131527</v>
      </c>
      <c r="H50" s="56">
        <f t="shared" si="37"/>
        <v>-1.6885506261511312</v>
      </c>
      <c r="I50" s="56">
        <f t="shared" si="37"/>
        <v>1.382801483239704E-2</v>
      </c>
      <c r="J50" s="56">
        <f t="shared" si="37"/>
        <v>0.30923488994946724</v>
      </c>
      <c r="K50" s="56">
        <f t="shared" si="37"/>
        <v>0.13914777775358056</v>
      </c>
      <c r="L50" s="56">
        <f t="shared" si="37"/>
        <v>0.13589710824024537</v>
      </c>
      <c r="M50" s="56">
        <f t="shared" si="37"/>
        <v>0.13227954402412578</v>
      </c>
      <c r="N50" s="56">
        <f t="shared" si="37"/>
        <v>0.1282292543392296</v>
      </c>
      <c r="O50" s="56">
        <f t="shared" si="37"/>
        <v>0.10493592986178202</v>
      </c>
      <c r="P50" s="56">
        <f t="shared" si="37"/>
        <v>8.1195139910759329E-2</v>
      </c>
      <c r="Q50" s="56">
        <f t="shared" si="37"/>
        <v>5.690904149906828E-2</v>
      </c>
      <c r="R50" s="56">
        <f t="shared" si="37"/>
        <v>3.1949023173224456E-2</v>
      </c>
      <c r="S50" s="56">
        <f t="shared" si="37"/>
        <v>6.1425784273507755E-3</v>
      </c>
      <c r="T50" s="56">
        <f t="shared" si="37"/>
        <v>-1.3419750192694369E-2</v>
      </c>
      <c r="U50" s="56">
        <f t="shared" si="37"/>
        <v>-0.43206131308030116</v>
      </c>
    </row>
    <row r="51" spans="1:31">
      <c r="A51" s="34"/>
      <c r="B51" s="58"/>
      <c r="C51" s="55"/>
      <c r="D51" s="55"/>
      <c r="E51" s="55"/>
      <c r="F51" s="55"/>
      <c r="G51" s="55"/>
      <c r="H51" s="55"/>
      <c r="I51" s="55"/>
      <c r="J51" s="55"/>
      <c r="K51" s="55"/>
      <c r="L51" s="55"/>
      <c r="M51" s="55"/>
      <c r="N51" s="55"/>
      <c r="O51" s="55"/>
      <c r="P51" s="55"/>
      <c r="Q51" s="55"/>
      <c r="R51" s="55"/>
      <c r="S51" s="55"/>
      <c r="T51" s="55"/>
      <c r="U51" s="55"/>
      <c r="V51" s="58"/>
      <c r="W51" s="58"/>
      <c r="X51" s="58"/>
      <c r="Y51" s="58"/>
      <c r="Z51" s="58"/>
      <c r="AA51" s="58"/>
      <c r="AB51" s="58"/>
      <c r="AC51" s="58"/>
      <c r="AD51" s="58"/>
      <c r="AE51" s="58"/>
    </row>
    <row r="52" spans="1:31" ht="13.5">
      <c r="A52" s="34" t="s">
        <v>41</v>
      </c>
      <c r="C52" s="61">
        <f t="shared" ref="C52:J52" si="38">C53-C46-SUM(C48:C48)</f>
        <v>-0.71387993155103757</v>
      </c>
      <c r="D52" s="61">
        <f t="shared" si="38"/>
        <v>7.9982010952776406E-2</v>
      </c>
      <c r="E52" s="61">
        <f t="shared" si="38"/>
        <v>3.7221444390463514</v>
      </c>
      <c r="F52" s="61">
        <f t="shared" si="38"/>
        <v>8.1824757556801817</v>
      </c>
      <c r="G52" s="61">
        <f t="shared" si="38"/>
        <v>5.4401249618434946</v>
      </c>
      <c r="H52" s="61">
        <f t="shared" si="38"/>
        <v>9.8710336611714489</v>
      </c>
      <c r="I52" s="61">
        <f t="shared" si="38"/>
        <v>24.881363022435856</v>
      </c>
      <c r="J52" s="61">
        <f t="shared" si="38"/>
        <v>5.5926951020074842</v>
      </c>
      <c r="K52" s="121">
        <f t="shared" ref="K52:U52" si="39">+J52/(J7-I7)*(K7-J7)</f>
        <v>6.7112341224089862</v>
      </c>
      <c r="L52" s="121">
        <f t="shared" si="39"/>
        <v>8.0534809468907813</v>
      </c>
      <c r="M52" s="121">
        <f t="shared" si="39"/>
        <v>9.6641771362689326</v>
      </c>
      <c r="N52" s="121">
        <f t="shared" si="39"/>
        <v>11.597012563522725</v>
      </c>
      <c r="O52" s="121">
        <f t="shared" si="39"/>
        <v>12.524773568604532</v>
      </c>
      <c r="P52" s="121">
        <f t="shared" si="39"/>
        <v>13.13709583195854</v>
      </c>
      <c r="Q52" s="121">
        <f t="shared" si="39"/>
        <v>13.334152269437935</v>
      </c>
      <c r="R52" s="121">
        <f t="shared" si="39"/>
        <v>13.029371646136482</v>
      </c>
      <c r="S52" s="121">
        <f t="shared" si="39"/>
        <v>12.160746869727408</v>
      </c>
      <c r="T52" s="121">
        <f t="shared" si="39"/>
        <v>10.701457245360103</v>
      </c>
      <c r="U52" s="121">
        <f t="shared" si="39"/>
        <v>11.557573824988919</v>
      </c>
    </row>
    <row r="53" spans="1:31">
      <c r="A53" s="62" t="s">
        <v>42</v>
      </c>
      <c r="B53" s="53"/>
      <c r="C53" s="53">
        <f>+'Historical - USD'!Q148</f>
        <v>-1.06</v>
      </c>
      <c r="D53" s="53">
        <f>+'Historical - USD'!R148</f>
        <v>-0.37199999999999989</v>
      </c>
      <c r="E53" s="53">
        <f>+'Historical - USD'!S148</f>
        <v>4.1939310000000001</v>
      </c>
      <c r="F53" s="53">
        <f>+'Historical - USD'!T148</f>
        <v>7.3737739094708905</v>
      </c>
      <c r="G53" s="53">
        <f>+'Historical - USD'!U148</f>
        <v>-16.46582440892621</v>
      </c>
      <c r="H53" s="53">
        <f>+'Historical - USD'!V148</f>
        <v>16.302223422446449</v>
      </c>
      <c r="I53" s="53">
        <f>+'Historical - USD'!W148</f>
        <v>31.735591562354713</v>
      </c>
      <c r="J53" s="53">
        <f>+'Historical - USD'!X148</f>
        <v>15.354857159876454</v>
      </c>
      <c r="K53" s="55">
        <f t="shared" ref="K53:U53" si="40">+K46+K52+K48</f>
        <v>18.189917352864665</v>
      </c>
      <c r="L53" s="55">
        <f t="shared" si="40"/>
        <v>21.544807336653097</v>
      </c>
      <c r="M53" s="55">
        <f t="shared" si="40"/>
        <v>25.514056619842307</v>
      </c>
      <c r="N53" s="55">
        <f t="shared" si="40"/>
        <v>30.209213322841094</v>
      </c>
      <c r="O53" s="55">
        <f t="shared" si="40"/>
        <v>34.006138011855981</v>
      </c>
      <c r="P53" s="55">
        <f t="shared" si="40"/>
        <v>37.497480940946922</v>
      </c>
      <c r="Q53" s="55">
        <f t="shared" si="40"/>
        <v>40.468873978175729</v>
      </c>
      <c r="R53" s="55">
        <f t="shared" si="40"/>
        <v>42.707808566552771</v>
      </c>
      <c r="S53" s="55">
        <f t="shared" si="40"/>
        <v>44.023330949478293</v>
      </c>
      <c r="T53" s="55">
        <f t="shared" si="40"/>
        <v>44.160155506580921</v>
      </c>
      <c r="U53" s="55">
        <f t="shared" si="40"/>
        <v>30.560062981509084</v>
      </c>
      <c r="V53" s="63"/>
      <c r="W53" s="63"/>
      <c r="X53" s="63"/>
      <c r="Y53" s="63"/>
      <c r="Z53" s="63"/>
      <c r="AA53" s="63"/>
      <c r="AB53" s="63"/>
      <c r="AC53" s="63"/>
      <c r="AD53" s="63"/>
      <c r="AE53" s="63"/>
    </row>
    <row r="54" spans="1:31">
      <c r="C54" s="34"/>
      <c r="D54" s="34"/>
      <c r="E54" s="34"/>
      <c r="F54" s="34"/>
      <c r="G54" s="34"/>
      <c r="H54" s="34"/>
      <c r="I54" s="34"/>
      <c r="J54" s="34"/>
      <c r="K54" s="34"/>
      <c r="L54" s="34"/>
      <c r="M54" s="34"/>
      <c r="N54" s="34"/>
      <c r="O54" s="34"/>
      <c r="P54" s="34"/>
      <c r="Q54" s="34"/>
      <c r="R54" s="34"/>
      <c r="S54" s="34"/>
      <c r="T54" s="34"/>
      <c r="U54" s="34"/>
    </row>
    <row r="55" spans="1:31">
      <c r="A55" s="35" t="s">
        <v>43</v>
      </c>
      <c r="B55" s="58"/>
      <c r="C55" s="53">
        <f>+'Historical - USD'!Q157</f>
        <v>-0.24484876120410151</v>
      </c>
      <c r="D55" s="53">
        <f>+'Historical - USD'!R157</f>
        <v>-0.58347938765617069</v>
      </c>
      <c r="E55" s="53">
        <f>+'Historical - USD'!S157</f>
        <v>-3.0639729932710362</v>
      </c>
      <c r="F55" s="53">
        <f>+'Historical - USD'!T157</f>
        <v>-36.339216416289275</v>
      </c>
      <c r="G55" s="53">
        <f>+'Historical - USD'!U157</f>
        <v>-16.304137214963198</v>
      </c>
      <c r="H55" s="53">
        <f>+'Historical - USD'!V157</f>
        <v>-30.769202710783336</v>
      </c>
      <c r="I55" s="53">
        <f>+'Historical - USD'!W157</f>
        <v>-52.680382305844681</v>
      </c>
      <c r="J55" s="53">
        <f>+I55-J53</f>
        <v>-68.035239465721133</v>
      </c>
      <c r="K55" s="55">
        <v>0</v>
      </c>
      <c r="L55" s="55">
        <f t="shared" ref="L55:U55" si="41">+K55</f>
        <v>0</v>
      </c>
      <c r="M55" s="55">
        <f t="shared" si="41"/>
        <v>0</v>
      </c>
      <c r="N55" s="55">
        <f t="shared" si="41"/>
        <v>0</v>
      </c>
      <c r="O55" s="55">
        <f t="shared" si="41"/>
        <v>0</v>
      </c>
      <c r="P55" s="55">
        <f t="shared" si="41"/>
        <v>0</v>
      </c>
      <c r="Q55" s="55">
        <f t="shared" si="41"/>
        <v>0</v>
      </c>
      <c r="R55" s="55">
        <f t="shared" si="41"/>
        <v>0</v>
      </c>
      <c r="S55" s="55">
        <f t="shared" si="41"/>
        <v>0</v>
      </c>
      <c r="T55" s="55">
        <f t="shared" si="41"/>
        <v>0</v>
      </c>
      <c r="U55" s="55">
        <f t="shared" si="41"/>
        <v>0</v>
      </c>
    </row>
    <row r="56" spans="1:31" outlineLevel="1">
      <c r="A56" s="51" t="s">
        <v>44</v>
      </c>
      <c r="B56" s="42"/>
      <c r="C56" s="64">
        <f t="shared" ref="C56:J56" si="42">+C55/C15</f>
        <v>-1.8698224852071004</v>
      </c>
      <c r="D56" s="64">
        <f t="shared" si="42"/>
        <v>-1.3465346534653466</v>
      </c>
      <c r="E56" s="64">
        <f t="shared" si="42"/>
        <v>-1.6712156567385912</v>
      </c>
      <c r="F56" s="64">
        <f t="shared" si="42"/>
        <v>-23.742202182563162</v>
      </c>
      <c r="G56" s="64">
        <f t="shared" si="42"/>
        <v>1.0276622029225084</v>
      </c>
      <c r="H56" s="64">
        <f t="shared" si="42"/>
        <v>-1.5847344457144183</v>
      </c>
      <c r="I56" s="64">
        <f t="shared" si="42"/>
        <v>-2.6389301643866774</v>
      </c>
      <c r="J56" s="64">
        <f t="shared" si="42"/>
        <v>-2.4172444583324619</v>
      </c>
      <c r="K56" s="55">
        <v>0</v>
      </c>
      <c r="L56" s="55">
        <f t="shared" ref="L56:U56" si="43">+K56</f>
        <v>0</v>
      </c>
      <c r="M56" s="55">
        <f t="shared" si="43"/>
        <v>0</v>
      </c>
      <c r="N56" s="55">
        <f t="shared" si="43"/>
        <v>0</v>
      </c>
      <c r="O56" s="55">
        <f t="shared" si="43"/>
        <v>0</v>
      </c>
      <c r="P56" s="55">
        <f t="shared" si="43"/>
        <v>0</v>
      </c>
      <c r="Q56" s="55">
        <f t="shared" si="43"/>
        <v>0</v>
      </c>
      <c r="R56" s="55">
        <f t="shared" si="43"/>
        <v>0</v>
      </c>
      <c r="S56" s="55">
        <f t="shared" si="43"/>
        <v>0</v>
      </c>
      <c r="T56" s="55">
        <f t="shared" si="43"/>
        <v>0</v>
      </c>
      <c r="U56" s="55">
        <f t="shared" si="43"/>
        <v>0</v>
      </c>
    </row>
    <row r="57" spans="1:31">
      <c r="C57" s="34"/>
      <c r="D57" s="34"/>
      <c r="E57" s="34"/>
      <c r="F57" s="34"/>
      <c r="G57" s="34"/>
      <c r="H57" s="34"/>
      <c r="I57" s="34"/>
      <c r="J57" s="34"/>
      <c r="K57" s="34"/>
      <c r="L57" s="34"/>
      <c r="M57" s="34"/>
      <c r="N57" s="34"/>
      <c r="O57" s="34"/>
      <c r="P57" s="34"/>
      <c r="Q57" s="34"/>
      <c r="R57" s="34"/>
      <c r="S57" s="34"/>
      <c r="T57" s="34"/>
      <c r="U57" s="34"/>
    </row>
    <row r="58" spans="1:31">
      <c r="A58" s="65" t="s">
        <v>45</v>
      </c>
      <c r="B58" s="58"/>
      <c r="C58" s="55"/>
      <c r="D58" s="55"/>
      <c r="E58" s="55"/>
      <c r="F58" s="55"/>
      <c r="G58" s="55"/>
      <c r="H58" s="55"/>
      <c r="I58" s="55"/>
      <c r="J58" s="55">
        <f t="shared" ref="J58:U58" si="44">+J53+(J55-I55)</f>
        <v>0</v>
      </c>
      <c r="K58" s="55">
        <f t="shared" si="44"/>
        <v>86.225156818585802</v>
      </c>
      <c r="L58" s="55">
        <f t="shared" si="44"/>
        <v>21.544807336653097</v>
      </c>
      <c r="M58" s="55">
        <f t="shared" si="44"/>
        <v>25.514056619842307</v>
      </c>
      <c r="N58" s="55">
        <f t="shared" si="44"/>
        <v>30.209213322841094</v>
      </c>
      <c r="O58" s="55">
        <f t="shared" si="44"/>
        <v>34.006138011855981</v>
      </c>
      <c r="P58" s="55">
        <f t="shared" si="44"/>
        <v>37.497480940946922</v>
      </c>
      <c r="Q58" s="55">
        <f t="shared" si="44"/>
        <v>40.468873978175729</v>
      </c>
      <c r="R58" s="55">
        <f t="shared" si="44"/>
        <v>42.707808566552771</v>
      </c>
      <c r="S58" s="55">
        <f t="shared" si="44"/>
        <v>44.023330949478293</v>
      </c>
      <c r="T58" s="55">
        <f t="shared" si="44"/>
        <v>44.160155506580921</v>
      </c>
      <c r="U58" s="55">
        <f t="shared" si="44"/>
        <v>30.560062981509084</v>
      </c>
    </row>
    <row r="59" spans="1:31">
      <c r="A59" s="66" t="s">
        <v>46</v>
      </c>
      <c r="C59" s="56"/>
      <c r="D59" s="56"/>
      <c r="E59" s="56"/>
      <c r="F59" s="56"/>
      <c r="G59" s="56"/>
      <c r="H59" s="56"/>
      <c r="I59" s="56"/>
      <c r="J59" s="56">
        <f t="shared" ref="J59:U59" si="45">+J58/$C$86</f>
        <v>0</v>
      </c>
      <c r="K59" s="56">
        <f t="shared" si="45"/>
        <v>0.17504933628612115</v>
      </c>
      <c r="L59" s="56">
        <f t="shared" si="45"/>
        <v>4.3739024245886361E-2</v>
      </c>
      <c r="M59" s="56">
        <f t="shared" si="45"/>
        <v>5.1797165027680413E-2</v>
      </c>
      <c r="N59" s="56">
        <f t="shared" si="45"/>
        <v>6.1329001152356656E-2</v>
      </c>
      <c r="O59" s="56">
        <f t="shared" si="45"/>
        <v>6.9037298489975155E-2</v>
      </c>
      <c r="P59" s="56">
        <f t="shared" si="45"/>
        <v>7.6125221377380994E-2</v>
      </c>
      <c r="Q59" s="56">
        <f t="shared" si="45"/>
        <v>8.2157572006866755E-2</v>
      </c>
      <c r="R59" s="56">
        <f t="shared" si="45"/>
        <v>8.6702927772447244E-2</v>
      </c>
      <c r="S59" s="56">
        <f t="shared" si="45"/>
        <v>8.9373625379703003E-2</v>
      </c>
      <c r="T59" s="56">
        <f t="shared" si="45"/>
        <v>8.9651398697748089E-2</v>
      </c>
      <c r="U59" s="56">
        <f t="shared" si="45"/>
        <v>6.2041275877646636E-2</v>
      </c>
    </row>
    <row r="60" spans="1:31">
      <c r="C60" s="34"/>
      <c r="D60" s="34"/>
      <c r="E60" s="34"/>
      <c r="F60" s="34"/>
      <c r="G60" s="34"/>
      <c r="H60" s="34"/>
      <c r="I60" s="34"/>
      <c r="J60" s="34"/>
      <c r="K60" s="34"/>
      <c r="L60" s="34"/>
      <c r="M60" s="34"/>
      <c r="N60" s="34"/>
      <c r="O60" s="34"/>
      <c r="P60" s="34"/>
      <c r="Q60" s="34"/>
      <c r="R60" s="34"/>
      <c r="S60" s="34"/>
      <c r="T60" s="34"/>
      <c r="U60" s="34"/>
    </row>
    <row r="61" spans="1:31">
      <c r="A61" s="65" t="s">
        <v>47</v>
      </c>
      <c r="B61" s="58"/>
      <c r="C61" s="55"/>
      <c r="D61" s="55"/>
      <c r="E61" s="55"/>
      <c r="F61" s="55"/>
      <c r="G61" s="55"/>
      <c r="H61" s="55"/>
      <c r="I61" s="55"/>
      <c r="J61" s="55">
        <f t="shared" ref="J61:U61" si="46">J58+I61</f>
        <v>0</v>
      </c>
      <c r="K61" s="55">
        <f t="shared" si="46"/>
        <v>86.225156818585802</v>
      </c>
      <c r="L61" s="55">
        <f t="shared" si="46"/>
        <v>107.7699641552389</v>
      </c>
      <c r="M61" s="55">
        <f t="shared" si="46"/>
        <v>133.28402077508122</v>
      </c>
      <c r="N61" s="55">
        <f t="shared" si="46"/>
        <v>163.49323409792231</v>
      </c>
      <c r="O61" s="55">
        <f t="shared" si="46"/>
        <v>197.49937210977828</v>
      </c>
      <c r="P61" s="55">
        <f t="shared" si="46"/>
        <v>234.99685305072521</v>
      </c>
      <c r="Q61" s="55">
        <f t="shared" si="46"/>
        <v>275.46572702890091</v>
      </c>
      <c r="R61" s="55">
        <f t="shared" si="46"/>
        <v>318.1735355954537</v>
      </c>
      <c r="S61" s="55">
        <f t="shared" si="46"/>
        <v>362.19686654493199</v>
      </c>
      <c r="T61" s="55">
        <f t="shared" si="46"/>
        <v>406.3570220515129</v>
      </c>
      <c r="U61" s="55">
        <f t="shared" si="46"/>
        <v>436.91708503302198</v>
      </c>
    </row>
    <row r="62" spans="1:31">
      <c r="A62" s="66" t="s">
        <v>46</v>
      </c>
      <c r="C62" s="56"/>
      <c r="D62" s="56"/>
      <c r="E62" s="56"/>
      <c r="F62" s="56"/>
      <c r="G62" s="56"/>
      <c r="H62" s="56"/>
      <c r="I62" s="56"/>
      <c r="J62" s="56">
        <f t="shared" ref="J62:U62" si="47">J61/$C$86</f>
        <v>0</v>
      </c>
      <c r="K62" s="56">
        <f t="shared" si="47"/>
        <v>0.17504933628612115</v>
      </c>
      <c r="L62" s="56">
        <f t="shared" si="47"/>
        <v>0.21878836053200751</v>
      </c>
      <c r="M62" s="56">
        <f t="shared" si="47"/>
        <v>0.27058552555968796</v>
      </c>
      <c r="N62" s="67">
        <f t="shared" si="47"/>
        <v>0.33191452671204463</v>
      </c>
      <c r="O62" s="56">
        <f t="shared" si="47"/>
        <v>0.40095182520201972</v>
      </c>
      <c r="P62" s="56">
        <f t="shared" si="47"/>
        <v>0.47707704657940075</v>
      </c>
      <c r="Q62" s="56">
        <f t="shared" si="47"/>
        <v>0.55923461858626744</v>
      </c>
      <c r="R62" s="56">
        <f t="shared" si="47"/>
        <v>0.6459375463587147</v>
      </c>
      <c r="S62" s="56">
        <f t="shared" si="47"/>
        <v>0.73531117173841776</v>
      </c>
      <c r="T62" s="56">
        <f t="shared" si="47"/>
        <v>0.82496257043616583</v>
      </c>
      <c r="U62" s="56">
        <f t="shared" si="47"/>
        <v>0.88700384631381246</v>
      </c>
    </row>
    <row r="63" spans="1:31">
      <c r="C63" s="34"/>
      <c r="D63" s="34"/>
      <c r="E63" s="34"/>
      <c r="F63" s="34"/>
      <c r="G63" s="34"/>
      <c r="H63" s="34"/>
      <c r="I63" s="34"/>
      <c r="J63" s="34"/>
      <c r="K63" s="34"/>
      <c r="L63" s="34"/>
      <c r="M63" s="34"/>
      <c r="N63" s="34"/>
      <c r="O63" s="34"/>
      <c r="P63" s="34"/>
      <c r="Q63" s="34"/>
      <c r="R63" s="34"/>
      <c r="S63" s="34"/>
      <c r="T63" s="34"/>
      <c r="U63" s="34"/>
    </row>
    <row r="64" spans="1:31" hidden="1" outlineLevel="1">
      <c r="A64" s="94" t="s">
        <v>48</v>
      </c>
      <c r="B64" s="95"/>
      <c r="C64" s="96"/>
      <c r="D64" s="96"/>
      <c r="E64" s="96"/>
      <c r="F64" s="185"/>
      <c r="G64" s="97">
        <f>Down!G64</f>
        <v>-214.3280730450748</v>
      </c>
      <c r="H64" s="34"/>
      <c r="I64" s="34"/>
      <c r="J64" s="34"/>
      <c r="K64" s="34"/>
      <c r="L64" s="34"/>
      <c r="M64" s="34"/>
      <c r="N64" s="34"/>
      <c r="O64" s="34"/>
      <c r="P64" s="34"/>
      <c r="Q64" s="34"/>
      <c r="R64" s="34"/>
      <c r="S64" s="34"/>
      <c r="T64" s="34"/>
      <c r="U64" s="34"/>
      <c r="X64" s="98"/>
    </row>
    <row r="65" spans="1:21" hidden="1" outlineLevel="1">
      <c r="C65" s="34"/>
      <c r="D65" s="34"/>
      <c r="E65" s="34"/>
      <c r="F65" s="34"/>
      <c r="G65" s="34"/>
      <c r="H65" s="34"/>
      <c r="I65" s="34"/>
      <c r="J65" s="34"/>
      <c r="K65" s="34"/>
      <c r="L65" s="34"/>
      <c r="M65" s="34"/>
      <c r="N65" s="34"/>
      <c r="O65" s="34"/>
      <c r="P65" s="34"/>
      <c r="Q65" s="34"/>
      <c r="R65" s="34"/>
      <c r="S65" s="34"/>
      <c r="T65" s="34"/>
      <c r="U65" s="34"/>
    </row>
    <row r="66" spans="1:21" collapsed="1">
      <c r="A66" s="34"/>
      <c r="B66" s="34"/>
      <c r="C66" s="68"/>
      <c r="D66" s="68"/>
      <c r="E66" s="68"/>
      <c r="F66" s="68"/>
      <c r="G66" s="68"/>
      <c r="H66" s="68"/>
      <c r="I66" s="68"/>
      <c r="J66" s="68"/>
      <c r="K66" s="68"/>
      <c r="L66" s="68"/>
      <c r="M66" s="68"/>
      <c r="N66" s="68"/>
      <c r="O66" s="68"/>
      <c r="P66" s="68"/>
      <c r="Q66" s="68"/>
      <c r="R66" s="68"/>
      <c r="S66" s="68"/>
      <c r="T66" s="68"/>
      <c r="U66" s="68"/>
    </row>
    <row r="67" spans="1:21">
      <c r="A67" s="34" t="s">
        <v>49</v>
      </c>
      <c r="B67" s="34"/>
      <c r="C67" s="68"/>
      <c r="D67" s="68"/>
      <c r="E67" s="68"/>
      <c r="F67" s="68"/>
      <c r="G67" s="68"/>
      <c r="H67" s="68"/>
      <c r="I67" s="68"/>
      <c r="J67" s="68">
        <f t="shared" ref="J67:U67" si="48">+($C$86-J61+J55)/(J7)</f>
        <v>0.7271689263642972</v>
      </c>
      <c r="K67" s="68">
        <f t="shared" si="48"/>
        <v>0.58001049528512139</v>
      </c>
      <c r="L67" s="68">
        <f t="shared" si="48"/>
        <v>0.45771520029498231</v>
      </c>
      <c r="M67" s="68">
        <f t="shared" si="48"/>
        <v>0.3561391853790406</v>
      </c>
      <c r="N67" s="68">
        <f t="shared" si="48"/>
        <v>0.27182923719159657</v>
      </c>
      <c r="O67" s="68">
        <f t="shared" si="48"/>
        <v>0.20655888457990956</v>
      </c>
      <c r="P67" s="68">
        <f t="shared" si="48"/>
        <v>0.15543966320522462</v>
      </c>
      <c r="Q67" s="68">
        <f t="shared" si="48"/>
        <v>0.11492824283549384</v>
      </c>
      <c r="R67" s="68">
        <f t="shared" si="48"/>
        <v>8.242921081736844E-2</v>
      </c>
      <c r="S67" s="68">
        <f t="shared" si="48"/>
        <v>5.6020140466982456E-2</v>
      </c>
      <c r="T67" s="68">
        <f t="shared" si="48"/>
        <v>3.4301708634649215E-2</v>
      </c>
      <c r="U67" s="68">
        <f t="shared" si="48"/>
        <v>2.0503345580925054E-2</v>
      </c>
    </row>
    <row r="68" spans="1:21">
      <c r="A68" s="34" t="s">
        <v>95</v>
      </c>
      <c r="B68" s="34"/>
      <c r="C68" s="68"/>
      <c r="D68" s="68"/>
      <c r="E68" s="68"/>
      <c r="F68" s="68"/>
      <c r="G68" s="68"/>
      <c r="H68" s="68"/>
      <c r="I68" s="68"/>
      <c r="J68" s="68">
        <f>+($C$86-J61+J55)/J10</f>
        <v>3.4661502194453986</v>
      </c>
      <c r="K68" s="68"/>
      <c r="L68" s="68"/>
      <c r="M68" s="68"/>
      <c r="N68" s="68"/>
      <c r="O68" s="68"/>
      <c r="P68" s="68"/>
      <c r="Q68" s="68"/>
      <c r="R68" s="68"/>
      <c r="S68" s="68"/>
      <c r="T68" s="68"/>
      <c r="U68" s="68"/>
    </row>
    <row r="69" spans="1:21" collapsed="1">
      <c r="A69" s="34" t="s">
        <v>51</v>
      </c>
      <c r="B69" s="34"/>
      <c r="C69" s="68">
        <f>($C$86-C61)/C46</f>
        <v>-1423.1371099285375</v>
      </c>
      <c r="D69" s="68">
        <f>($C$86-D61)/D46</f>
        <v>-1089.8139792386316</v>
      </c>
      <c r="E69" s="68">
        <f>($C$86-E61)/E46</f>
        <v>1044.0660134639095</v>
      </c>
      <c r="F69" s="68">
        <f>($C$86-F61)/F46</f>
        <v>-609.09507775903535</v>
      </c>
      <c r="G69" s="68">
        <f t="shared" ref="G69:U69" si="49">IFERROR(($C$86-G61)/G46,"-")</f>
        <v>-22.48596057461884</v>
      </c>
      <c r="H69" s="68">
        <f t="shared" si="49"/>
        <v>76.59178661882143</v>
      </c>
      <c r="I69" s="68">
        <f t="shared" si="49"/>
        <v>71.864588557555621</v>
      </c>
      <c r="J69" s="68">
        <f>IFERROR(($C$86-J61)/J46,"-")</f>
        <v>50.457707112501147</v>
      </c>
      <c r="K69" s="68">
        <f t="shared" si="49"/>
        <v>35.400502733971422</v>
      </c>
      <c r="L69" s="68">
        <f t="shared" si="49"/>
        <v>28.522499465841211</v>
      </c>
      <c r="M69" s="68">
        <f t="shared" si="49"/>
        <v>22.668455838923506</v>
      </c>
      <c r="N69" s="68">
        <f t="shared" si="49"/>
        <v>17.681040735499437</v>
      </c>
      <c r="O69" s="68">
        <f t="shared" si="49"/>
        <v>13.736415234258853</v>
      </c>
      <c r="P69" s="68">
        <f t="shared" si="49"/>
        <v>10.573702332602217</v>
      </c>
      <c r="Q69" s="68">
        <f t="shared" si="49"/>
        <v>8.0012092698894399</v>
      </c>
      <c r="R69" s="68">
        <f t="shared" si="49"/>
        <v>5.8764138681877718</v>
      </c>
      <c r="S69" s="68">
        <f t="shared" si="49"/>
        <v>4.0919294878738333</v>
      </c>
      <c r="T69" s="68">
        <f t="shared" si="49"/>
        <v>2.5768872170720591</v>
      </c>
      <c r="U69" s="68">
        <f t="shared" si="49"/>
        <v>2.9290493687035788</v>
      </c>
    </row>
    <row r="70" spans="1:21">
      <c r="A70" s="34" t="s">
        <v>52</v>
      </c>
      <c r="B70" s="34"/>
      <c r="C70" s="68">
        <f t="shared" ref="C70:U70" si="50">IFERROR(($C$86-C61)/C49,"-")</f>
        <v>5373.7561031705627</v>
      </c>
      <c r="D70" s="68">
        <f t="shared" si="50"/>
        <v>2681.4769025953251</v>
      </c>
      <c r="E70" s="68">
        <f t="shared" si="50"/>
        <v>442.98984572160305</v>
      </c>
      <c r="F70" s="68">
        <f t="shared" si="50"/>
        <v>677.41766173589963</v>
      </c>
      <c r="G70" s="68">
        <f t="shared" si="50"/>
        <v>-28.766119640611034</v>
      </c>
      <c r="H70" s="68">
        <f t="shared" si="50"/>
        <v>41.777784447613158</v>
      </c>
      <c r="I70" s="68">
        <f t="shared" si="50"/>
        <v>41.207960163262733</v>
      </c>
      <c r="J70" s="68">
        <f>IFERROR(($C$86-J61)/J49,"-")</f>
        <v>31.474841130191116</v>
      </c>
      <c r="K70" s="68">
        <f t="shared" si="50"/>
        <v>22.793523007035901</v>
      </c>
      <c r="L70" s="68">
        <f t="shared" si="50"/>
        <v>19.00260718233411</v>
      </c>
      <c r="M70" s="68">
        <f t="shared" si="50"/>
        <v>15.669863065475575</v>
      </c>
      <c r="N70" s="68">
        <f t="shared" si="50"/>
        <v>12.721124301468347</v>
      </c>
      <c r="O70" s="68">
        <f t="shared" si="50"/>
        <v>10.323289838998448</v>
      </c>
      <c r="P70" s="68">
        <f t="shared" si="50"/>
        <v>8.3347003783097051</v>
      </c>
      <c r="Q70" s="68">
        <f t="shared" si="50"/>
        <v>6.6469459978449299</v>
      </c>
      <c r="R70" s="68">
        <f t="shared" si="50"/>
        <v>5.1741177027509071</v>
      </c>
      <c r="S70" s="68">
        <f t="shared" si="50"/>
        <v>3.8444349130910371</v>
      </c>
      <c r="T70" s="68">
        <f t="shared" si="50"/>
        <v>2.5768872170720591</v>
      </c>
      <c r="U70" s="68">
        <f t="shared" si="50"/>
        <v>2.9290493687035788</v>
      </c>
    </row>
    <row r="71" spans="1:21">
      <c r="A71" s="34"/>
      <c r="B71" s="34"/>
      <c r="C71" s="68"/>
      <c r="D71" s="68"/>
      <c r="E71" s="68"/>
      <c r="F71" s="68"/>
      <c r="G71" s="68"/>
      <c r="H71" s="68"/>
      <c r="I71" s="68"/>
      <c r="J71" s="68"/>
      <c r="K71" s="68"/>
      <c r="L71" s="68"/>
      <c r="M71" s="68"/>
      <c r="N71" s="68"/>
      <c r="O71" s="68"/>
      <c r="P71" s="68"/>
      <c r="Q71" s="68"/>
      <c r="R71" s="68"/>
      <c r="S71" s="68"/>
      <c r="T71" s="68"/>
      <c r="U71" s="68"/>
    </row>
    <row r="72" spans="1:21">
      <c r="A72" s="34" t="s">
        <v>53</v>
      </c>
      <c r="B72" s="34"/>
      <c r="C72" s="68"/>
      <c r="D72" s="68"/>
      <c r="E72" s="68"/>
      <c r="F72" s="68"/>
      <c r="G72" s="68"/>
      <c r="H72" s="68"/>
      <c r="I72" s="68"/>
      <c r="J72" s="68">
        <f t="shared" ref="J72:U72" si="51">($C$86-J61+J55)/(J$7*0.03*0.7)</f>
        <v>34.6270917316332</v>
      </c>
      <c r="K72" s="68">
        <f t="shared" si="51"/>
        <v>27.619547394529594</v>
      </c>
      <c r="L72" s="68">
        <f t="shared" si="51"/>
        <v>21.795961918808686</v>
      </c>
      <c r="M72" s="68">
        <f t="shared" si="51"/>
        <v>16.959008827573363</v>
      </c>
      <c r="N72" s="68">
        <f t="shared" si="51"/>
        <v>12.944249390076029</v>
      </c>
      <c r="O72" s="68">
        <f t="shared" si="51"/>
        <v>9.8361373609480758</v>
      </c>
      <c r="P72" s="68">
        <f t="shared" si="51"/>
        <v>7.401888724058316</v>
      </c>
      <c r="Q72" s="68">
        <f t="shared" si="51"/>
        <v>5.4727734683568503</v>
      </c>
      <c r="R72" s="68">
        <f t="shared" si="51"/>
        <v>3.9252005151127833</v>
      </c>
      <c r="S72" s="68">
        <f t="shared" si="51"/>
        <v>2.6676257365229747</v>
      </c>
      <c r="T72" s="68">
        <f t="shared" si="51"/>
        <v>1.6334146968880581</v>
      </c>
      <c r="U72" s="68">
        <f t="shared" si="51"/>
        <v>0.97634978956785967</v>
      </c>
    </row>
    <row r="73" spans="1:21">
      <c r="A73" s="34" t="s">
        <v>54</v>
      </c>
      <c r="B73" s="34"/>
      <c r="C73" s="68"/>
      <c r="D73" s="68"/>
      <c r="E73" s="68"/>
      <c r="F73" s="68"/>
      <c r="G73" s="68"/>
      <c r="H73" s="68"/>
      <c r="I73" s="68"/>
      <c r="J73" s="68">
        <f t="shared" ref="J73:U73" si="52">($C$86-J61+J55)/(J$7*0.05*0.7)</f>
        <v>20.776255038979919</v>
      </c>
      <c r="K73" s="68">
        <f t="shared" si="52"/>
        <v>16.571728436717756</v>
      </c>
      <c r="L73" s="68">
        <f t="shared" si="52"/>
        <v>13.077577151285208</v>
      </c>
      <c r="M73" s="68">
        <f t="shared" si="52"/>
        <v>10.175405296544017</v>
      </c>
      <c r="N73" s="68">
        <f t="shared" si="52"/>
        <v>7.7665496340456173</v>
      </c>
      <c r="O73" s="68">
        <f t="shared" si="52"/>
        <v>5.9016824165688444</v>
      </c>
      <c r="P73" s="68">
        <f t="shared" si="52"/>
        <v>4.4411332344349894</v>
      </c>
      <c r="Q73" s="68">
        <f t="shared" si="52"/>
        <v>3.2836640810141096</v>
      </c>
      <c r="R73" s="68">
        <f t="shared" si="52"/>
        <v>2.3551203090676696</v>
      </c>
      <c r="S73" s="68">
        <f t="shared" si="52"/>
        <v>1.6005754419137845</v>
      </c>
      <c r="T73" s="68">
        <f t="shared" si="52"/>
        <v>0.98004881813283473</v>
      </c>
      <c r="U73" s="68">
        <f t="shared" si="52"/>
        <v>0.5858098737407158</v>
      </c>
    </row>
    <row r="74" spans="1:21" hidden="1" outlineLevel="1">
      <c r="A74" s="34" t="s">
        <v>55</v>
      </c>
      <c r="B74" s="34"/>
      <c r="C74" s="68"/>
      <c r="D74" s="68"/>
      <c r="E74" s="68"/>
      <c r="F74" s="68"/>
      <c r="G74" s="68">
        <f t="shared" ref="G74:U74" si="53">($C$86-G61)/(G$7*0.15*0.7)</f>
        <v>30.795165780031628</v>
      </c>
      <c r="H74" s="68">
        <f t="shared" si="53"/>
        <v>16.798484790805251</v>
      </c>
      <c r="I74" s="68">
        <f t="shared" si="53"/>
        <v>9.6423095337776363</v>
      </c>
      <c r="J74" s="68">
        <f t="shared" si="53"/>
        <v>8.0352579448146972</v>
      </c>
      <c r="K74" s="68">
        <f t="shared" si="53"/>
        <v>5.5239094789059191</v>
      </c>
      <c r="L74" s="68">
        <f t="shared" si="53"/>
        <v>4.3591923837617372</v>
      </c>
      <c r="M74" s="68">
        <f t="shared" si="53"/>
        <v>3.3918017655146722</v>
      </c>
      <c r="N74" s="68">
        <f t="shared" si="53"/>
        <v>2.5888498780152056</v>
      </c>
      <c r="O74" s="68">
        <f t="shared" si="53"/>
        <v>1.9672274721896148</v>
      </c>
      <c r="P74" s="68">
        <f t="shared" si="53"/>
        <v>1.4803777448116633</v>
      </c>
      <c r="Q74" s="68">
        <f t="shared" si="53"/>
        <v>1.0945546936713699</v>
      </c>
      <c r="R74" s="68">
        <f t="shared" si="53"/>
        <v>0.78504010302255667</v>
      </c>
      <c r="S74" s="68">
        <f t="shared" si="53"/>
        <v>0.53352514730459488</v>
      </c>
      <c r="T74" s="68">
        <f t="shared" si="53"/>
        <v>0.32668293937761156</v>
      </c>
      <c r="U74" s="68">
        <f t="shared" si="53"/>
        <v>0.19526995791357193</v>
      </c>
    </row>
    <row r="75" spans="1:21" collapsed="1">
      <c r="C75" s="34"/>
      <c r="D75" s="34"/>
      <c r="E75" s="34"/>
      <c r="F75" s="34"/>
      <c r="G75" s="34"/>
      <c r="H75" s="34"/>
      <c r="I75" s="34"/>
      <c r="J75" s="34"/>
    </row>
    <row r="76" spans="1:21">
      <c r="A76" s="46" t="s">
        <v>56</v>
      </c>
      <c r="B76" s="69"/>
      <c r="C76" s="34"/>
      <c r="E76" s="34"/>
      <c r="F76" s="92"/>
      <c r="G76" s="92"/>
      <c r="H76" s="34"/>
      <c r="I76" s="34"/>
      <c r="J76" s="34"/>
    </row>
    <row r="77" spans="1:21">
      <c r="C77" s="34"/>
      <c r="D77" s="34"/>
      <c r="E77" s="34"/>
      <c r="F77" s="92"/>
      <c r="G77" s="92"/>
      <c r="H77" s="34"/>
      <c r="I77" s="34"/>
      <c r="J77" s="34"/>
    </row>
    <row r="78" spans="1:21">
      <c r="A78" s="47" t="s">
        <v>57</v>
      </c>
      <c r="C78" s="34"/>
      <c r="D78" s="34"/>
      <c r="E78" s="34"/>
      <c r="F78" s="92"/>
      <c r="G78" s="92"/>
      <c r="H78" s="92"/>
      <c r="I78" s="92"/>
      <c r="J78" s="34"/>
      <c r="K78" s="34"/>
      <c r="L78" s="34"/>
      <c r="M78" s="34"/>
    </row>
    <row r="79" spans="1:21" ht="13.5">
      <c r="A79" s="35" t="s">
        <v>58</v>
      </c>
      <c r="C79" s="34"/>
      <c r="D79" s="34"/>
      <c r="E79" s="34"/>
      <c r="F79" s="34"/>
      <c r="G79" s="34"/>
      <c r="H79" s="34"/>
      <c r="I79" s="34"/>
      <c r="J79" s="92"/>
      <c r="K79" s="34"/>
      <c r="L79" s="34"/>
      <c r="M79" s="34"/>
      <c r="N79" s="34"/>
      <c r="O79" s="34"/>
      <c r="P79" s="34"/>
      <c r="Q79" s="34"/>
      <c r="R79" s="34"/>
      <c r="S79" s="34"/>
      <c r="T79" s="122">
        <f>+'Simple - 5%'!T79</f>
        <v>15</v>
      </c>
      <c r="U79" s="70"/>
    </row>
    <row r="80" spans="1:21">
      <c r="A80" s="65" t="s">
        <v>59</v>
      </c>
      <c r="C80" s="55"/>
      <c r="D80" s="55"/>
      <c r="E80" s="55"/>
      <c r="F80" s="55"/>
      <c r="G80" s="55"/>
      <c r="H80" s="55"/>
      <c r="I80" s="55"/>
      <c r="J80" s="92"/>
      <c r="K80" s="55"/>
      <c r="L80" s="55"/>
      <c r="M80" s="55"/>
      <c r="N80" s="55"/>
      <c r="O80" s="55"/>
      <c r="P80" s="55"/>
      <c r="Q80" s="55"/>
      <c r="R80" s="55"/>
      <c r="S80" s="55"/>
      <c r="T80" s="55">
        <f>+T79*U46</f>
        <v>285.03733734780246</v>
      </c>
      <c r="U80" s="55"/>
    </row>
    <row r="81" spans="1:24">
      <c r="A81" s="65" t="s">
        <v>60</v>
      </c>
      <c r="C81" s="55"/>
      <c r="D81" s="55"/>
      <c r="E81" s="55"/>
      <c r="F81" s="55"/>
      <c r="G81" s="55"/>
      <c r="H81" s="55"/>
      <c r="I81" s="55"/>
      <c r="J81" s="55">
        <f>-$C$86+J61</f>
        <v>-492.57631390072396</v>
      </c>
      <c r="K81" s="55">
        <f t="shared" ref="K81:T81" si="54">+K58+K80</f>
        <v>86.225156818585802</v>
      </c>
      <c r="L81" s="55">
        <f t="shared" si="54"/>
        <v>21.544807336653097</v>
      </c>
      <c r="M81" s="55">
        <f t="shared" si="54"/>
        <v>25.514056619842307</v>
      </c>
      <c r="N81" s="55">
        <f t="shared" si="54"/>
        <v>30.209213322841094</v>
      </c>
      <c r="O81" s="55">
        <f t="shared" si="54"/>
        <v>34.006138011855981</v>
      </c>
      <c r="P81" s="55">
        <f t="shared" si="54"/>
        <v>37.497480940946922</v>
      </c>
      <c r="Q81" s="55">
        <f t="shared" si="54"/>
        <v>40.468873978175729</v>
      </c>
      <c r="R81" s="55">
        <f t="shared" si="54"/>
        <v>42.707808566552771</v>
      </c>
      <c r="S81" s="55">
        <f t="shared" si="54"/>
        <v>44.023330949478293</v>
      </c>
      <c r="T81" s="55">
        <f t="shared" si="54"/>
        <v>329.19749285438337</v>
      </c>
      <c r="U81" s="55"/>
    </row>
    <row r="82" spans="1:24">
      <c r="A82" s="71" t="s">
        <v>61</v>
      </c>
      <c r="B82" s="72"/>
      <c r="C82" s="72"/>
      <c r="D82" s="72"/>
      <c r="E82" s="72"/>
      <c r="F82" s="72"/>
      <c r="G82" s="72"/>
      <c r="H82" s="72"/>
      <c r="I82" s="72"/>
      <c r="J82" s="73">
        <f>XIRR(J81:T81,J3:T3)</f>
        <v>4.451844394207001E-2</v>
      </c>
      <c r="K82" s="74"/>
      <c r="L82" s="50"/>
      <c r="M82" s="50"/>
      <c r="N82" s="50"/>
      <c r="O82" s="50"/>
      <c r="P82" s="50"/>
      <c r="Q82" s="50"/>
      <c r="R82" s="50"/>
      <c r="S82" s="50"/>
      <c r="T82" s="50"/>
      <c r="U82" s="50"/>
    </row>
    <row r="83" spans="1:24">
      <c r="N83" s="99" t="str">
        <f>+Simple!N73</f>
        <v>AUD / USD &gt;&gt;</v>
      </c>
      <c r="O83" s="98">
        <f>+Simple!O73</f>
        <v>0.69278464789220273</v>
      </c>
      <c r="P83" s="100"/>
      <c r="V83" s="42"/>
      <c r="W83" s="42"/>
      <c r="X83" s="42"/>
    </row>
    <row r="84" spans="1:24">
      <c r="A84" s="75" t="s">
        <v>62</v>
      </c>
      <c r="B84" s="76"/>
      <c r="C84" s="77"/>
      <c r="D84" s="78"/>
      <c r="E84" s="34"/>
      <c r="F84" s="34"/>
      <c r="G84" s="34"/>
      <c r="H84" s="34"/>
      <c r="I84" s="34"/>
      <c r="J84" s="34"/>
      <c r="N84" s="101"/>
      <c r="O84" s="102" t="s">
        <v>63</v>
      </c>
      <c r="P84" s="78"/>
      <c r="V84" s="42"/>
      <c r="W84" s="103">
        <f ca="1">+X84-1</f>
        <v>45795</v>
      </c>
      <c r="X84" s="103">
        <f ca="1">TODAY()-1</f>
        <v>45796</v>
      </c>
    </row>
    <row r="85" spans="1:24">
      <c r="C85" s="79" t="s">
        <v>64</v>
      </c>
      <c r="D85" s="79" t="s">
        <v>65</v>
      </c>
      <c r="E85" s="34"/>
      <c r="F85" s="34"/>
      <c r="G85" s="34"/>
      <c r="H85" s="34"/>
      <c r="I85" s="34"/>
      <c r="J85" s="34"/>
      <c r="O85" s="79" t="s">
        <v>64</v>
      </c>
      <c r="P85" s="79" t="s">
        <v>66</v>
      </c>
      <c r="V85" s="42"/>
      <c r="W85" s="104" t="s">
        <v>67</v>
      </c>
      <c r="X85" s="104" t="s">
        <v>68</v>
      </c>
    </row>
    <row r="86" spans="1:24">
      <c r="A86" s="35" t="s">
        <v>69</v>
      </c>
      <c r="C86" s="54">
        <f>+D86*D89</f>
        <v>492.57631390072396</v>
      </c>
      <c r="D86" s="89">
        <f>Down!D86</f>
        <v>1.2920433683189581</v>
      </c>
      <c r="E86" s="40"/>
      <c r="F86" s="34"/>
      <c r="G86" s="34"/>
      <c r="H86" s="80"/>
      <c r="I86" s="34"/>
      <c r="J86" s="34"/>
      <c r="N86" s="35" t="s">
        <v>70</v>
      </c>
      <c r="O86" s="54">
        <f>+P86*P89</f>
        <v>711.0092803</v>
      </c>
      <c r="P86" s="89">
        <f>+Simple!D76</f>
        <v>1.865</v>
      </c>
      <c r="V86" s="42"/>
      <c r="W86" s="42"/>
      <c r="X86" s="42"/>
    </row>
    <row r="87" spans="1:24" ht="13.5">
      <c r="A87" s="35" t="s">
        <v>43</v>
      </c>
      <c r="C87" s="82">
        <f>Down!C87</f>
        <v>-54.700444767743953</v>
      </c>
      <c r="D87" s="83">
        <f>+C87/D89</f>
        <v>-0.14348100976797121</v>
      </c>
      <c r="E87" s="40"/>
      <c r="F87" s="34"/>
      <c r="G87" s="34"/>
      <c r="H87" s="34"/>
      <c r="I87" s="34"/>
      <c r="J87" s="34"/>
      <c r="N87" s="35" t="s">
        <v>71</v>
      </c>
      <c r="O87" s="82">
        <f>+Simple!C77</f>
        <v>-78.957357000000002</v>
      </c>
      <c r="P87" s="105">
        <f>+O87/P89</f>
        <v>-0.20710766354957799</v>
      </c>
      <c r="V87" s="42"/>
      <c r="W87" s="42"/>
      <c r="X87" s="42"/>
    </row>
    <row r="88" spans="1:24">
      <c r="A88" s="48" t="s">
        <v>72</v>
      </c>
      <c r="B88" s="49"/>
      <c r="C88" s="54">
        <f>+C87+C86</f>
        <v>437.87586913298003</v>
      </c>
      <c r="D88" s="89">
        <f>+C88/D89</f>
        <v>1.1485623585509868</v>
      </c>
      <c r="E88" s="34"/>
      <c r="F88" s="34"/>
      <c r="G88" s="34"/>
      <c r="H88" s="34"/>
      <c r="I88" s="34"/>
      <c r="J88" s="34"/>
      <c r="N88" s="48" t="s">
        <v>73</v>
      </c>
      <c r="O88" s="106">
        <f>+O87+O86</f>
        <v>632.0519233</v>
      </c>
      <c r="P88" s="107">
        <f>+O88/P89</f>
        <v>1.6578923364504219</v>
      </c>
      <c r="V88" s="42"/>
      <c r="W88" s="42"/>
      <c r="X88" s="42"/>
    </row>
    <row r="89" spans="1:24">
      <c r="A89" s="51" t="s">
        <v>74</v>
      </c>
      <c r="C89" s="34"/>
      <c r="D89" s="109">
        <f>+Simple!D79</f>
        <v>381.23822000000001</v>
      </c>
      <c r="E89" s="40"/>
      <c r="F89" s="34"/>
      <c r="G89" s="34"/>
      <c r="H89" s="34"/>
      <c r="I89" s="34"/>
      <c r="J89" s="34"/>
      <c r="N89" s="108" t="s">
        <v>74</v>
      </c>
      <c r="O89" s="40"/>
      <c r="P89" s="109">
        <f>+D89</f>
        <v>381.23822000000001</v>
      </c>
      <c r="V89" s="42"/>
      <c r="W89" s="42"/>
      <c r="X89" s="42"/>
    </row>
    <row r="90" spans="1:24">
      <c r="W90" s="81"/>
    </row>
    <row r="91" spans="1:24">
      <c r="C91" s="85"/>
      <c r="D91" s="85"/>
      <c r="E91" s="85"/>
      <c r="F91" s="85"/>
      <c r="G91" s="85"/>
      <c r="H91" s="85"/>
      <c r="I91" s="85"/>
      <c r="J91" s="85">
        <f>+J82</f>
        <v>4.451844394207001E-2</v>
      </c>
      <c r="K91" s="86">
        <f>+K53/J53-1</f>
        <v>0.18463605121618865</v>
      </c>
    </row>
    <row r="92" spans="1:24">
      <c r="H92" s="85"/>
      <c r="J92" s="110"/>
    </row>
    <row r="93" spans="1:24">
      <c r="K93" s="86">
        <f>(K91)+(K58)/$C$86</f>
        <v>0.35968538750230983</v>
      </c>
      <c r="L93" s="369">
        <f>(L47)+(L58)/$C$86</f>
        <v>0.2190764840310486</v>
      </c>
    </row>
    <row r="94" spans="1:24">
      <c r="C94" s="86">
        <f t="shared" ref="C94:J94" si="55">+$D$86/C69</f>
        <v>-9.0788396936949923E-4</v>
      </c>
      <c r="D94" s="86">
        <f t="shared" si="55"/>
        <v>-1.1855632180655348E-3</v>
      </c>
      <c r="E94" s="86">
        <f t="shared" si="55"/>
        <v>1.2375111838305428E-3</v>
      </c>
      <c r="F94" s="86">
        <f t="shared" si="55"/>
        <v>-2.1212507135546159E-3</v>
      </c>
      <c r="G94" s="86">
        <f t="shared" si="55"/>
        <v>-5.7460003277661154E-2</v>
      </c>
      <c r="H94" s="86">
        <f t="shared" si="55"/>
        <v>1.6869215686913554E-2</v>
      </c>
      <c r="I94" s="86">
        <f t="shared" si="55"/>
        <v>1.797885988429717E-2</v>
      </c>
      <c r="J94" s="86">
        <f t="shared" si="55"/>
        <v>2.5606462169162812E-2</v>
      </c>
      <c r="K94" s="86">
        <f>+J94*(1+K93)</f>
        <v>3.4816732437041378E-2</v>
      </c>
      <c r="L94" s="86">
        <f>+K94*(1+L93)</f>
        <v>4.2444259764798167E-2</v>
      </c>
      <c r="M94" s="86"/>
    </row>
    <row r="95" spans="1:24">
      <c r="C95" s="86"/>
      <c r="D95" s="131" t="s">
        <v>75</v>
      </c>
      <c r="E95" s="131" t="s">
        <v>76</v>
      </c>
      <c r="F95" s="131" t="s">
        <v>77</v>
      </c>
      <c r="G95" s="131" t="s">
        <v>78</v>
      </c>
      <c r="H95" s="131" t="s">
        <v>79</v>
      </c>
      <c r="I95" s="131" t="s">
        <v>80</v>
      </c>
      <c r="J95" s="131" t="s">
        <v>81</v>
      </c>
      <c r="K95" s="131" t="s">
        <v>82</v>
      </c>
      <c r="L95" s="131" t="s">
        <v>83</v>
      </c>
      <c r="M95" s="131"/>
    </row>
    <row r="96" spans="1:24">
      <c r="C96" s="86"/>
      <c r="D96" s="86">
        <f t="shared" ref="D96:L96" si="56">AVERAGE(C94:D94)</f>
        <v>-1.046723593717517E-3</v>
      </c>
      <c r="E96" s="86">
        <f t="shared" si="56"/>
        <v>2.5973982882504E-5</v>
      </c>
      <c r="F96" s="86">
        <f t="shared" si="56"/>
        <v>-4.4186976486203656E-4</v>
      </c>
      <c r="G96" s="86">
        <f t="shared" si="56"/>
        <v>-2.9790626995607885E-2</v>
      </c>
      <c r="H96" s="86">
        <f t="shared" si="56"/>
        <v>-2.02953937953738E-2</v>
      </c>
      <c r="I96" s="86">
        <f t="shared" si="56"/>
        <v>1.7424037785605362E-2</v>
      </c>
      <c r="J96" s="86">
        <f t="shared" si="56"/>
        <v>2.1792661026729991E-2</v>
      </c>
      <c r="K96" s="86">
        <f t="shared" si="56"/>
        <v>3.0211597303102095E-2</v>
      </c>
      <c r="L96" s="86">
        <f t="shared" si="56"/>
        <v>3.8630496100919773E-2</v>
      </c>
      <c r="M96" s="86"/>
    </row>
    <row r="102" spans="3:3">
      <c r="C102" s="88"/>
    </row>
    <row r="103" spans="3:3">
      <c r="C103" s="88"/>
    </row>
    <row r="104" spans="3:3">
      <c r="C104" s="88"/>
    </row>
  </sheetData>
  <pageMargins left="0.3" right="0.3" top="0.3" bottom="0.3" header="0.3" footer="0.3"/>
  <pageSetup scale="54" fitToHeight="0" orientation="landscape" r:id="rId1"/>
  <headerFooter>
    <oddFooter>Page &amp;P</oddFooter>
  </headerFooter>
  <colBreaks count="1" manualBreakCount="1">
    <brk id="21" max="1048575" man="1"/>
  </colBreak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8A2D2-749D-4606-AE6F-490918C1D5EF}">
  <sheetPr>
    <pageSetUpPr fitToPage="1"/>
  </sheetPr>
  <dimension ref="A1:AK237"/>
  <sheetViews>
    <sheetView view="pageBreakPreview" zoomScale="55" zoomScaleNormal="55" zoomScaleSheetLayoutView="55" workbookViewId="0">
      <pane xSplit="1" ySplit="5" topLeftCell="B6" activePane="bottomRight" state="frozen"/>
      <selection activeCell="D86" sqref="D86"/>
      <selection pane="topRight" activeCell="D86" sqref="D86"/>
      <selection pane="bottomLeft" activeCell="D86" sqref="D86"/>
      <selection pane="bottomRight" activeCell="A30" sqref="A30"/>
    </sheetView>
  </sheetViews>
  <sheetFormatPr defaultRowHeight="18.5" outlineLevelRow="1"/>
  <cols>
    <col min="1" max="1" width="35.81640625" style="401" customWidth="1"/>
    <col min="2" max="2" width="3.81640625" style="401" customWidth="1"/>
    <col min="3" max="9" width="14" style="401" customWidth="1"/>
    <col min="10" max="11" width="13.7265625" style="401" customWidth="1"/>
    <col min="12" max="15" width="13.453125" style="401" customWidth="1"/>
    <col min="16" max="16" width="10.54296875" style="401" customWidth="1"/>
    <col min="17" max="24" width="14" style="401" customWidth="1"/>
    <col min="25" max="25" width="11.54296875" style="401" customWidth="1"/>
    <col min="26" max="27" width="8.7265625" style="402"/>
    <col min="28" max="28" width="8.81640625" style="402" bestFit="1" customWidth="1"/>
    <col min="29" max="29" width="8.7265625" style="402"/>
    <col min="30" max="30" width="14.1796875" style="402" bestFit="1" customWidth="1"/>
    <col min="31" max="31" width="8.81640625" style="402" bestFit="1" customWidth="1"/>
    <col min="32" max="32" width="9" style="402" bestFit="1" customWidth="1"/>
    <col min="33" max="33" width="10.1796875" style="402" bestFit="1" customWidth="1"/>
    <col min="34" max="35" width="8.81640625" style="402" bestFit="1" customWidth="1"/>
    <col min="36" max="222" width="8.7265625" style="402"/>
    <col min="223" max="223" width="22" style="402" customWidth="1"/>
    <col min="224" max="224" width="1.7265625" style="402" customWidth="1"/>
    <col min="225" max="244" width="10.81640625" style="402" customWidth="1"/>
    <col min="245" max="245" width="1.81640625" style="402" customWidth="1"/>
    <col min="246" max="246" width="2.1796875" style="402" customWidth="1"/>
    <col min="247" max="253" width="10.54296875" style="402" customWidth="1"/>
    <col min="254" max="254" width="3.7265625" style="402" customWidth="1"/>
    <col min="255" max="255" width="12.81640625" style="402" customWidth="1"/>
    <col min="256" max="256" width="30.7265625" style="402" customWidth="1"/>
    <col min="257" max="478" width="8.7265625" style="402"/>
    <col min="479" max="479" width="22" style="402" customWidth="1"/>
    <col min="480" max="480" width="1.7265625" style="402" customWidth="1"/>
    <col min="481" max="500" width="10.81640625" style="402" customWidth="1"/>
    <col min="501" max="501" width="1.81640625" style="402" customWidth="1"/>
    <col min="502" max="502" width="2.1796875" style="402" customWidth="1"/>
    <col min="503" max="509" width="10.54296875" style="402" customWidth="1"/>
    <col min="510" max="510" width="3.7265625" style="402" customWidth="1"/>
    <col min="511" max="511" width="12.81640625" style="402" customWidth="1"/>
    <col min="512" max="512" width="30.7265625" style="402" customWidth="1"/>
    <col min="513" max="734" width="8.7265625" style="402"/>
    <col min="735" max="735" width="22" style="402" customWidth="1"/>
    <col min="736" max="736" width="1.7265625" style="402" customWidth="1"/>
    <col min="737" max="756" width="10.81640625" style="402" customWidth="1"/>
    <col min="757" max="757" width="1.81640625" style="402" customWidth="1"/>
    <col min="758" max="758" width="2.1796875" style="402" customWidth="1"/>
    <col min="759" max="765" width="10.54296875" style="402" customWidth="1"/>
    <col min="766" max="766" width="3.7265625" style="402" customWidth="1"/>
    <col min="767" max="767" width="12.81640625" style="402" customWidth="1"/>
    <col min="768" max="768" width="30.7265625" style="402" customWidth="1"/>
    <col min="769" max="990" width="8.7265625" style="402"/>
    <col min="991" max="991" width="22" style="402" customWidth="1"/>
    <col min="992" max="992" width="1.7265625" style="402" customWidth="1"/>
    <col min="993" max="1012" width="10.81640625" style="402" customWidth="1"/>
    <col min="1013" max="1013" width="1.81640625" style="402" customWidth="1"/>
    <col min="1014" max="1014" width="2.1796875" style="402" customWidth="1"/>
    <col min="1015" max="1021" width="10.54296875" style="402" customWidth="1"/>
    <col min="1022" max="1022" width="3.7265625" style="402" customWidth="1"/>
    <col min="1023" max="1023" width="12.81640625" style="402" customWidth="1"/>
    <col min="1024" max="1024" width="30.7265625" style="402" customWidth="1"/>
    <col min="1025" max="1246" width="8.7265625" style="402"/>
    <col min="1247" max="1247" width="22" style="402" customWidth="1"/>
    <col min="1248" max="1248" width="1.7265625" style="402" customWidth="1"/>
    <col min="1249" max="1268" width="10.81640625" style="402" customWidth="1"/>
    <col min="1269" max="1269" width="1.81640625" style="402" customWidth="1"/>
    <col min="1270" max="1270" width="2.1796875" style="402" customWidth="1"/>
    <col min="1271" max="1277" width="10.54296875" style="402" customWidth="1"/>
    <col min="1278" max="1278" width="3.7265625" style="402" customWidth="1"/>
    <col min="1279" max="1279" width="12.81640625" style="402" customWidth="1"/>
    <col min="1280" max="1280" width="30.7265625" style="402" customWidth="1"/>
    <col min="1281" max="1502" width="8.7265625" style="402"/>
    <col min="1503" max="1503" width="22" style="402" customWidth="1"/>
    <col min="1504" max="1504" width="1.7265625" style="402" customWidth="1"/>
    <col min="1505" max="1524" width="10.81640625" style="402" customWidth="1"/>
    <col min="1525" max="1525" width="1.81640625" style="402" customWidth="1"/>
    <col min="1526" max="1526" width="2.1796875" style="402" customWidth="1"/>
    <col min="1527" max="1533" width="10.54296875" style="402" customWidth="1"/>
    <col min="1534" max="1534" width="3.7265625" style="402" customWidth="1"/>
    <col min="1535" max="1535" width="12.81640625" style="402" customWidth="1"/>
    <col min="1536" max="1536" width="30.7265625" style="402" customWidth="1"/>
    <col min="1537" max="1758" width="8.7265625" style="402"/>
    <col min="1759" max="1759" width="22" style="402" customWidth="1"/>
    <col min="1760" max="1760" width="1.7265625" style="402" customWidth="1"/>
    <col min="1761" max="1780" width="10.81640625" style="402" customWidth="1"/>
    <col min="1781" max="1781" width="1.81640625" style="402" customWidth="1"/>
    <col min="1782" max="1782" width="2.1796875" style="402" customWidth="1"/>
    <col min="1783" max="1789" width="10.54296875" style="402" customWidth="1"/>
    <col min="1790" max="1790" width="3.7265625" style="402" customWidth="1"/>
    <col min="1791" max="1791" width="12.81640625" style="402" customWidth="1"/>
    <col min="1792" max="1792" width="30.7265625" style="402" customWidth="1"/>
    <col min="1793" max="2014" width="8.7265625" style="402"/>
    <col min="2015" max="2015" width="22" style="402" customWidth="1"/>
    <col min="2016" max="2016" width="1.7265625" style="402" customWidth="1"/>
    <col min="2017" max="2036" width="10.81640625" style="402" customWidth="1"/>
    <col min="2037" max="2037" width="1.81640625" style="402" customWidth="1"/>
    <col min="2038" max="2038" width="2.1796875" style="402" customWidth="1"/>
    <col min="2039" max="2045" width="10.54296875" style="402" customWidth="1"/>
    <col min="2046" max="2046" width="3.7265625" style="402" customWidth="1"/>
    <col min="2047" max="2047" width="12.81640625" style="402" customWidth="1"/>
    <col min="2048" max="2048" width="30.7265625" style="402" customWidth="1"/>
    <col min="2049" max="2270" width="8.7265625" style="402"/>
    <col min="2271" max="2271" width="22" style="402" customWidth="1"/>
    <col min="2272" max="2272" width="1.7265625" style="402" customWidth="1"/>
    <col min="2273" max="2292" width="10.81640625" style="402" customWidth="1"/>
    <col min="2293" max="2293" width="1.81640625" style="402" customWidth="1"/>
    <col min="2294" max="2294" width="2.1796875" style="402" customWidth="1"/>
    <col min="2295" max="2301" width="10.54296875" style="402" customWidth="1"/>
    <col min="2302" max="2302" width="3.7265625" style="402" customWidth="1"/>
    <col min="2303" max="2303" width="12.81640625" style="402" customWidth="1"/>
    <col min="2304" max="2304" width="30.7265625" style="402" customWidth="1"/>
    <col min="2305" max="2526" width="8.7265625" style="402"/>
    <col min="2527" max="2527" width="22" style="402" customWidth="1"/>
    <col min="2528" max="2528" width="1.7265625" style="402" customWidth="1"/>
    <col min="2529" max="2548" width="10.81640625" style="402" customWidth="1"/>
    <col min="2549" max="2549" width="1.81640625" style="402" customWidth="1"/>
    <col min="2550" max="2550" width="2.1796875" style="402" customWidth="1"/>
    <col min="2551" max="2557" width="10.54296875" style="402" customWidth="1"/>
    <col min="2558" max="2558" width="3.7265625" style="402" customWidth="1"/>
    <col min="2559" max="2559" width="12.81640625" style="402" customWidth="1"/>
    <col min="2560" max="2560" width="30.7265625" style="402" customWidth="1"/>
    <col min="2561" max="2782" width="8.7265625" style="402"/>
    <col min="2783" max="2783" width="22" style="402" customWidth="1"/>
    <col min="2784" max="2784" width="1.7265625" style="402" customWidth="1"/>
    <col min="2785" max="2804" width="10.81640625" style="402" customWidth="1"/>
    <col min="2805" max="2805" width="1.81640625" style="402" customWidth="1"/>
    <col min="2806" max="2806" width="2.1796875" style="402" customWidth="1"/>
    <col min="2807" max="2813" width="10.54296875" style="402" customWidth="1"/>
    <col min="2814" max="2814" width="3.7265625" style="402" customWidth="1"/>
    <col min="2815" max="2815" width="12.81640625" style="402" customWidth="1"/>
    <col min="2816" max="2816" width="30.7265625" style="402" customWidth="1"/>
    <col min="2817" max="3038" width="8.7265625" style="402"/>
    <col min="3039" max="3039" width="22" style="402" customWidth="1"/>
    <col min="3040" max="3040" width="1.7265625" style="402" customWidth="1"/>
    <col min="3041" max="3060" width="10.81640625" style="402" customWidth="1"/>
    <col min="3061" max="3061" width="1.81640625" style="402" customWidth="1"/>
    <col min="3062" max="3062" width="2.1796875" style="402" customWidth="1"/>
    <col min="3063" max="3069" width="10.54296875" style="402" customWidth="1"/>
    <col min="3070" max="3070" width="3.7265625" style="402" customWidth="1"/>
    <col min="3071" max="3071" width="12.81640625" style="402" customWidth="1"/>
    <col min="3072" max="3072" width="30.7265625" style="402" customWidth="1"/>
    <col min="3073" max="3294" width="8.7265625" style="402"/>
    <col min="3295" max="3295" width="22" style="402" customWidth="1"/>
    <col min="3296" max="3296" width="1.7265625" style="402" customWidth="1"/>
    <col min="3297" max="3316" width="10.81640625" style="402" customWidth="1"/>
    <col min="3317" max="3317" width="1.81640625" style="402" customWidth="1"/>
    <col min="3318" max="3318" width="2.1796875" style="402" customWidth="1"/>
    <col min="3319" max="3325" width="10.54296875" style="402" customWidth="1"/>
    <col min="3326" max="3326" width="3.7265625" style="402" customWidth="1"/>
    <col min="3327" max="3327" width="12.81640625" style="402" customWidth="1"/>
    <col min="3328" max="3328" width="30.7265625" style="402" customWidth="1"/>
    <col min="3329" max="3550" width="8.7265625" style="402"/>
    <col min="3551" max="3551" width="22" style="402" customWidth="1"/>
    <col min="3552" max="3552" width="1.7265625" style="402" customWidth="1"/>
    <col min="3553" max="3572" width="10.81640625" style="402" customWidth="1"/>
    <col min="3573" max="3573" width="1.81640625" style="402" customWidth="1"/>
    <col min="3574" max="3574" width="2.1796875" style="402" customWidth="1"/>
    <col min="3575" max="3581" width="10.54296875" style="402" customWidth="1"/>
    <col min="3582" max="3582" width="3.7265625" style="402" customWidth="1"/>
    <col min="3583" max="3583" width="12.81640625" style="402" customWidth="1"/>
    <col min="3584" max="3584" width="30.7265625" style="402" customWidth="1"/>
    <col min="3585" max="3806" width="8.7265625" style="402"/>
    <col min="3807" max="3807" width="22" style="402" customWidth="1"/>
    <col min="3808" max="3808" width="1.7265625" style="402" customWidth="1"/>
    <col min="3809" max="3828" width="10.81640625" style="402" customWidth="1"/>
    <col min="3829" max="3829" width="1.81640625" style="402" customWidth="1"/>
    <col min="3830" max="3830" width="2.1796875" style="402" customWidth="1"/>
    <col min="3831" max="3837" width="10.54296875" style="402" customWidth="1"/>
    <col min="3838" max="3838" width="3.7265625" style="402" customWidth="1"/>
    <col min="3839" max="3839" width="12.81640625" style="402" customWidth="1"/>
    <col min="3840" max="3840" width="30.7265625" style="402" customWidth="1"/>
    <col min="3841" max="4062" width="8.7265625" style="402"/>
    <col min="4063" max="4063" width="22" style="402" customWidth="1"/>
    <col min="4064" max="4064" width="1.7265625" style="402" customWidth="1"/>
    <col min="4065" max="4084" width="10.81640625" style="402" customWidth="1"/>
    <col min="4085" max="4085" width="1.81640625" style="402" customWidth="1"/>
    <col min="4086" max="4086" width="2.1796875" style="402" customWidth="1"/>
    <col min="4087" max="4093" width="10.54296875" style="402" customWidth="1"/>
    <col min="4094" max="4094" width="3.7265625" style="402" customWidth="1"/>
    <col min="4095" max="4095" width="12.81640625" style="402" customWidth="1"/>
    <col min="4096" max="4096" width="30.7265625" style="402" customWidth="1"/>
    <col min="4097" max="4318" width="8.7265625" style="402"/>
    <col min="4319" max="4319" width="22" style="402" customWidth="1"/>
    <col min="4320" max="4320" width="1.7265625" style="402" customWidth="1"/>
    <col min="4321" max="4340" width="10.81640625" style="402" customWidth="1"/>
    <col min="4341" max="4341" width="1.81640625" style="402" customWidth="1"/>
    <col min="4342" max="4342" width="2.1796875" style="402" customWidth="1"/>
    <col min="4343" max="4349" width="10.54296875" style="402" customWidth="1"/>
    <col min="4350" max="4350" width="3.7265625" style="402" customWidth="1"/>
    <col min="4351" max="4351" width="12.81640625" style="402" customWidth="1"/>
    <col min="4352" max="4352" width="30.7265625" style="402" customWidth="1"/>
    <col min="4353" max="4574" width="8.7265625" style="402"/>
    <col min="4575" max="4575" width="22" style="402" customWidth="1"/>
    <col min="4576" max="4576" width="1.7265625" style="402" customWidth="1"/>
    <col min="4577" max="4596" width="10.81640625" style="402" customWidth="1"/>
    <col min="4597" max="4597" width="1.81640625" style="402" customWidth="1"/>
    <col min="4598" max="4598" width="2.1796875" style="402" customWidth="1"/>
    <col min="4599" max="4605" width="10.54296875" style="402" customWidth="1"/>
    <col min="4606" max="4606" width="3.7265625" style="402" customWidth="1"/>
    <col min="4607" max="4607" width="12.81640625" style="402" customWidth="1"/>
    <col min="4608" max="4608" width="30.7265625" style="402" customWidth="1"/>
    <col min="4609" max="4830" width="8.7265625" style="402"/>
    <col min="4831" max="4831" width="22" style="402" customWidth="1"/>
    <col min="4832" max="4832" width="1.7265625" style="402" customWidth="1"/>
    <col min="4833" max="4852" width="10.81640625" style="402" customWidth="1"/>
    <col min="4853" max="4853" width="1.81640625" style="402" customWidth="1"/>
    <col min="4854" max="4854" width="2.1796875" style="402" customWidth="1"/>
    <col min="4855" max="4861" width="10.54296875" style="402" customWidth="1"/>
    <col min="4862" max="4862" width="3.7265625" style="402" customWidth="1"/>
    <col min="4863" max="4863" width="12.81640625" style="402" customWidth="1"/>
    <col min="4864" max="4864" width="30.7265625" style="402" customWidth="1"/>
    <col min="4865" max="5086" width="8.7265625" style="402"/>
    <col min="5087" max="5087" width="22" style="402" customWidth="1"/>
    <col min="5088" max="5088" width="1.7265625" style="402" customWidth="1"/>
    <col min="5089" max="5108" width="10.81640625" style="402" customWidth="1"/>
    <col min="5109" max="5109" width="1.81640625" style="402" customWidth="1"/>
    <col min="5110" max="5110" width="2.1796875" style="402" customWidth="1"/>
    <col min="5111" max="5117" width="10.54296875" style="402" customWidth="1"/>
    <col min="5118" max="5118" width="3.7265625" style="402" customWidth="1"/>
    <col min="5119" max="5119" width="12.81640625" style="402" customWidth="1"/>
    <col min="5120" max="5120" width="30.7265625" style="402" customWidth="1"/>
    <col min="5121" max="5342" width="8.7265625" style="402"/>
    <col min="5343" max="5343" width="22" style="402" customWidth="1"/>
    <col min="5344" max="5344" width="1.7265625" style="402" customWidth="1"/>
    <col min="5345" max="5364" width="10.81640625" style="402" customWidth="1"/>
    <col min="5365" max="5365" width="1.81640625" style="402" customWidth="1"/>
    <col min="5366" max="5366" width="2.1796875" style="402" customWidth="1"/>
    <col min="5367" max="5373" width="10.54296875" style="402" customWidth="1"/>
    <col min="5374" max="5374" width="3.7265625" style="402" customWidth="1"/>
    <col min="5375" max="5375" width="12.81640625" style="402" customWidth="1"/>
    <col min="5376" max="5376" width="30.7265625" style="402" customWidth="1"/>
    <col min="5377" max="5598" width="8.7265625" style="402"/>
    <col min="5599" max="5599" width="22" style="402" customWidth="1"/>
    <col min="5600" max="5600" width="1.7265625" style="402" customWidth="1"/>
    <col min="5601" max="5620" width="10.81640625" style="402" customWidth="1"/>
    <col min="5621" max="5621" width="1.81640625" style="402" customWidth="1"/>
    <col min="5622" max="5622" width="2.1796875" style="402" customWidth="1"/>
    <col min="5623" max="5629" width="10.54296875" style="402" customWidth="1"/>
    <col min="5630" max="5630" width="3.7265625" style="402" customWidth="1"/>
    <col min="5631" max="5631" width="12.81640625" style="402" customWidth="1"/>
    <col min="5632" max="5632" width="30.7265625" style="402" customWidth="1"/>
    <col min="5633" max="5854" width="8.7265625" style="402"/>
    <col min="5855" max="5855" width="22" style="402" customWidth="1"/>
    <col min="5856" max="5856" width="1.7265625" style="402" customWidth="1"/>
    <col min="5857" max="5876" width="10.81640625" style="402" customWidth="1"/>
    <col min="5877" max="5877" width="1.81640625" style="402" customWidth="1"/>
    <col min="5878" max="5878" width="2.1796875" style="402" customWidth="1"/>
    <col min="5879" max="5885" width="10.54296875" style="402" customWidth="1"/>
    <col min="5886" max="5886" width="3.7265625" style="402" customWidth="1"/>
    <col min="5887" max="5887" width="12.81640625" style="402" customWidth="1"/>
    <col min="5888" max="5888" width="30.7265625" style="402" customWidth="1"/>
    <col min="5889" max="6110" width="8.7265625" style="402"/>
    <col min="6111" max="6111" width="22" style="402" customWidth="1"/>
    <col min="6112" max="6112" width="1.7265625" style="402" customWidth="1"/>
    <col min="6113" max="6132" width="10.81640625" style="402" customWidth="1"/>
    <col min="6133" max="6133" width="1.81640625" style="402" customWidth="1"/>
    <col min="6134" max="6134" width="2.1796875" style="402" customWidth="1"/>
    <col min="6135" max="6141" width="10.54296875" style="402" customWidth="1"/>
    <col min="6142" max="6142" width="3.7265625" style="402" customWidth="1"/>
    <col min="6143" max="6143" width="12.81640625" style="402" customWidth="1"/>
    <col min="6144" max="6144" width="30.7265625" style="402" customWidth="1"/>
    <col min="6145" max="6366" width="8.7265625" style="402"/>
    <col min="6367" max="6367" width="22" style="402" customWidth="1"/>
    <col min="6368" max="6368" width="1.7265625" style="402" customWidth="1"/>
    <col min="6369" max="6388" width="10.81640625" style="402" customWidth="1"/>
    <col min="6389" max="6389" width="1.81640625" style="402" customWidth="1"/>
    <col min="6390" max="6390" width="2.1796875" style="402" customWidth="1"/>
    <col min="6391" max="6397" width="10.54296875" style="402" customWidth="1"/>
    <col min="6398" max="6398" width="3.7265625" style="402" customWidth="1"/>
    <col min="6399" max="6399" width="12.81640625" style="402" customWidth="1"/>
    <col min="6400" max="6400" width="30.7265625" style="402" customWidth="1"/>
    <col min="6401" max="6622" width="8.7265625" style="402"/>
    <col min="6623" max="6623" width="22" style="402" customWidth="1"/>
    <col min="6624" max="6624" width="1.7265625" style="402" customWidth="1"/>
    <col min="6625" max="6644" width="10.81640625" style="402" customWidth="1"/>
    <col min="6645" max="6645" width="1.81640625" style="402" customWidth="1"/>
    <col min="6646" max="6646" width="2.1796875" style="402" customWidth="1"/>
    <col min="6647" max="6653" width="10.54296875" style="402" customWidth="1"/>
    <col min="6654" max="6654" width="3.7265625" style="402" customWidth="1"/>
    <col min="6655" max="6655" width="12.81640625" style="402" customWidth="1"/>
    <col min="6656" max="6656" width="30.7265625" style="402" customWidth="1"/>
    <col min="6657" max="6878" width="8.7265625" style="402"/>
    <col min="6879" max="6879" width="22" style="402" customWidth="1"/>
    <col min="6880" max="6880" width="1.7265625" style="402" customWidth="1"/>
    <col min="6881" max="6900" width="10.81640625" style="402" customWidth="1"/>
    <col min="6901" max="6901" width="1.81640625" style="402" customWidth="1"/>
    <col min="6902" max="6902" width="2.1796875" style="402" customWidth="1"/>
    <col min="6903" max="6909" width="10.54296875" style="402" customWidth="1"/>
    <col min="6910" max="6910" width="3.7265625" style="402" customWidth="1"/>
    <col min="6911" max="6911" width="12.81640625" style="402" customWidth="1"/>
    <col min="6912" max="6912" width="30.7265625" style="402" customWidth="1"/>
    <col min="6913" max="7134" width="8.7265625" style="402"/>
    <col min="7135" max="7135" width="22" style="402" customWidth="1"/>
    <col min="7136" max="7136" width="1.7265625" style="402" customWidth="1"/>
    <col min="7137" max="7156" width="10.81640625" style="402" customWidth="1"/>
    <col min="7157" max="7157" width="1.81640625" style="402" customWidth="1"/>
    <col min="7158" max="7158" width="2.1796875" style="402" customWidth="1"/>
    <col min="7159" max="7165" width="10.54296875" style="402" customWidth="1"/>
    <col min="7166" max="7166" width="3.7265625" style="402" customWidth="1"/>
    <col min="7167" max="7167" width="12.81640625" style="402" customWidth="1"/>
    <col min="7168" max="7168" width="30.7265625" style="402" customWidth="1"/>
    <col min="7169" max="7390" width="8.7265625" style="402"/>
    <col min="7391" max="7391" width="22" style="402" customWidth="1"/>
    <col min="7392" max="7392" width="1.7265625" style="402" customWidth="1"/>
    <col min="7393" max="7412" width="10.81640625" style="402" customWidth="1"/>
    <col min="7413" max="7413" width="1.81640625" style="402" customWidth="1"/>
    <col min="7414" max="7414" width="2.1796875" style="402" customWidth="1"/>
    <col min="7415" max="7421" width="10.54296875" style="402" customWidth="1"/>
    <col min="7422" max="7422" width="3.7265625" style="402" customWidth="1"/>
    <col min="7423" max="7423" width="12.81640625" style="402" customWidth="1"/>
    <col min="7424" max="7424" width="30.7265625" style="402" customWidth="1"/>
    <col min="7425" max="7646" width="8.7265625" style="402"/>
    <col min="7647" max="7647" width="22" style="402" customWidth="1"/>
    <col min="7648" max="7648" width="1.7265625" style="402" customWidth="1"/>
    <col min="7649" max="7668" width="10.81640625" style="402" customWidth="1"/>
    <col min="7669" max="7669" width="1.81640625" style="402" customWidth="1"/>
    <col min="7670" max="7670" width="2.1796875" style="402" customWidth="1"/>
    <col min="7671" max="7677" width="10.54296875" style="402" customWidth="1"/>
    <col min="7678" max="7678" width="3.7265625" style="402" customWidth="1"/>
    <col min="7679" max="7679" width="12.81640625" style="402" customWidth="1"/>
    <col min="7680" max="7680" width="30.7265625" style="402" customWidth="1"/>
    <col min="7681" max="7902" width="8.7265625" style="402"/>
    <col min="7903" max="7903" width="22" style="402" customWidth="1"/>
    <col min="7904" max="7904" width="1.7265625" style="402" customWidth="1"/>
    <col min="7905" max="7924" width="10.81640625" style="402" customWidth="1"/>
    <col min="7925" max="7925" width="1.81640625" style="402" customWidth="1"/>
    <col min="7926" max="7926" width="2.1796875" style="402" customWidth="1"/>
    <col min="7927" max="7933" width="10.54296875" style="402" customWidth="1"/>
    <col min="7934" max="7934" width="3.7265625" style="402" customWidth="1"/>
    <col min="7935" max="7935" width="12.81640625" style="402" customWidth="1"/>
    <col min="7936" max="7936" width="30.7265625" style="402" customWidth="1"/>
    <col min="7937" max="8158" width="8.7265625" style="402"/>
    <col min="8159" max="8159" width="22" style="402" customWidth="1"/>
    <col min="8160" max="8160" width="1.7265625" style="402" customWidth="1"/>
    <col min="8161" max="8180" width="10.81640625" style="402" customWidth="1"/>
    <col min="8181" max="8181" width="1.81640625" style="402" customWidth="1"/>
    <col min="8182" max="8182" width="2.1796875" style="402" customWidth="1"/>
    <col min="8183" max="8189" width="10.54296875" style="402" customWidth="1"/>
    <col min="8190" max="8190" width="3.7265625" style="402" customWidth="1"/>
    <col min="8191" max="8191" width="12.81640625" style="402" customWidth="1"/>
    <col min="8192" max="8192" width="30.7265625" style="402" customWidth="1"/>
    <col min="8193" max="8414" width="8.7265625" style="402"/>
    <col min="8415" max="8415" width="22" style="402" customWidth="1"/>
    <col min="8416" max="8416" width="1.7265625" style="402" customWidth="1"/>
    <col min="8417" max="8436" width="10.81640625" style="402" customWidth="1"/>
    <col min="8437" max="8437" width="1.81640625" style="402" customWidth="1"/>
    <col min="8438" max="8438" width="2.1796875" style="402" customWidth="1"/>
    <col min="8439" max="8445" width="10.54296875" style="402" customWidth="1"/>
    <col min="8446" max="8446" width="3.7265625" style="402" customWidth="1"/>
    <col min="8447" max="8447" width="12.81640625" style="402" customWidth="1"/>
    <col min="8448" max="8448" width="30.7265625" style="402" customWidth="1"/>
    <col min="8449" max="8670" width="8.7265625" style="402"/>
    <col min="8671" max="8671" width="22" style="402" customWidth="1"/>
    <col min="8672" max="8672" width="1.7265625" style="402" customWidth="1"/>
    <col min="8673" max="8692" width="10.81640625" style="402" customWidth="1"/>
    <col min="8693" max="8693" width="1.81640625" style="402" customWidth="1"/>
    <col min="8694" max="8694" width="2.1796875" style="402" customWidth="1"/>
    <col min="8695" max="8701" width="10.54296875" style="402" customWidth="1"/>
    <col min="8702" max="8702" width="3.7265625" style="402" customWidth="1"/>
    <col min="8703" max="8703" width="12.81640625" style="402" customWidth="1"/>
    <col min="8704" max="8704" width="30.7265625" style="402" customWidth="1"/>
    <col min="8705" max="8926" width="8.7265625" style="402"/>
    <col min="8927" max="8927" width="22" style="402" customWidth="1"/>
    <col min="8928" max="8928" width="1.7265625" style="402" customWidth="1"/>
    <col min="8929" max="8948" width="10.81640625" style="402" customWidth="1"/>
    <col min="8949" max="8949" width="1.81640625" style="402" customWidth="1"/>
    <col min="8950" max="8950" width="2.1796875" style="402" customWidth="1"/>
    <col min="8951" max="8957" width="10.54296875" style="402" customWidth="1"/>
    <col min="8958" max="8958" width="3.7265625" style="402" customWidth="1"/>
    <col min="8959" max="8959" width="12.81640625" style="402" customWidth="1"/>
    <col min="8960" max="8960" width="30.7265625" style="402" customWidth="1"/>
    <col min="8961" max="9182" width="8.7265625" style="402"/>
    <col min="9183" max="9183" width="22" style="402" customWidth="1"/>
    <col min="9184" max="9184" width="1.7265625" style="402" customWidth="1"/>
    <col min="9185" max="9204" width="10.81640625" style="402" customWidth="1"/>
    <col min="9205" max="9205" width="1.81640625" style="402" customWidth="1"/>
    <col min="9206" max="9206" width="2.1796875" style="402" customWidth="1"/>
    <col min="9207" max="9213" width="10.54296875" style="402" customWidth="1"/>
    <col min="9214" max="9214" width="3.7265625" style="402" customWidth="1"/>
    <col min="9215" max="9215" width="12.81640625" style="402" customWidth="1"/>
    <col min="9216" max="9216" width="30.7265625" style="402" customWidth="1"/>
    <col min="9217" max="9438" width="8.7265625" style="402"/>
    <col min="9439" max="9439" width="22" style="402" customWidth="1"/>
    <col min="9440" max="9440" width="1.7265625" style="402" customWidth="1"/>
    <col min="9441" max="9460" width="10.81640625" style="402" customWidth="1"/>
    <col min="9461" max="9461" width="1.81640625" style="402" customWidth="1"/>
    <col min="9462" max="9462" width="2.1796875" style="402" customWidth="1"/>
    <col min="9463" max="9469" width="10.54296875" style="402" customWidth="1"/>
    <col min="9470" max="9470" width="3.7265625" style="402" customWidth="1"/>
    <col min="9471" max="9471" width="12.81640625" style="402" customWidth="1"/>
    <col min="9472" max="9472" width="30.7265625" style="402" customWidth="1"/>
    <col min="9473" max="9694" width="8.7265625" style="402"/>
    <col min="9695" max="9695" width="22" style="402" customWidth="1"/>
    <col min="9696" max="9696" width="1.7265625" style="402" customWidth="1"/>
    <col min="9697" max="9716" width="10.81640625" style="402" customWidth="1"/>
    <col min="9717" max="9717" width="1.81640625" style="402" customWidth="1"/>
    <col min="9718" max="9718" width="2.1796875" style="402" customWidth="1"/>
    <col min="9719" max="9725" width="10.54296875" style="402" customWidth="1"/>
    <col min="9726" max="9726" width="3.7265625" style="402" customWidth="1"/>
    <col min="9727" max="9727" width="12.81640625" style="402" customWidth="1"/>
    <col min="9728" max="9728" width="30.7265625" style="402" customWidth="1"/>
    <col min="9729" max="9950" width="8.7265625" style="402"/>
    <col min="9951" max="9951" width="22" style="402" customWidth="1"/>
    <col min="9952" max="9952" width="1.7265625" style="402" customWidth="1"/>
    <col min="9953" max="9972" width="10.81640625" style="402" customWidth="1"/>
    <col min="9973" max="9973" width="1.81640625" style="402" customWidth="1"/>
    <col min="9974" max="9974" width="2.1796875" style="402" customWidth="1"/>
    <col min="9975" max="9981" width="10.54296875" style="402" customWidth="1"/>
    <col min="9982" max="9982" width="3.7265625" style="402" customWidth="1"/>
    <col min="9983" max="9983" width="12.81640625" style="402" customWidth="1"/>
    <col min="9984" max="9984" width="30.7265625" style="402" customWidth="1"/>
    <col min="9985" max="10206" width="8.7265625" style="402"/>
    <col min="10207" max="10207" width="22" style="402" customWidth="1"/>
    <col min="10208" max="10208" width="1.7265625" style="402" customWidth="1"/>
    <col min="10209" max="10228" width="10.81640625" style="402" customWidth="1"/>
    <col min="10229" max="10229" width="1.81640625" style="402" customWidth="1"/>
    <col min="10230" max="10230" width="2.1796875" style="402" customWidth="1"/>
    <col min="10231" max="10237" width="10.54296875" style="402" customWidth="1"/>
    <col min="10238" max="10238" width="3.7265625" style="402" customWidth="1"/>
    <col min="10239" max="10239" width="12.81640625" style="402" customWidth="1"/>
    <col min="10240" max="10240" width="30.7265625" style="402" customWidth="1"/>
    <col min="10241" max="10462" width="8.7265625" style="402"/>
    <col min="10463" max="10463" width="22" style="402" customWidth="1"/>
    <col min="10464" max="10464" width="1.7265625" style="402" customWidth="1"/>
    <col min="10465" max="10484" width="10.81640625" style="402" customWidth="1"/>
    <col min="10485" max="10485" width="1.81640625" style="402" customWidth="1"/>
    <col min="10486" max="10486" width="2.1796875" style="402" customWidth="1"/>
    <col min="10487" max="10493" width="10.54296875" style="402" customWidth="1"/>
    <col min="10494" max="10494" width="3.7265625" style="402" customWidth="1"/>
    <col min="10495" max="10495" width="12.81640625" style="402" customWidth="1"/>
    <col min="10496" max="10496" width="30.7265625" style="402" customWidth="1"/>
    <col min="10497" max="10718" width="8.7265625" style="402"/>
    <col min="10719" max="10719" width="22" style="402" customWidth="1"/>
    <col min="10720" max="10720" width="1.7265625" style="402" customWidth="1"/>
    <col min="10721" max="10740" width="10.81640625" style="402" customWidth="1"/>
    <col min="10741" max="10741" width="1.81640625" style="402" customWidth="1"/>
    <col min="10742" max="10742" width="2.1796875" style="402" customWidth="1"/>
    <col min="10743" max="10749" width="10.54296875" style="402" customWidth="1"/>
    <col min="10750" max="10750" width="3.7265625" style="402" customWidth="1"/>
    <col min="10751" max="10751" width="12.81640625" style="402" customWidth="1"/>
    <col min="10752" max="10752" width="30.7265625" style="402" customWidth="1"/>
    <col min="10753" max="10974" width="8.7265625" style="402"/>
    <col min="10975" max="10975" width="22" style="402" customWidth="1"/>
    <col min="10976" max="10976" width="1.7265625" style="402" customWidth="1"/>
    <col min="10977" max="10996" width="10.81640625" style="402" customWidth="1"/>
    <col min="10997" max="10997" width="1.81640625" style="402" customWidth="1"/>
    <col min="10998" max="10998" width="2.1796875" style="402" customWidth="1"/>
    <col min="10999" max="11005" width="10.54296875" style="402" customWidth="1"/>
    <col min="11006" max="11006" width="3.7265625" style="402" customWidth="1"/>
    <col min="11007" max="11007" width="12.81640625" style="402" customWidth="1"/>
    <col min="11008" max="11008" width="30.7265625" style="402" customWidth="1"/>
    <col min="11009" max="11230" width="8.7265625" style="402"/>
    <col min="11231" max="11231" width="22" style="402" customWidth="1"/>
    <col min="11232" max="11232" width="1.7265625" style="402" customWidth="1"/>
    <col min="11233" max="11252" width="10.81640625" style="402" customWidth="1"/>
    <col min="11253" max="11253" width="1.81640625" style="402" customWidth="1"/>
    <col min="11254" max="11254" width="2.1796875" style="402" customWidth="1"/>
    <col min="11255" max="11261" width="10.54296875" style="402" customWidth="1"/>
    <col min="11262" max="11262" width="3.7265625" style="402" customWidth="1"/>
    <col min="11263" max="11263" width="12.81640625" style="402" customWidth="1"/>
    <col min="11264" max="11264" width="30.7265625" style="402" customWidth="1"/>
    <col min="11265" max="11486" width="8.7265625" style="402"/>
    <col min="11487" max="11487" width="22" style="402" customWidth="1"/>
    <col min="11488" max="11488" width="1.7265625" style="402" customWidth="1"/>
    <col min="11489" max="11508" width="10.81640625" style="402" customWidth="1"/>
    <col min="11509" max="11509" width="1.81640625" style="402" customWidth="1"/>
    <col min="11510" max="11510" width="2.1796875" style="402" customWidth="1"/>
    <col min="11511" max="11517" width="10.54296875" style="402" customWidth="1"/>
    <col min="11518" max="11518" width="3.7265625" style="402" customWidth="1"/>
    <col min="11519" max="11519" width="12.81640625" style="402" customWidth="1"/>
    <col min="11520" max="11520" width="30.7265625" style="402" customWidth="1"/>
    <col min="11521" max="11742" width="8.7265625" style="402"/>
    <col min="11743" max="11743" width="22" style="402" customWidth="1"/>
    <col min="11744" max="11744" width="1.7265625" style="402" customWidth="1"/>
    <col min="11745" max="11764" width="10.81640625" style="402" customWidth="1"/>
    <col min="11765" max="11765" width="1.81640625" style="402" customWidth="1"/>
    <col min="11766" max="11766" width="2.1796875" style="402" customWidth="1"/>
    <col min="11767" max="11773" width="10.54296875" style="402" customWidth="1"/>
    <col min="11774" max="11774" width="3.7265625" style="402" customWidth="1"/>
    <col min="11775" max="11775" width="12.81640625" style="402" customWidth="1"/>
    <col min="11776" max="11776" width="30.7265625" style="402" customWidth="1"/>
    <col min="11777" max="11998" width="8.7265625" style="402"/>
    <col min="11999" max="11999" width="22" style="402" customWidth="1"/>
    <col min="12000" max="12000" width="1.7265625" style="402" customWidth="1"/>
    <col min="12001" max="12020" width="10.81640625" style="402" customWidth="1"/>
    <col min="12021" max="12021" width="1.81640625" style="402" customWidth="1"/>
    <col min="12022" max="12022" width="2.1796875" style="402" customWidth="1"/>
    <col min="12023" max="12029" width="10.54296875" style="402" customWidth="1"/>
    <col min="12030" max="12030" width="3.7265625" style="402" customWidth="1"/>
    <col min="12031" max="12031" width="12.81640625" style="402" customWidth="1"/>
    <col min="12032" max="12032" width="30.7265625" style="402" customWidth="1"/>
    <col min="12033" max="12254" width="8.7265625" style="402"/>
    <col min="12255" max="12255" width="22" style="402" customWidth="1"/>
    <col min="12256" max="12256" width="1.7265625" style="402" customWidth="1"/>
    <col min="12257" max="12276" width="10.81640625" style="402" customWidth="1"/>
    <col min="12277" max="12277" width="1.81640625" style="402" customWidth="1"/>
    <col min="12278" max="12278" width="2.1796875" style="402" customWidth="1"/>
    <col min="12279" max="12285" width="10.54296875" style="402" customWidth="1"/>
    <col min="12286" max="12286" width="3.7265625" style="402" customWidth="1"/>
    <col min="12287" max="12287" width="12.81640625" style="402" customWidth="1"/>
    <col min="12288" max="12288" width="30.7265625" style="402" customWidth="1"/>
    <col min="12289" max="12510" width="8.7265625" style="402"/>
    <col min="12511" max="12511" width="22" style="402" customWidth="1"/>
    <col min="12512" max="12512" width="1.7265625" style="402" customWidth="1"/>
    <col min="12513" max="12532" width="10.81640625" style="402" customWidth="1"/>
    <col min="12533" max="12533" width="1.81640625" style="402" customWidth="1"/>
    <col min="12534" max="12534" width="2.1796875" style="402" customWidth="1"/>
    <col min="12535" max="12541" width="10.54296875" style="402" customWidth="1"/>
    <col min="12542" max="12542" width="3.7265625" style="402" customWidth="1"/>
    <col min="12543" max="12543" width="12.81640625" style="402" customWidth="1"/>
    <col min="12544" max="12544" width="30.7265625" style="402" customWidth="1"/>
    <col min="12545" max="12766" width="8.7265625" style="402"/>
    <col min="12767" max="12767" width="22" style="402" customWidth="1"/>
    <col min="12768" max="12768" width="1.7265625" style="402" customWidth="1"/>
    <col min="12769" max="12788" width="10.81640625" style="402" customWidth="1"/>
    <col min="12789" max="12789" width="1.81640625" style="402" customWidth="1"/>
    <col min="12790" max="12790" width="2.1796875" style="402" customWidth="1"/>
    <col min="12791" max="12797" width="10.54296875" style="402" customWidth="1"/>
    <col min="12798" max="12798" width="3.7265625" style="402" customWidth="1"/>
    <col min="12799" max="12799" width="12.81640625" style="402" customWidth="1"/>
    <col min="12800" max="12800" width="30.7265625" style="402" customWidth="1"/>
    <col min="12801" max="13022" width="8.7265625" style="402"/>
    <col min="13023" max="13023" width="22" style="402" customWidth="1"/>
    <col min="13024" max="13024" width="1.7265625" style="402" customWidth="1"/>
    <col min="13025" max="13044" width="10.81640625" style="402" customWidth="1"/>
    <col min="13045" max="13045" width="1.81640625" style="402" customWidth="1"/>
    <col min="13046" max="13046" width="2.1796875" style="402" customWidth="1"/>
    <col min="13047" max="13053" width="10.54296875" style="402" customWidth="1"/>
    <col min="13054" max="13054" width="3.7265625" style="402" customWidth="1"/>
    <col min="13055" max="13055" width="12.81640625" style="402" customWidth="1"/>
    <col min="13056" max="13056" width="30.7265625" style="402" customWidth="1"/>
    <col min="13057" max="13278" width="8.7265625" style="402"/>
    <col min="13279" max="13279" width="22" style="402" customWidth="1"/>
    <col min="13280" max="13280" width="1.7265625" style="402" customWidth="1"/>
    <col min="13281" max="13300" width="10.81640625" style="402" customWidth="1"/>
    <col min="13301" max="13301" width="1.81640625" style="402" customWidth="1"/>
    <col min="13302" max="13302" width="2.1796875" style="402" customWidth="1"/>
    <col min="13303" max="13309" width="10.54296875" style="402" customWidth="1"/>
    <col min="13310" max="13310" width="3.7265625" style="402" customWidth="1"/>
    <col min="13311" max="13311" width="12.81640625" style="402" customWidth="1"/>
    <col min="13312" max="13312" width="30.7265625" style="402" customWidth="1"/>
    <col min="13313" max="13534" width="8.7265625" style="402"/>
    <col min="13535" max="13535" width="22" style="402" customWidth="1"/>
    <col min="13536" max="13536" width="1.7265625" style="402" customWidth="1"/>
    <col min="13537" max="13556" width="10.81640625" style="402" customWidth="1"/>
    <col min="13557" max="13557" width="1.81640625" style="402" customWidth="1"/>
    <col min="13558" max="13558" width="2.1796875" style="402" customWidth="1"/>
    <col min="13559" max="13565" width="10.54296875" style="402" customWidth="1"/>
    <col min="13566" max="13566" width="3.7265625" style="402" customWidth="1"/>
    <col min="13567" max="13567" width="12.81640625" style="402" customWidth="1"/>
    <col min="13568" max="13568" width="30.7265625" style="402" customWidth="1"/>
    <col min="13569" max="13790" width="8.7265625" style="402"/>
    <col min="13791" max="13791" width="22" style="402" customWidth="1"/>
    <col min="13792" max="13792" width="1.7265625" style="402" customWidth="1"/>
    <col min="13793" max="13812" width="10.81640625" style="402" customWidth="1"/>
    <col min="13813" max="13813" width="1.81640625" style="402" customWidth="1"/>
    <col min="13814" max="13814" width="2.1796875" style="402" customWidth="1"/>
    <col min="13815" max="13821" width="10.54296875" style="402" customWidth="1"/>
    <col min="13822" max="13822" width="3.7265625" style="402" customWidth="1"/>
    <col min="13823" max="13823" width="12.81640625" style="402" customWidth="1"/>
    <col min="13824" max="13824" width="30.7265625" style="402" customWidth="1"/>
    <col min="13825" max="14046" width="8.7265625" style="402"/>
    <col min="14047" max="14047" width="22" style="402" customWidth="1"/>
    <col min="14048" max="14048" width="1.7265625" style="402" customWidth="1"/>
    <col min="14049" max="14068" width="10.81640625" style="402" customWidth="1"/>
    <col min="14069" max="14069" width="1.81640625" style="402" customWidth="1"/>
    <col min="14070" max="14070" width="2.1796875" style="402" customWidth="1"/>
    <col min="14071" max="14077" width="10.54296875" style="402" customWidth="1"/>
    <col min="14078" max="14078" width="3.7265625" style="402" customWidth="1"/>
    <col min="14079" max="14079" width="12.81640625" style="402" customWidth="1"/>
    <col min="14080" max="14080" width="30.7265625" style="402" customWidth="1"/>
    <col min="14081" max="14302" width="8.7265625" style="402"/>
    <col min="14303" max="14303" width="22" style="402" customWidth="1"/>
    <col min="14304" max="14304" width="1.7265625" style="402" customWidth="1"/>
    <col min="14305" max="14324" width="10.81640625" style="402" customWidth="1"/>
    <col min="14325" max="14325" width="1.81640625" style="402" customWidth="1"/>
    <col min="14326" max="14326" width="2.1796875" style="402" customWidth="1"/>
    <col min="14327" max="14333" width="10.54296875" style="402" customWidth="1"/>
    <col min="14334" max="14334" width="3.7265625" style="402" customWidth="1"/>
    <col min="14335" max="14335" width="12.81640625" style="402" customWidth="1"/>
    <col min="14336" max="14336" width="30.7265625" style="402" customWidth="1"/>
    <col min="14337" max="14558" width="8.7265625" style="402"/>
    <col min="14559" max="14559" width="22" style="402" customWidth="1"/>
    <col min="14560" max="14560" width="1.7265625" style="402" customWidth="1"/>
    <col min="14561" max="14580" width="10.81640625" style="402" customWidth="1"/>
    <col min="14581" max="14581" width="1.81640625" style="402" customWidth="1"/>
    <col min="14582" max="14582" width="2.1796875" style="402" customWidth="1"/>
    <col min="14583" max="14589" width="10.54296875" style="402" customWidth="1"/>
    <col min="14590" max="14590" width="3.7265625" style="402" customWidth="1"/>
    <col min="14591" max="14591" width="12.81640625" style="402" customWidth="1"/>
    <col min="14592" max="14592" width="30.7265625" style="402" customWidth="1"/>
    <col min="14593" max="14814" width="8.7265625" style="402"/>
    <col min="14815" max="14815" width="22" style="402" customWidth="1"/>
    <col min="14816" max="14816" width="1.7265625" style="402" customWidth="1"/>
    <col min="14817" max="14836" width="10.81640625" style="402" customWidth="1"/>
    <col min="14837" max="14837" width="1.81640625" style="402" customWidth="1"/>
    <col min="14838" max="14838" width="2.1796875" style="402" customWidth="1"/>
    <col min="14839" max="14845" width="10.54296875" style="402" customWidth="1"/>
    <col min="14846" max="14846" width="3.7265625" style="402" customWidth="1"/>
    <col min="14847" max="14847" width="12.81640625" style="402" customWidth="1"/>
    <col min="14848" max="14848" width="30.7265625" style="402" customWidth="1"/>
    <col min="14849" max="15070" width="8.7265625" style="402"/>
    <col min="15071" max="15071" width="22" style="402" customWidth="1"/>
    <col min="15072" max="15072" width="1.7265625" style="402" customWidth="1"/>
    <col min="15073" max="15092" width="10.81640625" style="402" customWidth="1"/>
    <col min="15093" max="15093" width="1.81640625" style="402" customWidth="1"/>
    <col min="15094" max="15094" width="2.1796875" style="402" customWidth="1"/>
    <col min="15095" max="15101" width="10.54296875" style="402" customWidth="1"/>
    <col min="15102" max="15102" width="3.7265625" style="402" customWidth="1"/>
    <col min="15103" max="15103" width="12.81640625" style="402" customWidth="1"/>
    <col min="15104" max="15104" width="30.7265625" style="402" customWidth="1"/>
    <col min="15105" max="15326" width="8.7265625" style="402"/>
    <col min="15327" max="15327" width="22" style="402" customWidth="1"/>
    <col min="15328" max="15328" width="1.7265625" style="402" customWidth="1"/>
    <col min="15329" max="15348" width="10.81640625" style="402" customWidth="1"/>
    <col min="15349" max="15349" width="1.81640625" style="402" customWidth="1"/>
    <col min="15350" max="15350" width="2.1796875" style="402" customWidth="1"/>
    <col min="15351" max="15357" width="10.54296875" style="402" customWidth="1"/>
    <col min="15358" max="15358" width="3.7265625" style="402" customWidth="1"/>
    <col min="15359" max="15359" width="12.81640625" style="402" customWidth="1"/>
    <col min="15360" max="15360" width="30.7265625" style="402" customWidth="1"/>
    <col min="15361" max="15582" width="8.7265625" style="402"/>
    <col min="15583" max="15583" width="22" style="402" customWidth="1"/>
    <col min="15584" max="15584" width="1.7265625" style="402" customWidth="1"/>
    <col min="15585" max="15604" width="10.81640625" style="402" customWidth="1"/>
    <col min="15605" max="15605" width="1.81640625" style="402" customWidth="1"/>
    <col min="15606" max="15606" width="2.1796875" style="402" customWidth="1"/>
    <col min="15607" max="15613" width="10.54296875" style="402" customWidth="1"/>
    <col min="15614" max="15614" width="3.7265625" style="402" customWidth="1"/>
    <col min="15615" max="15615" width="12.81640625" style="402" customWidth="1"/>
    <col min="15616" max="15616" width="30.7265625" style="402" customWidth="1"/>
    <col min="15617" max="15838" width="8.7265625" style="402"/>
    <col min="15839" max="15839" width="22" style="402" customWidth="1"/>
    <col min="15840" max="15840" width="1.7265625" style="402" customWidth="1"/>
    <col min="15841" max="15860" width="10.81640625" style="402" customWidth="1"/>
    <col min="15861" max="15861" width="1.81640625" style="402" customWidth="1"/>
    <col min="15862" max="15862" width="2.1796875" style="402" customWidth="1"/>
    <col min="15863" max="15869" width="10.54296875" style="402" customWidth="1"/>
    <col min="15870" max="15870" width="3.7265625" style="402" customWidth="1"/>
    <col min="15871" max="15871" width="12.81640625" style="402" customWidth="1"/>
    <col min="15872" max="15872" width="30.7265625" style="402" customWidth="1"/>
    <col min="15873" max="16094" width="8.7265625" style="402"/>
    <col min="16095" max="16095" width="22" style="402" customWidth="1"/>
    <col min="16096" max="16096" width="1.7265625" style="402" customWidth="1"/>
    <col min="16097" max="16116" width="10.81640625" style="402" customWidth="1"/>
    <col min="16117" max="16117" width="1.81640625" style="402" customWidth="1"/>
    <col min="16118" max="16118" width="2.1796875" style="402" customWidth="1"/>
    <col min="16119" max="16125" width="10.54296875" style="402" customWidth="1"/>
    <col min="16126" max="16126" width="3.7265625" style="402" customWidth="1"/>
    <col min="16127" max="16127" width="12.81640625" style="402" customWidth="1"/>
    <col min="16128" max="16128" width="30.7265625" style="402" customWidth="1"/>
    <col min="16129" max="16384" width="8.7265625" style="402"/>
  </cols>
  <sheetData>
    <row r="1" spans="1:27">
      <c r="A1" s="401" t="s">
        <v>0</v>
      </c>
      <c r="C1" s="402"/>
      <c r="D1" s="402"/>
      <c r="E1" s="402"/>
      <c r="F1" s="402"/>
      <c r="G1" s="402"/>
      <c r="H1" s="402"/>
      <c r="I1" s="402"/>
      <c r="J1" s="402"/>
      <c r="K1" s="402"/>
      <c r="L1" s="402"/>
      <c r="M1" s="402"/>
      <c r="N1" s="402"/>
      <c r="O1" s="402"/>
      <c r="P1" s="402"/>
      <c r="Q1" s="402"/>
      <c r="R1" s="402"/>
      <c r="S1" s="402"/>
      <c r="T1" s="402"/>
      <c r="U1" s="403"/>
      <c r="V1" s="403"/>
      <c r="W1" s="403"/>
      <c r="X1" s="403">
        <f>+'Simple - 1%'!U1</f>
        <v>45565</v>
      </c>
      <c r="Y1" s="403"/>
    </row>
    <row r="2" spans="1:27">
      <c r="A2" s="404" t="s">
        <v>104</v>
      </c>
      <c r="M2" s="405"/>
      <c r="N2" s="405"/>
      <c r="O2" s="405"/>
      <c r="P2" s="405"/>
      <c r="Q2" s="405"/>
      <c r="R2" s="405"/>
      <c r="S2" s="405"/>
      <c r="T2" s="405"/>
      <c r="U2" s="405"/>
      <c r="V2" s="405"/>
      <c r="W2" s="405"/>
      <c r="X2" s="405"/>
      <c r="Y2" s="405"/>
    </row>
    <row r="3" spans="1:27">
      <c r="A3" s="406" t="s">
        <v>3</v>
      </c>
      <c r="B3" s="407"/>
      <c r="C3" s="407"/>
      <c r="D3" s="407"/>
      <c r="E3" s="407"/>
      <c r="F3" s="407"/>
      <c r="G3" s="407"/>
      <c r="H3" s="407"/>
      <c r="I3" s="407"/>
      <c r="J3" s="407"/>
      <c r="K3" s="407"/>
      <c r="L3" s="407"/>
      <c r="M3" s="407"/>
      <c r="N3" s="407"/>
      <c r="O3" s="407"/>
      <c r="P3" s="407"/>
      <c r="Q3" s="407"/>
      <c r="R3" s="407"/>
      <c r="S3" s="407"/>
      <c r="T3" s="407"/>
      <c r="U3" s="407"/>
      <c r="V3" s="407"/>
      <c r="W3" s="407"/>
      <c r="X3" s="407"/>
    </row>
    <row r="4" spans="1:27" ht="21.5">
      <c r="B4" s="408"/>
      <c r="C4" s="409" t="s">
        <v>105</v>
      </c>
      <c r="D4" s="409"/>
      <c r="E4" s="409"/>
      <c r="F4" s="409"/>
      <c r="G4" s="409"/>
      <c r="H4" s="409"/>
      <c r="I4" s="409"/>
      <c r="J4" s="409"/>
      <c r="K4" s="409"/>
      <c r="L4" s="409"/>
      <c r="M4" s="409"/>
      <c r="N4" s="409"/>
      <c r="O4" s="408"/>
      <c r="P4" s="408"/>
      <c r="Q4" s="409" t="str">
        <f>+C4</f>
        <v>FYE June 30th</v>
      </c>
      <c r="R4" s="409"/>
      <c r="S4" s="409"/>
      <c r="T4" s="409"/>
      <c r="U4" s="409"/>
      <c r="V4" s="409"/>
      <c r="W4" s="409"/>
      <c r="X4" s="409"/>
      <c r="Y4" s="408"/>
    </row>
    <row r="5" spans="1:27" ht="21.5">
      <c r="A5" s="410"/>
      <c r="B5" s="408"/>
      <c r="C5" s="411" t="s">
        <v>106</v>
      </c>
      <c r="D5" s="411" t="s">
        <v>107</v>
      </c>
      <c r="E5" s="411" t="s">
        <v>108</v>
      </c>
      <c r="F5" s="411" t="s">
        <v>109</v>
      </c>
      <c r="G5" s="411" t="s">
        <v>110</v>
      </c>
      <c r="H5" s="411" t="s">
        <v>111</v>
      </c>
      <c r="I5" s="411" t="s">
        <v>112</v>
      </c>
      <c r="J5" s="411" t="s">
        <v>113</v>
      </c>
      <c r="K5" s="411" t="s">
        <v>114</v>
      </c>
      <c r="L5" s="411" t="s">
        <v>4191</v>
      </c>
      <c r="M5" s="411" t="s">
        <v>116</v>
      </c>
      <c r="N5" s="411" t="s">
        <v>117</v>
      </c>
      <c r="O5" s="408"/>
      <c r="P5" s="408"/>
      <c r="Q5" s="411" t="s">
        <v>118</v>
      </c>
      <c r="R5" s="411" t="s">
        <v>119</v>
      </c>
      <c r="S5" s="411" t="s">
        <v>120</v>
      </c>
      <c r="T5" s="411" t="s">
        <v>121</v>
      </c>
      <c r="U5" s="411" t="s">
        <v>122</v>
      </c>
      <c r="V5" s="411" t="s">
        <v>123</v>
      </c>
      <c r="W5" s="411" t="s">
        <v>4190</v>
      </c>
      <c r="X5" s="411" t="s">
        <v>4189</v>
      </c>
      <c r="Y5" s="408"/>
    </row>
    <row r="6" spans="1:27">
      <c r="A6" s="412" t="s">
        <v>124</v>
      </c>
      <c r="B6" s="408"/>
      <c r="C6" s="408"/>
      <c r="D6" s="408"/>
      <c r="E6" s="408"/>
      <c r="F6" s="408"/>
      <c r="G6" s="408"/>
      <c r="H6" s="408"/>
      <c r="I6" s="408"/>
      <c r="J6" s="408"/>
      <c r="K6" s="408"/>
      <c r="L6" s="408"/>
      <c r="M6" s="408"/>
      <c r="N6" s="408"/>
      <c r="O6" s="408"/>
      <c r="P6" s="408"/>
      <c r="Q6" s="408"/>
      <c r="R6" s="408"/>
      <c r="S6" s="408"/>
      <c r="T6" s="408"/>
      <c r="U6" s="408"/>
      <c r="V6" s="408"/>
      <c r="W6" s="408"/>
      <c r="X6" s="408"/>
      <c r="Y6" s="408"/>
    </row>
    <row r="7" spans="1:27" ht="8.15" customHeight="1">
      <c r="B7" s="408"/>
      <c r="C7" s="408"/>
      <c r="D7" s="408"/>
      <c r="E7" s="408"/>
      <c r="F7" s="408"/>
      <c r="G7" s="408"/>
      <c r="H7" s="408"/>
      <c r="I7" s="408"/>
      <c r="J7" s="408"/>
      <c r="K7" s="408"/>
      <c r="L7" s="408"/>
      <c r="M7" s="408"/>
      <c r="N7" s="408"/>
      <c r="O7" s="408"/>
      <c r="P7" s="408"/>
      <c r="Q7" s="408"/>
      <c r="R7" s="408"/>
      <c r="S7" s="408"/>
      <c r="T7" s="408"/>
      <c r="U7" s="408"/>
      <c r="V7" s="408"/>
      <c r="W7" s="408"/>
      <c r="X7" s="408"/>
      <c r="Y7" s="408"/>
    </row>
    <row r="8" spans="1:27">
      <c r="A8" s="413" t="s">
        <v>125</v>
      </c>
      <c r="B8" s="413"/>
      <c r="C8" s="414"/>
      <c r="D8" s="414"/>
      <c r="E8" s="414"/>
      <c r="F8" s="414"/>
      <c r="G8" s="414"/>
      <c r="H8" s="414"/>
      <c r="I8" s="414"/>
      <c r="J8" s="414"/>
      <c r="K8" s="414"/>
      <c r="L8" s="414"/>
      <c r="M8" s="414"/>
      <c r="N8" s="414"/>
      <c r="O8" s="414"/>
      <c r="P8" s="414"/>
      <c r="Q8" s="414"/>
      <c r="R8" s="414"/>
      <c r="S8" s="414"/>
      <c r="Y8" s="413"/>
      <c r="AA8" s="402">
        <v>2000</v>
      </c>
    </row>
    <row r="9" spans="1:27">
      <c r="A9" s="401" t="str">
        <f>+'Detailed Disclosure'!A101</f>
        <v>Unique Website Visits ('000s)</v>
      </c>
      <c r="B9" s="413"/>
      <c r="C9" s="414">
        <f>+'Detailed Disclosures - USD'!X101</f>
        <v>1461.5</v>
      </c>
      <c r="D9" s="414">
        <f>+'Detailed Disclosures - USD'!Y101</f>
        <v>2342.5</v>
      </c>
      <c r="E9" s="414">
        <f>+'Detailed Disclosures - USD'!Z101</f>
        <v>5846</v>
      </c>
      <c r="F9" s="414">
        <f>+'Detailed Disclosures - USD'!AA101</f>
        <v>8090</v>
      </c>
      <c r="G9" s="414">
        <f>+'Detailed Disclosures - USD'!AB101</f>
        <v>23600</v>
      </c>
      <c r="H9" s="414">
        <f>+'Detailed Disclosures - USD'!AC101</f>
        <v>21100</v>
      </c>
      <c r="I9" s="415"/>
      <c r="J9" s="414"/>
      <c r="K9" s="414"/>
      <c r="L9" s="414"/>
      <c r="M9" s="414"/>
      <c r="N9" s="414"/>
      <c r="O9" s="414"/>
      <c r="P9" s="414"/>
      <c r="Q9" s="414">
        <f>+'Detailed Disclosures - USD'!AJ101</f>
        <v>193.6386768447837</v>
      </c>
      <c r="R9" s="414">
        <f>+'Detailed Disclosures - USD'!AK101</f>
        <v>1522</v>
      </c>
      <c r="S9" s="414">
        <f>+'Detailed Disclosures - USD'!AL101</f>
        <v>3804</v>
      </c>
      <c r="T9" s="414">
        <f>+'Detailed Disclosures - USD'!AM101</f>
        <v>13936</v>
      </c>
      <c r="U9" s="414">
        <f>SUM(G9:H9)</f>
        <v>44700</v>
      </c>
      <c r="V9" s="414"/>
      <c r="W9" s="414"/>
      <c r="X9" s="414"/>
      <c r="Y9" s="413"/>
      <c r="AA9" s="402">
        <f>+AA8*0.25</f>
        <v>500</v>
      </c>
    </row>
    <row r="10" spans="1:27" ht="21.5">
      <c r="A10" s="401" t="str">
        <f>+'Detailed Disclosure'!A105</f>
        <v>Conversion Rate %</v>
      </c>
      <c r="B10" s="416"/>
      <c r="C10" s="417">
        <f>+'Detailed Disclosures - USD'!X105</f>
        <v>8.3000000000000001E-3</v>
      </c>
      <c r="D10" s="417">
        <f>+'Detailed Disclosures - USD'!Y105</f>
        <v>1.0928178865658807E-2</v>
      </c>
      <c r="E10" s="417">
        <f>+'Detailed Disclosures - USD'!Z105</f>
        <v>1.15E-2</v>
      </c>
      <c r="F10" s="417">
        <f>+'Detailed Disclosures - USD'!AA105</f>
        <v>1.278096415327565E-2</v>
      </c>
      <c r="G10" s="417">
        <f>+'Detailed Disclosures - USD'!AB105</f>
        <v>9.1026271186440671E-3</v>
      </c>
      <c r="H10" s="417">
        <f>+'Detailed Disclosures - USD'!AC105</f>
        <v>8.9382938388625592E-3</v>
      </c>
      <c r="I10" s="417"/>
      <c r="J10" s="417"/>
      <c r="K10" s="417"/>
      <c r="L10" s="417"/>
      <c r="M10" s="417"/>
      <c r="N10" s="417"/>
      <c r="O10" s="417"/>
      <c r="P10" s="417"/>
      <c r="Q10" s="417">
        <f>+'Detailed Disclosures - USD'!AJ105</f>
        <v>5.0000000000000001E-3</v>
      </c>
      <c r="R10" s="417">
        <f>+'Detailed Disclosures - USD'!AK105</f>
        <v>6.7999999999999996E-3</v>
      </c>
      <c r="S10" s="417">
        <f>+'Detailed Disclosures - USD'!AL105</f>
        <v>9.9000000000000008E-3</v>
      </c>
      <c r="T10" s="417">
        <f>+'Detailed Disclosures - USD'!AM105</f>
        <v>1.2226535591274396E-2</v>
      </c>
      <c r="U10" s="417">
        <f>+U11/1000/U9</f>
        <v>9.0250559284116329E-3</v>
      </c>
      <c r="V10" s="417"/>
      <c r="W10" s="417"/>
      <c r="X10" s="417"/>
      <c r="Y10" s="413"/>
    </row>
    <row r="11" spans="1:27">
      <c r="A11" s="418" t="str">
        <f>+'Detailed Disclosure'!A106</f>
        <v>Number of Orders (#)</v>
      </c>
      <c r="B11" s="413"/>
      <c r="C11" s="414">
        <f>+'Detailed Disclosures - USD'!X106</f>
        <v>12048.741007194245</v>
      </c>
      <c r="D11" s="414">
        <f>+'Detailed Disclosures - USD'!Y106</f>
        <v>25599.258992805757</v>
      </c>
      <c r="E11" s="414">
        <f>+'Detailed Disclosures - USD'!Z106</f>
        <v>66991</v>
      </c>
      <c r="F11" s="414">
        <f>+'Detailed Disclosures - USD'!AA106</f>
        <v>103398</v>
      </c>
      <c r="G11" s="414">
        <f>+'Detailed Disclosures - USD'!AB106</f>
        <v>214822</v>
      </c>
      <c r="H11" s="414">
        <f>+'Detailed Disclosures - USD'!AC106</f>
        <v>188598</v>
      </c>
      <c r="I11" s="414">
        <f>+'Detailed Disclosures - USD'!AD106</f>
        <v>319696.96969696967</v>
      </c>
      <c r="J11" s="414">
        <f>+'Detailed Disclosures - USD'!AE106</f>
        <v>389689.03030303033</v>
      </c>
      <c r="K11" s="414">
        <f>+'Detailed Disclosures - USD'!AF106</f>
        <v>572043.92969696969</v>
      </c>
      <c r="L11" s="414">
        <f>+'Detailed Disclosures - USD'!AG106</f>
        <v>624128.07030303031</v>
      </c>
      <c r="M11" s="414"/>
      <c r="N11" s="414"/>
      <c r="O11" s="414"/>
      <c r="P11" s="414"/>
      <c r="Q11" s="414">
        <f>+'Detailed Disclosures - USD'!AJ106</f>
        <v>965</v>
      </c>
      <c r="R11" s="414">
        <f>+'Detailed Disclosures - USD'!AK106</f>
        <v>10388</v>
      </c>
      <c r="S11" s="414">
        <f>+'Detailed Disclosures - USD'!AL106</f>
        <v>37648</v>
      </c>
      <c r="T11" s="414">
        <f>+'Detailed Disclosures - USD'!AM106</f>
        <v>170389</v>
      </c>
      <c r="U11" s="414">
        <f>SUM(G11:H11)</f>
        <v>403420</v>
      </c>
      <c r="V11" s="414">
        <f>+SUM(I11:J11)</f>
        <v>709386</v>
      </c>
      <c r="W11" s="414">
        <f>+SUM(K11:L11)</f>
        <v>1196172</v>
      </c>
      <c r="X11" s="414"/>
      <c r="Y11" s="413"/>
    </row>
    <row r="12" spans="1:27" s="419" customFormat="1" ht="21.5">
      <c r="A12" s="401" t="s">
        <v>126</v>
      </c>
      <c r="C12" s="420">
        <f>+'Detailed Disclosures - USD'!X110</f>
        <v>520.3030035397959</v>
      </c>
      <c r="D12" s="420">
        <f>+'Detailed Disclosures - USD'!Y110</f>
        <v>501.589880308445</v>
      </c>
      <c r="E12" s="420">
        <f>+'Detailed Disclosures - USD'!Z110</f>
        <v>568.96704298198563</v>
      </c>
      <c r="F12" s="420">
        <f>+'Detailed Disclosures - USD'!AA110</f>
        <v>534.82186860551224</v>
      </c>
      <c r="G12" s="420">
        <f>+'Detailed Disclosures - USD'!AB110</f>
        <v>524.73079052520086</v>
      </c>
      <c r="H12" s="420">
        <f>+'Detailed Disclosures - USD'!AC110</f>
        <v>509.77046825476577</v>
      </c>
      <c r="I12" s="420">
        <f>+'Detailed Disclosures - USD'!AD110</f>
        <v>505.64948781646979</v>
      </c>
      <c r="J12" s="420">
        <f>+'Detailed Disclosures - USD'!AE110</f>
        <v>513.44559662206052</v>
      </c>
      <c r="K12" s="420">
        <f>+'Detailed Disclosures - USD'!AF110</f>
        <v>525.22788167807357</v>
      </c>
      <c r="L12" s="420">
        <f>+'Detailed Disclosures - USD'!AG110</f>
        <v>546.0912076448077</v>
      </c>
      <c r="M12" s="420"/>
      <c r="N12" s="420"/>
      <c r="O12" s="420"/>
      <c r="P12" s="420"/>
      <c r="Q12" s="420">
        <f>+'Detailed Disclosures - USD'!AJ110</f>
        <v>574.15484826657973</v>
      </c>
      <c r="R12" s="420">
        <f>+'Detailed Disclosures - USD'!AK110</f>
        <v>500.49742059218585</v>
      </c>
      <c r="S12" s="420">
        <f>+'Detailed Disclosures - USD'!AL110</f>
        <v>507.27708210249449</v>
      </c>
      <c r="T12" s="420">
        <f>+'Detailed Disclosures - USD'!AM110</f>
        <v>539.3140077869914</v>
      </c>
      <c r="U12" s="420">
        <f>+U13/U11*1000000</f>
        <v>517.7368713849512</v>
      </c>
      <c r="V12" s="420">
        <f>+V13/V11*1000000</f>
        <v>509.93214645448575</v>
      </c>
      <c r="W12" s="420">
        <f>+W13/W11*1000000</f>
        <v>536.11376378843966</v>
      </c>
      <c r="X12" s="420"/>
      <c r="Y12" s="421"/>
    </row>
    <row r="13" spans="1:27" s="422" customFormat="1">
      <c r="A13" s="418" t="s">
        <v>125</v>
      </c>
      <c r="C13" s="423">
        <f>+C27</f>
        <v>6.2689961349162715</v>
      </c>
      <c r="D13" s="423">
        <f t="shared" ref="D13:E13" si="0">+D27</f>
        <v>12.843209612584118</v>
      </c>
      <c r="E13" s="423">
        <f t="shared" si="0"/>
        <v>38.115671176406195</v>
      </c>
      <c r="F13" s="423">
        <f t="shared" ref="F13:I13" si="1">+F27</f>
        <v>55.299511570072752</v>
      </c>
      <c r="G13" s="423">
        <f t="shared" si="1"/>
        <v>112.7237178822047</v>
      </c>
      <c r="H13" s="423">
        <f t="shared" ref="H13" si="2">+H12*H11/1000000</f>
        <v>96.141690771912323</v>
      </c>
      <c r="I13" s="423">
        <f t="shared" si="1"/>
        <v>161.65460898375017</v>
      </c>
      <c r="J13" s="423">
        <f t="shared" ref="J13:K13" si="3">+J27</f>
        <v>200.08411666101165</v>
      </c>
      <c r="K13" s="423">
        <f t="shared" si="3"/>
        <v>300.45342142154021</v>
      </c>
      <c r="L13" s="423">
        <f t="shared" ref="L13" si="4">+L27</f>
        <v>340.83085163680522</v>
      </c>
      <c r="M13" s="423">
        <f t="shared" ref="M13:N13" si="5">+M27</f>
        <v>371.60047556226726</v>
      </c>
      <c r="N13" s="423">
        <f t="shared" si="5"/>
        <v>397.71705953176883</v>
      </c>
      <c r="O13" s="423"/>
      <c r="P13" s="423"/>
      <c r="Q13" s="423">
        <f t="shared" ref="Q13:R13" si="6">+Q27</f>
        <v>0.44940595410879386</v>
      </c>
      <c r="R13" s="423">
        <f t="shared" si="6"/>
        <v>5.1998310135241095</v>
      </c>
      <c r="S13" s="423">
        <f>+S27</f>
        <v>19.11220574750039</v>
      </c>
      <c r="T13" s="423">
        <f t="shared" ref="T13" si="7">+T27</f>
        <v>93.415182746478948</v>
      </c>
      <c r="U13" s="423">
        <f>SUM(G13:H13)</f>
        <v>208.865408654117</v>
      </c>
      <c r="V13" s="414">
        <f>+SUM(I13:J13)</f>
        <v>361.73872564476181</v>
      </c>
      <c r="W13" s="423">
        <f>SUM(K13:L13)</f>
        <v>641.28427305834543</v>
      </c>
      <c r="X13" s="423">
        <f>+SUM(M13:N13)</f>
        <v>769.31753509403609</v>
      </c>
      <c r="Y13" s="424"/>
    </row>
    <row r="14" spans="1:27">
      <c r="B14" s="413"/>
      <c r="C14" s="413"/>
      <c r="D14" s="425"/>
      <c r="E14" s="402"/>
      <c r="F14" s="402"/>
      <c r="G14" s="402"/>
      <c r="H14" s="402"/>
      <c r="I14" s="402"/>
      <c r="J14" s="402"/>
      <c r="K14" s="402"/>
      <c r="L14" s="402"/>
      <c r="M14" s="402"/>
      <c r="N14" s="402"/>
      <c r="O14" s="402"/>
      <c r="P14" s="402"/>
      <c r="Q14" s="402"/>
      <c r="R14" s="402"/>
      <c r="S14" s="402"/>
      <c r="T14" s="402"/>
      <c r="U14" s="402"/>
      <c r="V14" s="402"/>
      <c r="W14" s="402"/>
      <c r="X14" s="402"/>
      <c r="Y14" s="413"/>
    </row>
    <row r="15" spans="1:27" s="428" customFormat="1">
      <c r="A15" s="426" t="s">
        <v>25</v>
      </c>
      <c r="B15" s="427"/>
      <c r="C15" s="427"/>
      <c r="D15" s="427"/>
      <c r="Y15" s="427"/>
    </row>
    <row r="16" spans="1:27" s="428" customFormat="1">
      <c r="A16" s="429" t="str">
        <f>+A9</f>
        <v>Unique Website Visits ('000s)</v>
      </c>
      <c r="B16" s="427"/>
      <c r="C16" s="427"/>
      <c r="D16" s="427"/>
      <c r="E16" s="430">
        <f>+E9/C9-1</f>
        <v>3</v>
      </c>
      <c r="F16" s="430">
        <f t="shared" ref="F16" si="8">+F9/D9-1</f>
        <v>2.4535752401280684</v>
      </c>
      <c r="G16" s="430">
        <f t="shared" ref="G16" si="9">+G9/E9-1</f>
        <v>3.0369483407458091</v>
      </c>
      <c r="H16" s="430">
        <f t="shared" ref="H16" si="10">+H9/F9-1</f>
        <v>1.608158220024722</v>
      </c>
      <c r="I16" s="430"/>
      <c r="J16" s="430"/>
      <c r="K16" s="430"/>
      <c r="L16" s="430"/>
      <c r="M16" s="430"/>
      <c r="N16" s="430"/>
      <c r="O16" s="430"/>
      <c r="P16" s="430"/>
      <c r="Q16" s="430"/>
      <c r="R16" s="430">
        <f>+R9/Q9-1</f>
        <v>6.86</v>
      </c>
      <c r="S16" s="430">
        <f>+S9/R9-1</f>
        <v>1.4993429697766096</v>
      </c>
      <c r="T16" s="430">
        <f t="shared" ref="T16" si="11">+T9/S9-1</f>
        <v>2.6635120925341744</v>
      </c>
      <c r="U16" s="430">
        <f t="shared" ref="U16" si="12">+U9/T9-1</f>
        <v>2.2075200918484499</v>
      </c>
      <c r="V16" s="430"/>
      <c r="W16" s="430"/>
      <c r="X16" s="430"/>
      <c r="Y16" s="427"/>
    </row>
    <row r="17" spans="1:35" s="428" customFormat="1">
      <c r="A17" s="429" t="str">
        <f>+A11</f>
        <v>Number of Orders (#)</v>
      </c>
      <c r="B17" s="427"/>
      <c r="C17" s="427"/>
      <c r="D17" s="427"/>
      <c r="E17" s="430">
        <f>+E11/C11-1</f>
        <v>4.5599999999999996</v>
      </c>
      <c r="F17" s="430">
        <f t="shared" ref="F17:F19" si="13">+F11/D11-1</f>
        <v>3.0391012891841234</v>
      </c>
      <c r="G17" s="430">
        <f t="shared" ref="G17:G19" si="14">+G11/E11-1</f>
        <v>2.2067292621396906</v>
      </c>
      <c r="H17" s="430">
        <f t="shared" ref="H17:H19" si="15">+H11/F11-1</f>
        <v>0.82400046422561357</v>
      </c>
      <c r="I17" s="430">
        <f t="shared" ref="I17:I19" si="16">+I11/G11-1</f>
        <v>0.48819473655849799</v>
      </c>
      <c r="J17" s="430">
        <f t="shared" ref="J17:J19" si="17">+J11/H11-1</f>
        <v>1.0662415842322313</v>
      </c>
      <c r="K17" s="430">
        <f t="shared" ref="K17:K19" si="18">+K11/I11-1</f>
        <v>0.78933172322274903</v>
      </c>
      <c r="L17" s="430">
        <f t="shared" ref="L17:L19" si="19">+L11/J11-1</f>
        <v>0.60160543861780069</v>
      </c>
      <c r="M17" s="430"/>
      <c r="N17" s="430"/>
      <c r="O17" s="430"/>
      <c r="P17" s="430"/>
      <c r="Q17" s="430"/>
      <c r="R17" s="430">
        <f>+R11/Q11-1</f>
        <v>9.7647668393782379</v>
      </c>
      <c r="S17" s="430">
        <f>+S11/R11-1</f>
        <v>2.6241817481709666</v>
      </c>
      <c r="T17" s="430">
        <f t="shared" ref="T17:T19" si="20">+T11/S11-1</f>
        <v>3.5258446663833407</v>
      </c>
      <c r="U17" s="430">
        <f t="shared" ref="U17:U19" si="21">+U11/T11-1</f>
        <v>1.3676411035923679</v>
      </c>
      <c r="V17" s="430">
        <f t="shared" ref="V17:V19" si="22">+V11/U11-1</f>
        <v>0.75843041990977156</v>
      </c>
      <c r="W17" s="430"/>
      <c r="X17" s="430"/>
      <c r="Y17" s="427"/>
      <c r="AC17" s="431"/>
      <c r="AD17" s="432">
        <v>44561</v>
      </c>
    </row>
    <row r="18" spans="1:35" s="434" customFormat="1" ht="21.5">
      <c r="A18" s="429" t="str">
        <f t="shared" ref="A18:A19" si="23">+A12</f>
        <v>AOV</v>
      </c>
      <c r="B18" s="433"/>
      <c r="C18" s="433"/>
      <c r="D18" s="433"/>
      <c r="E18" s="416">
        <f t="shared" ref="E18:E19" si="24">+E12/C12-1</f>
        <v>9.3530191275299046E-2</v>
      </c>
      <c r="F18" s="416">
        <f t="shared" si="13"/>
        <v>6.625330693799425E-2</v>
      </c>
      <c r="G18" s="416">
        <f t="shared" si="14"/>
        <v>-7.7748356433687715E-2</v>
      </c>
      <c r="H18" s="416">
        <f t="shared" si="15"/>
        <v>-4.6840643252051728E-2</v>
      </c>
      <c r="I18" s="416">
        <f t="shared" si="16"/>
        <v>-3.6363985215414285E-2</v>
      </c>
      <c r="J18" s="416">
        <f t="shared" si="17"/>
        <v>7.2093787226961137E-3</v>
      </c>
      <c r="K18" s="416">
        <f t="shared" si="18"/>
        <v>3.8719299303848986E-2</v>
      </c>
      <c r="L18" s="416">
        <f t="shared" si="19"/>
        <v>6.3581441222831492E-2</v>
      </c>
      <c r="M18" s="416"/>
      <c r="N18" s="416"/>
      <c r="O18" s="416"/>
      <c r="P18" s="416"/>
      <c r="Q18" s="416"/>
      <c r="R18" s="416">
        <f t="shared" ref="R18:S18" si="25">+R12/Q12-1</f>
        <v>-0.12828843629340003</v>
      </c>
      <c r="S18" s="416">
        <f t="shared" si="25"/>
        <v>1.3545847054090565E-2</v>
      </c>
      <c r="T18" s="416">
        <f t="shared" si="20"/>
        <v>6.3154687674267684E-2</v>
      </c>
      <c r="U18" s="416">
        <f t="shared" si="21"/>
        <v>-4.0008485020775364E-2</v>
      </c>
      <c r="V18" s="416">
        <f t="shared" si="22"/>
        <v>-1.5074694042144898E-2</v>
      </c>
      <c r="W18" s="416"/>
      <c r="X18" s="416"/>
      <c r="Y18" s="433"/>
      <c r="AB18" s="431" t="s">
        <v>127</v>
      </c>
      <c r="AD18" s="431">
        <v>3.56</v>
      </c>
    </row>
    <row r="19" spans="1:35" s="428" customFormat="1">
      <c r="A19" s="435" t="str">
        <f t="shared" si="23"/>
        <v xml:space="preserve">Gross Revenue </v>
      </c>
      <c r="B19" s="427"/>
      <c r="C19" s="427"/>
      <c r="D19" s="427"/>
      <c r="E19" s="430">
        <f t="shared" si="24"/>
        <v>5.0800278634906615</v>
      </c>
      <c r="F19" s="430">
        <f t="shared" si="13"/>
        <v>3.3057392379463169</v>
      </c>
      <c r="G19" s="430">
        <f t="shared" si="14"/>
        <v>1.9574113324805174</v>
      </c>
      <c r="H19" s="430">
        <f t="shared" si="15"/>
        <v>0.73856310918924528</v>
      </c>
      <c r="I19" s="430">
        <f t="shared" si="16"/>
        <v>0.43407804516062742</v>
      </c>
      <c r="J19" s="430">
        <f t="shared" si="17"/>
        <v>1.081137902345545</v>
      </c>
      <c r="K19" s="430">
        <f t="shared" si="18"/>
        <v>0.85861339376808221</v>
      </c>
      <c r="L19" s="430">
        <f t="shared" si="19"/>
        <v>0.70343782067544525</v>
      </c>
      <c r="M19" s="430">
        <f t="shared" ref="M19" si="26">+M13/K13-1</f>
        <v>0.23679894808355928</v>
      </c>
      <c r="N19" s="430">
        <f t="shared" ref="N19" si="27">+N13/L13-1</f>
        <v>0.16690451472269441</v>
      </c>
      <c r="O19" s="430"/>
      <c r="P19" s="430"/>
      <c r="Q19" s="430"/>
      <c r="R19" s="430">
        <f t="shared" ref="R19:S19" si="28">+R13/Q13-1</f>
        <v>10.57045420957043</v>
      </c>
      <c r="S19" s="430">
        <f t="shared" si="28"/>
        <v>2.6755436278201996</v>
      </c>
      <c r="T19" s="430">
        <f t="shared" si="20"/>
        <v>3.8877237918337268</v>
      </c>
      <c r="U19" s="430">
        <f t="shared" si="21"/>
        <v>1.2358828887693813</v>
      </c>
      <c r="V19" s="430">
        <f t="shared" si="22"/>
        <v>0.73192261933523128</v>
      </c>
      <c r="W19" s="430">
        <f t="shared" ref="W19" si="29">+W13/V13-1</f>
        <v>0.77278302707381585</v>
      </c>
      <c r="X19" s="430">
        <f t="shared" ref="X19" si="30">+X13/W13-1</f>
        <v>0.19965133625542997</v>
      </c>
      <c r="Y19" s="427"/>
      <c r="AB19" s="431" t="s">
        <v>128</v>
      </c>
      <c r="AD19" s="431">
        <f>+AD18*0.725</f>
        <v>2.581</v>
      </c>
    </row>
    <row r="20" spans="1:35" s="428" customFormat="1">
      <c r="A20" s="435" t="s">
        <v>129</v>
      </c>
      <c r="B20" s="427"/>
      <c r="C20" s="427"/>
      <c r="D20" s="430">
        <f>+D13/C13-1</f>
        <v>1.0486867970856792</v>
      </c>
      <c r="E20" s="430">
        <f t="shared" ref="E20:U20" si="31">+E13/D13-1</f>
        <v>1.9677683636853085</v>
      </c>
      <c r="F20" s="430">
        <f t="shared" si="31"/>
        <v>0.45083399723270379</v>
      </c>
      <c r="G20" s="430">
        <f t="shared" si="31"/>
        <v>1.0384215824287506</v>
      </c>
      <c r="H20" s="430">
        <f t="shared" si="31"/>
        <v>-0.14710326648044425</v>
      </c>
      <c r="I20" s="430">
        <f t="shared" si="31"/>
        <v>0.68142049183700615</v>
      </c>
      <c r="J20" s="430">
        <f t="shared" ref="J20" si="32">+J13/I13-1</f>
        <v>0.23772602537502951</v>
      </c>
      <c r="K20" s="430">
        <f t="shared" ref="K20" si="33">+K13/J13-1</f>
        <v>0.50163554426750001</v>
      </c>
      <c r="L20" s="430">
        <f t="shared" ref="L20" si="34">+L13/K13-1</f>
        <v>0.13438831890888969</v>
      </c>
      <c r="M20" s="430">
        <f t="shared" ref="M20" si="35">+M13/L13-1</f>
        <v>9.0278282548936106E-2</v>
      </c>
      <c r="N20" s="430">
        <f t="shared" ref="N20" si="36">+N13/M13-1</f>
        <v>7.0281352385205276E-2</v>
      </c>
      <c r="O20" s="430"/>
      <c r="P20" s="430"/>
      <c r="Q20" s="430"/>
      <c r="R20" s="430">
        <f t="shared" si="31"/>
        <v>10.57045420957043</v>
      </c>
      <c r="S20" s="430">
        <f t="shared" si="31"/>
        <v>2.6755436278201996</v>
      </c>
      <c r="T20" s="430">
        <f t="shared" si="31"/>
        <v>3.8877237918337268</v>
      </c>
      <c r="U20" s="430">
        <f t="shared" si="31"/>
        <v>1.2358828887693813</v>
      </c>
      <c r="V20" s="430">
        <f t="shared" ref="V20" si="37">+V13/U13-1</f>
        <v>0.73192261933523128</v>
      </c>
      <c r="W20" s="430">
        <f t="shared" ref="W20" si="38">+W13/V13-1</f>
        <v>0.77278302707381585</v>
      </c>
      <c r="X20" s="430">
        <f t="shared" ref="X20" si="39">+X13/W13-1</f>
        <v>0.19965133625542997</v>
      </c>
      <c r="Y20" s="427"/>
      <c r="AB20" s="431"/>
      <c r="AD20" s="431"/>
    </row>
    <row r="21" spans="1:35" s="428" customFormat="1" ht="8.15" customHeight="1">
      <c r="A21" s="429"/>
      <c r="B21" s="436"/>
      <c r="C21" s="436"/>
      <c r="D21" s="436"/>
      <c r="E21" s="430"/>
      <c r="F21" s="430"/>
      <c r="G21" s="430"/>
      <c r="H21" s="430"/>
      <c r="I21" s="430"/>
      <c r="J21" s="430"/>
      <c r="K21" s="430"/>
      <c r="L21" s="430"/>
      <c r="M21" s="430"/>
      <c r="N21" s="430"/>
      <c r="O21" s="430"/>
      <c r="P21" s="430"/>
      <c r="Q21" s="430"/>
      <c r="R21" s="430"/>
      <c r="S21" s="430"/>
      <c r="T21" s="436"/>
      <c r="U21" s="436"/>
      <c r="V21" s="436"/>
      <c r="W21" s="436"/>
      <c r="X21" s="436"/>
      <c r="Y21" s="436"/>
    </row>
    <row r="22" spans="1:35" hidden="1" outlineLevel="1">
      <c r="A22" s="401" t="str">
        <f>+'Detailed Disclosure'!A96</f>
        <v>Active Customers</v>
      </c>
      <c r="B22" s="408"/>
      <c r="C22" s="414"/>
      <c r="D22" s="414">
        <f>+'Detailed Disclosures - USD'!Y96</f>
        <v>29838</v>
      </c>
      <c r="E22" s="414">
        <f>+'Detailed Disclosures - USD'!Z96</f>
        <v>67657</v>
      </c>
      <c r="F22" s="414">
        <f>+'Detailed Disclosures - USD'!AA96</f>
        <v>114800</v>
      </c>
      <c r="G22" s="414">
        <f>+'Detailed Disclosures - USD'!AB96</f>
        <v>208700</v>
      </c>
      <c r="H22" s="414"/>
      <c r="I22" s="414"/>
      <c r="J22" s="414"/>
      <c r="K22" s="414"/>
      <c r="L22" s="414"/>
      <c r="M22" s="414"/>
      <c r="N22" s="414"/>
      <c r="O22" s="414"/>
      <c r="P22" s="414"/>
      <c r="Q22" s="414">
        <f>+'Detailed Disclosures - USD'!AJ96</f>
        <v>893</v>
      </c>
      <c r="R22" s="414">
        <f>+'Detailed Disclosures - USD'!AK96</f>
        <v>8800</v>
      </c>
      <c r="S22" s="414">
        <f>+'Detailed Disclosures - USD'!AL96</f>
        <v>29838</v>
      </c>
      <c r="T22" s="414">
        <f>+'Detailed Disclosures - USD'!AM96</f>
        <v>114800</v>
      </c>
      <c r="U22" s="414"/>
      <c r="V22" s="414"/>
      <c r="W22" s="414"/>
      <c r="X22" s="414"/>
      <c r="Y22" s="408"/>
    </row>
    <row r="23" spans="1:35" s="438" customFormat="1" hidden="1" outlineLevel="1">
      <c r="A23" s="429" t="s">
        <v>25</v>
      </c>
      <c r="B23" s="437"/>
      <c r="C23" s="430"/>
      <c r="D23" s="430"/>
      <c r="E23" s="430"/>
      <c r="F23" s="430">
        <f>+F22/D22-1</f>
        <v>2.847442858100409</v>
      </c>
      <c r="G23" s="430">
        <f>+G22/E22-1</f>
        <v>2.0846771213621649</v>
      </c>
      <c r="H23" s="430"/>
      <c r="I23" s="430"/>
      <c r="J23" s="430"/>
      <c r="K23" s="430"/>
      <c r="L23" s="430"/>
      <c r="M23" s="430"/>
      <c r="N23" s="430"/>
      <c r="O23" s="430"/>
      <c r="P23" s="430"/>
      <c r="Q23" s="430"/>
      <c r="R23" s="430">
        <f>+R22/Q22-1</f>
        <v>8.8544232922732355</v>
      </c>
      <c r="S23" s="430">
        <f>+S22/R22-1</f>
        <v>2.3906818181818181</v>
      </c>
      <c r="T23" s="430">
        <f t="shared" ref="T23" si="40">+T22/S22-1</f>
        <v>2.847442858100409</v>
      </c>
      <c r="U23" s="430"/>
      <c r="V23" s="430"/>
      <c r="W23" s="430"/>
      <c r="X23" s="430"/>
      <c r="Y23" s="437"/>
    </row>
    <row r="24" spans="1:35" s="438" customFormat="1" hidden="1" outlineLevel="1">
      <c r="A24" s="429"/>
      <c r="B24" s="437"/>
      <c r="C24" s="430"/>
      <c r="D24" s="430"/>
      <c r="E24" s="430"/>
      <c r="F24" s="430"/>
      <c r="G24" s="430"/>
      <c r="H24" s="430"/>
      <c r="I24" s="430"/>
      <c r="J24" s="430"/>
      <c r="K24" s="430"/>
      <c r="L24" s="430"/>
      <c r="M24" s="430"/>
      <c r="N24" s="430"/>
      <c r="O24" s="430"/>
      <c r="P24" s="430"/>
      <c r="Q24" s="430"/>
      <c r="R24" s="430"/>
      <c r="S24" s="430"/>
      <c r="T24" s="430"/>
      <c r="U24" s="430"/>
      <c r="V24" s="430"/>
      <c r="W24" s="430"/>
      <c r="X24" s="430"/>
      <c r="Y24" s="437"/>
    </row>
    <row r="25" spans="1:35" s="441" customFormat="1" collapsed="1">
      <c r="A25" s="412" t="s">
        <v>130</v>
      </c>
      <c r="B25" s="408"/>
      <c r="C25" s="439"/>
      <c r="D25" s="439"/>
      <c r="E25" s="439"/>
      <c r="F25" s="439"/>
      <c r="G25" s="439"/>
      <c r="H25" s="439"/>
      <c r="I25" s="439"/>
      <c r="J25" s="439"/>
      <c r="K25" s="439"/>
      <c r="L25" s="439"/>
      <c r="M25" s="439"/>
      <c r="N25" s="439"/>
      <c r="O25" s="440"/>
      <c r="P25" s="440"/>
      <c r="Q25" s="440"/>
      <c r="R25" s="440"/>
      <c r="S25" s="440"/>
      <c r="T25" s="440"/>
      <c r="U25" s="440"/>
      <c r="V25" s="440"/>
      <c r="W25" s="440"/>
      <c r="X25" s="440"/>
      <c r="Y25" s="440"/>
      <c r="AB25" s="431" t="s">
        <v>72</v>
      </c>
      <c r="AC25" s="442"/>
      <c r="AD25" s="431">
        <v>943</v>
      </c>
    </row>
    <row r="26" spans="1:35" s="441" customFormat="1">
      <c r="A26" s="443"/>
      <c r="B26" s="439"/>
      <c r="C26" s="439"/>
      <c r="D26" s="439"/>
      <c r="E26" s="439"/>
      <c r="F26" s="439"/>
      <c r="G26" s="439"/>
      <c r="H26" s="439"/>
      <c r="I26" s="439"/>
      <c r="J26" s="439"/>
      <c r="K26" s="439"/>
      <c r="L26" s="439"/>
      <c r="M26" s="439"/>
      <c r="N26" s="439"/>
      <c r="O26" s="440"/>
      <c r="P26" s="440"/>
      <c r="Q26" s="440"/>
      <c r="R26" s="440"/>
      <c r="S26" s="440"/>
      <c r="T26" s="444"/>
      <c r="U26" s="444"/>
      <c r="V26" s="444"/>
      <c r="W26" s="444"/>
      <c r="X26" s="444"/>
      <c r="Y26" s="440"/>
    </row>
    <row r="27" spans="1:35" s="422" customFormat="1">
      <c r="A27" s="401" t="s">
        <v>131</v>
      </c>
      <c r="B27" s="423"/>
      <c r="C27" s="423">
        <f>+Historical!C27/'Historical - USD'!C$181</f>
        <v>6.2689961349162715</v>
      </c>
      <c r="D27" s="423">
        <f>+Historical!D27/'Historical - USD'!D$181</f>
        <v>12.843209612584118</v>
      </c>
      <c r="E27" s="423">
        <f>+Historical!E27/'Historical - USD'!E$181</f>
        <v>38.115671176406195</v>
      </c>
      <c r="F27" s="423">
        <f>+Historical!F27/'Historical - USD'!F$181</f>
        <v>55.299511570072752</v>
      </c>
      <c r="G27" s="423">
        <f>+Historical!G27/'Historical - USD'!G$181</f>
        <v>112.7237178822047</v>
      </c>
      <c r="H27" s="423">
        <f>+Historical!H27/'Historical - USD'!H$181</f>
        <v>96.141690771912323</v>
      </c>
      <c r="I27" s="423">
        <f>'Q4 FY21e analysis'!AM14/1000</f>
        <v>161.65460898375017</v>
      </c>
      <c r="J27" s="423">
        <f>'Q4 FY21e analysis'!AN14/1000</f>
        <v>200.08411666101165</v>
      </c>
      <c r="K27" s="423">
        <f>'Q4 FY21e analysis'!AO14/1000</f>
        <v>300.45342142154021</v>
      </c>
      <c r="L27" s="423">
        <f>'Q4 FY21e analysis'!AP14/1000</f>
        <v>340.83085163680522</v>
      </c>
      <c r="M27" s="423">
        <f>'Q4 FY21e analysis'!AQ14/1000</f>
        <v>371.60047556226726</v>
      </c>
      <c r="N27" s="423">
        <f>'Q4 FY21e analysis'!AR14/1000</f>
        <v>397.71705953176883</v>
      </c>
      <c r="O27" s="423"/>
      <c r="P27" s="423"/>
      <c r="Q27" s="423">
        <f>+Historical!Q27/'Historical - USD'!Q$181</f>
        <v>0.44940595410879386</v>
      </c>
      <c r="R27" s="423">
        <f>+Historical!R27/'Historical - USD'!R$181</f>
        <v>5.1998310135241095</v>
      </c>
      <c r="S27" s="423">
        <f>+SUM(C27:D27)</f>
        <v>19.11220574750039</v>
      </c>
      <c r="T27" s="423">
        <f>SUM(E27:F27)</f>
        <v>93.415182746478948</v>
      </c>
      <c r="U27" s="423">
        <f>SUM(G27:H27)</f>
        <v>208.865408654117</v>
      </c>
      <c r="V27" s="423">
        <f>+SUM(I27:J27)</f>
        <v>361.73872564476181</v>
      </c>
      <c r="W27" s="423">
        <f>+SUM(K27:L27)</f>
        <v>641.28427305834543</v>
      </c>
      <c r="X27" s="423">
        <f>+SUM(M27:N27)</f>
        <v>769.31753509403609</v>
      </c>
      <c r="Y27" s="424"/>
    </row>
    <row r="28" spans="1:35" s="438" customFormat="1">
      <c r="A28" s="429" t="s">
        <v>4252</v>
      </c>
      <c r="B28" s="437"/>
      <c r="C28" s="430"/>
      <c r="D28" s="430"/>
      <c r="E28" s="430">
        <f>+E27/C27-1</f>
        <v>5.0800278634906615</v>
      </c>
      <c r="F28" s="430">
        <f t="shared" ref="F28" si="41">+F27/D27-1</f>
        <v>3.3057392379463169</v>
      </c>
      <c r="G28" s="430">
        <f t="shared" ref="G28" si="42">+G27/E27-1</f>
        <v>1.9574113324805174</v>
      </c>
      <c r="H28" s="430">
        <f t="shared" ref="H28" si="43">+H27/F27-1</f>
        <v>0.73856310918924528</v>
      </c>
      <c r="I28" s="430">
        <f t="shared" ref="I28" si="44">+I27/G27-1</f>
        <v>0.43407804516062742</v>
      </c>
      <c r="J28" s="430">
        <f t="shared" ref="J28:L28" si="45">+J27/H27-1</f>
        <v>1.081137902345545</v>
      </c>
      <c r="K28" s="430">
        <f t="shared" si="45"/>
        <v>0.85861339376808221</v>
      </c>
      <c r="L28" s="430">
        <f t="shared" si="45"/>
        <v>0.70343782067544525</v>
      </c>
      <c r="M28" s="430">
        <f t="shared" ref="M28" si="46">+M27/K27-1</f>
        <v>0.23679894808355928</v>
      </c>
      <c r="N28" s="430">
        <f t="shared" ref="N28" si="47">+N27/L27-1</f>
        <v>0.16690451472269441</v>
      </c>
      <c r="O28" s="430"/>
      <c r="P28" s="430"/>
      <c r="Q28" s="430"/>
      <c r="R28" s="430">
        <f>+R27/Q27-1</f>
        <v>10.57045420957043</v>
      </c>
      <c r="S28" s="430">
        <f>+S27/R27-1</f>
        <v>2.6755436278201996</v>
      </c>
      <c r="T28" s="430">
        <f>+T27/S27-1</f>
        <v>3.8877237918337268</v>
      </c>
      <c r="U28" s="430">
        <f>+U27/T27-1</f>
        <v>1.2358828887693813</v>
      </c>
      <c r="V28" s="430">
        <f t="shared" ref="V28" si="48">+V27/U27-1</f>
        <v>0.73192261933523128</v>
      </c>
      <c r="W28" s="430">
        <f t="shared" ref="W28" si="49">+W27/V27-1</f>
        <v>0.77278302707381585</v>
      </c>
      <c r="X28" s="430">
        <f t="shared" ref="X28" si="50">+X27/W27-1</f>
        <v>0.19965133625542997</v>
      </c>
      <c r="Y28" s="437"/>
    </row>
    <row r="29" spans="1:35" s="438" customFormat="1">
      <c r="A29" s="429" t="s">
        <v>133</v>
      </c>
      <c r="B29" s="437"/>
      <c r="C29" s="430"/>
      <c r="D29" s="430"/>
      <c r="E29" s="430"/>
      <c r="F29" s="430"/>
      <c r="G29" s="430">
        <f>+G28+E28</f>
        <v>7.0374391959711788</v>
      </c>
      <c r="H29" s="430">
        <f t="shared" ref="H29:I29" si="51">+H28+F28</f>
        <v>4.0443023471355621</v>
      </c>
      <c r="I29" s="430">
        <f t="shared" si="51"/>
        <v>2.391489377641145</v>
      </c>
      <c r="J29" s="430">
        <f t="shared" ref="J29:L29" si="52">+J28+H28</f>
        <v>1.8197010115347902</v>
      </c>
      <c r="K29" s="430">
        <f t="shared" si="52"/>
        <v>1.2926914389287096</v>
      </c>
      <c r="L29" s="430">
        <f t="shared" si="52"/>
        <v>1.7845757230209902</v>
      </c>
      <c r="M29" s="430">
        <f t="shared" ref="M29" si="53">+M28+K28</f>
        <v>1.0954123418516415</v>
      </c>
      <c r="N29" s="430">
        <f t="shared" ref="N29" si="54">+N28+L28</f>
        <v>0.87034233539813965</v>
      </c>
      <c r="O29" s="430"/>
      <c r="P29" s="430"/>
      <c r="Q29" s="430"/>
      <c r="R29" s="430"/>
      <c r="S29" s="430">
        <f>+S28+R28</f>
        <v>13.245997837390629</v>
      </c>
      <c r="T29" s="430">
        <f t="shared" ref="T29:U29" si="55">+T28+S28</f>
        <v>6.5632674196539265</v>
      </c>
      <c r="U29" s="430">
        <f t="shared" si="55"/>
        <v>5.1236066806031086</v>
      </c>
      <c r="V29" s="430">
        <f t="shared" ref="V29" si="56">+V28+U28</f>
        <v>1.9678055081046126</v>
      </c>
      <c r="W29" s="430">
        <f t="shared" ref="W29" si="57">+W28+V28</f>
        <v>1.5047056464090471</v>
      </c>
      <c r="X29" s="430">
        <f t="shared" ref="X29" si="58">+X28+W28</f>
        <v>0.97243436332924582</v>
      </c>
      <c r="Y29" s="437"/>
      <c r="AG29" s="428"/>
    </row>
    <row r="30" spans="1:35" s="438" customFormat="1">
      <c r="A30" s="429" t="s">
        <v>134</v>
      </c>
      <c r="B30" s="437"/>
      <c r="C30" s="430"/>
      <c r="D30" s="430">
        <f>+D27/C27-1</f>
        <v>1.0486867970856792</v>
      </c>
      <c r="E30" s="430">
        <f t="shared" ref="E30:I30" si="59">+E27/D27-1</f>
        <v>1.9677683636853085</v>
      </c>
      <c r="F30" s="430">
        <f t="shared" si="59"/>
        <v>0.45083399723270379</v>
      </c>
      <c r="G30" s="430">
        <f t="shared" si="59"/>
        <v>1.0384215824287506</v>
      </c>
      <c r="H30" s="430">
        <f t="shared" si="59"/>
        <v>-0.14710326648044425</v>
      </c>
      <c r="I30" s="430">
        <f t="shared" si="59"/>
        <v>0.68142049183700615</v>
      </c>
      <c r="J30" s="430">
        <f t="shared" ref="J30:L30" si="60">+J27/I27-1</f>
        <v>0.23772602537502951</v>
      </c>
      <c r="K30" s="430">
        <f t="shared" si="60"/>
        <v>0.50163554426750001</v>
      </c>
      <c r="L30" s="430">
        <f t="shared" si="60"/>
        <v>0.13438831890888969</v>
      </c>
      <c r="M30" s="430">
        <f t="shared" ref="M30" si="61">+M27/L27-1</f>
        <v>9.0278282548936106E-2</v>
      </c>
      <c r="N30" s="430">
        <f t="shared" ref="N30" si="62">+N27/M27-1</f>
        <v>7.0281352385205276E-2</v>
      </c>
      <c r="O30" s="430"/>
      <c r="P30" s="430"/>
      <c r="Q30" s="430"/>
      <c r="R30" s="430">
        <f t="shared" ref="R30:U30" si="63">+R27/Q27-1</f>
        <v>10.57045420957043</v>
      </c>
      <c r="S30" s="430">
        <f t="shared" si="63"/>
        <v>2.6755436278201996</v>
      </c>
      <c r="T30" s="430">
        <f t="shared" si="63"/>
        <v>3.8877237918337268</v>
      </c>
      <c r="U30" s="430">
        <f t="shared" si="63"/>
        <v>1.2358828887693813</v>
      </c>
      <c r="V30" s="430">
        <f t="shared" ref="V30" si="64">+V27/U27-1</f>
        <v>0.73192261933523128</v>
      </c>
      <c r="W30" s="430">
        <f t="shared" ref="W30" si="65">+W27/V27-1</f>
        <v>0.77278302707381585</v>
      </c>
      <c r="X30" s="430">
        <f t="shared" ref="X30" si="66">+X27/W27-1</f>
        <v>0.19965133625542997</v>
      </c>
      <c r="Y30" s="437"/>
      <c r="AA30" s="445"/>
    </row>
    <row r="31" spans="1:35" s="438" customFormat="1" hidden="1" outlineLevel="1">
      <c r="A31" s="429" t="s">
        <v>135</v>
      </c>
      <c r="B31" s="437"/>
      <c r="C31" s="430"/>
      <c r="D31" s="430"/>
      <c r="E31" s="430"/>
      <c r="F31" s="430"/>
      <c r="G31" s="446">
        <f>+Historical!G31</f>
        <v>1.93</v>
      </c>
      <c r="H31" s="430"/>
      <c r="I31" s="430"/>
      <c r="J31" s="430"/>
      <c r="K31" s="430"/>
      <c r="L31" s="430"/>
      <c r="M31" s="430"/>
      <c r="N31" s="430"/>
      <c r="O31" s="430"/>
      <c r="P31" s="430"/>
      <c r="Q31" s="430"/>
      <c r="R31" s="430"/>
      <c r="S31" s="430"/>
      <c r="T31" s="430">
        <f>+'Detailed Disclosures - USD'!AM11</f>
        <v>3.84</v>
      </c>
      <c r="U31" s="430"/>
      <c r="V31" s="430"/>
      <c r="W31" s="430"/>
      <c r="X31" s="430"/>
      <c r="Y31" s="437"/>
    </row>
    <row r="32" spans="1:35" s="438" customFormat="1" collapsed="1">
      <c r="A32" s="429"/>
      <c r="B32" s="447"/>
      <c r="C32" s="447"/>
      <c r="D32" s="447"/>
      <c r="E32" s="439"/>
      <c r="F32" s="439"/>
      <c r="G32" s="439"/>
      <c r="H32" s="439"/>
      <c r="I32" s="439"/>
      <c r="J32" s="423"/>
      <c r="K32" s="423">
        <f>+K33+J33</f>
        <v>385.31892993845634</v>
      </c>
      <c r="L32" s="439"/>
      <c r="M32" s="439"/>
      <c r="N32" s="439"/>
      <c r="O32" s="430"/>
      <c r="P32" s="430"/>
      <c r="Q32" s="430"/>
      <c r="R32" s="430"/>
      <c r="S32" s="430"/>
      <c r="T32" s="444"/>
      <c r="U32" s="444"/>
      <c r="V32" s="444"/>
      <c r="W32" s="444"/>
      <c r="X32" s="444"/>
      <c r="Y32" s="430"/>
      <c r="AE32" s="427">
        <v>20</v>
      </c>
      <c r="AF32" s="427">
        <v>21</v>
      </c>
      <c r="AG32" s="427">
        <v>22</v>
      </c>
      <c r="AH32" s="427">
        <v>23</v>
      </c>
      <c r="AI32" s="427">
        <v>24</v>
      </c>
    </row>
    <row r="33" spans="1:35" s="422" customFormat="1">
      <c r="A33" s="401" t="s">
        <v>23</v>
      </c>
      <c r="B33" s="423"/>
      <c r="C33" s="423">
        <f>+Historical!C33/'Historical - USD'!C$181</f>
        <v>4.7904872505815446</v>
      </c>
      <c r="D33" s="423">
        <f>+Historical!D33/'Historical - USD'!D$181</f>
        <v>10.406483569139857</v>
      </c>
      <c r="E33" s="423">
        <f>+Historical!E33/'Historical - USD'!E$181</f>
        <v>29.293478048827406</v>
      </c>
      <c r="F33" s="423">
        <f>+Historical!F33/'Historical - USD'!F$181</f>
        <v>40.001972109313677</v>
      </c>
      <c r="G33" s="423">
        <f>+Historical!G33/'Historical - USD'!G$181</f>
        <v>83.175816925334715</v>
      </c>
      <c r="H33" s="423">
        <f>+Historical!H33/'Historical - USD'!H$181</f>
        <v>69.159878327606606</v>
      </c>
      <c r="I33" s="423">
        <f>'Q4 FY21e analysis'!AM54/1000</f>
        <v>125.07418835819306</v>
      </c>
      <c r="J33" s="423">
        <f>'Q4 FY21e analysis'!AN54/1000</f>
        <v>154.18927188546309</v>
      </c>
      <c r="K33" s="423">
        <f>'Q4 FY21e analysis'!AO54/1000</f>
        <v>231.12965805299325</v>
      </c>
      <c r="L33" s="423">
        <f>'Q4 FY21e analysis'!AP54/1000</f>
        <v>255.3930959715604</v>
      </c>
      <c r="M33" s="423">
        <f>+'Q4 FY21e analysis'!AQ54/1000</f>
        <v>285.82786420030902</v>
      </c>
      <c r="N33" s="423">
        <f>+'Q4 FY21e analysis'!AR54/1000</f>
        <v>297.99944062915523</v>
      </c>
      <c r="O33" s="423"/>
      <c r="P33" s="423"/>
      <c r="Q33" s="423">
        <f>+Historical!Q33/'Historical - USD'!Q$181</f>
        <v>0.42151179143997225</v>
      </c>
      <c r="R33" s="423">
        <f>+Historical!R33/'Historical - USD'!R$181</f>
        <v>4.0829256170548218</v>
      </c>
      <c r="S33" s="423">
        <f>+SUM(C33:D33)</f>
        <v>15.1969708197214</v>
      </c>
      <c r="T33" s="423">
        <f>SUM(E33:F33)</f>
        <v>69.29545015814108</v>
      </c>
      <c r="U33" s="423">
        <f>SUM(G33:H33)</f>
        <v>152.33569525294132</v>
      </c>
      <c r="V33" s="423">
        <f>+SUM(I33:J33)</f>
        <v>279.26346024365614</v>
      </c>
      <c r="W33" s="423">
        <f>+SUM(K33:L33)</f>
        <v>486.52275402455365</v>
      </c>
      <c r="X33" s="423">
        <f>+SUM(M33:N33)</f>
        <v>583.82730482946431</v>
      </c>
      <c r="Y33" s="424">
        <f>+'Simple - 5%'!J7</f>
        <v>583.82730482946431</v>
      </c>
      <c r="AE33" s="448">
        <f>+SUM(D33:E33)</f>
        <v>39.699961617967261</v>
      </c>
      <c r="AF33" s="448">
        <f>+SUM(F33:G33)</f>
        <v>123.17778903464838</v>
      </c>
      <c r="AG33" s="448">
        <f>+SUM(H33:I33)</f>
        <v>194.23406668579966</v>
      </c>
      <c r="AH33" s="448">
        <f>+SUM(J33:K33)</f>
        <v>385.31892993845634</v>
      </c>
      <c r="AI33" s="448">
        <f>+SUM(L33:M33)</f>
        <v>541.22096017186936</v>
      </c>
    </row>
    <row r="34" spans="1:35" s="438" customFormat="1">
      <c r="A34" s="429" t="s">
        <v>4252</v>
      </c>
      <c r="B34" s="437"/>
      <c r="C34" s="430"/>
      <c r="D34" s="430"/>
      <c r="E34" s="430">
        <f>+E33/C33-1</f>
        <v>5.1149266278229435</v>
      </c>
      <c r="F34" s="430">
        <f>+F33/D33-1</f>
        <v>2.8439470781406349</v>
      </c>
      <c r="G34" s="430">
        <f t="shared" ref="G34" si="67">+G33/E33-1</f>
        <v>1.8393971103975542</v>
      </c>
      <c r="H34" s="430">
        <f t="shared" ref="H34" si="68">+H33/F33-1</f>
        <v>0.72891171811761946</v>
      </c>
      <c r="I34" s="430">
        <f t="shared" ref="I34" si="69">+I33/G33-1</f>
        <v>0.50373261101204059</v>
      </c>
      <c r="J34" s="430">
        <f t="shared" ref="J34:L34" si="70">+J33/H33-1</f>
        <v>1.2294612948142682</v>
      </c>
      <c r="K34" s="430">
        <f t="shared" si="70"/>
        <v>0.84794049905064184</v>
      </c>
      <c r="L34" s="430">
        <f t="shared" si="70"/>
        <v>0.65636099612218723</v>
      </c>
      <c r="M34" s="430">
        <f t="shared" ref="M34" si="71">+M33/K33-1</f>
        <v>0.23665593852423128</v>
      </c>
      <c r="N34" s="430">
        <f t="shared" ref="N34" si="72">+N33/L33-1</f>
        <v>0.16682653262615732</v>
      </c>
      <c r="O34" s="430"/>
      <c r="P34" s="430"/>
      <c r="Q34" s="430"/>
      <c r="R34" s="430">
        <f>+R33/Q33-1</f>
        <v>8.6863852921093763</v>
      </c>
      <c r="S34" s="430">
        <f>+S33/R33-1</f>
        <v>2.72207878493843</v>
      </c>
      <c r="T34" s="430">
        <f t="shared" ref="T34" si="73">+T33/S33-1</f>
        <v>3.5598199128088766</v>
      </c>
      <c r="U34" s="430">
        <f t="shared" ref="U34:V34" si="74">+U33/T33-1</f>
        <v>1.1983506118409184</v>
      </c>
      <c r="V34" s="430">
        <f t="shared" si="74"/>
        <v>0.83321092131401864</v>
      </c>
      <c r="W34" s="430">
        <f t="shared" ref="W34" si="75">+W33/V33-1</f>
        <v>0.74216402532599401</v>
      </c>
      <c r="X34" s="430">
        <f t="shared" ref="X34" si="76">+X33/W33-1</f>
        <v>0.19999999999999996</v>
      </c>
      <c r="Y34" s="437"/>
      <c r="AF34" s="445">
        <f>+AF33/AE33-1</f>
        <v>2.1027180887474972</v>
      </c>
      <c r="AG34" s="445">
        <f>+AG33/AF33-1</f>
        <v>0.57685949884328602</v>
      </c>
      <c r="AH34" s="445">
        <f>+AH33/AG33-1</f>
        <v>0.98378655460971598</v>
      </c>
      <c r="AI34" s="445">
        <f>+AI33/AH33-1</f>
        <v>0.40460516761611975</v>
      </c>
    </row>
    <row r="35" spans="1:35" s="438" customFormat="1">
      <c r="A35" s="429" t="s">
        <v>133</v>
      </c>
      <c r="B35" s="437"/>
      <c r="C35" s="430"/>
      <c r="D35" s="430"/>
      <c r="E35" s="430"/>
      <c r="F35" s="430"/>
      <c r="G35" s="430">
        <f>+G34+E34</f>
        <v>6.9543237382204977</v>
      </c>
      <c r="H35" s="430">
        <f t="shared" ref="H35" si="77">+H34+F34</f>
        <v>3.5728587962582541</v>
      </c>
      <c r="I35" s="430">
        <f t="shared" ref="I35" si="78">+I34+G34</f>
        <v>2.3431297214095945</v>
      </c>
      <c r="J35" s="430">
        <f t="shared" ref="J35:L35" si="79">+J34+H34</f>
        <v>1.9583730129318877</v>
      </c>
      <c r="K35" s="430">
        <f t="shared" si="79"/>
        <v>1.3516731100626824</v>
      </c>
      <c r="L35" s="430">
        <f t="shared" si="79"/>
        <v>1.8858222909364555</v>
      </c>
      <c r="M35" s="430">
        <f t="shared" ref="M35" si="80">+M34+K34</f>
        <v>1.0845964375748731</v>
      </c>
      <c r="N35" s="430">
        <f t="shared" ref="N35" si="81">+N34+L34</f>
        <v>0.82318752874834455</v>
      </c>
      <c r="O35" s="430"/>
      <c r="P35" s="430"/>
      <c r="Q35" s="430"/>
      <c r="R35" s="430"/>
      <c r="S35" s="430">
        <f>+S34+R34</f>
        <v>11.408464077047807</v>
      </c>
      <c r="T35" s="430">
        <f t="shared" ref="T35" si="82">+T34+S34</f>
        <v>6.281898697747307</v>
      </c>
      <c r="U35" s="430">
        <f t="shared" ref="U35" si="83">+U34+T34</f>
        <v>4.7581705246497954</v>
      </c>
      <c r="V35" s="430">
        <f t="shared" ref="V35" si="84">+V34+U34</f>
        <v>2.031561533154937</v>
      </c>
      <c r="W35" s="430">
        <f t="shared" ref="W35" si="85">+W34+V34</f>
        <v>1.5753749466400127</v>
      </c>
      <c r="X35" s="430">
        <f t="shared" ref="X35" si="86">+X34+W34</f>
        <v>0.94216402532599397</v>
      </c>
      <c r="Y35" s="437"/>
      <c r="AG35" s="428" t="s">
        <v>132</v>
      </c>
      <c r="AI35" s="422"/>
    </row>
    <row r="36" spans="1:35" s="438" customFormat="1">
      <c r="A36" s="429" t="s">
        <v>134</v>
      </c>
      <c r="B36" s="437"/>
      <c r="C36" s="430"/>
      <c r="D36" s="430">
        <f>+D33/C33-1</f>
        <v>1.172322568623172</v>
      </c>
      <c r="E36" s="430">
        <f t="shared" ref="E36:I36" si="87">+E33/D33-1</f>
        <v>1.8149257003293999</v>
      </c>
      <c r="F36" s="430">
        <f t="shared" si="87"/>
        <v>0.36555898356067429</v>
      </c>
      <c r="G36" s="430">
        <f t="shared" si="87"/>
        <v>1.0792929083106095</v>
      </c>
      <c r="H36" s="430">
        <f t="shared" si="87"/>
        <v>-0.16850977983552529</v>
      </c>
      <c r="I36" s="430">
        <f t="shared" si="87"/>
        <v>0.80847901099136377</v>
      </c>
      <c r="J36" s="430">
        <f t="shared" ref="J36:L36" si="88">+J33/I33-1</f>
        <v>0.23278251020017771</v>
      </c>
      <c r="K36" s="430">
        <f t="shared" si="88"/>
        <v>0.49899960760359541</v>
      </c>
      <c r="L36" s="430">
        <f t="shared" si="88"/>
        <v>0.10497760487753616</v>
      </c>
      <c r="M36" s="430">
        <f t="shared" ref="M36" si="89">+M33/L33-1</f>
        <v>0.11916832799637511</v>
      </c>
      <c r="N36" s="430">
        <f t="shared" ref="N36" si="90">+N33/M33-1</f>
        <v>4.2583589472285688E-2</v>
      </c>
      <c r="O36" s="430"/>
      <c r="P36" s="430"/>
      <c r="Q36" s="430"/>
      <c r="R36" s="430">
        <f t="shared" ref="R36:V36" si="91">+R33/Q33-1</f>
        <v>8.6863852921093763</v>
      </c>
      <c r="S36" s="430">
        <f t="shared" si="91"/>
        <v>2.72207878493843</v>
      </c>
      <c r="T36" s="430">
        <f t="shared" si="91"/>
        <v>3.5598199128088766</v>
      </c>
      <c r="U36" s="430">
        <f t="shared" si="91"/>
        <v>1.1983506118409184</v>
      </c>
      <c r="V36" s="430">
        <f t="shared" si="91"/>
        <v>0.83321092131401864</v>
      </c>
      <c r="W36" s="430">
        <f t="shared" ref="W36" si="92">+W33/V33-1</f>
        <v>0.74216402532599401</v>
      </c>
      <c r="X36" s="430">
        <f t="shared" ref="X36" si="93">+X33/W33-1</f>
        <v>0.19999999999999996</v>
      </c>
      <c r="Y36" s="437"/>
      <c r="AA36" s="445"/>
      <c r="AG36" s="402">
        <v>238.9</v>
      </c>
    </row>
    <row r="37" spans="1:35" s="438" customFormat="1" hidden="1" outlineLevel="1">
      <c r="A37" s="429" t="s">
        <v>135</v>
      </c>
      <c r="B37" s="437"/>
      <c r="C37" s="430"/>
      <c r="D37" s="430"/>
      <c r="E37" s="430"/>
      <c r="F37" s="430"/>
      <c r="G37" s="446">
        <f>+Historical!G37</f>
        <v>1.82</v>
      </c>
      <c r="H37" s="430"/>
      <c r="I37" s="430"/>
      <c r="J37" s="430"/>
      <c r="K37" s="430"/>
      <c r="L37" s="430"/>
      <c r="M37" s="430"/>
      <c r="N37" s="430"/>
      <c r="O37" s="430"/>
      <c r="P37" s="430"/>
      <c r="Q37" s="430"/>
      <c r="R37" s="430"/>
      <c r="S37" s="430"/>
      <c r="T37" s="430">
        <f>+'Detailed Disclosures - USD'!AM20</f>
        <v>3.52</v>
      </c>
      <c r="U37" s="430"/>
      <c r="V37" s="430"/>
      <c r="W37" s="430"/>
      <c r="X37" s="430"/>
      <c r="Y37" s="437"/>
      <c r="AD37" s="438" t="s">
        <v>136</v>
      </c>
      <c r="AG37" s="441">
        <v>433.1</v>
      </c>
    </row>
    <row r="38" spans="1:35" s="438" customFormat="1" collapsed="1">
      <c r="A38" s="429" t="s">
        <v>137</v>
      </c>
      <c r="B38" s="437"/>
      <c r="C38" s="430">
        <f t="shared" ref="C38:I38" si="94">+C33/C27</f>
        <v>0.7641554002402533</v>
      </c>
      <c r="D38" s="430">
        <f t="shared" si="94"/>
        <v>0.81027125485387297</v>
      </c>
      <c r="E38" s="430">
        <f t="shared" si="94"/>
        <v>0.76854157738038797</v>
      </c>
      <c r="F38" s="430">
        <f t="shared" si="94"/>
        <v>0.72336935668274749</v>
      </c>
      <c r="G38" s="430">
        <f t="shared" si="94"/>
        <v>0.73787325762491895</v>
      </c>
      <c r="H38" s="430">
        <f t="shared" si="94"/>
        <v>0.71935367240089754</v>
      </c>
      <c r="I38" s="430">
        <f t="shared" si="94"/>
        <v>0.77371247961612866</v>
      </c>
      <c r="J38" s="430">
        <f t="shared" ref="J38" si="95">+J33/J27</f>
        <v>0.77062224857505834</v>
      </c>
      <c r="K38" s="430">
        <f t="shared" ref="K38:L38" si="96">+K33/K27</f>
        <v>0.76926951591845982</v>
      </c>
      <c r="L38" s="430">
        <f t="shared" si="96"/>
        <v>0.74932505301401342</v>
      </c>
      <c r="M38" s="430">
        <f t="shared" ref="M38:N38" si="97">+M33/M27</f>
        <v>0.76918056621920083</v>
      </c>
      <c r="N38" s="430">
        <f t="shared" si="97"/>
        <v>0.74927497698989609</v>
      </c>
      <c r="Q38" s="430">
        <f>+Q33/Q27</f>
        <v>0.93793103448275883</v>
      </c>
      <c r="R38" s="430">
        <f>+R33/R27</f>
        <v>0.78520352035203522</v>
      </c>
      <c r="S38" s="430">
        <f>+S33/S27</f>
        <v>0.79514478969592262</v>
      </c>
      <c r="T38" s="430">
        <f>+T33/T27</f>
        <v>0.7418007236168791</v>
      </c>
      <c r="U38" s="430">
        <f>+U33/U27</f>
        <v>0.72934860891786346</v>
      </c>
      <c r="V38" s="430">
        <f t="shared" ref="V38:W38" si="98">+V33/V27</f>
        <v>0.77200321791894955</v>
      </c>
      <c r="W38" s="430">
        <f t="shared" si="98"/>
        <v>0.75866939899255681</v>
      </c>
      <c r="X38" s="430">
        <f t="shared" ref="X38" si="99">+X33/X27</f>
        <v>0.75888989682017483</v>
      </c>
      <c r="Y38" s="437"/>
      <c r="AB38" s="422">
        <f>SUM(D33:E33)</f>
        <v>39.699961617967261</v>
      </c>
      <c r="AC38" s="422"/>
      <c r="AD38" s="422">
        <f>SUM(F33:G33)</f>
        <v>123.17778903464838</v>
      </c>
      <c r="AE38" s="422"/>
      <c r="AF38" s="422"/>
      <c r="AG38" s="422">
        <f>+AVERAGE(AG36:AG37)</f>
        <v>336</v>
      </c>
      <c r="AH38" s="422"/>
    </row>
    <row r="39" spans="1:35" s="441" customFormat="1">
      <c r="A39" s="443"/>
      <c r="B39" s="439"/>
      <c r="C39" s="439"/>
      <c r="D39" s="439"/>
      <c r="E39" s="439"/>
      <c r="F39" s="439"/>
      <c r="G39" s="439"/>
      <c r="H39" s="439"/>
      <c r="I39" s="439"/>
      <c r="J39" s="439"/>
      <c r="K39" s="439"/>
      <c r="L39" s="439"/>
      <c r="M39" s="439"/>
      <c r="N39" s="439"/>
      <c r="O39" s="440"/>
      <c r="P39" s="440"/>
      <c r="Q39" s="440"/>
      <c r="R39" s="440"/>
      <c r="S39" s="440"/>
      <c r="T39" s="444"/>
      <c r="U39" s="444"/>
      <c r="V39" s="444"/>
      <c r="W39" s="444"/>
      <c r="X39" s="444"/>
      <c r="Y39" s="440"/>
    </row>
    <row r="40" spans="1:35" s="422" customFormat="1">
      <c r="A40" s="449" t="s">
        <v>26</v>
      </c>
      <c r="B40" s="423"/>
      <c r="C40" s="423">
        <f>+Historical!C40/'Historical - USD'!C$181</f>
        <v>1.5271642906150042</v>
      </c>
      <c r="D40" s="423">
        <f>+Historical!D40/'Historical - USD'!D$181</f>
        <v>2.745095627198689</v>
      </c>
      <c r="E40" s="423">
        <f>+Historical!E40/'Historical - USD'!E$181</f>
        <v>8.2005924721832937</v>
      </c>
      <c r="F40" s="423">
        <f>+Historical!F40/'Historical - USD'!F$181</f>
        <v>8.196010295111213</v>
      </c>
      <c r="G40" s="423">
        <f>+Historical!G40/'Historical - USD'!G$181</f>
        <v>18.07704545102176</v>
      </c>
      <c r="H40" s="423">
        <f>+Historical!H40/'Historical - USD'!H$181</f>
        <v>9.0938102655967104</v>
      </c>
      <c r="I40" s="423">
        <f>I44*I33</f>
        <v>31.337503599706135</v>
      </c>
      <c r="J40" s="423">
        <f t="shared" ref="J40:K40" si="100">J44*J33</f>
        <v>32.787752162214524</v>
      </c>
      <c r="K40" s="423">
        <f t="shared" si="100"/>
        <v>53.616905058441752</v>
      </c>
      <c r="L40" s="423">
        <f t="shared" ref="L40" si="101">L44*L33</f>
        <v>47.935251907467183</v>
      </c>
      <c r="M40" s="423">
        <f t="shared" ref="M40" si="102">+M44*M33</f>
        <v>62.882130124067984</v>
      </c>
      <c r="N40" s="423">
        <f t="shared" ref="N40" si="103">+N44*N33</f>
        <v>59.59988812583105</v>
      </c>
      <c r="O40" s="423"/>
      <c r="P40" s="423"/>
      <c r="Q40" s="423">
        <f>+Historical!Q40/'Historical - USD'!Q$181</f>
        <v>0.21772943638719156</v>
      </c>
      <c r="R40" s="423">
        <f>+Historical!R40/'Historical - USD'!R$181</f>
        <v>1.0461156178198256</v>
      </c>
      <c r="S40" s="423">
        <f>+SUM(C40:D40)</f>
        <v>4.2722599178136935</v>
      </c>
      <c r="T40" s="423">
        <f>SUM(E40:F40)</f>
        <v>16.396602767294507</v>
      </c>
      <c r="U40" s="423">
        <f>SUM(G40:H40)</f>
        <v>27.170855716618469</v>
      </c>
      <c r="V40" s="423">
        <f>+SUM(I40:J40)</f>
        <v>64.125255761920656</v>
      </c>
      <c r="W40" s="423">
        <f>SUM(K40:L40)</f>
        <v>101.55215696590894</v>
      </c>
      <c r="X40" s="423">
        <f>+SUM(M40:N40)</f>
        <v>122.48201824989903</v>
      </c>
      <c r="Y40" s="424"/>
      <c r="AB40" s="422">
        <f>SUM(D40:E40)</f>
        <v>10.945688099381982</v>
      </c>
      <c r="AD40" s="422">
        <f>SUM(F40:G40)</f>
        <v>26.273055746132975</v>
      </c>
      <c r="AG40" s="422">
        <f>+AG38*0.2</f>
        <v>67.2</v>
      </c>
    </row>
    <row r="41" spans="1:35" s="438" customFormat="1" hidden="1" outlineLevel="1">
      <c r="A41" s="429" t="s">
        <v>25</v>
      </c>
      <c r="B41" s="437"/>
      <c r="C41" s="430"/>
      <c r="D41" s="430"/>
      <c r="E41" s="430">
        <f>+E40/C40-1</f>
        <v>4.369816805290041</v>
      </c>
      <c r="F41" s="430">
        <f t="shared" ref="F41" si="104">+F40/D40-1</f>
        <v>1.9856920880658229</v>
      </c>
      <c r="G41" s="430">
        <f t="shared" ref="G41" si="105">+G40/E40-1</f>
        <v>1.204358467066831</v>
      </c>
      <c r="H41" s="430">
        <f t="shared" ref="H41" si="106">+H40/F40-1</f>
        <v>0.10954109843188231</v>
      </c>
      <c r="I41" s="430">
        <f t="shared" ref="I41" si="107">+I40/G40-1</f>
        <v>0.73355229341058381</v>
      </c>
      <c r="J41" s="430">
        <f t="shared" ref="J41" si="108">+J40/H40-1</f>
        <v>2.6055021167810875</v>
      </c>
      <c r="K41" s="430">
        <f t="shared" ref="K41" si="109">+K40/I40-1</f>
        <v>0.71095010449219509</v>
      </c>
      <c r="L41" s="430">
        <f t="shared" ref="L41" si="110">+L40/J40-1</f>
        <v>0.46198652686868358</v>
      </c>
      <c r="M41" s="430">
        <f t="shared" ref="M41" si="111">+M40/K40-1</f>
        <v>0.17280417539071413</v>
      </c>
      <c r="N41" s="430">
        <f t="shared" ref="N41" si="112">+N40/L40-1</f>
        <v>0.24334150242666808</v>
      </c>
      <c r="O41" s="430"/>
      <c r="P41" s="430"/>
      <c r="Q41" s="430"/>
      <c r="R41" s="430">
        <f>+R40/Q40-1</f>
        <v>3.8046586404582543</v>
      </c>
      <c r="S41" s="430">
        <f>+S40/R40-1</f>
        <v>3.0839270966218502</v>
      </c>
      <c r="T41" s="430">
        <f>+T40/S40-1</f>
        <v>2.8379225708920308</v>
      </c>
      <c r="U41" s="430">
        <f t="shared" ref="U41" si="113">+U40/T40-1</f>
        <v>0.65710276099478548</v>
      </c>
      <c r="V41" s="430">
        <f t="shared" ref="V41" si="114">+V40/U40-1</f>
        <v>1.3600749431936303</v>
      </c>
      <c r="W41" s="430">
        <f t="shared" ref="W41:X41" si="115">+W40/V40-1</f>
        <v>0.58365305150507329</v>
      </c>
      <c r="X41" s="430">
        <f t="shared" si="115"/>
        <v>0.20609962318196984</v>
      </c>
      <c r="Y41" s="437"/>
      <c r="AD41" s="450">
        <f>+AD40/AB40-1</f>
        <v>1.4003110181457123</v>
      </c>
    </row>
    <row r="42" spans="1:35" s="438" customFormat="1" hidden="1" outlineLevel="1">
      <c r="A42" s="429" t="s">
        <v>133</v>
      </c>
      <c r="B42" s="437"/>
      <c r="C42" s="430"/>
      <c r="D42" s="430"/>
      <c r="E42" s="430"/>
      <c r="F42" s="430"/>
      <c r="G42" s="430">
        <f>+G41+E41</f>
        <v>5.5741752723568716</v>
      </c>
      <c r="H42" s="430">
        <f t="shared" ref="H42" si="116">+H41+F41</f>
        <v>2.0952331864977052</v>
      </c>
      <c r="I42" s="430">
        <f t="shared" ref="I42" si="117">+I41+G41</f>
        <v>1.9379107604774148</v>
      </c>
      <c r="J42" s="430">
        <f t="shared" ref="J42" si="118">+J41+H41</f>
        <v>2.7150432152129698</v>
      </c>
      <c r="K42" s="430">
        <f t="shared" ref="K42" si="119">+K41+I41</f>
        <v>1.4445023979027789</v>
      </c>
      <c r="L42" s="430">
        <f t="shared" ref="L42" si="120">+L41+J41</f>
        <v>3.0674886436497708</v>
      </c>
      <c r="M42" s="430">
        <f t="shared" ref="M42" si="121">+M41+K41</f>
        <v>0.88375427988290922</v>
      </c>
      <c r="N42" s="430">
        <f t="shared" ref="N42" si="122">+N41+L41</f>
        <v>0.70532802929535166</v>
      </c>
      <c r="O42" s="430"/>
      <c r="P42" s="430"/>
      <c r="Q42" s="430"/>
      <c r="R42" s="430"/>
      <c r="S42" s="430">
        <f>+S41+R41</f>
        <v>6.8885857370801045</v>
      </c>
      <c r="T42" s="430">
        <f t="shared" ref="T42" si="123">+T41+S41</f>
        <v>5.9218496675138805</v>
      </c>
      <c r="U42" s="430">
        <f t="shared" ref="U42" si="124">+U41+T41</f>
        <v>3.4950253318868163</v>
      </c>
      <c r="V42" s="430">
        <f t="shared" ref="V42" si="125">+V41+U41</f>
        <v>2.0171777041884158</v>
      </c>
      <c r="W42" s="430">
        <f t="shared" ref="W42:X42" si="126">+W41+V41</f>
        <v>1.9437279946987036</v>
      </c>
      <c r="X42" s="430">
        <f t="shared" si="126"/>
        <v>0.78975267468704313</v>
      </c>
      <c r="Y42" s="437"/>
      <c r="AG42" s="428"/>
    </row>
    <row r="43" spans="1:35" s="438" customFormat="1" hidden="1" outlineLevel="1">
      <c r="A43" s="429" t="s">
        <v>134</v>
      </c>
      <c r="B43" s="437"/>
      <c r="C43" s="430"/>
      <c r="D43" s="430">
        <f>+D40/C40-1</f>
        <v>0.79751166529254802</v>
      </c>
      <c r="E43" s="430">
        <f t="shared" ref="E43:I43" si="127">+E40/D40-1</f>
        <v>1.9873613111801944</v>
      </c>
      <c r="F43" s="430">
        <f t="shared" si="127"/>
        <v>-5.5876170991586704E-4</v>
      </c>
      <c r="G43" s="430">
        <f t="shared" si="127"/>
        <v>1.2055908667909341</v>
      </c>
      <c r="H43" s="430">
        <f t="shared" si="127"/>
        <v>-0.49694156104018061</v>
      </c>
      <c r="I43" s="430">
        <f t="shared" si="127"/>
        <v>2.446025668499018</v>
      </c>
      <c r="J43" s="430">
        <f t="shared" ref="J43" si="128">+J40/I40-1</f>
        <v>4.6278369235575934E-2</v>
      </c>
      <c r="K43" s="430">
        <f t="shared" ref="K43" si="129">+K40/J40-1</f>
        <v>0.63527236613162197</v>
      </c>
      <c r="L43" s="430">
        <f t="shared" ref="L43" si="130">+L40/K40-1</f>
        <v>-0.10596757020536041</v>
      </c>
      <c r="M43" s="430">
        <f t="shared" ref="M43" si="131">+M40/L40-1</f>
        <v>0.31181390775736029</v>
      </c>
      <c r="N43" s="430">
        <f t="shared" ref="N43" si="132">+N40/M40-1</f>
        <v>-5.2196736843376446E-2</v>
      </c>
      <c r="O43" s="430"/>
      <c r="P43" s="430"/>
      <c r="Q43" s="430"/>
      <c r="R43" s="430">
        <f t="shared" ref="R43:V43" si="133">+R40/Q40-1</f>
        <v>3.8046586404582543</v>
      </c>
      <c r="S43" s="430">
        <f t="shared" si="133"/>
        <v>3.0839270966218502</v>
      </c>
      <c r="T43" s="430">
        <f t="shared" si="133"/>
        <v>2.8379225708920308</v>
      </c>
      <c r="U43" s="430">
        <f t="shared" si="133"/>
        <v>0.65710276099478548</v>
      </c>
      <c r="V43" s="430">
        <f t="shared" si="133"/>
        <v>1.3600749431936303</v>
      </c>
      <c r="W43" s="430">
        <f t="shared" ref="W43:X43" si="134">+W40/V40-1</f>
        <v>0.58365305150507329</v>
      </c>
      <c r="X43" s="430">
        <f t="shared" si="134"/>
        <v>0.20609962318196984</v>
      </c>
      <c r="Y43" s="437"/>
      <c r="AA43" s="445"/>
    </row>
    <row r="44" spans="1:35" s="438" customFormat="1" collapsed="1">
      <c r="A44" s="429" t="s">
        <v>27</v>
      </c>
      <c r="B44" s="437"/>
      <c r="C44" s="430">
        <f t="shared" ref="C44:H44" si="135">+C40/C33</f>
        <v>0.31879101451102143</v>
      </c>
      <c r="D44" s="430">
        <f t="shared" si="135"/>
        <v>0.26378705246210116</v>
      </c>
      <c r="E44" s="430">
        <f t="shared" si="135"/>
        <v>0.27994601591911539</v>
      </c>
      <c r="F44" s="430">
        <f t="shared" si="135"/>
        <v>0.20489015573317026</v>
      </c>
      <c r="G44" s="430">
        <f t="shared" si="135"/>
        <v>0.21733535202003687</v>
      </c>
      <c r="H44" s="430">
        <f t="shared" si="135"/>
        <v>0.13148967993436633</v>
      </c>
      <c r="I44" s="430">
        <f>Historical!I44</f>
        <v>0.25055132486616977</v>
      </c>
      <c r="J44" s="430">
        <f>Historical!J44</f>
        <v>0.21264613135063218</v>
      </c>
      <c r="K44" s="430">
        <f>Historical!K44</f>
        <v>0.2319776073313296</v>
      </c>
      <c r="L44" s="430">
        <f>Historical!L44</f>
        <v>0.18769204282955665</v>
      </c>
      <c r="M44" s="444">
        <v>0.22</v>
      </c>
      <c r="N44" s="444">
        <v>0.2</v>
      </c>
      <c r="Q44" s="430">
        <f t="shared" ref="Q44:V44" si="136">+Q40/Q33</f>
        <v>0.51654411764705888</v>
      </c>
      <c r="R44" s="430">
        <f t="shared" si="136"/>
        <v>0.25621716287215412</v>
      </c>
      <c r="S44" s="430">
        <f t="shared" si="136"/>
        <v>0.28112575647440868</v>
      </c>
      <c r="T44" s="430">
        <f t="shared" si="136"/>
        <v>0.23661874956978218</v>
      </c>
      <c r="U44" s="430">
        <f t="shared" si="136"/>
        <v>0.17836171405200482</v>
      </c>
      <c r="V44" s="430">
        <f t="shared" si="136"/>
        <v>0.22962279313581394</v>
      </c>
      <c r="W44" s="430">
        <f t="shared" ref="W44:X44" si="137">+W40/W33</f>
        <v>0.20873053958085552</v>
      </c>
      <c r="X44" s="430">
        <f t="shared" si="137"/>
        <v>0.20979152094586595</v>
      </c>
      <c r="Y44" s="437"/>
    </row>
    <row r="45" spans="1:35" s="438" customFormat="1" hidden="1" outlineLevel="1">
      <c r="A45" s="435"/>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row>
    <row r="46" spans="1:35" s="438" customFormat="1" hidden="1" outlineLevel="1">
      <c r="A46" s="408" t="s">
        <v>138</v>
      </c>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row>
    <row r="47" spans="1:35" s="422" customFormat="1" hidden="1" outlineLevel="1">
      <c r="A47" s="401" t="str">
        <f>+'Detailed Disclosure'!A45</f>
        <v>Advertising and Marketing Expense</v>
      </c>
      <c r="C47" s="423">
        <f>+Historical!C47/'Historical - USD'!C$181</f>
        <v>0.40074473927428073</v>
      </c>
      <c r="D47" s="423">
        <f>+Historical!D47/'Historical - USD'!D$181</f>
        <v>0.88563812699407463</v>
      </c>
      <c r="E47" s="423">
        <f>+Historical!E47/'Historical - USD'!E$181</f>
        <v>2.7933793113201237</v>
      </c>
      <c r="F47" s="423">
        <f>+Historical!F47/'Historical - USD'!F$181</f>
        <v>6.0702505620820757</v>
      </c>
      <c r="G47" s="423">
        <f>+Historical!G47/'Historical - USD'!G$181</f>
        <v>18.92809928007166</v>
      </c>
      <c r="H47" s="423"/>
      <c r="I47" s="423"/>
      <c r="J47" s="423"/>
      <c r="K47" s="423"/>
      <c r="L47" s="423"/>
      <c r="M47" s="423"/>
      <c r="N47" s="423"/>
      <c r="O47" s="423"/>
      <c r="P47" s="423"/>
      <c r="Q47" s="423">
        <f>+Historical!Q47/'Historical - USD'!Q$181</f>
        <v>3.1768351928380262E-2</v>
      </c>
      <c r="R47" s="423">
        <f>+Historical!R47/'Historical - USD'!R$181</f>
        <v>0.2938848386356448</v>
      </c>
      <c r="S47" s="423">
        <f>SUM(C47:D47)</f>
        <v>1.2863828662683554</v>
      </c>
      <c r="T47" s="423">
        <f t="shared" ref="T47:T51" si="138">SUM(E47:F47)</f>
        <v>8.8636298734021999</v>
      </c>
      <c r="U47" s="423"/>
      <c r="V47" s="423"/>
      <c r="W47" s="423"/>
      <c r="X47" s="423"/>
      <c r="Y47" s="424"/>
    </row>
    <row r="48" spans="1:35" s="422" customFormat="1" hidden="1" outlineLevel="1">
      <c r="A48" s="401" t="str">
        <f>+'Detailed Disclosure'!A46</f>
        <v>Merchant Fees</v>
      </c>
      <c r="C48" s="423">
        <f>+Historical!C48/'Historical - USD'!C$181</f>
        <v>0.39994921961622976</v>
      </c>
      <c r="D48" s="423">
        <f>+Historical!D48/'Historical - USD'!D$181</f>
        <v>0.18131026478521448</v>
      </c>
      <c r="E48" s="423">
        <f>+Historical!E48/'Historical - USD'!E$181</f>
        <v>1.2849447397971068</v>
      </c>
      <c r="F48" s="423">
        <f>+Historical!F48/'Historical - USD'!F$181</f>
        <v>2.0683414425935145</v>
      </c>
      <c r="G48" s="423">
        <f>+Historical!G48/'Historical - USD'!G$181</f>
        <v>3.9359252664299778</v>
      </c>
      <c r="H48" s="423"/>
      <c r="I48" s="423"/>
      <c r="J48" s="423"/>
      <c r="K48" s="423"/>
      <c r="L48" s="423"/>
      <c r="M48" s="423"/>
      <c r="N48" s="423"/>
      <c r="O48" s="423"/>
      <c r="P48" s="423"/>
      <c r="Q48" s="423">
        <f>+Historical!Q48/'Historical - USD'!Q$181</f>
        <v>1.1622567778675704E-2</v>
      </c>
      <c r="R48" s="423">
        <f>+Historical!R48/'Historical - USD'!R$181</f>
        <v>0.1801921638349939</v>
      </c>
      <c r="S48" s="423">
        <f t="shared" ref="S48:S51" si="139">SUM(C48:D48)</f>
        <v>0.58125948440144426</v>
      </c>
      <c r="T48" s="423">
        <f t="shared" si="138"/>
        <v>3.3532861823906215</v>
      </c>
      <c r="U48" s="423"/>
      <c r="V48" s="423"/>
      <c r="W48" s="423"/>
      <c r="X48" s="423"/>
      <c r="Y48" s="424"/>
    </row>
    <row r="49" spans="1:37" s="422" customFormat="1" hidden="1" outlineLevel="1">
      <c r="A49" s="401" t="str">
        <f>+'Detailed Disclosure'!A47</f>
        <v>Employee Benefits Expense</v>
      </c>
      <c r="C49" s="423">
        <f>+Historical!C49/'Historical - USD'!C$181</f>
        <v>9.249661786570576E-2</v>
      </c>
      <c r="D49" s="423">
        <f>+Historical!D49/'Historical - USD'!D$181</f>
        <v>0.14134092606139986</v>
      </c>
      <c r="E49" s="423">
        <f>+Historical!E49/'Historical - USD'!E$181</f>
        <v>0.38977832869828105</v>
      </c>
      <c r="F49" s="423">
        <f>+Historical!F49/'Historical - USD'!F$181</f>
        <v>1.0223655454560199</v>
      </c>
      <c r="G49" s="423">
        <f>+Historical!G49/'Historical - USD'!G$181</f>
        <v>1.0099050286059168</v>
      </c>
      <c r="H49" s="423"/>
      <c r="I49" s="423"/>
      <c r="J49" s="423"/>
      <c r="K49" s="423"/>
      <c r="L49" s="423"/>
      <c r="M49" s="423"/>
      <c r="N49" s="423"/>
      <c r="O49" s="423"/>
      <c r="P49" s="423"/>
      <c r="Q49" s="423">
        <f>+Historical!Q49/'Historical - USD'!Q$181</f>
        <v>8.5232163710288484E-3</v>
      </c>
      <c r="R49" s="423">
        <f>+Historical!R49/'Historical - USD'!R$181</f>
        <v>0.109402385185532</v>
      </c>
      <c r="S49" s="423">
        <f t="shared" si="139"/>
        <v>0.23383754392710562</v>
      </c>
      <c r="T49" s="423">
        <f t="shared" si="138"/>
        <v>1.4121438741543009</v>
      </c>
      <c r="U49" s="423"/>
      <c r="V49" s="423"/>
      <c r="W49" s="423"/>
      <c r="X49" s="423"/>
      <c r="Y49" s="424"/>
    </row>
    <row r="50" spans="1:37" s="419" customFormat="1" ht="21.5" hidden="1" outlineLevel="1">
      <c r="A50" s="401" t="str">
        <f>+'Detailed Disclosure'!A48</f>
        <v>General and Administrative Expense</v>
      </c>
      <c r="C50" s="420">
        <f>+Historical!C50/'Historical - USD'!C$181</f>
        <v>0.1466275544601755</v>
      </c>
      <c r="D50" s="420">
        <f>+Historical!D50/'Historical - USD'!D$181</f>
        <v>0.64755709599063516</v>
      </c>
      <c r="E50" s="420">
        <f>+Historical!E50/'Historical - USD'!E$181</f>
        <v>0.89443348692282831</v>
      </c>
      <c r="F50" s="420">
        <f>+Historical!F50/'Historical - USD'!F$181</f>
        <v>1.6478432534391627</v>
      </c>
      <c r="G50" s="420">
        <f>+Historical!G50/'Historical - USD'!G$181</f>
        <v>2.8538748638878624</v>
      </c>
      <c r="H50" s="420"/>
      <c r="I50" s="420"/>
      <c r="J50" s="420"/>
      <c r="K50" s="420"/>
      <c r="L50" s="420"/>
      <c r="M50" s="420"/>
      <c r="N50" s="420"/>
      <c r="O50" s="420"/>
      <c r="P50" s="420"/>
      <c r="Q50" s="420">
        <f>+Historical!Q50/'Historical - USD'!Q$181</f>
        <v>2.4794811261174835E-2</v>
      </c>
      <c r="R50" s="420">
        <f>+Historical!R50/'Historical - USD'!R$181</f>
        <v>0.12870868845356706</v>
      </c>
      <c r="S50" s="420">
        <f t="shared" si="139"/>
        <v>0.79418465045081066</v>
      </c>
      <c r="T50" s="420">
        <f t="shared" si="138"/>
        <v>2.542276740361991</v>
      </c>
      <c r="U50" s="420"/>
      <c r="V50" s="420"/>
      <c r="W50" s="420"/>
      <c r="X50" s="420"/>
      <c r="Y50" s="421"/>
    </row>
    <row r="51" spans="1:37" s="438" customFormat="1" hidden="1" outlineLevel="1">
      <c r="A51" s="451" t="s">
        <v>139</v>
      </c>
      <c r="C51" s="452">
        <f>+Historical!C51/'Historical - USD'!C$181</f>
        <v>1.0398181312163917</v>
      </c>
      <c r="D51" s="452">
        <f>+Historical!D51/'Historical - USD'!D$181</f>
        <v>1.8558464138313242</v>
      </c>
      <c r="E51" s="452">
        <f>+Historical!E51/'Historical - USD'!E$181</f>
        <v>5.3625358667383409</v>
      </c>
      <c r="F51" s="452">
        <f>+Historical!F51/'Historical - USD'!F$181</f>
        <v>10.808800803570774</v>
      </c>
      <c r="G51" s="452">
        <f>+Historical!G51/'Historical - USD'!G$181</f>
        <v>26.727804438995413</v>
      </c>
      <c r="H51" s="452"/>
      <c r="I51" s="452"/>
      <c r="J51" s="452"/>
      <c r="K51" s="452"/>
      <c r="L51" s="452"/>
      <c r="M51" s="452"/>
      <c r="N51" s="452"/>
      <c r="O51" s="452"/>
      <c r="P51" s="452"/>
      <c r="Q51" s="452">
        <f>+Historical!Q51/'Historical - USD'!Q$181</f>
        <v>7.6708947339259648E-2</v>
      </c>
      <c r="R51" s="452">
        <f>+Historical!R51/'Historical - USD'!R$181</f>
        <v>0.71218807610973778</v>
      </c>
      <c r="S51" s="452">
        <f t="shared" si="139"/>
        <v>2.8956645450477159</v>
      </c>
      <c r="T51" s="452">
        <f t="shared" si="138"/>
        <v>16.171336670309117</v>
      </c>
      <c r="U51" s="452"/>
      <c r="V51" s="452"/>
      <c r="W51" s="452"/>
      <c r="X51" s="452"/>
      <c r="Y51" s="430"/>
    </row>
    <row r="52" spans="1:37" s="438" customFormat="1" hidden="1" outlineLevel="1">
      <c r="A52" s="435"/>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row>
    <row r="53" spans="1:37" s="438" customFormat="1" hidden="1" outlineLevel="1">
      <c r="A53" s="426" t="s">
        <v>32</v>
      </c>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row>
    <row r="54" spans="1:37" s="438" customFormat="1" hidden="1" outlineLevel="1">
      <c r="A54" s="429" t="str">
        <f>+A47</f>
        <v>Advertising and Marketing Expense</v>
      </c>
      <c r="B54" s="430"/>
      <c r="C54" s="430">
        <f>+C47/C$33</f>
        <v>8.3654275298537126E-2</v>
      </c>
      <c r="D54" s="430">
        <f t="shared" ref="D54:E54" si="140">+D47/D$33</f>
        <v>8.5104456381443816E-2</v>
      </c>
      <c r="E54" s="430">
        <f t="shared" si="140"/>
        <v>9.5358403896731558E-2</v>
      </c>
      <c r="F54" s="430">
        <f t="shared" ref="F54:G54" si="141">+F47/F$33</f>
        <v>0.15174878242237302</v>
      </c>
      <c r="G54" s="430">
        <f t="shared" si="141"/>
        <v>0.22756733843760188</v>
      </c>
      <c r="H54" s="430"/>
      <c r="I54" s="430"/>
      <c r="J54" s="430"/>
      <c r="K54" s="430"/>
      <c r="L54" s="430"/>
      <c r="M54" s="430"/>
      <c r="N54" s="430"/>
      <c r="O54" s="430"/>
      <c r="P54" s="430"/>
      <c r="Q54" s="430">
        <f t="shared" ref="Q54:S58" si="142">+Q47/Q$33</f>
        <v>7.5367647058823525E-2</v>
      </c>
      <c r="R54" s="430">
        <f t="shared" si="142"/>
        <v>7.1978984238178639E-2</v>
      </c>
      <c r="S54" s="430">
        <f t="shared" si="142"/>
        <v>8.4647320938393306E-2</v>
      </c>
      <c r="T54" s="430">
        <f t="shared" ref="T54" si="143">+T47/T$33</f>
        <v>0.12791070486120321</v>
      </c>
      <c r="U54" s="430"/>
      <c r="V54" s="430"/>
      <c r="W54" s="430"/>
      <c r="X54" s="430"/>
      <c r="Y54" s="430"/>
    </row>
    <row r="55" spans="1:37" s="438" customFormat="1" hidden="1" outlineLevel="1">
      <c r="A55" s="429" t="str">
        <f>+A48</f>
        <v>Merchant Fees</v>
      </c>
      <c r="B55" s="430"/>
      <c r="C55" s="430">
        <f t="shared" ref="C55:E58" si="144">+C48/C$33</f>
        <v>8.3488212930256239E-2</v>
      </c>
      <c r="D55" s="430">
        <f t="shared" si="144"/>
        <v>1.7422817571430674E-2</v>
      </c>
      <c r="E55" s="430">
        <f t="shared" si="144"/>
        <v>4.3864533178863754E-2</v>
      </c>
      <c r="F55" s="430">
        <f t="shared" ref="F55:G55" si="145">+F48/F$33</f>
        <v>5.1705986818383426E-2</v>
      </c>
      <c r="G55" s="430">
        <f t="shared" si="145"/>
        <v>4.7320548350768592E-2</v>
      </c>
      <c r="H55" s="430"/>
      <c r="I55" s="430"/>
      <c r="J55" s="430"/>
      <c r="K55" s="430"/>
      <c r="L55" s="430"/>
      <c r="M55" s="430"/>
      <c r="N55" s="430"/>
      <c r="O55" s="430"/>
      <c r="P55" s="430"/>
      <c r="Q55" s="430">
        <f t="shared" si="142"/>
        <v>2.7573529411764702E-2</v>
      </c>
      <c r="R55" s="430">
        <f t="shared" si="142"/>
        <v>4.4133099824868655E-2</v>
      </c>
      <c r="S55" s="430">
        <f t="shared" si="142"/>
        <v>3.8248378002222173E-2</v>
      </c>
      <c r="T55" s="430">
        <f t="shared" ref="T55" si="146">+T48/T$33</f>
        <v>4.8391145085831658E-2</v>
      </c>
      <c r="U55" s="430"/>
      <c r="V55" s="430"/>
      <c r="W55" s="430"/>
      <c r="X55" s="430"/>
      <c r="Y55" s="430"/>
    </row>
    <row r="56" spans="1:37" s="438" customFormat="1" hidden="1" outlineLevel="1">
      <c r="A56" s="429" t="str">
        <f>+A49</f>
        <v>Employee Benefits Expense</v>
      </c>
      <c r="B56" s="430"/>
      <c r="C56" s="430">
        <f t="shared" si="144"/>
        <v>1.930839453846309E-2</v>
      </c>
      <c r="D56" s="430">
        <f t="shared" si="144"/>
        <v>1.3582006363854024E-2</v>
      </c>
      <c r="E56" s="430">
        <f t="shared" si="144"/>
        <v>1.3305976437778564E-2</v>
      </c>
      <c r="F56" s="430">
        <f t="shared" ref="F56:G56" si="147">+F49/F$33</f>
        <v>2.5557878563141692E-2</v>
      </c>
      <c r="G56" s="430">
        <f t="shared" si="147"/>
        <v>1.214181075627413E-2</v>
      </c>
      <c r="H56" s="430"/>
      <c r="I56" s="430"/>
      <c r="J56" s="430"/>
      <c r="K56" s="430"/>
      <c r="L56" s="430"/>
      <c r="M56" s="430"/>
      <c r="N56" s="430"/>
      <c r="O56" s="430"/>
      <c r="P56" s="430"/>
      <c r="Q56" s="430">
        <f t="shared" si="142"/>
        <v>2.0220588235294112E-2</v>
      </c>
      <c r="R56" s="430">
        <f t="shared" si="142"/>
        <v>2.6795096322241679E-2</v>
      </c>
      <c r="S56" s="430">
        <f t="shared" si="142"/>
        <v>1.5387115412740687E-2</v>
      </c>
      <c r="T56" s="430">
        <f t="shared" ref="T56" si="148">+T49/T$33</f>
        <v>2.037859442332228E-2</v>
      </c>
      <c r="U56" s="430"/>
      <c r="V56" s="430"/>
      <c r="W56" s="430"/>
      <c r="X56" s="430"/>
      <c r="Y56" s="430"/>
    </row>
    <row r="57" spans="1:37" s="433" customFormat="1" ht="21.5" hidden="1" outlineLevel="1">
      <c r="A57" s="429" t="str">
        <f>+A50</f>
        <v>General and Administrative Expense</v>
      </c>
      <c r="B57" s="416"/>
      <c r="C57" s="416">
        <f t="shared" si="144"/>
        <v>3.0608066943999392E-2</v>
      </c>
      <c r="D57" s="416">
        <f t="shared" si="144"/>
        <v>6.2226312249312347E-2</v>
      </c>
      <c r="E57" s="416">
        <f t="shared" si="144"/>
        <v>3.0533536694821794E-2</v>
      </c>
      <c r="F57" s="416">
        <f t="shared" ref="F57:G57" si="149">+F50/F$33</f>
        <v>4.1194050356719657E-2</v>
      </c>
      <c r="G57" s="416">
        <f t="shared" si="149"/>
        <v>3.4311353580689555E-2</v>
      </c>
      <c r="H57" s="416"/>
      <c r="I57" s="416"/>
      <c r="J57" s="416"/>
      <c r="K57" s="416"/>
      <c r="L57" s="416"/>
      <c r="M57" s="416"/>
      <c r="N57" s="416"/>
      <c r="O57" s="416"/>
      <c r="P57" s="416"/>
      <c r="Q57" s="416">
        <f t="shared" si="142"/>
        <v>5.8823529411764698E-2</v>
      </c>
      <c r="R57" s="416">
        <f t="shared" si="142"/>
        <v>3.1523642732049037E-2</v>
      </c>
      <c r="S57" s="416">
        <f t="shared" si="142"/>
        <v>5.2259404842719182E-2</v>
      </c>
      <c r="T57" s="416">
        <f t="shared" ref="T57" si="150">+T50/T$33</f>
        <v>3.6687498739963305E-2</v>
      </c>
      <c r="U57" s="416"/>
      <c r="V57" s="416"/>
      <c r="W57" s="416"/>
      <c r="X57" s="416"/>
      <c r="Y57" s="416"/>
    </row>
    <row r="58" spans="1:37" s="441" customFormat="1" hidden="1" outlineLevel="1">
      <c r="A58" s="453" t="str">
        <f>+A51</f>
        <v>Total Cash Operating Expenses</v>
      </c>
      <c r="B58" s="440"/>
      <c r="C58" s="440">
        <f t="shared" si="144"/>
        <v>0.21705894971125583</v>
      </c>
      <c r="D58" s="440">
        <f t="shared" si="144"/>
        <v>0.17833559256604087</v>
      </c>
      <c r="E58" s="440">
        <f t="shared" si="144"/>
        <v>0.1830624502081957</v>
      </c>
      <c r="F58" s="440">
        <f t="shared" ref="F58:G58" si="151">+F51/F$33</f>
        <v>0.27020669816061782</v>
      </c>
      <c r="G58" s="440">
        <f t="shared" si="151"/>
        <v>0.32134105112533412</v>
      </c>
      <c r="H58" s="440"/>
      <c r="I58" s="440"/>
      <c r="J58" s="440"/>
      <c r="K58" s="440"/>
      <c r="L58" s="440"/>
      <c r="M58" s="440"/>
      <c r="N58" s="440"/>
      <c r="O58" s="440"/>
      <c r="P58" s="440"/>
      <c r="Q58" s="440">
        <f t="shared" si="142"/>
        <v>0.18198529411764705</v>
      </c>
      <c r="R58" s="440">
        <f t="shared" si="142"/>
        <v>0.17443082311733801</v>
      </c>
      <c r="S58" s="440">
        <f t="shared" si="142"/>
        <v>0.19054221919607534</v>
      </c>
      <c r="T58" s="440">
        <f t="shared" ref="T58" si="152">+T51/T$33</f>
        <v>0.2333679431103205</v>
      </c>
      <c r="U58" s="440"/>
      <c r="V58" s="440"/>
      <c r="W58" s="440"/>
      <c r="X58" s="440"/>
      <c r="Y58" s="440"/>
    </row>
    <row r="59" spans="1:37" s="438" customFormat="1" collapsed="1">
      <c r="A59" s="435"/>
      <c r="B59" s="430"/>
      <c r="C59" s="430"/>
      <c r="D59" s="430"/>
      <c r="E59" s="430"/>
      <c r="F59" s="430"/>
      <c r="G59" s="430"/>
      <c r="H59" s="430"/>
      <c r="I59" s="430"/>
      <c r="J59" s="430"/>
      <c r="K59" s="430"/>
      <c r="L59" s="430"/>
      <c r="M59" s="430"/>
      <c r="N59" s="430"/>
      <c r="O59" s="430"/>
      <c r="P59" s="430"/>
      <c r="Q59" s="430"/>
      <c r="R59" s="430"/>
      <c r="S59" s="430"/>
      <c r="T59" s="444"/>
      <c r="U59" s="444"/>
      <c r="V59" s="444"/>
      <c r="W59" s="444"/>
      <c r="X59" s="444"/>
      <c r="Y59" s="430"/>
      <c r="AC59" s="454" t="s">
        <v>140</v>
      </c>
      <c r="AD59" s="455">
        <f>+$AD$25/AD40</f>
        <v>35.892284822590398</v>
      </c>
      <c r="AF59" s="454" t="s">
        <v>141</v>
      </c>
      <c r="AG59" s="455">
        <f>+$AD$25/AG40</f>
        <v>14.032738095238095</v>
      </c>
    </row>
    <row r="60" spans="1:37" s="422" customFormat="1">
      <c r="A60" s="413" t="s">
        <v>142</v>
      </c>
      <c r="B60" s="423"/>
      <c r="C60" s="423"/>
      <c r="D60" s="423"/>
      <c r="E60" s="423"/>
      <c r="F60" s="423"/>
      <c r="G60" s="423"/>
      <c r="H60" s="423"/>
      <c r="I60" s="423"/>
      <c r="J60" s="423"/>
      <c r="K60" s="423"/>
      <c r="L60" s="423"/>
      <c r="M60" s="423"/>
      <c r="N60" s="423"/>
      <c r="O60" s="423"/>
      <c r="P60" s="423"/>
      <c r="Q60" s="423"/>
      <c r="R60" s="423"/>
      <c r="S60" s="423"/>
      <c r="T60" s="423"/>
      <c r="U60" s="423"/>
      <c r="V60" s="423"/>
      <c r="W60" s="423"/>
      <c r="X60" s="423"/>
      <c r="Y60" s="424"/>
    </row>
    <row r="61" spans="1:37" s="438" customFormat="1">
      <c r="A61" s="449" t="str">
        <f>+'Detailed Disclosures - USD'!A45</f>
        <v>Advertising and Marketing Expense</v>
      </c>
      <c r="B61" s="447"/>
      <c r="C61" s="423">
        <f>+'Detailed Disclosures - USD'!X45/-1000</f>
        <v>0.40074473927428073</v>
      </c>
      <c r="D61" s="423">
        <f>+'Detailed Disclosures - USD'!Y45/-1000</f>
        <v>0.88563812699407463</v>
      </c>
      <c r="E61" s="423">
        <f>+'Detailed Disclosures - USD'!Z45/-1000</f>
        <v>2.7933793113201242</v>
      </c>
      <c r="F61" s="423">
        <f>+'Detailed Disclosures - USD'!AA45/-1000</f>
        <v>6.0702505620820757</v>
      </c>
      <c r="G61" s="423">
        <f>+'Detailed Disclosures - USD'!AB45/-1000</f>
        <v>18.928099280071656</v>
      </c>
      <c r="H61" s="423">
        <f>+'Detailed Disclosures - USD'!AC45/-1000</f>
        <v>12.336167573866165</v>
      </c>
      <c r="I61" s="423">
        <f>+'Detailed Disclosures - USD'!AD45/-1000</f>
        <v>11.002803676485984</v>
      </c>
      <c r="J61" s="423">
        <f>+'Detailed Disclosures - USD'!AE45/-1000</f>
        <v>13.604426396943017</v>
      </c>
      <c r="K61" s="423">
        <f>+'Detailed Disclosures - USD'!AF45/-1000</f>
        <v>22.339914614182177</v>
      </c>
      <c r="L61" s="423">
        <f>+'Detailed Disclosures - USD'!AG45/-1000</f>
        <v>27.321490302250588</v>
      </c>
      <c r="M61" s="423">
        <f t="shared" ref="M61:N61" si="153">+M65-M62-M63-M64</f>
        <v>26.82640691593733</v>
      </c>
      <c r="N61" s="423">
        <f t="shared" si="153"/>
        <v>28.845714657985063</v>
      </c>
      <c r="O61" s="430"/>
      <c r="P61" s="430"/>
      <c r="Q61" s="423">
        <f>+'Detailed Disclosures - USD'!AJ45/-1000</f>
        <v>3.1768351928380262E-2</v>
      </c>
      <c r="R61" s="423">
        <f>+'Detailed Disclosures - USD'!AK45/-1000</f>
        <v>0.29386348551912628</v>
      </c>
      <c r="S61" s="423">
        <f>+'Detailed Disclosures - USD'!AL45/-1000</f>
        <v>1.2863828662683554</v>
      </c>
      <c r="T61" s="423">
        <f>+'Detailed Disclosures - USD'!AM45/-1000</f>
        <v>8.8636298734021999</v>
      </c>
      <c r="U61" s="423">
        <f>+'Detailed Disclosures - USD'!AN45/-1000</f>
        <v>31.264266853937819</v>
      </c>
      <c r="V61" s="423">
        <f>SUM(I61:J61)</f>
        <v>24.607230073429001</v>
      </c>
      <c r="W61" s="423">
        <f>+SUM(K61:L61)</f>
        <v>49.661404916432765</v>
      </c>
      <c r="X61" s="423">
        <f>+SUM(M61:N61)</f>
        <v>55.672121573922396</v>
      </c>
      <c r="Y61" s="430"/>
    </row>
    <row r="62" spans="1:37" s="438" customFormat="1">
      <c r="A62" s="449" t="str">
        <f>+'Detailed Disclosures - USD'!A46</f>
        <v>Merchant Fees</v>
      </c>
      <c r="B62" s="447"/>
      <c r="C62" s="423">
        <f>+'Detailed Disclosures - USD'!X46/-1000</f>
        <v>0.39994921961622976</v>
      </c>
      <c r="D62" s="423">
        <f>+'Detailed Disclosures - USD'!Y46/-1000</f>
        <v>0.18131026478521445</v>
      </c>
      <c r="E62" s="423">
        <f>+'Detailed Disclosures - USD'!Z46/-1000</f>
        <v>1.2849447397971068</v>
      </c>
      <c r="F62" s="423">
        <f>+'Detailed Disclosures - USD'!AA46/-1000</f>
        <v>2.0683414425935145</v>
      </c>
      <c r="G62" s="423">
        <f>+'Detailed Disclosures - USD'!AB46/-1000</f>
        <v>3.9359252664299778</v>
      </c>
      <c r="H62" s="423">
        <f>+'Detailed Disclosures - USD'!AC46/-1000</f>
        <v>3.3706608035399714</v>
      </c>
      <c r="I62" s="423">
        <f>+'Detailed Disclosures - USD'!AD46/-1000</f>
        <v>5.1411403806293574</v>
      </c>
      <c r="J62" s="423">
        <f>+'Detailed Disclosures - USD'!AE46/-1000</f>
        <v>6.2195213002559839</v>
      </c>
      <c r="K62" s="423">
        <f>+'Detailed Disclosures - USD'!AF46/-1000</f>
        <v>8.3709023101861959</v>
      </c>
      <c r="L62" s="423">
        <f>+'Detailed Disclosures - USD'!AG46/-1000</f>
        <v>10.062510677126353</v>
      </c>
      <c r="M62" s="423">
        <f t="shared" ref="M62:N62" si="154">+M89*M$33</f>
        <v>10.003975247010816</v>
      </c>
      <c r="N62" s="423">
        <f t="shared" si="154"/>
        <v>10.429980422020433</v>
      </c>
      <c r="O62" s="430"/>
      <c r="P62" s="430"/>
      <c r="Q62" s="423">
        <f>+'Detailed Disclosures - USD'!AJ46/-1000</f>
        <v>1.1622567778675704E-2</v>
      </c>
      <c r="R62" s="423">
        <f>+'Detailed Disclosures - USD'!AK46/-1000</f>
        <v>0.1801790714131869</v>
      </c>
      <c r="S62" s="423">
        <f>+'Detailed Disclosures - USD'!AL46/-1000</f>
        <v>0.58125948440144415</v>
      </c>
      <c r="T62" s="423">
        <f>+'Detailed Disclosures - USD'!AM46/-1000</f>
        <v>3.3532861823906215</v>
      </c>
      <c r="U62" s="423">
        <f>+'Detailed Disclosures - USD'!AN46/-1000</f>
        <v>7.3065860699699501</v>
      </c>
      <c r="V62" s="423">
        <f t="shared" ref="V62:V65" si="155">SUM(I62:J62)</f>
        <v>11.360661680885341</v>
      </c>
      <c r="W62" s="423">
        <f t="shared" ref="W62:W63" si="156">+SUM(K62:L62)</f>
        <v>18.433412987312551</v>
      </c>
      <c r="X62" s="423">
        <f t="shared" ref="X62:X67" si="157">+SUM(M62:N62)</f>
        <v>20.433955669031249</v>
      </c>
      <c r="Y62" s="430"/>
    </row>
    <row r="63" spans="1:37" s="438" customFormat="1">
      <c r="A63" s="449" t="str">
        <f>+'Detailed Disclosures - USD'!A47</f>
        <v>Employee Benefits Expense</v>
      </c>
      <c r="B63" s="447"/>
      <c r="C63" s="423">
        <f>+'Detailed Disclosures - USD'!X47/-1000</f>
        <v>9.249661786570576E-2</v>
      </c>
      <c r="D63" s="423">
        <f>+'Detailed Disclosures - USD'!Y47/-1000</f>
        <v>0.14134092606139986</v>
      </c>
      <c r="E63" s="423">
        <f>+'Detailed Disclosures - USD'!Z47/-1000</f>
        <v>0.38977832869828111</v>
      </c>
      <c r="F63" s="423">
        <f>+'Detailed Disclosures - USD'!AA47/-1000</f>
        <v>1.0223655454560197</v>
      </c>
      <c r="G63" s="423">
        <f>+'Detailed Disclosures - USD'!AB47/-1000</f>
        <v>1.009905028605917</v>
      </c>
      <c r="H63" s="423">
        <f>+'Detailed Disclosures - USD'!AC47/-1000</f>
        <v>1.1184392275674242</v>
      </c>
      <c r="I63" s="423">
        <f>+'Detailed Disclosures - USD'!AD47/-1000</f>
        <v>1.4413493289784978</v>
      </c>
      <c r="J63" s="423">
        <f>+'Detailed Disclosures - USD'!AE47/-1000</f>
        <v>1.0477869526602921</v>
      </c>
      <c r="K63" s="423">
        <f>+'Detailed Disclosures - USD'!AF47/-1000</f>
        <v>2.1424566439786177</v>
      </c>
      <c r="L63" s="423">
        <f>+'Detailed Disclosures - USD'!AG47/-1000</f>
        <v>2.9449856294142873</v>
      </c>
      <c r="M63" s="423">
        <f t="shared" ref="M63:N63" si="158">+M90*M$33</f>
        <v>2.8582786420030901</v>
      </c>
      <c r="N63" s="423">
        <f t="shared" si="158"/>
        <v>2.9799944062915524</v>
      </c>
      <c r="O63" s="430"/>
      <c r="P63" s="430"/>
      <c r="Q63" s="423">
        <f>+'Detailed Disclosures - USD'!AJ47/-1000</f>
        <v>8.5232163710288501E-3</v>
      </c>
      <c r="R63" s="423">
        <f>+'Detailed Disclosures - USD'!AK47/-1000</f>
        <v>0.1093944362151492</v>
      </c>
      <c r="S63" s="423">
        <f>+'Detailed Disclosures - USD'!AL47/-1000</f>
        <v>0.23383754392710562</v>
      </c>
      <c r="T63" s="423">
        <f>+'Detailed Disclosures - USD'!AM47/-1000</f>
        <v>1.4121438741543009</v>
      </c>
      <c r="U63" s="423">
        <f>+'Detailed Disclosures - USD'!AN47/-1000</f>
        <v>2.1283442561733414</v>
      </c>
      <c r="V63" s="423">
        <f t="shared" si="155"/>
        <v>2.4891362816387899</v>
      </c>
      <c r="W63" s="423">
        <f t="shared" si="156"/>
        <v>5.087442273392905</v>
      </c>
      <c r="X63" s="423">
        <f t="shared" si="157"/>
        <v>5.8382730482946421</v>
      </c>
      <c r="Y63" s="430"/>
      <c r="AK63" s="448"/>
    </row>
    <row r="64" spans="1:37" s="438" customFormat="1" ht="21.5">
      <c r="A64" s="401" t="s">
        <v>143</v>
      </c>
      <c r="B64" s="419"/>
      <c r="C64" s="420">
        <f t="shared" ref="C64:J64" si="159">+C40-C114-C61-C62-C63+C66</f>
        <v>0.14667136965648833</v>
      </c>
      <c r="D64" s="420">
        <f t="shared" si="159"/>
        <v>0.51496204657528599</v>
      </c>
      <c r="E64" s="420">
        <f t="shared" si="159"/>
        <v>0.64045502140228783</v>
      </c>
      <c r="F64" s="420">
        <f t="shared" si="159"/>
        <v>1.424270447731703</v>
      </c>
      <c r="G64" s="420">
        <f t="shared" si="159"/>
        <v>2.2210017774586923</v>
      </c>
      <c r="H64" s="420">
        <f t="shared" si="159"/>
        <v>1.4594251132360463</v>
      </c>
      <c r="I64" s="420">
        <f t="shared" si="159"/>
        <v>3.3320500059201499</v>
      </c>
      <c r="J64" s="420">
        <f t="shared" si="159"/>
        <v>4.3634170078362207</v>
      </c>
      <c r="K64" s="420">
        <f>+K40-K114-K61-K62-K63+K66</f>
        <v>4.822436432841716</v>
      </c>
      <c r="L64" s="420">
        <f>+L40-L114-L61-L62-L63+L66</f>
        <v>5.6055904977791879</v>
      </c>
      <c r="M64" s="420">
        <f t="shared" ref="M64:N64" si="160">+M91*M$33</f>
        <v>7.1456966050077257</v>
      </c>
      <c r="N64" s="420">
        <f t="shared" si="160"/>
        <v>7.4499860157288813</v>
      </c>
      <c r="O64" s="420"/>
      <c r="P64" s="420"/>
      <c r="Q64" s="420">
        <f t="shared" ref="Q64:V64" si="161">+Q40-Q114-Q61-Q62-Q63+Q66</f>
        <v>4.1841244003232546E-2</v>
      </c>
      <c r="R64" s="420">
        <f t="shared" si="161"/>
        <v>0.12874386134865967</v>
      </c>
      <c r="S64" s="420">
        <f t="shared" si="161"/>
        <v>0.66163341623177474</v>
      </c>
      <c r="T64" s="420">
        <f t="shared" si="161"/>
        <v>2.0647254691339896</v>
      </c>
      <c r="U64" s="420">
        <f t="shared" si="161"/>
        <v>3.6804268906947426</v>
      </c>
      <c r="V64" s="420">
        <f t="shared" si="161"/>
        <v>7.6954670137563674</v>
      </c>
      <c r="W64" s="420">
        <f t="shared" ref="W64:W67" si="162">SUM(K64:L64)</f>
        <v>10.428026930620904</v>
      </c>
      <c r="X64" s="420">
        <f t="shared" si="157"/>
        <v>14.595682620736607</v>
      </c>
      <c r="Y64" s="430"/>
    </row>
    <row r="65" spans="1:25" s="438" customFormat="1">
      <c r="A65" s="418" t="s">
        <v>144</v>
      </c>
      <c r="B65" s="422"/>
      <c r="C65" s="423">
        <f t="shared" ref="C65:J65" si="163">+SUM(C61:C64)</f>
        <v>1.0398619464127046</v>
      </c>
      <c r="D65" s="423">
        <f t="shared" si="163"/>
        <v>1.7232513644159748</v>
      </c>
      <c r="E65" s="423">
        <f t="shared" si="163"/>
        <v>5.1085574012177997</v>
      </c>
      <c r="F65" s="423">
        <f t="shared" si="163"/>
        <v>10.585227997863312</v>
      </c>
      <c r="G65" s="423">
        <f t="shared" si="163"/>
        <v>26.094931352566242</v>
      </c>
      <c r="H65" s="423">
        <f t="shared" si="163"/>
        <v>18.284692718209609</v>
      </c>
      <c r="I65" s="423">
        <f t="shared" si="163"/>
        <v>20.917343392013986</v>
      </c>
      <c r="J65" s="423">
        <f t="shared" si="163"/>
        <v>25.235151657695518</v>
      </c>
      <c r="K65" s="423">
        <f t="shared" ref="K65:L65" si="164">+SUM(K61:K64)</f>
        <v>37.675710001188705</v>
      </c>
      <c r="L65" s="423">
        <f t="shared" si="164"/>
        <v>45.934577106570423</v>
      </c>
      <c r="M65" s="423">
        <f t="shared" ref="M65:N65" si="165">+M67+M66</f>
        <v>46.834357409958962</v>
      </c>
      <c r="N65" s="423">
        <f t="shared" si="165"/>
        <v>49.705675502025933</v>
      </c>
      <c r="O65" s="423"/>
      <c r="P65" s="423"/>
      <c r="Q65" s="423">
        <f t="shared" ref="Q65" si="166">+SUM(Q61:Q64)</f>
        <v>9.3755380081317369E-2</v>
      </c>
      <c r="R65" s="423">
        <f>+SUM(R61:R64)</f>
        <v>0.71218085449612201</v>
      </c>
      <c r="S65" s="423">
        <f t="shared" ref="S65:U65" si="167">+SUM(S61:S64)</f>
        <v>2.7631133108286798</v>
      </c>
      <c r="T65" s="423">
        <f t="shared" si="167"/>
        <v>15.693785399081113</v>
      </c>
      <c r="U65" s="423">
        <f t="shared" si="167"/>
        <v>44.379624070775854</v>
      </c>
      <c r="V65" s="423">
        <f t="shared" si="155"/>
        <v>46.152495049709501</v>
      </c>
      <c r="W65" s="423">
        <f>SUM(K65:L65)</f>
        <v>83.61028710775912</v>
      </c>
      <c r="X65" s="423">
        <f t="shared" si="157"/>
        <v>96.540032911984895</v>
      </c>
      <c r="Y65" s="430"/>
    </row>
    <row r="66" spans="1:25" s="438" customFormat="1" ht="21.5">
      <c r="A66" s="401" t="s">
        <v>145</v>
      </c>
      <c r="B66" s="419"/>
      <c r="C66" s="420">
        <f>+'Detailed Disclosures - USD'!X42/1000</f>
        <v>0.1281642415015038</v>
      </c>
      <c r="D66" s="420">
        <f>+'Detailed Disclosures - USD'!Y42/1000</f>
        <v>0.19606893162542643</v>
      </c>
      <c r="E66" s="420">
        <f>+'Detailed Disclosures - USD'!Z42/1000</f>
        <v>0.37381445951575576</v>
      </c>
      <c r="F66" s="420">
        <f>+'Detailed Disclosures - USD'!AA42/1000</f>
        <v>0.45394297476232498</v>
      </c>
      <c r="G66" s="420">
        <f>+'Detailed Disclosures - USD'!AB42/1000</f>
        <v>0.59611535233715551</v>
      </c>
      <c r="H66" s="420">
        <f>+'Detailed Disclosures - USD'!AC42/1000</f>
        <v>0.74738407532199058</v>
      </c>
      <c r="I66" s="420">
        <f>+'Detailed Disclosures - USD'!AD42/1000</f>
        <v>0.61097267759562834</v>
      </c>
      <c r="J66" s="420">
        <f>+'Detailed Disclosures - USD'!AE42/1000</f>
        <v>0.83226579793863575</v>
      </c>
      <c r="K66" s="420">
        <f>+'Detailed Disclosures - USD'!AF42/1000</f>
        <v>0.91901100349715592</v>
      </c>
      <c r="L66" s="420">
        <f>+'Detailed Disclosures - USD'!AG42/1000</f>
        <v>1.1018991379095193</v>
      </c>
      <c r="M66" s="456">
        <f t="shared" ref="M66:N66" si="168">+L66</f>
        <v>1.1018991379095193</v>
      </c>
      <c r="N66" s="456">
        <f t="shared" si="168"/>
        <v>1.1018991379095193</v>
      </c>
      <c r="O66" s="420"/>
      <c r="P66" s="420"/>
      <c r="Q66" s="420">
        <f>+'Detailed Disclosures - USD'!AJ42/1000</f>
        <v>6.9735406672054223E-3</v>
      </c>
      <c r="R66" s="420">
        <f>+'Detailed Disclosures - USD'!AK42/1000</f>
        <v>9.9384487803305471E-2</v>
      </c>
      <c r="S66" s="420">
        <f>+'Detailed Disclosures - USD'!AL42/1000</f>
        <v>0.32423317312693023</v>
      </c>
      <c r="T66" s="420">
        <f>+'Detailed Disclosures - USD'!AM42/1000</f>
        <v>0.82775743427808068</v>
      </c>
      <c r="U66" s="420">
        <f>+'Detailed Disclosures - USD'!AN42/1000</f>
        <v>1.3434994276591461</v>
      </c>
      <c r="V66" s="420">
        <f>+'Detailed Disclosures - USD'!AO42/1000</f>
        <v>1.4432384755342642</v>
      </c>
      <c r="W66" s="420">
        <f t="shared" si="162"/>
        <v>2.0209101414066755</v>
      </c>
      <c r="X66" s="420">
        <f t="shared" si="157"/>
        <v>2.2037982758190386</v>
      </c>
      <c r="Y66" s="430"/>
    </row>
    <row r="67" spans="1:25" s="438" customFormat="1">
      <c r="A67" s="418" t="s">
        <v>146</v>
      </c>
      <c r="B67" s="422"/>
      <c r="C67" s="423">
        <f t="shared" ref="C67:J67" si="169">+C65-C66</f>
        <v>0.91169770491120072</v>
      </c>
      <c r="D67" s="423">
        <f t="shared" si="169"/>
        <v>1.5271824327905483</v>
      </c>
      <c r="E67" s="423">
        <f t="shared" si="169"/>
        <v>4.7347429417020441</v>
      </c>
      <c r="F67" s="423">
        <f t="shared" si="169"/>
        <v>10.131285023100986</v>
      </c>
      <c r="G67" s="423">
        <f t="shared" si="169"/>
        <v>25.498816000229088</v>
      </c>
      <c r="H67" s="423">
        <f t="shared" si="169"/>
        <v>17.53730864288762</v>
      </c>
      <c r="I67" s="423">
        <f t="shared" si="169"/>
        <v>20.306370714418357</v>
      </c>
      <c r="J67" s="423">
        <f t="shared" si="169"/>
        <v>24.402885859756882</v>
      </c>
      <c r="K67" s="423">
        <f>+K65-K66</f>
        <v>36.756698997691551</v>
      </c>
      <c r="L67" s="423">
        <f>+L65-L66</f>
        <v>44.832677968660903</v>
      </c>
      <c r="M67" s="423">
        <f t="shared" ref="M67:N67" si="170">+M40-M114</f>
        <v>45.732458272049442</v>
      </c>
      <c r="N67" s="423">
        <f t="shared" si="170"/>
        <v>48.603776364116413</v>
      </c>
      <c r="O67" s="423"/>
      <c r="P67" s="423"/>
      <c r="Q67" s="423">
        <f t="shared" ref="Q67:V67" si="171">+Q65-Q66</f>
        <v>8.6781839414111953E-2</v>
      </c>
      <c r="R67" s="423">
        <f t="shared" si="171"/>
        <v>0.61279636669281656</v>
      </c>
      <c r="S67" s="423">
        <f t="shared" si="171"/>
        <v>2.4388801377017497</v>
      </c>
      <c r="T67" s="423">
        <f t="shared" si="171"/>
        <v>14.866027964803033</v>
      </c>
      <c r="U67" s="423">
        <f t="shared" si="171"/>
        <v>43.036124643116707</v>
      </c>
      <c r="V67" s="423">
        <f t="shared" si="171"/>
        <v>44.709256574175235</v>
      </c>
      <c r="W67" s="423">
        <f t="shared" si="162"/>
        <v>81.589376966352461</v>
      </c>
      <c r="X67" s="423">
        <f t="shared" si="157"/>
        <v>94.336234636165855</v>
      </c>
      <c r="Y67" s="430"/>
    </row>
    <row r="68" spans="1:25" s="438" customFormat="1">
      <c r="A68" s="429"/>
      <c r="B68" s="447"/>
      <c r="C68" s="430"/>
      <c r="D68" s="430"/>
      <c r="E68" s="430"/>
      <c r="F68" s="430"/>
      <c r="G68" s="457"/>
      <c r="H68" s="457"/>
      <c r="I68" s="457"/>
      <c r="J68" s="457"/>
      <c r="K68" s="457"/>
      <c r="L68" s="457"/>
      <c r="M68" s="457"/>
      <c r="N68" s="457"/>
      <c r="O68" s="430"/>
      <c r="P68" s="430"/>
      <c r="Q68" s="430"/>
      <c r="R68" s="430"/>
      <c r="S68" s="430"/>
      <c r="T68" s="430"/>
      <c r="U68" s="430"/>
      <c r="V68" s="430"/>
      <c r="W68" s="430"/>
      <c r="X68" s="430"/>
      <c r="Y68" s="430"/>
    </row>
    <row r="69" spans="1:25" s="438" customFormat="1">
      <c r="A69" s="426" t="s">
        <v>25</v>
      </c>
      <c r="B69" s="447"/>
      <c r="C69" s="430"/>
      <c r="D69" s="430"/>
      <c r="E69" s="430"/>
      <c r="F69" s="430"/>
      <c r="G69" s="430"/>
      <c r="H69" s="430"/>
      <c r="I69" s="430"/>
      <c r="J69" s="430"/>
      <c r="K69" s="430"/>
      <c r="L69" s="430"/>
      <c r="M69" s="430"/>
      <c r="N69" s="430"/>
      <c r="O69" s="430"/>
      <c r="P69" s="430"/>
      <c r="Q69" s="430"/>
      <c r="R69" s="430"/>
      <c r="S69" s="430"/>
      <c r="T69" s="430"/>
      <c r="U69" s="430"/>
      <c r="V69" s="430"/>
      <c r="W69" s="430"/>
      <c r="X69" s="430"/>
      <c r="Y69" s="430"/>
    </row>
    <row r="70" spans="1:25" s="438" customFormat="1">
      <c r="A70" s="429" t="str">
        <f t="shared" ref="A70:A76" si="172">+A61</f>
        <v>Advertising and Marketing Expense</v>
      </c>
      <c r="B70" s="447"/>
      <c r="E70" s="430">
        <f t="shared" ref="E70:L70" si="173">+E61/C61-1</f>
        <v>5.9704703207800778</v>
      </c>
      <c r="F70" s="430">
        <f t="shared" si="173"/>
        <v>5.8540980532138818</v>
      </c>
      <c r="G70" s="430">
        <f t="shared" si="173"/>
        <v>5.7760576601129117</v>
      </c>
      <c r="H70" s="430">
        <f t="shared" si="173"/>
        <v>1.0322336693849588</v>
      </c>
      <c r="I70" s="430">
        <f t="shared" si="173"/>
        <v>-0.41870530613339374</v>
      </c>
      <c r="J70" s="430">
        <f t="shared" si="173"/>
        <v>0.10280817081016513</v>
      </c>
      <c r="K70" s="430">
        <f t="shared" si="173"/>
        <v>1.0303838249813233</v>
      </c>
      <c r="L70" s="430">
        <f t="shared" si="173"/>
        <v>1.0082794750089472</v>
      </c>
      <c r="M70" s="430">
        <f t="shared" ref="M70:M76" si="174">+M61/K61-1</f>
        <v>0.20082853400464495</v>
      </c>
      <c r="N70" s="430">
        <f t="shared" ref="N70:N76" si="175">+N61/L61-1</f>
        <v>5.5788477819927573E-2</v>
      </c>
      <c r="O70" s="430"/>
      <c r="P70" s="430"/>
      <c r="Q70" s="430"/>
      <c r="R70" s="430">
        <f t="shared" ref="R70:T70" si="176">+R61/Q61-1</f>
        <v>8.2501961128365391</v>
      </c>
      <c r="S70" s="430">
        <f t="shared" si="176"/>
        <v>3.3774845452332674</v>
      </c>
      <c r="T70" s="430">
        <f t="shared" si="176"/>
        <v>5.8903513143909807</v>
      </c>
      <c r="U70" s="430">
        <f>+U61/T61-1</f>
        <v>2.5272532021846934</v>
      </c>
      <c r="V70" s="430">
        <f>+V61/U61-1</f>
        <v>-0.21292796698574579</v>
      </c>
      <c r="W70" s="430">
        <f>+W61/V61-1</f>
        <v>1.0181631483202724</v>
      </c>
      <c r="X70" s="430">
        <f t="shared" ref="X70:X76" si="177">+X61/W61-1</f>
        <v>0.12103396324779991</v>
      </c>
      <c r="Y70" s="430"/>
    </row>
    <row r="71" spans="1:25" s="438" customFormat="1">
      <c r="A71" s="429" t="str">
        <f t="shared" si="172"/>
        <v>Merchant Fees</v>
      </c>
      <c r="B71" s="447"/>
      <c r="E71" s="430">
        <f t="shared" ref="E71:H76" si="178">+E62/C62-1</f>
        <v>2.2127697136903333</v>
      </c>
      <c r="F71" s="430">
        <f t="shared" si="178"/>
        <v>10.407745970939558</v>
      </c>
      <c r="G71" s="430">
        <f t="shared" si="178"/>
        <v>2.0631085871066035</v>
      </c>
      <c r="H71" s="430">
        <f t="shared" si="178"/>
        <v>0.62964428122344507</v>
      </c>
      <c r="I71" s="430">
        <f t="shared" ref="I71" si="179">+I62/G62-1</f>
        <v>0.30620884102623025</v>
      </c>
      <c r="J71" s="430">
        <f t="shared" ref="J71:L76" si="180">+J62/H62-1</f>
        <v>0.84519346880708124</v>
      </c>
      <c r="K71" s="430">
        <f t="shared" si="180"/>
        <v>0.62821897292006335</v>
      </c>
      <c r="L71" s="430">
        <f t="shared" si="180"/>
        <v>0.61789150504431878</v>
      </c>
      <c r="M71" s="430">
        <f t="shared" si="174"/>
        <v>0.19508923605970208</v>
      </c>
      <c r="N71" s="430">
        <f t="shared" si="175"/>
        <v>3.6518693662546564E-2</v>
      </c>
      <c r="O71" s="430"/>
      <c r="P71" s="430"/>
      <c r="Q71" s="430"/>
      <c r="R71" s="430">
        <f t="shared" ref="R71:U71" si="181">+R62/Q62-1</f>
        <v>14.502518448958172</v>
      </c>
      <c r="S71" s="430">
        <f t="shared" si="181"/>
        <v>2.2260099901863692</v>
      </c>
      <c r="T71" s="430">
        <f t="shared" si="181"/>
        <v>4.7690003731185397</v>
      </c>
      <c r="U71" s="430">
        <f t="shared" si="181"/>
        <v>1.1789330443490349</v>
      </c>
      <c r="V71" s="430">
        <f t="shared" ref="V71:W76" si="182">+V62/U62-1</f>
        <v>0.55485223496889091</v>
      </c>
      <c r="W71" s="430">
        <f t="shared" si="182"/>
        <v>0.62256508512416397</v>
      </c>
      <c r="X71" s="430">
        <f t="shared" si="177"/>
        <v>0.10852806710811747</v>
      </c>
      <c r="Y71" s="430"/>
    </row>
    <row r="72" spans="1:25" s="438" customFormat="1">
      <c r="A72" s="429" t="str">
        <f t="shared" si="172"/>
        <v>Employee Benefits Expense</v>
      </c>
      <c r="B72" s="447"/>
      <c r="E72" s="430">
        <f t="shared" si="178"/>
        <v>3.2139738478242901</v>
      </c>
      <c r="F72" s="430">
        <f t="shared" si="178"/>
        <v>6.2333298920929252</v>
      </c>
      <c r="G72" s="430">
        <f t="shared" si="178"/>
        <v>1.5909727510470764</v>
      </c>
      <c r="H72" s="430">
        <f t="shared" si="178"/>
        <v>9.3971948231639013E-2</v>
      </c>
      <c r="I72" s="430">
        <f t="shared" ref="I72" si="183">+I63/G63-1</f>
        <v>0.42721274590359326</v>
      </c>
      <c r="J72" s="430">
        <f t="shared" si="180"/>
        <v>-6.3170419246469822E-2</v>
      </c>
      <c r="K72" s="430">
        <f t="shared" si="180"/>
        <v>0.48642428376263469</v>
      </c>
      <c r="L72" s="430">
        <f t="shared" si="180"/>
        <v>1.8106721714152658</v>
      </c>
      <c r="M72" s="430">
        <f t="shared" si="174"/>
        <v>0.33411271123562414</v>
      </c>
      <c r="N72" s="430">
        <f t="shared" si="175"/>
        <v>1.1887588356153556E-2</v>
      </c>
      <c r="O72" s="430"/>
      <c r="P72" s="430"/>
      <c r="Q72" s="430"/>
      <c r="R72" s="430">
        <f t="shared" ref="R72:U72" si="184">+R63/Q63-1</f>
        <v>11.834877287286799</v>
      </c>
      <c r="S72" s="430">
        <f t="shared" si="184"/>
        <v>1.1375634083182309</v>
      </c>
      <c r="T72" s="430">
        <f t="shared" si="184"/>
        <v>5.0389954942158885</v>
      </c>
      <c r="U72" s="430">
        <f t="shared" si="184"/>
        <v>0.50717238882472637</v>
      </c>
      <c r="V72" s="430">
        <f t="shared" si="182"/>
        <v>0.16951770110448905</v>
      </c>
      <c r="W72" s="430">
        <f t="shared" si="182"/>
        <v>1.0438584704745257</v>
      </c>
      <c r="X72" s="430">
        <f t="shared" si="177"/>
        <v>0.14758511931006035</v>
      </c>
      <c r="Y72" s="430"/>
    </row>
    <row r="73" spans="1:25" s="433" customFormat="1" ht="21.5">
      <c r="A73" s="429" t="str">
        <f t="shared" si="172"/>
        <v>G&amp;A excl. adjustments</v>
      </c>
      <c r="B73" s="458"/>
      <c r="E73" s="416">
        <f t="shared" si="178"/>
        <v>3.3665987636323669</v>
      </c>
      <c r="F73" s="416">
        <f t="shared" si="178"/>
        <v>1.7657775115733285</v>
      </c>
      <c r="G73" s="416">
        <f t="shared" si="178"/>
        <v>2.4678497368882657</v>
      </c>
      <c r="H73" s="416">
        <f t="shared" si="178"/>
        <v>2.4682577357643565E-2</v>
      </c>
      <c r="I73" s="416">
        <f t="shared" ref="I73" si="185">+I64/G64-1</f>
        <v>0.50024643822335779</v>
      </c>
      <c r="J73" s="416">
        <f t="shared" si="180"/>
        <v>1.9898190515312071</v>
      </c>
      <c r="K73" s="416">
        <f t="shared" si="180"/>
        <v>0.44728813321335315</v>
      </c>
      <c r="L73" s="416">
        <f t="shared" si="180"/>
        <v>0.28467906865471693</v>
      </c>
      <c r="M73" s="416">
        <f t="shared" si="174"/>
        <v>0.4817606627936375</v>
      </c>
      <c r="N73" s="416">
        <f t="shared" si="175"/>
        <v>0.329027872920864</v>
      </c>
      <c r="O73" s="416"/>
      <c r="P73" s="416"/>
      <c r="Q73" s="416"/>
      <c r="R73" s="416">
        <f t="shared" ref="R73:U73" si="186">+R64/Q64-1</f>
        <v>2.0769606500875848</v>
      </c>
      <c r="S73" s="416">
        <f t="shared" si="186"/>
        <v>4.1391453487631695</v>
      </c>
      <c r="T73" s="416">
        <f t="shared" si="186"/>
        <v>2.1206487134421006</v>
      </c>
      <c r="U73" s="416">
        <f t="shared" si="186"/>
        <v>0.78252602862424547</v>
      </c>
      <c r="V73" s="416">
        <f t="shared" si="182"/>
        <v>1.0909169621635164</v>
      </c>
      <c r="W73" s="416">
        <f t="shared" si="182"/>
        <v>0.35508695079581654</v>
      </c>
      <c r="X73" s="416">
        <f t="shared" si="177"/>
        <v>0.39965908391335092</v>
      </c>
      <c r="Y73" s="416"/>
    </row>
    <row r="74" spans="1:25" s="438" customFormat="1">
      <c r="A74" s="435" t="str">
        <f t="shared" si="172"/>
        <v>Total Adj. Opex</v>
      </c>
      <c r="B74" s="447"/>
      <c r="E74" s="430">
        <f t="shared" si="178"/>
        <v>3.9127265584063355</v>
      </c>
      <c r="F74" s="430">
        <f t="shared" si="178"/>
        <v>5.1425908120204733</v>
      </c>
      <c r="G74" s="430">
        <f t="shared" si="178"/>
        <v>4.1080822437946223</v>
      </c>
      <c r="H74" s="430">
        <f t="shared" si="178"/>
        <v>0.72737825976922532</v>
      </c>
      <c r="I74" s="430">
        <f t="shared" ref="I74:I75" si="187">+I65/G65-1</f>
        <v>-0.19841354976559766</v>
      </c>
      <c r="J74" s="430">
        <f t="shared" si="180"/>
        <v>0.38012445965602648</v>
      </c>
      <c r="K74" s="430">
        <f t="shared" si="180"/>
        <v>0.80117088939568104</v>
      </c>
      <c r="L74" s="430">
        <f t="shared" si="180"/>
        <v>0.82026158311446351</v>
      </c>
      <c r="M74" s="430">
        <f t="shared" si="174"/>
        <v>0.24309156770983997</v>
      </c>
      <c r="N74" s="430">
        <f t="shared" si="175"/>
        <v>8.2097161506600624E-2</v>
      </c>
      <c r="O74" s="430"/>
      <c r="P74" s="430"/>
      <c r="Q74" s="430"/>
      <c r="R74" s="430">
        <f t="shared" ref="R74:U75" si="188">+R65/Q65-1</f>
        <v>6.5961598564095443</v>
      </c>
      <c r="S74" s="430">
        <f t="shared" si="188"/>
        <v>2.8797916194807307</v>
      </c>
      <c r="T74" s="430">
        <f t="shared" si="188"/>
        <v>4.6797473116925561</v>
      </c>
      <c r="U74" s="430">
        <f t="shared" si="188"/>
        <v>1.8278470070945616</v>
      </c>
      <c r="V74" s="430">
        <f t="shared" si="182"/>
        <v>3.9947859317291723E-2</v>
      </c>
      <c r="W74" s="430">
        <f t="shared" si="182"/>
        <v>0.81160925357783853</v>
      </c>
      <c r="X74" s="430">
        <f t="shared" si="177"/>
        <v>0.15464300209329007</v>
      </c>
      <c r="Y74" s="430"/>
    </row>
    <row r="75" spans="1:25" s="433" customFormat="1" ht="21.5">
      <c r="A75" s="429" t="str">
        <f t="shared" si="172"/>
        <v>Other Income offset</v>
      </c>
      <c r="B75" s="458"/>
      <c r="E75" s="416">
        <f t="shared" si="178"/>
        <v>1.9166829619271741</v>
      </c>
      <c r="F75" s="416">
        <f t="shared" si="178"/>
        <v>1.3152213407759352</v>
      </c>
      <c r="G75" s="416">
        <f t="shared" si="178"/>
        <v>0.59468243446059121</v>
      </c>
      <c r="H75" s="416">
        <f t="shared" si="178"/>
        <v>0.64642723177576489</v>
      </c>
      <c r="I75" s="416">
        <f t="shared" si="187"/>
        <v>2.4923574271695115E-2</v>
      </c>
      <c r="J75" s="416">
        <f t="shared" si="180"/>
        <v>0.1135717570381416</v>
      </c>
      <c r="K75" s="416">
        <f t="shared" si="180"/>
        <v>0.50417692508567868</v>
      </c>
      <c r="L75" s="416">
        <f t="shared" si="180"/>
        <v>0.32397503374368397</v>
      </c>
      <c r="M75" s="416">
        <f t="shared" si="174"/>
        <v>0.19900538047576211</v>
      </c>
      <c r="N75" s="416">
        <f t="shared" si="175"/>
        <v>0</v>
      </c>
      <c r="O75" s="416"/>
      <c r="P75" s="416"/>
      <c r="Q75" s="416"/>
      <c r="R75" s="416">
        <f t="shared" si="188"/>
        <v>13.251653865113663</v>
      </c>
      <c r="S75" s="416">
        <f t="shared" si="188"/>
        <v>2.2624122767390911</v>
      </c>
      <c r="T75" s="416">
        <f t="shared" si="188"/>
        <v>1.5529695999182405</v>
      </c>
      <c r="U75" s="416">
        <f t="shared" si="188"/>
        <v>0.62305933118059387</v>
      </c>
      <c r="V75" s="416">
        <f t="shared" si="182"/>
        <v>7.4238251108821762E-2</v>
      </c>
      <c r="W75" s="416">
        <f t="shared" si="182"/>
        <v>0.40026071620531467</v>
      </c>
      <c r="X75" s="416">
        <f t="shared" si="177"/>
        <v>9.0497905208720475E-2</v>
      </c>
      <c r="Y75" s="416"/>
    </row>
    <row r="76" spans="1:25" s="438" customFormat="1">
      <c r="A76" s="435" t="str">
        <f t="shared" si="172"/>
        <v>Total Adj. Opex less Other Income</v>
      </c>
      <c r="B76" s="447"/>
      <c r="E76" s="430">
        <f t="shared" si="178"/>
        <v>4.1933255027369052</v>
      </c>
      <c r="F76" s="430">
        <f t="shared" si="178"/>
        <v>5.6339716890198686</v>
      </c>
      <c r="G76" s="430">
        <f t="shared" si="178"/>
        <v>4.3854699852116532</v>
      </c>
      <c r="H76" s="430">
        <f t="shared" si="178"/>
        <v>0.73100535646758424</v>
      </c>
      <c r="I76" s="430">
        <f t="shared" ref="I76" si="189">+I67/G67-1</f>
        <v>-0.2036347603655041</v>
      </c>
      <c r="J76" s="430">
        <f t="shared" si="180"/>
        <v>0.39148408439818638</v>
      </c>
      <c r="K76" s="430">
        <f t="shared" si="180"/>
        <v>0.81010676475007837</v>
      </c>
      <c r="L76" s="430">
        <f t="shared" si="180"/>
        <v>0.8371875452073092</v>
      </c>
      <c r="M76" s="430">
        <f t="shared" si="174"/>
        <v>0.24419383456935573</v>
      </c>
      <c r="N76" s="430">
        <f t="shared" si="175"/>
        <v>8.4114948433185122E-2</v>
      </c>
      <c r="O76" s="430"/>
      <c r="P76" s="430"/>
      <c r="Q76" s="430"/>
      <c r="R76" s="430">
        <f t="shared" ref="R76" si="190">+R67/Q67-1</f>
        <v>6.0613433735672491</v>
      </c>
      <c r="S76" s="430">
        <f t="shared" ref="S76" si="191">+S67/R67-1</f>
        <v>2.9799193831126534</v>
      </c>
      <c r="T76" s="430">
        <f t="shared" ref="T76" si="192">+T67/S67-1</f>
        <v>5.095431971007752</v>
      </c>
      <c r="U76" s="430">
        <f t="shared" ref="U76" si="193">+U67/T67-1</f>
        <v>1.8949309623935524</v>
      </c>
      <c r="V76" s="430">
        <f t="shared" si="182"/>
        <v>3.8877383708064261E-2</v>
      </c>
      <c r="W76" s="430">
        <f t="shared" si="182"/>
        <v>0.82488780217114499</v>
      </c>
      <c r="X76" s="430">
        <f t="shared" si="177"/>
        <v>0.15623182997303942</v>
      </c>
      <c r="Y76" s="430"/>
    </row>
    <row r="77" spans="1:25" s="438" customFormat="1">
      <c r="A77" s="429"/>
      <c r="B77" s="447"/>
      <c r="C77" s="430"/>
      <c r="D77" s="430"/>
      <c r="E77" s="430"/>
      <c r="F77" s="430"/>
      <c r="G77" s="430"/>
      <c r="H77" s="430"/>
      <c r="I77" s="430"/>
      <c r="J77" s="430"/>
      <c r="K77" s="430"/>
      <c r="L77" s="430"/>
      <c r="M77" s="430"/>
      <c r="N77" s="430"/>
      <c r="O77" s="430"/>
      <c r="P77" s="430"/>
      <c r="Q77" s="430"/>
      <c r="R77" s="430"/>
      <c r="S77" s="430"/>
      <c r="T77" s="430"/>
      <c r="U77" s="430"/>
      <c r="V77" s="430"/>
      <c r="W77" s="430"/>
      <c r="X77" s="430"/>
      <c r="Y77" s="430"/>
    </row>
    <row r="78" spans="1:25" s="438" customFormat="1" hidden="1" outlineLevel="1">
      <c r="A78" s="426" t="s">
        <v>134</v>
      </c>
      <c r="B78" s="447"/>
      <c r="C78" s="430"/>
      <c r="D78" s="430"/>
      <c r="E78" s="430"/>
      <c r="F78" s="430"/>
      <c r="G78" s="430"/>
      <c r="H78" s="430"/>
      <c r="I78" s="430"/>
      <c r="J78" s="430"/>
      <c r="K78" s="430"/>
      <c r="L78" s="430"/>
      <c r="M78" s="430"/>
      <c r="N78" s="430"/>
      <c r="O78" s="430"/>
      <c r="P78" s="430"/>
      <c r="Q78" s="430"/>
      <c r="R78" s="430"/>
      <c r="S78" s="430"/>
      <c r="T78" s="430"/>
      <c r="U78" s="430"/>
      <c r="V78" s="430"/>
      <c r="W78" s="430"/>
      <c r="X78" s="430"/>
      <c r="Y78" s="430"/>
    </row>
    <row r="79" spans="1:25" s="438" customFormat="1" hidden="1" outlineLevel="1">
      <c r="A79" s="429" t="str">
        <f t="shared" ref="A79:A85" si="194">+A70</f>
        <v>Advertising and Marketing Expense</v>
      </c>
      <c r="B79" s="447"/>
      <c r="D79" s="430">
        <f t="shared" ref="D79:I79" si="195">+D61/C61-1</f>
        <v>1.2099806689861987</v>
      </c>
      <c r="E79" s="430">
        <f t="shared" si="195"/>
        <v>2.1540865576791202</v>
      </c>
      <c r="F79" s="430">
        <f t="shared" si="195"/>
        <v>1.1730849575216955</v>
      </c>
      <c r="G79" s="430">
        <f t="shared" si="195"/>
        <v>2.1181742971709197</v>
      </c>
      <c r="H79" s="430">
        <f t="shared" si="195"/>
        <v>-0.34826168273249547</v>
      </c>
      <c r="I79" s="430">
        <f t="shared" si="195"/>
        <v>-0.10808574781400315</v>
      </c>
      <c r="J79" s="430">
        <f t="shared" ref="J79:L85" si="196">+J61/I61-1</f>
        <v>0.23645088987790852</v>
      </c>
      <c r="K79" s="430">
        <f t="shared" si="196"/>
        <v>0.64210632351262298</v>
      </c>
      <c r="L79" s="430">
        <f t="shared" si="196"/>
        <v>0.2229899162150748</v>
      </c>
      <c r="M79" s="430">
        <f t="shared" ref="M79:M85" si="197">+M61/L61-1</f>
        <v>-1.8120658164553882E-2</v>
      </c>
      <c r="N79" s="430">
        <f t="shared" ref="N79:N85" si="198">+N61/M61-1</f>
        <v>7.5273134727859459E-2</v>
      </c>
      <c r="O79" s="430"/>
      <c r="P79" s="430"/>
      <c r="Q79" s="430"/>
      <c r="R79" s="430">
        <f t="shared" ref="R79:T79" si="199">+R61/Q61-1</f>
        <v>8.2501961128365391</v>
      </c>
      <c r="S79" s="430">
        <f t="shared" si="199"/>
        <v>3.3774845452332674</v>
      </c>
      <c r="T79" s="430">
        <f t="shared" si="199"/>
        <v>5.8903513143909807</v>
      </c>
      <c r="U79" s="430">
        <f>+U61/T61-1</f>
        <v>2.5272532021846934</v>
      </c>
      <c r="V79" s="430">
        <f>+V61/U61-1</f>
        <v>-0.21292796698574579</v>
      </c>
      <c r="W79" s="430">
        <f>+W61/V61-1</f>
        <v>1.0181631483202724</v>
      </c>
      <c r="X79" s="430">
        <f t="shared" ref="X79:X85" si="200">+X61/W61-1</f>
        <v>0.12103396324779991</v>
      </c>
      <c r="Y79" s="430"/>
    </row>
    <row r="80" spans="1:25" s="438" customFormat="1" hidden="1" outlineLevel="1">
      <c r="A80" s="429" t="str">
        <f t="shared" si="194"/>
        <v>Merchant Fees</v>
      </c>
      <c r="B80" s="447"/>
      <c r="D80" s="430">
        <f t="shared" ref="D80:I80" si="201">+D62/C62-1</f>
        <v>-0.54666678695062776</v>
      </c>
      <c r="E80" s="430">
        <f t="shared" si="201"/>
        <v>6.0869938959015402</v>
      </c>
      <c r="F80" s="430">
        <f t="shared" si="201"/>
        <v>0.60967345795750427</v>
      </c>
      <c r="G80" s="430">
        <f t="shared" si="201"/>
        <v>0.90293787349475574</v>
      </c>
      <c r="H80" s="430">
        <f t="shared" si="201"/>
        <v>-0.14361666561893871</v>
      </c>
      <c r="I80" s="430">
        <f t="shared" si="201"/>
        <v>0.52526186415137777</v>
      </c>
      <c r="J80" s="430">
        <f t="shared" si="196"/>
        <v>0.20975519822211419</v>
      </c>
      <c r="K80" s="430">
        <f t="shared" si="196"/>
        <v>0.34590781284753613</v>
      </c>
      <c r="L80" s="430">
        <f t="shared" si="196"/>
        <v>0.2020819625241248</v>
      </c>
      <c r="M80" s="430">
        <f t="shared" si="197"/>
        <v>-5.8171794290461376E-3</v>
      </c>
      <c r="N80" s="430">
        <f t="shared" si="198"/>
        <v>4.2583589472285688E-2</v>
      </c>
      <c r="O80" s="430"/>
      <c r="P80" s="430"/>
      <c r="Q80" s="430"/>
      <c r="R80" s="430">
        <f t="shared" ref="R80:U80" si="202">+R62/Q62-1</f>
        <v>14.502518448958172</v>
      </c>
      <c r="S80" s="430">
        <f t="shared" si="202"/>
        <v>2.2260099901863692</v>
      </c>
      <c r="T80" s="430">
        <f t="shared" si="202"/>
        <v>4.7690003731185397</v>
      </c>
      <c r="U80" s="430">
        <f t="shared" si="202"/>
        <v>1.1789330443490349</v>
      </c>
      <c r="V80" s="430">
        <f t="shared" ref="V80:W85" si="203">+V62/U62-1</f>
        <v>0.55485223496889091</v>
      </c>
      <c r="W80" s="430">
        <f t="shared" si="203"/>
        <v>0.62256508512416397</v>
      </c>
      <c r="X80" s="430">
        <f t="shared" si="200"/>
        <v>0.10852806710811747</v>
      </c>
      <c r="Y80" s="430"/>
    </row>
    <row r="81" spans="1:25" s="438" customFormat="1" hidden="1" outlineLevel="1">
      <c r="A81" s="429" t="str">
        <f t="shared" si="194"/>
        <v>Employee Benefits Expense</v>
      </c>
      <c r="B81" s="447"/>
      <c r="D81" s="430">
        <f t="shared" ref="D81:I81" si="204">+D63/C63-1</f>
        <v>0.52806588308569635</v>
      </c>
      <c r="E81" s="430">
        <f t="shared" si="204"/>
        <v>1.7577173827837922</v>
      </c>
      <c r="F81" s="430">
        <f t="shared" si="204"/>
        <v>1.622940964599934</v>
      </c>
      <c r="G81" s="430">
        <f t="shared" si="204"/>
        <v>-1.2187927210071114E-2</v>
      </c>
      <c r="H81" s="430">
        <f t="shared" si="204"/>
        <v>0.10746970842528514</v>
      </c>
      <c r="I81" s="430">
        <f t="shared" si="204"/>
        <v>0.28871492831433909</v>
      </c>
      <c r="J81" s="430">
        <f t="shared" si="196"/>
        <v>-0.27305134737678638</v>
      </c>
      <c r="K81" s="430">
        <f t="shared" si="196"/>
        <v>1.0447445337422843</v>
      </c>
      <c r="L81" s="430">
        <f t="shared" si="196"/>
        <v>0.37458353600348482</v>
      </c>
      <c r="M81" s="430">
        <f t="shared" si="197"/>
        <v>-2.9442244656535665E-2</v>
      </c>
      <c r="N81" s="430">
        <f t="shared" si="198"/>
        <v>4.258358947228591E-2</v>
      </c>
      <c r="O81" s="430"/>
      <c r="P81" s="430"/>
      <c r="Q81" s="430"/>
      <c r="R81" s="430">
        <f t="shared" ref="R81:U81" si="205">+R63/Q63-1</f>
        <v>11.834877287286799</v>
      </c>
      <c r="S81" s="430">
        <f t="shared" si="205"/>
        <v>1.1375634083182309</v>
      </c>
      <c r="T81" s="430">
        <f t="shared" si="205"/>
        <v>5.0389954942158885</v>
      </c>
      <c r="U81" s="430">
        <f t="shared" si="205"/>
        <v>0.50717238882472637</v>
      </c>
      <c r="V81" s="430">
        <f t="shared" si="203"/>
        <v>0.16951770110448905</v>
      </c>
      <c r="W81" s="430">
        <f t="shared" si="203"/>
        <v>1.0438584704745257</v>
      </c>
      <c r="X81" s="430">
        <f t="shared" si="200"/>
        <v>0.14758511931006035</v>
      </c>
      <c r="Y81" s="430"/>
    </row>
    <row r="82" spans="1:25" s="433" customFormat="1" ht="21.5" hidden="1" outlineLevel="1">
      <c r="A82" s="429" t="str">
        <f t="shared" si="194"/>
        <v>G&amp;A excl. adjustments</v>
      </c>
      <c r="B82" s="458"/>
      <c r="D82" s="416">
        <f t="shared" ref="D82:I82" si="206">+D64/C64-1</f>
        <v>2.510992280097696</v>
      </c>
      <c r="E82" s="416">
        <f t="shared" si="206"/>
        <v>0.24369363851488246</v>
      </c>
      <c r="F82" s="416">
        <f t="shared" si="206"/>
        <v>1.2238414879053288</v>
      </c>
      <c r="G82" s="416">
        <f t="shared" si="206"/>
        <v>0.5593960971358114</v>
      </c>
      <c r="H82" s="416">
        <f t="shared" si="206"/>
        <v>-0.3428978184313094</v>
      </c>
      <c r="I82" s="416">
        <f t="shared" si="206"/>
        <v>1.2831250303291353</v>
      </c>
      <c r="J82" s="416">
        <f t="shared" si="196"/>
        <v>0.3095292687935689</v>
      </c>
      <c r="K82" s="416">
        <f t="shared" si="196"/>
        <v>0.10519723972775163</v>
      </c>
      <c r="L82" s="416">
        <f t="shared" si="196"/>
        <v>0.16239800686724304</v>
      </c>
      <c r="M82" s="416">
        <f t="shared" si="197"/>
        <v>0.27474466924380114</v>
      </c>
      <c r="N82" s="416">
        <f t="shared" si="198"/>
        <v>4.258358947228591E-2</v>
      </c>
      <c r="O82" s="416"/>
      <c r="P82" s="416"/>
      <c r="Q82" s="416"/>
      <c r="R82" s="416">
        <f t="shared" ref="R82:U82" si="207">+R64/Q64-1</f>
        <v>2.0769606500875848</v>
      </c>
      <c r="S82" s="416">
        <f t="shared" si="207"/>
        <v>4.1391453487631695</v>
      </c>
      <c r="T82" s="416">
        <f t="shared" si="207"/>
        <v>2.1206487134421006</v>
      </c>
      <c r="U82" s="416">
        <f t="shared" si="207"/>
        <v>0.78252602862424547</v>
      </c>
      <c r="V82" s="416">
        <f t="shared" si="203"/>
        <v>1.0909169621635164</v>
      </c>
      <c r="W82" s="416">
        <f t="shared" si="203"/>
        <v>0.35508695079581654</v>
      </c>
      <c r="X82" s="416">
        <f t="shared" si="200"/>
        <v>0.39965908391335092</v>
      </c>
      <c r="Y82" s="416"/>
    </row>
    <row r="83" spans="1:25" s="438" customFormat="1" hidden="1" outlineLevel="1">
      <c r="A83" s="435" t="str">
        <f t="shared" si="194"/>
        <v>Total Adj. Opex</v>
      </c>
      <c r="B83" s="447"/>
      <c r="D83" s="430">
        <f t="shared" ref="D83:I84" si="208">+D65/C65-1</f>
        <v>0.65719244786369346</v>
      </c>
      <c r="E83" s="430">
        <f t="shared" si="208"/>
        <v>1.9644876578694226</v>
      </c>
      <c r="F83" s="430">
        <f t="shared" si="208"/>
        <v>1.0720581499857396</v>
      </c>
      <c r="G83" s="430">
        <f t="shared" si="208"/>
        <v>1.4652214725874257</v>
      </c>
      <c r="H83" s="430">
        <f t="shared" si="208"/>
        <v>-0.29930098411960582</v>
      </c>
      <c r="I83" s="430">
        <f t="shared" si="208"/>
        <v>0.14398112751342751</v>
      </c>
      <c r="J83" s="430">
        <f t="shared" si="196"/>
        <v>0.20642240196381834</v>
      </c>
      <c r="K83" s="430">
        <f t="shared" si="196"/>
        <v>0.49298528149322252</v>
      </c>
      <c r="L83" s="430">
        <f t="shared" si="196"/>
        <v>0.2192093289050463</v>
      </c>
      <c r="M83" s="430">
        <f t="shared" si="197"/>
        <v>1.9588300580214435E-2</v>
      </c>
      <c r="N83" s="430">
        <f t="shared" si="198"/>
        <v>6.1307942520343106E-2</v>
      </c>
      <c r="O83" s="430"/>
      <c r="P83" s="430"/>
      <c r="Q83" s="430"/>
      <c r="R83" s="430">
        <f t="shared" ref="R83:U84" si="209">+R65/Q65-1</f>
        <v>6.5961598564095443</v>
      </c>
      <c r="S83" s="430">
        <f t="shared" si="209"/>
        <v>2.8797916194807307</v>
      </c>
      <c r="T83" s="430">
        <f t="shared" si="209"/>
        <v>4.6797473116925561</v>
      </c>
      <c r="U83" s="430">
        <f t="shared" si="209"/>
        <v>1.8278470070945616</v>
      </c>
      <c r="V83" s="430">
        <f t="shared" si="203"/>
        <v>3.9947859317291723E-2</v>
      </c>
      <c r="W83" s="430">
        <f t="shared" si="203"/>
        <v>0.81160925357783853</v>
      </c>
      <c r="X83" s="430">
        <f t="shared" si="200"/>
        <v>0.15464300209329007</v>
      </c>
      <c r="Y83" s="430"/>
    </row>
    <row r="84" spans="1:25" s="433" customFormat="1" ht="21.5" hidden="1" outlineLevel="1">
      <c r="A84" s="429" t="str">
        <f t="shared" si="194"/>
        <v>Other Income offset</v>
      </c>
      <c r="B84" s="458"/>
      <c r="D84" s="416">
        <f t="shared" si="208"/>
        <v>0.52982555296537903</v>
      </c>
      <c r="E84" s="416">
        <f t="shared" si="208"/>
        <v>0.90654611323071599</v>
      </c>
      <c r="F84" s="416">
        <f t="shared" si="208"/>
        <v>0.21435370731878267</v>
      </c>
      <c r="G84" s="416">
        <f t="shared" si="208"/>
        <v>0.31319435585332944</v>
      </c>
      <c r="H84" s="416">
        <f t="shared" si="208"/>
        <v>0.25375746890558082</v>
      </c>
      <c r="I84" s="416">
        <f t="shared" si="208"/>
        <v>-0.18251846972735275</v>
      </c>
      <c r="J84" s="416">
        <f t="shared" si="196"/>
        <v>0.3621980629540853</v>
      </c>
      <c r="K84" s="416">
        <f t="shared" si="196"/>
        <v>0.10422776686651258</v>
      </c>
      <c r="L84" s="416">
        <f t="shared" si="196"/>
        <v>0.19900538047576211</v>
      </c>
      <c r="M84" s="416">
        <f t="shared" si="197"/>
        <v>0</v>
      </c>
      <c r="N84" s="416">
        <f t="shared" si="198"/>
        <v>0</v>
      </c>
      <c r="O84" s="416"/>
      <c r="P84" s="416"/>
      <c r="Q84" s="416"/>
      <c r="R84" s="416">
        <f t="shared" si="209"/>
        <v>13.251653865113663</v>
      </c>
      <c r="S84" s="416">
        <f t="shared" si="209"/>
        <v>2.2624122767390911</v>
      </c>
      <c r="T84" s="416">
        <f t="shared" si="209"/>
        <v>1.5529695999182405</v>
      </c>
      <c r="U84" s="416">
        <f t="shared" si="209"/>
        <v>0.62305933118059387</v>
      </c>
      <c r="V84" s="416">
        <f t="shared" si="203"/>
        <v>7.4238251108821762E-2</v>
      </c>
      <c r="W84" s="416">
        <f t="shared" si="203"/>
        <v>0.40026071620531467</v>
      </c>
      <c r="X84" s="416">
        <f t="shared" si="200"/>
        <v>9.0497905208720475E-2</v>
      </c>
      <c r="Y84" s="416"/>
    </row>
    <row r="85" spans="1:25" s="438" customFormat="1" hidden="1" outlineLevel="1">
      <c r="A85" s="435" t="str">
        <f t="shared" si="194"/>
        <v>Total Adj. Opex less Other Income</v>
      </c>
      <c r="B85" s="447"/>
      <c r="D85" s="430">
        <f t="shared" ref="D85" si="210">+D67/C67-1</f>
        <v>0.67509737554872506</v>
      </c>
      <c r="E85" s="430">
        <f t="shared" ref="E85" si="211">+E67/D67-1</f>
        <v>2.1003126018484064</v>
      </c>
      <c r="F85" s="430">
        <f t="shared" ref="F85" si="212">+F67/E67-1</f>
        <v>1.1397750939904236</v>
      </c>
      <c r="G85" s="430">
        <f t="shared" ref="G85" si="213">+G67/F67-1</f>
        <v>1.5168392698544775</v>
      </c>
      <c r="H85" s="430">
        <f t="shared" ref="H85" si="214">+H67/G67-1</f>
        <v>-0.31223047208427013</v>
      </c>
      <c r="I85" s="430">
        <f t="shared" ref="I85" si="215">+I67/H67-1</f>
        <v>0.15789549741737319</v>
      </c>
      <c r="J85" s="430">
        <f t="shared" si="196"/>
        <v>0.20173546533501585</v>
      </c>
      <c r="K85" s="430">
        <f t="shared" si="196"/>
        <v>0.50624394216863933</v>
      </c>
      <c r="L85" s="430">
        <f t="shared" si="196"/>
        <v>0.21971447902534869</v>
      </c>
      <c r="M85" s="430">
        <f t="shared" si="197"/>
        <v>2.0069742521682699E-2</v>
      </c>
      <c r="N85" s="430">
        <f t="shared" si="198"/>
        <v>6.2785124626065558E-2</v>
      </c>
      <c r="O85" s="430"/>
      <c r="P85" s="430"/>
      <c r="Q85" s="430"/>
      <c r="R85" s="430">
        <f t="shared" ref="R85" si="216">+R67/Q67-1</f>
        <v>6.0613433735672491</v>
      </c>
      <c r="S85" s="430">
        <f t="shared" ref="S85" si="217">+S67/R67-1</f>
        <v>2.9799193831126534</v>
      </c>
      <c r="T85" s="430">
        <f t="shared" ref="T85" si="218">+T67/S67-1</f>
        <v>5.095431971007752</v>
      </c>
      <c r="U85" s="430">
        <f t="shared" ref="U85" si="219">+U67/T67-1</f>
        <v>1.8949309623935524</v>
      </c>
      <c r="V85" s="430">
        <f t="shared" si="203"/>
        <v>3.8877383708064261E-2</v>
      </c>
      <c r="W85" s="430">
        <f t="shared" si="203"/>
        <v>0.82488780217114499</v>
      </c>
      <c r="X85" s="430">
        <f t="shared" si="200"/>
        <v>0.15623182997303942</v>
      </c>
      <c r="Y85" s="430"/>
    </row>
    <row r="86" spans="1:25" s="438" customFormat="1" hidden="1" outlineLevel="1">
      <c r="A86" s="429"/>
      <c r="B86" s="447"/>
      <c r="C86" s="430"/>
      <c r="D86" s="430"/>
      <c r="E86" s="430"/>
      <c r="F86" s="430"/>
      <c r="G86" s="430"/>
      <c r="H86" s="430"/>
      <c r="I86" s="430"/>
      <c r="J86" s="430"/>
      <c r="K86" s="430"/>
      <c r="L86" s="430"/>
      <c r="M86" s="430"/>
      <c r="N86" s="430"/>
      <c r="O86" s="430"/>
      <c r="P86" s="430"/>
      <c r="Q86" s="430"/>
      <c r="R86" s="430"/>
      <c r="S86" s="430"/>
      <c r="T86" s="430"/>
      <c r="U86" s="430"/>
      <c r="V86" s="430"/>
      <c r="W86" s="430"/>
      <c r="X86" s="430"/>
      <c r="Y86" s="430"/>
    </row>
    <row r="87" spans="1:25" s="438" customFormat="1" collapsed="1">
      <c r="A87" s="426" t="s">
        <v>27</v>
      </c>
      <c r="B87" s="447"/>
      <c r="C87" s="430"/>
      <c r="D87" s="430"/>
      <c r="E87" s="430"/>
      <c r="F87" s="430"/>
      <c r="G87" s="430"/>
      <c r="H87" s="430"/>
      <c r="I87" s="430"/>
      <c r="J87" s="430"/>
      <c r="K87" s="430"/>
      <c r="L87" s="430"/>
      <c r="M87" s="430"/>
      <c r="N87" s="430"/>
      <c r="O87" s="430"/>
      <c r="P87" s="430"/>
      <c r="Q87" s="430"/>
      <c r="R87" s="430"/>
      <c r="S87" s="430"/>
      <c r="T87" s="430"/>
      <c r="U87" s="430"/>
      <c r="V87" s="430"/>
      <c r="W87" s="430"/>
      <c r="X87" s="430"/>
      <c r="Y87" s="430"/>
    </row>
    <row r="88" spans="1:25" s="438" customFormat="1">
      <c r="A88" s="429" t="str">
        <f t="shared" ref="A88:A94" si="220">+A70</f>
        <v>Advertising and Marketing Expense</v>
      </c>
      <c r="B88" s="447"/>
      <c r="C88" s="430">
        <f t="shared" ref="C88:J88" si="221">+C61/C$33</f>
        <v>8.3654275298537126E-2</v>
      </c>
      <c r="D88" s="430">
        <f t="shared" si="221"/>
        <v>8.5104456381443816E-2</v>
      </c>
      <c r="E88" s="430">
        <f t="shared" si="221"/>
        <v>9.5358403896731572E-2</v>
      </c>
      <c r="F88" s="430">
        <f t="shared" si="221"/>
        <v>0.15174878242237302</v>
      </c>
      <c r="G88" s="430">
        <f t="shared" si="221"/>
        <v>0.22756733843760182</v>
      </c>
      <c r="H88" s="430">
        <f t="shared" si="221"/>
        <v>0.17837173621720973</v>
      </c>
      <c r="I88" s="430">
        <f t="shared" si="221"/>
        <v>8.797021848325462E-2</v>
      </c>
      <c r="J88" s="430">
        <f t="shared" si="221"/>
        <v>8.8231990660471091E-2</v>
      </c>
      <c r="K88" s="430">
        <f t="shared" ref="K88:L88" si="222">+K61/K$33</f>
        <v>9.6655335374831466E-2</v>
      </c>
      <c r="L88" s="430">
        <f t="shared" si="222"/>
        <v>0.10697818669809699</v>
      </c>
      <c r="M88" s="430">
        <f t="shared" ref="M88:N88" si="223">+M61/M$33</f>
        <v>9.3855114479452231E-2</v>
      </c>
      <c r="N88" s="430">
        <f t="shared" si="223"/>
        <v>9.679788189227527E-2</v>
      </c>
      <c r="O88" s="430"/>
      <c r="P88" s="430"/>
      <c r="Q88" s="430">
        <f t="shared" ref="Q88:Q94" si="224">+Q61/Q$33</f>
        <v>7.5367647058823525E-2</v>
      </c>
      <c r="R88" s="430">
        <f t="shared" ref="R88:U88" si="225">+R61/R$33</f>
        <v>7.1973754381325666E-2</v>
      </c>
      <c r="S88" s="430">
        <f t="shared" si="225"/>
        <v>8.4647320938393306E-2</v>
      </c>
      <c r="T88" s="430">
        <f t="shared" si="225"/>
        <v>0.12791070486120321</v>
      </c>
      <c r="U88" s="430">
        <f t="shared" si="225"/>
        <v>0.20523270532245241</v>
      </c>
      <c r="V88" s="430">
        <f t="shared" ref="V88:W88" si="226">+V61/V$33</f>
        <v>8.8114750322005247E-2</v>
      </c>
      <c r="W88" s="430">
        <f t="shared" si="226"/>
        <v>0.1020741671496961</v>
      </c>
      <c r="X88" s="430">
        <f t="shared" ref="X88" si="227">+X61/X$33</f>
        <v>9.5357173454201832E-2</v>
      </c>
      <c r="Y88" s="430"/>
    </row>
    <row r="89" spans="1:25" s="438" customFormat="1">
      <c r="A89" s="429" t="str">
        <f t="shared" si="220"/>
        <v>Merchant Fees</v>
      </c>
      <c r="B89" s="447"/>
      <c r="C89" s="430">
        <f t="shared" ref="C89:I94" si="228">+C62/C$33</f>
        <v>8.3488212930256239E-2</v>
      </c>
      <c r="D89" s="430">
        <f t="shared" si="228"/>
        <v>1.742281757143067E-2</v>
      </c>
      <c r="E89" s="430">
        <f t="shared" si="228"/>
        <v>4.3864533178863754E-2</v>
      </c>
      <c r="F89" s="430">
        <f t="shared" si="228"/>
        <v>5.1705986818383426E-2</v>
      </c>
      <c r="G89" s="430">
        <f t="shared" si="228"/>
        <v>4.7320548350768592E-2</v>
      </c>
      <c r="H89" s="430">
        <f t="shared" si="228"/>
        <v>4.8737228651174504E-2</v>
      </c>
      <c r="I89" s="430">
        <f t="shared" si="228"/>
        <v>4.1104727107290351E-2</v>
      </c>
      <c r="J89" s="430">
        <f t="shared" ref="J89:K89" si="229">+J62/J$33</f>
        <v>4.0336926325691781E-2</v>
      </c>
      <c r="K89" s="430">
        <f t="shared" si="229"/>
        <v>3.62173438956368E-2</v>
      </c>
      <c r="L89" s="430">
        <f t="shared" ref="L89" si="230">+L62/L$33</f>
        <v>3.9400088866328932E-2</v>
      </c>
      <c r="M89" s="444">
        <v>3.5000000000000003E-2</v>
      </c>
      <c r="N89" s="444">
        <v>3.5000000000000003E-2</v>
      </c>
      <c r="O89" s="430"/>
      <c r="P89" s="430"/>
      <c r="Q89" s="430">
        <f t="shared" si="224"/>
        <v>2.7573529411764702E-2</v>
      </c>
      <c r="R89" s="430">
        <f t="shared" ref="R89:U89" si="231">+R62/R$33</f>
        <v>4.4129893197309165E-2</v>
      </c>
      <c r="S89" s="430">
        <f t="shared" si="231"/>
        <v>3.8248378002222166E-2</v>
      </c>
      <c r="T89" s="430">
        <f t="shared" si="231"/>
        <v>4.8391145085831658E-2</v>
      </c>
      <c r="U89" s="430">
        <f t="shared" si="231"/>
        <v>4.7963716303246882E-2</v>
      </c>
      <c r="V89" s="430">
        <f t="shared" ref="V89:W89" si="232">+V62/V$33</f>
        <v>4.0680802533110537E-2</v>
      </c>
      <c r="W89" s="430">
        <f t="shared" si="232"/>
        <v>3.7888079919859742E-2</v>
      </c>
      <c r="X89" s="430">
        <f t="shared" ref="X89" si="233">+X62/X$33</f>
        <v>3.4999999999999996E-2</v>
      </c>
      <c r="Y89" s="430"/>
    </row>
    <row r="90" spans="1:25" s="438" customFormat="1">
      <c r="A90" s="429" t="str">
        <f t="shared" si="220"/>
        <v>Employee Benefits Expense</v>
      </c>
      <c r="B90" s="447"/>
      <c r="C90" s="430">
        <f t="shared" si="228"/>
        <v>1.930839453846309E-2</v>
      </c>
      <c r="D90" s="430">
        <f t="shared" si="228"/>
        <v>1.3582006363854024E-2</v>
      </c>
      <c r="E90" s="430">
        <f t="shared" si="228"/>
        <v>1.3305976437778566E-2</v>
      </c>
      <c r="F90" s="430">
        <f t="shared" si="228"/>
        <v>2.5557878563141685E-2</v>
      </c>
      <c r="G90" s="430">
        <f t="shared" si="228"/>
        <v>1.2141810756274131E-2</v>
      </c>
      <c r="H90" s="430">
        <f t="shared" si="228"/>
        <v>1.6171792874901225E-2</v>
      </c>
      <c r="I90" s="430">
        <f t="shared" si="228"/>
        <v>1.1523955085366591E-2</v>
      </c>
      <c r="J90" s="430">
        <f t="shared" ref="J90:K90" si="234">+J63/J$33</f>
        <v>6.7954595014796037E-3</v>
      </c>
      <c r="K90" s="430">
        <f t="shared" si="234"/>
        <v>9.2695012056280401E-3</v>
      </c>
      <c r="L90" s="430">
        <f t="shared" ref="L90" si="235">+L63/L$33</f>
        <v>1.1531187318165522E-2</v>
      </c>
      <c r="M90" s="444">
        <v>0.01</v>
      </c>
      <c r="N90" s="444">
        <v>0.01</v>
      </c>
      <c r="O90" s="430"/>
      <c r="P90" s="430"/>
      <c r="Q90" s="430">
        <f t="shared" si="224"/>
        <v>2.0220588235294115E-2</v>
      </c>
      <c r="R90" s="430">
        <f t="shared" ref="R90:U90" si="236">+R63/R$33</f>
        <v>2.6793149441223425E-2</v>
      </c>
      <c r="S90" s="430">
        <f t="shared" si="236"/>
        <v>1.5387115412740687E-2</v>
      </c>
      <c r="T90" s="430">
        <f t="shared" si="236"/>
        <v>2.037859442332228E-2</v>
      </c>
      <c r="U90" s="430">
        <f t="shared" si="236"/>
        <v>1.3971408688156738E-2</v>
      </c>
      <c r="V90" s="430">
        <f t="shared" ref="V90:W90" si="237">+V63/V$33</f>
        <v>8.9132186483223737E-3</v>
      </c>
      <c r="W90" s="430">
        <f t="shared" si="237"/>
        <v>1.0456740679257427E-2</v>
      </c>
      <c r="X90" s="430">
        <f t="shared" ref="X90" si="238">+X63/X$33</f>
        <v>9.9999999999999985E-3</v>
      </c>
      <c r="Y90" s="430"/>
    </row>
    <row r="91" spans="1:25" s="438" customFormat="1" ht="21.5">
      <c r="A91" s="429" t="str">
        <f t="shared" si="220"/>
        <v>G&amp;A excl. adjustments</v>
      </c>
      <c r="B91" s="447"/>
      <c r="C91" s="416">
        <f t="shared" si="228"/>
        <v>3.0617213236228329E-2</v>
      </c>
      <c r="D91" s="416">
        <f t="shared" si="228"/>
        <v>4.9484731624656754E-2</v>
      </c>
      <c r="E91" s="416">
        <f t="shared" si="228"/>
        <v>2.1863399775702792E-2</v>
      </c>
      <c r="F91" s="416">
        <f t="shared" si="228"/>
        <v>3.5605005769205299E-2</v>
      </c>
      <c r="G91" s="416">
        <f t="shared" si="228"/>
        <v>2.6702494301347732E-2</v>
      </c>
      <c r="H91" s="416">
        <f t="shared" si="228"/>
        <v>2.1102193186674337E-2</v>
      </c>
      <c r="I91" s="416">
        <f t="shared" si="228"/>
        <v>2.6640588675080394E-2</v>
      </c>
      <c r="J91" s="416">
        <f t="shared" ref="J91:K91" si="239">+J64/J$33</f>
        <v>2.8299096003757719E-2</v>
      </c>
      <c r="K91" s="416">
        <f t="shared" si="239"/>
        <v>2.0864637076285688E-2</v>
      </c>
      <c r="L91" s="416">
        <f t="shared" ref="L91" si="240">+L64/L$33</f>
        <v>2.1948872487936814E-2</v>
      </c>
      <c r="M91" s="459">
        <v>2.5000000000000001E-2</v>
      </c>
      <c r="N91" s="459">
        <v>2.5000000000000001E-2</v>
      </c>
      <c r="O91" s="430"/>
      <c r="P91" s="430"/>
      <c r="Q91" s="416">
        <f t="shared" si="224"/>
        <v>9.9264705882352949E-2</v>
      </c>
      <c r="R91" s="416">
        <f t="shared" ref="R91:U91" si="241">+R64/R$33</f>
        <v>3.1532257362437033E-2</v>
      </c>
      <c r="S91" s="416">
        <f t="shared" si="241"/>
        <v>4.35371906731018E-2</v>
      </c>
      <c r="T91" s="416">
        <f t="shared" si="241"/>
        <v>2.979597454698717E-2</v>
      </c>
      <c r="U91" s="416">
        <f t="shared" si="241"/>
        <v>2.4159976980993758E-2</v>
      </c>
      <c r="V91" s="416">
        <f t="shared" ref="V91:W91" si="242">+V64/V$33</f>
        <v>2.7556297580220865E-2</v>
      </c>
      <c r="W91" s="416">
        <f t="shared" si="242"/>
        <v>2.1433790802916127E-2</v>
      </c>
      <c r="X91" s="416">
        <f t="shared" ref="X91" si="243">+X64/X$33</f>
        <v>2.4999999999999998E-2</v>
      </c>
      <c r="Y91" s="430"/>
    </row>
    <row r="92" spans="1:25" s="438" customFormat="1">
      <c r="A92" s="435" t="str">
        <f t="shared" si="220"/>
        <v>Total Adj. Opex</v>
      </c>
      <c r="B92" s="447"/>
      <c r="C92" s="430">
        <f t="shared" si="228"/>
        <v>0.21706809600348478</v>
      </c>
      <c r="D92" s="430">
        <f t="shared" si="228"/>
        <v>0.16559401194138526</v>
      </c>
      <c r="E92" s="430">
        <f t="shared" si="228"/>
        <v>0.17439231328907667</v>
      </c>
      <c r="F92" s="430">
        <f t="shared" si="228"/>
        <v>0.26461765357310341</v>
      </c>
      <c r="G92" s="430">
        <f t="shared" si="228"/>
        <v>0.31373219184599227</v>
      </c>
      <c r="H92" s="430">
        <f t="shared" si="228"/>
        <v>0.26438295092995984</v>
      </c>
      <c r="I92" s="430">
        <f t="shared" si="228"/>
        <v>0.16723948935099192</v>
      </c>
      <c r="J92" s="430">
        <f>+J65/J$33</f>
        <v>0.16366347249140023</v>
      </c>
      <c r="K92" s="430">
        <f t="shared" ref="K92:L94" si="244">+K65/K$33</f>
        <v>0.16300681755238197</v>
      </c>
      <c r="L92" s="430">
        <f t="shared" si="244"/>
        <v>0.17985833537052828</v>
      </c>
      <c r="M92" s="430">
        <f t="shared" ref="M92:N92" si="245">+M65/M$33</f>
        <v>0.16385511447945222</v>
      </c>
      <c r="N92" s="430">
        <f t="shared" si="245"/>
        <v>0.16679788189227529</v>
      </c>
      <c r="O92" s="430"/>
      <c r="P92" s="430"/>
      <c r="Q92" s="430">
        <f t="shared" si="224"/>
        <v>0.22242647058823531</v>
      </c>
      <c r="R92" s="430">
        <f t="shared" ref="R92:U92" si="246">+R65/R$33</f>
        <v>0.17442905438229528</v>
      </c>
      <c r="S92" s="430">
        <f t="shared" si="246"/>
        <v>0.18182000502645795</v>
      </c>
      <c r="T92" s="430">
        <f t="shared" si="246"/>
        <v>0.22647641891734432</v>
      </c>
      <c r="U92" s="430">
        <f t="shared" si="246"/>
        <v>0.29132780729484981</v>
      </c>
      <c r="V92" s="430">
        <f t="shared" ref="V92:V94" si="247">+V65/V$33</f>
        <v>0.16526506908365904</v>
      </c>
      <c r="W92" s="430">
        <f t="shared" ref="W92:X94" si="248">+W65/W$33</f>
        <v>0.17185277855172937</v>
      </c>
      <c r="X92" s="430">
        <f t="shared" si="248"/>
        <v>0.16535717345420184</v>
      </c>
      <c r="Y92" s="430"/>
    </row>
    <row r="93" spans="1:25" s="438" customFormat="1" ht="21.5">
      <c r="A93" s="429" t="str">
        <f t="shared" si="220"/>
        <v>Other Income offset</v>
      </c>
      <c r="B93" s="447"/>
      <c r="C93" s="416">
        <f t="shared" si="228"/>
        <v>2.67539051452324E-2</v>
      </c>
      <c r="D93" s="416">
        <f t="shared" si="228"/>
        <v>1.8841036006328162E-2</v>
      </c>
      <c r="E93" s="416">
        <f t="shared" si="228"/>
        <v>1.2761013181591773E-2</v>
      </c>
      <c r="F93" s="416">
        <f t="shared" si="228"/>
        <v>1.1348014880912164E-2</v>
      </c>
      <c r="G93" s="416">
        <f t="shared" si="228"/>
        <v>7.1669311390386041E-3</v>
      </c>
      <c r="H93" s="416">
        <f t="shared" si="228"/>
        <v>1.0806613507641998E-2</v>
      </c>
      <c r="I93" s="416">
        <f t="shared" si="228"/>
        <v>4.8848822096362321E-3</v>
      </c>
      <c r="J93" s="416">
        <f t="shared" ref="J93:K93" si="249">+J66/J$33</f>
        <v>5.3976893966842937E-3</v>
      </c>
      <c r="K93" s="416">
        <f t="shared" si="249"/>
        <v>3.9761708265342813E-3</v>
      </c>
      <c r="L93" s="416">
        <f t="shared" ref="L93" si="250">+L66/L$33</f>
        <v>4.3145220262031771E-3</v>
      </c>
      <c r="M93" s="416">
        <f t="shared" ref="M93:N93" si="251">+M66/M$33</f>
        <v>3.8551144794522381E-3</v>
      </c>
      <c r="N93" s="416">
        <f t="shared" si="251"/>
        <v>3.6976550545971508E-3</v>
      </c>
      <c r="O93" s="430"/>
      <c r="P93" s="430"/>
      <c r="Q93" s="416">
        <f t="shared" si="224"/>
        <v>1.654411764705882E-2</v>
      </c>
      <c r="R93" s="416">
        <f t="shared" ref="R93:W93" si="252">+R66/R$33</f>
        <v>2.4341488708039576E-2</v>
      </c>
      <c r="S93" s="416">
        <f t="shared" si="252"/>
        <v>2.133538170029034E-2</v>
      </c>
      <c r="T93" s="416">
        <f t="shared" si="252"/>
        <v>1.1945335983661732E-2</v>
      </c>
      <c r="U93" s="416">
        <f t="shared" si="252"/>
        <v>8.819334335451531E-3</v>
      </c>
      <c r="V93" s="416">
        <f t="shared" si="252"/>
        <v>5.1680175926884422E-3</v>
      </c>
      <c r="W93" s="416">
        <f t="shared" si="252"/>
        <v>4.1537834041461604E-3</v>
      </c>
      <c r="X93" s="416">
        <f t="shared" ref="X93" si="253">+X66/X$33</f>
        <v>3.7747434174267803E-3</v>
      </c>
      <c r="Y93" s="430"/>
    </row>
    <row r="94" spans="1:25" s="438" customFormat="1">
      <c r="A94" s="435" t="str">
        <f t="shared" si="220"/>
        <v>Total Adj. Opex less Other Income</v>
      </c>
      <c r="B94" s="447"/>
      <c r="C94" s="430">
        <f t="shared" si="228"/>
        <v>0.19031419085825238</v>
      </c>
      <c r="D94" s="430">
        <f t="shared" si="228"/>
        <v>0.1467529759350571</v>
      </c>
      <c r="E94" s="430">
        <f t="shared" si="228"/>
        <v>0.16163130010748492</v>
      </c>
      <c r="F94" s="430">
        <f t="shared" si="228"/>
        <v>0.25326963869219127</v>
      </c>
      <c r="G94" s="430">
        <f t="shared" si="228"/>
        <v>0.30656526070695367</v>
      </c>
      <c r="H94" s="430">
        <f t="shared" si="228"/>
        <v>0.25357633742231783</v>
      </c>
      <c r="I94" s="430">
        <f t="shared" si="228"/>
        <v>0.16235460714135569</v>
      </c>
      <c r="J94" s="430">
        <f>+J67/J$33</f>
        <v>0.15826578309471592</v>
      </c>
      <c r="K94" s="430">
        <f t="shared" si="244"/>
        <v>0.15903064672584771</v>
      </c>
      <c r="L94" s="430">
        <f t="shared" si="244"/>
        <v>0.17554381334432509</v>
      </c>
      <c r="M94" s="430">
        <f t="shared" ref="M94:N94" si="254">+M67/M$33</f>
        <v>0.16</v>
      </c>
      <c r="N94" s="430">
        <f t="shared" si="254"/>
        <v>0.16310022683767814</v>
      </c>
      <c r="O94" s="430"/>
      <c r="P94" s="430"/>
      <c r="Q94" s="430">
        <f t="shared" si="224"/>
        <v>0.20588235294117652</v>
      </c>
      <c r="R94" s="430">
        <f t="shared" ref="R94:U94" si="255">+R67/R$33</f>
        <v>0.15008756567425571</v>
      </c>
      <c r="S94" s="430">
        <f t="shared" si="255"/>
        <v>0.16048462332616761</v>
      </c>
      <c r="T94" s="430">
        <f t="shared" si="255"/>
        <v>0.21453108293368259</v>
      </c>
      <c r="U94" s="430">
        <f t="shared" si="255"/>
        <v>0.28250847295939824</v>
      </c>
      <c r="V94" s="430">
        <f t="shared" si="247"/>
        <v>0.16009705149097059</v>
      </c>
      <c r="W94" s="430">
        <f t="shared" si="248"/>
        <v>0.16769899514758324</v>
      </c>
      <c r="X94" s="430">
        <f t="shared" si="248"/>
        <v>0.16158243003677505</v>
      </c>
      <c r="Y94" s="430"/>
    </row>
    <row r="95" spans="1:25" s="438" customFormat="1">
      <c r="A95" s="435"/>
      <c r="B95" s="447"/>
      <c r="C95" s="430"/>
      <c r="D95" s="430"/>
      <c r="E95" s="430"/>
      <c r="F95" s="430"/>
      <c r="G95" s="430"/>
      <c r="H95" s="430"/>
      <c r="I95" s="430"/>
      <c r="J95" s="430"/>
      <c r="K95" s="430"/>
      <c r="L95" s="430"/>
      <c r="M95" s="430"/>
      <c r="N95" s="430"/>
      <c r="O95" s="430"/>
      <c r="P95" s="430"/>
      <c r="Q95" s="430"/>
      <c r="R95" s="430"/>
      <c r="S95" s="430"/>
      <c r="T95" s="430"/>
      <c r="U95" s="430"/>
      <c r="V95" s="430"/>
      <c r="W95" s="430"/>
      <c r="X95" s="430"/>
      <c r="Y95" s="430"/>
    </row>
    <row r="96" spans="1:25" s="438" customFormat="1">
      <c r="A96" s="426" t="s">
        <v>147</v>
      </c>
      <c r="B96" s="447"/>
      <c r="C96" s="430"/>
      <c r="D96" s="430"/>
      <c r="E96" s="430"/>
      <c r="F96" s="430"/>
      <c r="G96" s="430"/>
      <c r="H96" s="430"/>
      <c r="I96" s="430"/>
      <c r="J96" s="430"/>
      <c r="K96" s="430"/>
      <c r="L96" s="430"/>
      <c r="M96" s="430"/>
      <c r="N96" s="430"/>
      <c r="O96" s="430"/>
      <c r="P96" s="430"/>
      <c r="Q96" s="430"/>
      <c r="R96" s="430"/>
      <c r="S96" s="430"/>
      <c r="T96" s="430"/>
      <c r="U96" s="430"/>
      <c r="V96" s="430"/>
      <c r="W96" s="430"/>
      <c r="X96" s="430"/>
      <c r="Y96" s="430"/>
    </row>
    <row r="97" spans="1:25" s="438" customFormat="1">
      <c r="A97" s="429" t="str">
        <f t="shared" ref="A97:A103" si="256">+A88</f>
        <v>Advertising and Marketing Expense</v>
      </c>
      <c r="B97" s="447"/>
      <c r="C97" s="430">
        <f t="shared" ref="C97:H97" si="257">+C61/C$40</f>
        <v>0.26241102004349304</v>
      </c>
      <c r="D97" s="430">
        <f t="shared" si="257"/>
        <v>0.32262560116998518</v>
      </c>
      <c r="E97" s="430">
        <f t="shared" si="257"/>
        <v>0.3406314020353246</v>
      </c>
      <c r="F97" s="430">
        <f t="shared" si="257"/>
        <v>0.74063481419769339</v>
      </c>
      <c r="G97" s="430">
        <f t="shared" si="257"/>
        <v>1.0470792548127268</v>
      </c>
      <c r="H97" s="430">
        <f t="shared" si="257"/>
        <v>1.3565455198175613</v>
      </c>
      <c r="I97" s="430">
        <f>+I61/I$40</f>
        <v>0.35110657878278351</v>
      </c>
      <c r="J97" s="430">
        <f t="shared" ref="J97:L97" si="258">+J61/J$40</f>
        <v>0.41492403412214146</v>
      </c>
      <c r="K97" s="430">
        <f t="shared" si="258"/>
        <v>0.416658040777101</v>
      </c>
      <c r="L97" s="430">
        <f t="shared" si="258"/>
        <v>0.56996655311191857</v>
      </c>
      <c r="M97" s="430">
        <f t="shared" ref="M97:N97" si="259">+M61/M$40</f>
        <v>0.42661415672478287</v>
      </c>
      <c r="N97" s="430">
        <f t="shared" si="259"/>
        <v>0.48398940946137631</v>
      </c>
      <c r="O97" s="430"/>
      <c r="P97" s="430"/>
      <c r="Q97" s="430">
        <f t="shared" ref="Q97:U97" si="260">+Q61/Q$40</f>
        <v>0.14590747330960854</v>
      </c>
      <c r="R97" s="430">
        <f t="shared" si="260"/>
        <v>0.28090918490592587</v>
      </c>
      <c r="S97" s="430">
        <f t="shared" si="260"/>
        <v>0.30110126514181168</v>
      </c>
      <c r="T97" s="430">
        <f t="shared" si="260"/>
        <v>0.54057721585364282</v>
      </c>
      <c r="U97" s="430">
        <f t="shared" si="260"/>
        <v>1.1506544799329121</v>
      </c>
      <c r="V97" s="430">
        <f t="shared" ref="V97:W97" si="261">+V61/V$40</f>
        <v>0.38373695014627063</v>
      </c>
      <c r="W97" s="430">
        <f t="shared" si="261"/>
        <v>0.48902363475257449</v>
      </c>
      <c r="X97" s="430">
        <f t="shared" ref="X97" si="262">+X61/X$40</f>
        <v>0.45453301937215829</v>
      </c>
      <c r="Y97" s="430"/>
    </row>
    <row r="98" spans="1:25" s="438" customFormat="1">
      <c r="A98" s="429" t="str">
        <f t="shared" si="256"/>
        <v>Merchant Fees</v>
      </c>
      <c r="B98" s="447"/>
      <c r="C98" s="430">
        <f t="shared" ref="C98:I98" si="263">+C62/C$40</f>
        <v>0.26189010709199217</v>
      </c>
      <c r="D98" s="430">
        <f t="shared" si="263"/>
        <v>6.6048797349270369E-2</v>
      </c>
      <c r="E98" s="430">
        <f t="shared" si="263"/>
        <v>0.15668925680134524</v>
      </c>
      <c r="F98" s="430">
        <f t="shared" si="263"/>
        <v>0.25235954667202487</v>
      </c>
      <c r="G98" s="430">
        <f t="shared" si="263"/>
        <v>0.21773056205971475</v>
      </c>
      <c r="H98" s="430">
        <f t="shared" si="263"/>
        <v>0.37065440174089648</v>
      </c>
      <c r="I98" s="430">
        <f t="shared" si="263"/>
        <v>0.16405711336488105</v>
      </c>
      <c r="J98" s="430">
        <f t="shared" ref="J98:L98" si="264">+J62/J$40</f>
        <v>0.18969038406431304</v>
      </c>
      <c r="K98" s="430">
        <f t="shared" si="264"/>
        <v>0.15612431006717037</v>
      </c>
      <c r="L98" s="430">
        <f t="shared" si="264"/>
        <v>0.2099188024827893</v>
      </c>
      <c r="M98" s="430">
        <f t="shared" ref="M98:N98" si="265">+M62/M$40</f>
        <v>0.15909090909090909</v>
      </c>
      <c r="N98" s="430">
        <f t="shared" si="265"/>
        <v>0.17499999999999999</v>
      </c>
      <c r="O98" s="430"/>
      <c r="P98" s="430"/>
      <c r="Q98" s="430">
        <f t="shared" ref="Q98:U98" si="266">+Q62/Q$40</f>
        <v>5.3380782918149461E-2</v>
      </c>
      <c r="R98" s="430">
        <f t="shared" si="266"/>
        <v>0.17223628855545817</v>
      </c>
      <c r="S98" s="430">
        <f t="shared" si="266"/>
        <v>0.13605433554681773</v>
      </c>
      <c r="T98" s="430">
        <f t="shared" si="266"/>
        <v>0.20451103377824434</v>
      </c>
      <c r="U98" s="430">
        <f t="shared" si="266"/>
        <v>0.26891262263414967</v>
      </c>
      <c r="V98" s="430">
        <f t="shared" ref="V98:W98" si="267">+V62/V$40</f>
        <v>0.17716360809638462</v>
      </c>
      <c r="W98" s="430">
        <f t="shared" si="267"/>
        <v>0.18151670568160014</v>
      </c>
      <c r="X98" s="430">
        <f t="shared" ref="X98" si="268">+X62/X$40</f>
        <v>0.16683229065788271</v>
      </c>
      <c r="Y98" s="430"/>
    </row>
    <row r="99" spans="1:25" s="438" customFormat="1">
      <c r="A99" s="429" t="str">
        <f t="shared" si="256"/>
        <v>Employee Benefits Expense</v>
      </c>
      <c r="B99" s="447"/>
      <c r="C99" s="430">
        <f t="shared" ref="C99:I99" si="269">+C63/C$40</f>
        <v>6.0567562006348677E-2</v>
      </c>
      <c r="D99" s="430">
        <f t="shared" si="269"/>
        <v>5.1488525449160848E-2</v>
      </c>
      <c r="E99" s="430">
        <f t="shared" si="269"/>
        <v>4.7530508316371442E-2</v>
      </c>
      <c r="F99" s="430">
        <f t="shared" si="269"/>
        <v>0.12473941694117248</v>
      </c>
      <c r="G99" s="430">
        <f t="shared" si="269"/>
        <v>5.5866708491836795E-2</v>
      </c>
      <c r="H99" s="430">
        <f t="shared" si="269"/>
        <v>0.12298906562837061</v>
      </c>
      <c r="I99" s="430">
        <f t="shared" si="269"/>
        <v>4.5994388940158393E-2</v>
      </c>
      <c r="J99" s="430">
        <f t="shared" ref="J99:L99" si="270">+J63/J$40</f>
        <v>3.1956657091845093E-2</v>
      </c>
      <c r="K99" s="430">
        <f t="shared" si="270"/>
        <v>3.9958603385319737E-2</v>
      </c>
      <c r="L99" s="430">
        <f t="shared" si="270"/>
        <v>6.1436740441026615E-2</v>
      </c>
      <c r="M99" s="430">
        <f t="shared" ref="M99:N99" si="271">+M63/M$40</f>
        <v>4.5454545454545456E-2</v>
      </c>
      <c r="N99" s="430">
        <f t="shared" si="271"/>
        <v>4.9999999999999996E-2</v>
      </c>
      <c r="O99" s="430"/>
      <c r="P99" s="430"/>
      <c r="Q99" s="430">
        <f t="shared" ref="Q99:U99" si="272">+Q63/Q$40</f>
        <v>3.9145907473309607E-2</v>
      </c>
      <c r="R99" s="430">
        <f t="shared" si="272"/>
        <v>0.10457203233724248</v>
      </c>
      <c r="S99" s="430">
        <f t="shared" si="272"/>
        <v>5.4733922660485212E-2</v>
      </c>
      <c r="T99" s="430">
        <f t="shared" si="272"/>
        <v>8.6124174269259876E-2</v>
      </c>
      <c r="U99" s="430">
        <f t="shared" si="272"/>
        <v>7.8331881718086097E-2</v>
      </c>
      <c r="V99" s="430">
        <f t="shared" ref="V99:W99" si="273">+V63/V$40</f>
        <v>3.8816785244183111E-2</v>
      </c>
      <c r="W99" s="430">
        <f t="shared" si="273"/>
        <v>5.0096841124711508E-2</v>
      </c>
      <c r="X99" s="430">
        <f t="shared" ref="X99" si="274">+X63/X$40</f>
        <v>4.7666368759395054E-2</v>
      </c>
      <c r="Y99" s="430"/>
    </row>
    <row r="100" spans="1:25" s="438" customFormat="1" ht="21.5">
      <c r="A100" s="429" t="str">
        <f t="shared" si="256"/>
        <v>G&amp;A excl. adjustments</v>
      </c>
      <c r="B100" s="447"/>
      <c r="C100" s="416">
        <f t="shared" ref="C100:I100" si="275">+C64/C$40</f>
        <v>9.6041644345561741E-2</v>
      </c>
      <c r="D100" s="416">
        <f t="shared" si="275"/>
        <v>0.1875934817982256</v>
      </c>
      <c r="E100" s="416">
        <f t="shared" si="275"/>
        <v>7.8098628065561657E-2</v>
      </c>
      <c r="F100" s="416">
        <f t="shared" si="275"/>
        <v>0.17377606865394704</v>
      </c>
      <c r="G100" s="416">
        <f t="shared" si="275"/>
        <v>0.12286309637691128</v>
      </c>
      <c r="H100" s="416">
        <f t="shared" si="275"/>
        <v>0.1604855468292842</v>
      </c>
      <c r="I100" s="416">
        <f t="shared" si="275"/>
        <v>0.10632786990573799</v>
      </c>
      <c r="J100" s="416">
        <f t="shared" ref="J100:L100" si="276">+J64/J$40</f>
        <v>0.13308069995919813</v>
      </c>
      <c r="K100" s="416">
        <f t="shared" si="276"/>
        <v>8.9942461758755393E-2</v>
      </c>
      <c r="L100" s="416">
        <f t="shared" si="276"/>
        <v>0.11694087909666266</v>
      </c>
      <c r="M100" s="416">
        <f t="shared" ref="M100:N100" si="277">+M64/M$40</f>
        <v>0.11363636363636365</v>
      </c>
      <c r="N100" s="416">
        <f t="shared" si="277"/>
        <v>0.125</v>
      </c>
      <c r="O100" s="430"/>
      <c r="P100" s="430"/>
      <c r="Q100" s="416">
        <f t="shared" ref="Q100:U100" si="278">+Q64/Q$40</f>
        <v>0.1921708185053381</v>
      </c>
      <c r="R100" s="416">
        <f t="shared" si="278"/>
        <v>0.12306848225530789</v>
      </c>
      <c r="S100" s="416">
        <f t="shared" si="278"/>
        <v>0.15486731354359221</v>
      </c>
      <c r="T100" s="416">
        <f t="shared" si="278"/>
        <v>0.12592397940214758</v>
      </c>
      <c r="U100" s="416">
        <f t="shared" si="278"/>
        <v>0.13545494956361234</v>
      </c>
      <c r="V100" s="416">
        <f t="shared" ref="V100:W100" si="279">+V64/V$40</f>
        <v>0.12000680421965892</v>
      </c>
      <c r="W100" s="416">
        <f t="shared" si="279"/>
        <v>0.10268641496331381</v>
      </c>
      <c r="X100" s="416">
        <f t="shared" ref="X100" si="280">+X64/X$40</f>
        <v>0.11916592189848765</v>
      </c>
      <c r="Y100" s="430"/>
    </row>
    <row r="101" spans="1:25" s="438" customFormat="1">
      <c r="A101" s="435" t="str">
        <f t="shared" si="256"/>
        <v>Total Adj. Opex</v>
      </c>
      <c r="B101" s="447"/>
      <c r="C101" s="430">
        <f t="shared" ref="C101:I101" si="281">+C65/C$40</f>
        <v>0.68091033348739571</v>
      </c>
      <c r="D101" s="430">
        <f t="shared" si="281"/>
        <v>0.62775640576664193</v>
      </c>
      <c r="E101" s="430">
        <f t="shared" si="281"/>
        <v>0.62294979521860294</v>
      </c>
      <c r="F101" s="430">
        <f t="shared" si="281"/>
        <v>1.2915098464648376</v>
      </c>
      <c r="G101" s="430">
        <f t="shared" si="281"/>
        <v>1.4435396217411895</v>
      </c>
      <c r="H101" s="430">
        <f t="shared" si="281"/>
        <v>2.010674534016113</v>
      </c>
      <c r="I101" s="430">
        <f t="shared" si="281"/>
        <v>0.66748595099356089</v>
      </c>
      <c r="J101" s="430">
        <f>+J65/J$40</f>
        <v>0.76965177523749784</v>
      </c>
      <c r="K101" s="430">
        <f t="shared" ref="K101:L101" si="282">+K65/K$40</f>
        <v>0.70268341598834649</v>
      </c>
      <c r="L101" s="430">
        <f t="shared" si="282"/>
        <v>0.95826297513239722</v>
      </c>
      <c r="M101" s="430">
        <f t="shared" ref="M101:N101" si="283">+M65/M$40</f>
        <v>0.7447959749066011</v>
      </c>
      <c r="N101" s="430">
        <f t="shared" si="283"/>
        <v>0.83398940946137634</v>
      </c>
      <c r="O101" s="430"/>
      <c r="P101" s="430"/>
      <c r="Q101" s="430">
        <f t="shared" ref="Q101:U101" si="284">+Q65/Q$40</f>
        <v>0.43060498220640575</v>
      </c>
      <c r="R101" s="430">
        <f t="shared" si="284"/>
        <v>0.68078598805393442</v>
      </c>
      <c r="S101" s="430">
        <f t="shared" si="284"/>
        <v>0.6467568368927068</v>
      </c>
      <c r="T101" s="430">
        <f t="shared" si="284"/>
        <v>0.95713640330329475</v>
      </c>
      <c r="U101" s="430">
        <f t="shared" si="284"/>
        <v>1.6333539338487604</v>
      </c>
      <c r="V101" s="430">
        <f t="shared" ref="V101:V103" si="285">+V65/V$40</f>
        <v>0.71972414770649729</v>
      </c>
      <c r="W101" s="430">
        <f t="shared" ref="W101:X103" si="286">+W65/W$40</f>
        <v>0.82332359652219989</v>
      </c>
      <c r="X101" s="430">
        <f t="shared" si="286"/>
        <v>0.78819760068792366</v>
      </c>
      <c r="Y101" s="430"/>
    </row>
    <row r="102" spans="1:25" s="438" customFormat="1" ht="21.5">
      <c r="A102" s="429" t="str">
        <f t="shared" si="256"/>
        <v>Other Income offset</v>
      </c>
      <c r="B102" s="447"/>
      <c r="C102" s="416">
        <f t="shared" ref="C102:L102" si="287">+C66/C$40</f>
        <v>8.3923021438571471E-2</v>
      </c>
      <c r="D102" s="416">
        <f t="shared" si="287"/>
        <v>7.1425173565086528E-2</v>
      </c>
      <c r="E102" s="416">
        <f t="shared" si="287"/>
        <v>4.5583835653795493E-2</v>
      </c>
      <c r="F102" s="416">
        <f t="shared" si="287"/>
        <v>5.5385847310745154E-2</v>
      </c>
      <c r="G102" s="416">
        <f t="shared" si="287"/>
        <v>3.2976370721215481E-2</v>
      </c>
      <c r="H102" s="416">
        <f t="shared" si="287"/>
        <v>8.2186020325216158E-2</v>
      </c>
      <c r="I102" s="416">
        <f t="shared" si="287"/>
        <v>1.9496533144438399E-2</v>
      </c>
      <c r="J102" s="416">
        <f t="shared" si="287"/>
        <v>2.5383435675037248E-2</v>
      </c>
      <c r="K102" s="416">
        <f t="shared" si="287"/>
        <v>1.7140321741723911E-2</v>
      </c>
      <c r="L102" s="416">
        <f t="shared" si="287"/>
        <v>2.2987239955191918E-2</v>
      </c>
      <c r="M102" s="416">
        <f t="shared" ref="M102:N102" si="288">+M66/M$40</f>
        <v>1.752324763387381E-2</v>
      </c>
      <c r="N102" s="416">
        <f t="shared" si="288"/>
        <v>1.8488275272985751E-2</v>
      </c>
      <c r="O102" s="430"/>
      <c r="P102" s="430"/>
      <c r="Q102" s="416">
        <f t="shared" ref="Q102:W102" si="289">+Q66/Q$40</f>
        <v>3.2028469750889674E-2</v>
      </c>
      <c r="R102" s="416">
        <f t="shared" si="289"/>
        <v>9.5003349639717016E-2</v>
      </c>
      <c r="S102" s="416">
        <f t="shared" si="289"/>
        <v>7.5892660878379994E-2</v>
      </c>
      <c r="T102" s="416">
        <f t="shared" si="289"/>
        <v>5.0483471852423453E-2</v>
      </c>
      <c r="U102" s="416">
        <f t="shared" si="289"/>
        <v>4.9446342127437065E-2</v>
      </c>
      <c r="V102" s="416">
        <f t="shared" si="289"/>
        <v>2.2506553126159991E-2</v>
      </c>
      <c r="W102" s="416">
        <f t="shared" si="289"/>
        <v>1.9900218782010658E-2</v>
      </c>
      <c r="X102" s="416">
        <f t="shared" ref="X102" si="290">+X66/X$40</f>
        <v>1.7992831170716404E-2</v>
      </c>
      <c r="Y102" s="430"/>
    </row>
    <row r="103" spans="1:25" s="438" customFormat="1">
      <c r="A103" s="435" t="str">
        <f t="shared" si="256"/>
        <v>Total Adj. Opex less Other Income</v>
      </c>
      <c r="B103" s="447"/>
      <c r="C103" s="430">
        <f t="shared" ref="C103:I103" si="291">+C67/C$40</f>
        <v>0.59698731204882416</v>
      </c>
      <c r="D103" s="430">
        <f t="shared" si="291"/>
        <v>0.55633123220155545</v>
      </c>
      <c r="E103" s="430">
        <f t="shared" si="291"/>
        <v>0.57736595956480752</v>
      </c>
      <c r="F103" s="430">
        <f t="shared" si="291"/>
        <v>1.2361239991540924</v>
      </c>
      <c r="G103" s="430">
        <f t="shared" si="291"/>
        <v>1.4105632510199742</v>
      </c>
      <c r="H103" s="430">
        <f t="shared" si="291"/>
        <v>1.9284885136908969</v>
      </c>
      <c r="I103" s="430">
        <f t="shared" si="291"/>
        <v>0.64798941784912245</v>
      </c>
      <c r="J103" s="430">
        <f>+J67/J$40</f>
        <v>0.74426833956246063</v>
      </c>
      <c r="K103" s="430">
        <f t="shared" ref="K103:L103" si="292">+K67/K$40</f>
        <v>0.68554309424662263</v>
      </c>
      <c r="L103" s="430">
        <f t="shared" si="292"/>
        <v>0.9352757351772053</v>
      </c>
      <c r="M103" s="430">
        <f t="shared" ref="M103:N103" si="293">+M67/M$40</f>
        <v>0.72727272727272729</v>
      </c>
      <c r="N103" s="430">
        <f t="shared" si="293"/>
        <v>0.81550113418839054</v>
      </c>
      <c r="O103" s="430"/>
      <c r="P103" s="430"/>
      <c r="Q103" s="430">
        <f t="shared" ref="Q103:U103" si="294">+Q67/Q$40</f>
        <v>0.39857651245551606</v>
      </c>
      <c r="R103" s="430">
        <f t="shared" si="294"/>
        <v>0.5857826384142174</v>
      </c>
      <c r="S103" s="430">
        <f t="shared" si="294"/>
        <v>0.57086417601432682</v>
      </c>
      <c r="T103" s="430">
        <f t="shared" si="294"/>
        <v>0.90665293145087134</v>
      </c>
      <c r="U103" s="430">
        <f t="shared" si="294"/>
        <v>1.5839075917213232</v>
      </c>
      <c r="V103" s="430">
        <f t="shared" si="285"/>
        <v>0.69721759458033727</v>
      </c>
      <c r="W103" s="430">
        <f t="shared" si="286"/>
        <v>0.80342337774018935</v>
      </c>
      <c r="X103" s="430">
        <f t="shared" si="286"/>
        <v>0.77020476951720729</v>
      </c>
      <c r="Y103" s="430"/>
    </row>
    <row r="104" spans="1:25" s="438" customFormat="1">
      <c r="A104" s="435"/>
      <c r="B104" s="447"/>
      <c r="C104" s="430"/>
      <c r="D104" s="430"/>
      <c r="E104" s="430"/>
      <c r="F104" s="430"/>
      <c r="G104" s="430"/>
      <c r="H104" s="430"/>
      <c r="I104" s="430"/>
      <c r="J104" s="430"/>
      <c r="K104" s="430"/>
      <c r="L104" s="430"/>
      <c r="M104" s="430"/>
      <c r="N104" s="430"/>
      <c r="O104" s="430"/>
      <c r="P104" s="430"/>
      <c r="Q104" s="430"/>
      <c r="R104" s="430"/>
      <c r="S104" s="430"/>
      <c r="T104" s="430"/>
      <c r="U104" s="430"/>
      <c r="V104" s="430"/>
      <c r="W104" s="430"/>
      <c r="X104" s="430"/>
      <c r="Y104" s="430"/>
    </row>
    <row r="105" spans="1:25" s="438" customFormat="1" hidden="1" outlineLevel="1">
      <c r="A105" s="460" t="s">
        <v>148</v>
      </c>
      <c r="B105" s="447"/>
      <c r="C105" s="430"/>
      <c r="D105" s="430"/>
      <c r="E105" s="430"/>
      <c r="F105" s="430"/>
      <c r="G105" s="430"/>
      <c r="H105" s="430"/>
      <c r="I105" s="430"/>
      <c r="J105" s="423">
        <f>+Historical!J105/'Historical - USD'!J$181</f>
        <v>0</v>
      </c>
      <c r="K105" s="423">
        <f t="shared" ref="K105" si="295">+K107*K30</f>
        <v>102.13816194861892</v>
      </c>
      <c r="L105" s="430"/>
      <c r="M105" s="430"/>
      <c r="N105" s="430"/>
      <c r="O105" s="430"/>
      <c r="P105" s="430"/>
      <c r="Q105" s="430"/>
      <c r="R105" s="430"/>
      <c r="S105" s="430"/>
      <c r="T105" s="430"/>
      <c r="U105" s="430"/>
      <c r="V105" s="430"/>
      <c r="W105" s="430"/>
      <c r="X105" s="430"/>
      <c r="Y105" s="430"/>
    </row>
    <row r="106" spans="1:25" s="438" customFormat="1" hidden="1" outlineLevel="1">
      <c r="A106" s="435" t="str">
        <f>+Historical!A106</f>
        <v>S&amp;M ex-brand spend per Order</v>
      </c>
      <c r="B106" s="430"/>
      <c r="C106" s="461">
        <f>+'Detailed Disclosures - USD'!X45*-1/'Detailed Disclosures - USD'!X106*1000</f>
        <v>33.260299896478642</v>
      </c>
      <c r="D106" s="461">
        <f>+'Detailed Disclosures - USD'!Y45*-1/'Detailed Disclosures - USD'!Y106*1000</f>
        <v>34.596240744428123</v>
      </c>
      <c r="E106" s="461">
        <f>+'Detailed Disclosures - USD'!Z45*-1/'Detailed Disclosures - USD'!Z106*1000</f>
        <v>41.697829728174291</v>
      </c>
      <c r="F106" s="461">
        <f>+'Detailed Disclosures - USD'!AA45*-1/'Detailed Disclosures - USD'!AA106*1000</f>
        <v>58.707620670439233</v>
      </c>
      <c r="G106" s="461">
        <f>+Historical!G106/'Historical - USD'!G$181</f>
        <v>62.258858818434483</v>
      </c>
      <c r="H106" s="461">
        <f>+Historical!H106/'Historical - USD'!H$181</f>
        <v>49.476190297335968</v>
      </c>
      <c r="I106" s="461">
        <f>+Historical!I106/'Historical - USD'!I$181</f>
        <v>31.21628700476375</v>
      </c>
      <c r="J106" s="423">
        <f>+Historical!J106/'Historical - USD'!J$181</f>
        <v>31.8985923604513</v>
      </c>
      <c r="K106" s="423">
        <f t="shared" ref="K106" si="296">+K114*K31</f>
        <v>0</v>
      </c>
      <c r="L106" s="461"/>
      <c r="M106" s="461"/>
      <c r="N106" s="461"/>
      <c r="O106" s="461"/>
      <c r="P106" s="461"/>
      <c r="Q106" s="461">
        <f>+'Detailed Disclosures - USD'!AJ45*-1/'Detailed Disclosures - USD'!AJ106*1000</f>
        <v>32.920571946508041</v>
      </c>
      <c r="R106" s="461">
        <f>+Historical!R106/'Historical - USD'!R$181</f>
        <v>28.290800792803697</v>
      </c>
      <c r="S106" s="461">
        <f>+Historical!S106/'Historical - USD'!S$181</f>
        <v>34.445573131414896</v>
      </c>
      <c r="T106" s="461">
        <f>+Historical!T106/'Historical - USD'!T$181</f>
        <v>43.505384512196251</v>
      </c>
      <c r="U106" s="461">
        <f>+Historical!U106/'Historical - USD'!U$181</f>
        <v>56.186795843896306</v>
      </c>
      <c r="V106" s="461">
        <f>+Historical!V106/'Historical - USD'!V$181</f>
        <v>31.576042870859673</v>
      </c>
      <c r="W106" s="462"/>
      <c r="X106" s="462"/>
      <c r="Y106" s="461"/>
    </row>
    <row r="107" spans="1:25" s="438" customFormat="1" hidden="1" outlineLevel="1">
      <c r="A107" s="435"/>
      <c r="B107" s="430"/>
      <c r="C107" s="430"/>
      <c r="D107" s="430"/>
      <c r="E107" s="430"/>
      <c r="F107" s="430"/>
      <c r="G107" s="430"/>
      <c r="H107" s="430"/>
      <c r="I107" s="430"/>
      <c r="J107" s="423">
        <f>+Historical!J107/'Historical - USD'!J$181</f>
        <v>0</v>
      </c>
      <c r="K107" s="423">
        <f t="shared" ref="K107" si="297">+K115*K32</f>
        <v>203.61029659045283</v>
      </c>
      <c r="L107" s="430"/>
      <c r="M107" s="430"/>
      <c r="N107" s="430"/>
      <c r="O107" s="430"/>
      <c r="P107" s="430"/>
      <c r="Q107" s="430"/>
      <c r="R107" s="430"/>
      <c r="S107" s="430"/>
      <c r="T107" s="444"/>
      <c r="U107" s="444"/>
      <c r="V107" s="444"/>
      <c r="W107" s="444"/>
      <c r="X107" s="444"/>
      <c r="Y107" s="430"/>
    </row>
    <row r="108" spans="1:25" s="422" customFormat="1" collapsed="1">
      <c r="A108" s="401" t="s">
        <v>245</v>
      </c>
      <c r="B108" s="423"/>
      <c r="C108" s="423">
        <f>+'Detailed Disclosures - USD'!X67/1000</f>
        <v>0.61546658570380341</v>
      </c>
      <c r="D108" s="423">
        <f>+'Detailed Disclosures - USD'!Y67/1000</f>
        <v>1.2179131944081403</v>
      </c>
      <c r="E108" s="423">
        <f>+'Detailed Disclosures - USD'!Z67/1000</f>
        <v>3.4658495304812496</v>
      </c>
      <c r="F108" s="423">
        <f>+'Detailed Disclosures - USD'!AA67/1000</f>
        <v>-1.8859290775549757</v>
      </c>
      <c r="G108" s="423">
        <f>+'Detailed Disclosures - USD'!AB67/1000</f>
        <v>-7.2710821268599268</v>
      </c>
      <c r="H108" s="423">
        <f>+'Detailed Disclosures - USD'!AC67/1000</f>
        <v>-8.2946477416156217</v>
      </c>
      <c r="I108" s="423">
        <f>+'Detailed Disclosures - USD'!AD67/1000</f>
        <v>11.179197286602601</v>
      </c>
      <c r="J108" s="423">
        <f>+'Detailed Disclosures - USD'!AE67/1000</f>
        <v>8.5347965877795744</v>
      </c>
      <c r="K108" s="423">
        <f>+'Detailed Disclosures - USD'!AF67/1000</f>
        <v>17.037052150711009</v>
      </c>
      <c r="L108" s="423">
        <f>+'Detailed Disclosures - USD'!AG67/1000</f>
        <v>4.2088695590430243</v>
      </c>
      <c r="M108" s="423">
        <f t="shared" ref="M108:N108" si="298">M113+M114</f>
        <v>17.368369619373365</v>
      </c>
      <c r="N108" s="423">
        <f t="shared" si="298"/>
        <v>12.291346676020911</v>
      </c>
      <c r="O108" s="423"/>
      <c r="P108" s="423"/>
      <c r="Q108" s="423">
        <f>+'Detailed Disclosures - USD'!AJ67/1000</f>
        <v>0.13094759697307962</v>
      </c>
      <c r="R108" s="423">
        <f>+'Detailed Disclosures - USD'!AK67/1000</f>
        <v>0.43328776696980664</v>
      </c>
      <c r="S108" s="423">
        <f>+'Detailed Disclosures - USD'!AL67/1000</f>
        <v>1.8333797801119436</v>
      </c>
      <c r="T108" s="423">
        <f>+'Detailed Disclosures - USD'!AM67/1000</f>
        <v>1.5799204529262738</v>
      </c>
      <c r="U108" s="423">
        <f>+'Detailed Disclosures - USD'!AN67/1000</f>
        <v>-15.565729868475549</v>
      </c>
      <c r="V108" s="423">
        <f>+'Detailed Disclosures - USD'!AO67/1000</f>
        <v>19.713993874382176</v>
      </c>
      <c r="W108" s="423">
        <f>SUM(K108:L108)</f>
        <v>21.245921709754032</v>
      </c>
      <c r="X108" s="423">
        <f>+SUM(M108:N108)</f>
        <v>29.659716295394276</v>
      </c>
      <c r="Y108" s="424"/>
    </row>
    <row r="109" spans="1:25" s="438" customFormat="1">
      <c r="A109" s="429" t="s">
        <v>4252</v>
      </c>
      <c r="B109" s="430"/>
      <c r="C109" s="430"/>
      <c r="D109" s="430"/>
      <c r="E109" s="430">
        <f>+E108/C108-1</f>
        <v>4.6312553938536771</v>
      </c>
      <c r="F109" s="430">
        <f t="shared" ref="F109" si="299">+F108/D108-1</f>
        <v>-2.5484921964996579</v>
      </c>
      <c r="G109" s="430">
        <f t="shared" ref="G109" si="300">+G108/E108-1</f>
        <v>-3.0979220427524741</v>
      </c>
      <c r="H109" s="430">
        <f t="shared" ref="H109" si="301">+H108/F108-1</f>
        <v>3.3981758594916354</v>
      </c>
      <c r="I109" s="430">
        <f t="shared" ref="I109" si="302">+I108/G108-1</f>
        <v>-2.5374874181802736</v>
      </c>
      <c r="J109" s="430">
        <f t="shared" ref="J109" si="303">+J108/H108-1</f>
        <v>-2.0289522658037766</v>
      </c>
      <c r="K109" s="430">
        <f t="shared" ref="K109:L109" si="304">+K108/I108-1</f>
        <v>0.52399601813348351</v>
      </c>
      <c r="L109" s="430">
        <f t="shared" si="304"/>
        <v>-0.50685766019667844</v>
      </c>
      <c r="M109" s="430">
        <f t="shared" ref="M109" si="305">+M108/K108-1</f>
        <v>1.9446877648286565E-2</v>
      </c>
      <c r="N109" s="430">
        <f t="shared" ref="N109" si="306">+N108/L108-1</f>
        <v>1.9203439316887763</v>
      </c>
      <c r="O109" s="430"/>
      <c r="P109" s="430"/>
      <c r="Q109" s="430"/>
      <c r="R109" s="430">
        <f>+R108/Q108-1</f>
        <v>2.308863827863008</v>
      </c>
      <c r="S109" s="430">
        <f>+S108/R108-1</f>
        <v>3.2313213523974271</v>
      </c>
      <c r="T109" s="430">
        <f>+T108/S108-1</f>
        <v>-0.13824703966692264</v>
      </c>
      <c r="U109" s="430">
        <f>+U108/T108-1</f>
        <v>-10.852223787371853</v>
      </c>
      <c r="V109" s="430">
        <f t="shared" ref="V109:W109" si="307">+V108/U108-1</f>
        <v>-2.2664998070092355</v>
      </c>
      <c r="W109" s="430">
        <f t="shared" si="307"/>
        <v>7.7707634745821652E-2</v>
      </c>
      <c r="X109" s="430">
        <f t="shared" ref="X109" si="308">+X108/W108-1</f>
        <v>0.39601927845650775</v>
      </c>
      <c r="Y109" s="430"/>
    </row>
    <row r="110" spans="1:25" s="438" customFormat="1">
      <c r="A110" s="429" t="s">
        <v>27</v>
      </c>
      <c r="B110" s="430"/>
      <c r="C110" s="430">
        <f>+C108/C33</f>
        <v>0.12847682365276902</v>
      </c>
      <c r="D110" s="430">
        <f t="shared" ref="D110:K110" si="309">+D108/D33</f>
        <v>0.11703407652704403</v>
      </c>
      <c r="E110" s="430">
        <f t="shared" si="309"/>
        <v>0.11831471581163046</v>
      </c>
      <c r="F110" s="430">
        <f t="shared" si="309"/>
        <v>-4.7145902517038006E-2</v>
      </c>
      <c r="G110" s="430">
        <f t="shared" si="309"/>
        <v>-8.7418223176419577E-2</v>
      </c>
      <c r="H110" s="430">
        <f t="shared" si="309"/>
        <v>-0.11993438887102033</v>
      </c>
      <c r="I110" s="430">
        <f t="shared" si="309"/>
        <v>8.9380530334421324E-2</v>
      </c>
      <c r="J110" s="430">
        <f t="shared" si="309"/>
        <v>5.5352726447268685E-2</v>
      </c>
      <c r="K110" s="430">
        <f t="shared" si="309"/>
        <v>7.3712098629959311E-2</v>
      </c>
      <c r="L110" s="430">
        <f t="shared" ref="L110" si="310">+L108/L33</f>
        <v>1.6479966081431222E-2</v>
      </c>
      <c r="M110" s="430">
        <f t="shared" ref="M110:N110" si="311">+M108/M33</f>
        <v>6.0765138024477416E-2</v>
      </c>
      <c r="N110" s="430">
        <f t="shared" si="311"/>
        <v>4.1246207207874766E-2</v>
      </c>
      <c r="O110" s="430"/>
      <c r="P110" s="430"/>
      <c r="Q110" s="430">
        <f>+Q108/Q33</f>
        <v>0.31066176470588236</v>
      </c>
      <c r="R110" s="430">
        <f t="shared" ref="R110:V110" si="312">+R108/R33</f>
        <v>0.10612188602210063</v>
      </c>
      <c r="S110" s="430">
        <f t="shared" si="312"/>
        <v>0.12064113314824106</v>
      </c>
      <c r="T110" s="430">
        <f t="shared" si="312"/>
        <v>2.2799771836689037E-2</v>
      </c>
      <c r="U110" s="430">
        <f t="shared" si="312"/>
        <v>-0.10218044984551973</v>
      </c>
      <c r="V110" s="430">
        <f t="shared" si="312"/>
        <v>7.0592815319203597E-2</v>
      </c>
      <c r="W110" s="430">
        <f t="shared" ref="W110:X110" si="313">+W108/W33</f>
        <v>4.3668916888277336E-2</v>
      </c>
      <c r="X110" s="430">
        <f t="shared" si="313"/>
        <v>5.0802208204458452E-2</v>
      </c>
      <c r="Y110" s="430"/>
    </row>
    <row r="111" spans="1:25" s="438" customFormat="1">
      <c r="A111" s="429" t="s">
        <v>147</v>
      </c>
      <c r="B111" s="430"/>
      <c r="C111" s="430">
        <f>+C108/C40</f>
        <v>0.40301268795117579</v>
      </c>
      <c r="D111" s="430">
        <f t="shared" ref="D111:K111" si="314">+D108/D40</f>
        <v>0.44366876779844439</v>
      </c>
      <c r="E111" s="430">
        <f t="shared" si="314"/>
        <v>0.42263404043519254</v>
      </c>
      <c r="F111" s="430">
        <f t="shared" si="314"/>
        <v>-0.23010330754219546</v>
      </c>
      <c r="G111" s="430">
        <f t="shared" si="314"/>
        <v>-0.4022273521721409</v>
      </c>
      <c r="H111" s="430">
        <f t="shared" si="314"/>
        <v>-0.91212016738413337</v>
      </c>
      <c r="I111" s="430">
        <f t="shared" si="314"/>
        <v>0.35673541292253519</v>
      </c>
      <c r="J111" s="430">
        <f t="shared" si="314"/>
        <v>0.26030441323194153</v>
      </c>
      <c r="K111" s="430">
        <f t="shared" si="314"/>
        <v>0.31775523283451063</v>
      </c>
      <c r="L111" s="430">
        <f t="shared" ref="L111" si="315">+L108/L40</f>
        <v>8.7803221878706386E-2</v>
      </c>
      <c r="M111" s="430">
        <f t="shared" ref="M111:N111" si="316">+M108/M40</f>
        <v>0.27620517283853369</v>
      </c>
      <c r="N111" s="430">
        <f t="shared" si="316"/>
        <v>0.20623103603937382</v>
      </c>
      <c r="O111" s="430"/>
      <c r="P111" s="430"/>
      <c r="Q111" s="430">
        <f>+Q108/Q40</f>
        <v>0.60142348754448394</v>
      </c>
      <c r="R111" s="430">
        <f t="shared" ref="R111:V111" si="317">+R108/R40</f>
        <v>0.41418726533574474</v>
      </c>
      <c r="S111" s="430">
        <f t="shared" si="317"/>
        <v>0.42913582398567313</v>
      </c>
      <c r="T111" s="430">
        <f t="shared" si="317"/>
        <v>9.6356573087058195E-2</v>
      </c>
      <c r="U111" s="430">
        <f t="shared" si="317"/>
        <v>-0.57288331404870352</v>
      </c>
      <c r="V111" s="430">
        <f t="shared" si="317"/>
        <v>0.30742947751467509</v>
      </c>
      <c r="W111" s="430">
        <f t="shared" ref="W111:X111" si="318">+W108/W40</f>
        <v>0.20921191971221537</v>
      </c>
      <c r="X111" s="430">
        <f t="shared" si="318"/>
        <v>0.24215567900652818</v>
      </c>
      <c r="Y111" s="430"/>
    </row>
    <row r="112" spans="1:25" s="438" customFormat="1">
      <c r="A112" s="401"/>
      <c r="B112" s="430"/>
      <c r="C112" s="430"/>
      <c r="D112" s="430"/>
      <c r="E112" s="430"/>
      <c r="F112" s="430"/>
      <c r="G112" s="430"/>
      <c r="H112" s="430"/>
      <c r="I112" s="430"/>
      <c r="J112" s="423"/>
      <c r="K112" s="423"/>
      <c r="L112" s="430"/>
      <c r="M112" s="430"/>
      <c r="N112" s="430"/>
      <c r="O112" s="430"/>
      <c r="P112" s="430"/>
      <c r="Q112" s="430"/>
      <c r="R112" s="430"/>
      <c r="S112" s="430"/>
      <c r="T112" s="444"/>
      <c r="U112" s="444"/>
      <c r="V112" s="444"/>
      <c r="W112" s="444"/>
      <c r="X112" s="444"/>
      <c r="Y112" s="430"/>
    </row>
    <row r="113" spans="1:35" s="438" customFormat="1" ht="21.5">
      <c r="A113" s="401" t="s">
        <v>247</v>
      </c>
      <c r="B113" s="430"/>
      <c r="C113" s="420">
        <f>+'Detailed Disclosures - USD'!X62/1000</f>
        <v>0</v>
      </c>
      <c r="D113" s="420">
        <f>+'Detailed Disclosures - USD'!Y62/1000</f>
        <v>0</v>
      </c>
      <c r="E113" s="420">
        <f>+'Detailed Disclosures - USD'!Z62/1000</f>
        <v>0</v>
      </c>
      <c r="F113" s="420">
        <f>+'Detailed Disclosures - USD'!AA62/1000</f>
        <v>4.9345650434799042E-2</v>
      </c>
      <c r="G113" s="420">
        <f>+'Detailed Disclosures - USD'!AB62/1000</f>
        <v>0.1506884223473989</v>
      </c>
      <c r="H113" s="420">
        <f>+'Detailed Disclosures - USD'!AC62/1000</f>
        <v>0.14885063567528681</v>
      </c>
      <c r="I113" s="420">
        <f>+'Detailed Disclosures - USD'!AD62/1000</f>
        <v>0.14806440131482529</v>
      </c>
      <c r="J113" s="420">
        <f>+'Detailed Disclosures - USD'!AE62/1000</f>
        <v>0.14993028532192923</v>
      </c>
      <c r="K113" s="420">
        <f>+'Detailed Disclosures - USD'!AF62/1000</f>
        <v>0.17684608996080642</v>
      </c>
      <c r="L113" s="420">
        <f>+'Detailed Disclosures - USD'!AG62/1000</f>
        <v>1.1100492473299473</v>
      </c>
      <c r="M113" s="456">
        <f t="shared" ref="M113:N113" si="319">K113/K33*M33</f>
        <v>0.21869776735482169</v>
      </c>
      <c r="N113" s="456">
        <f t="shared" si="319"/>
        <v>1.295234914306278</v>
      </c>
      <c r="O113" s="420"/>
      <c r="P113" s="420"/>
      <c r="Q113" s="420">
        <f>+'Detailed Disclosures - USD'!AJ62/1000</f>
        <v>0</v>
      </c>
      <c r="R113" s="420">
        <f>+'Detailed Disclosures - USD'!AK62/1000</f>
        <v>0</v>
      </c>
      <c r="S113" s="420">
        <f>+'Detailed Disclosures - USD'!AL62/1000</f>
        <v>0</v>
      </c>
      <c r="T113" s="420">
        <f>+'Detailed Disclosures - USD'!AM62/1000</f>
        <v>4.9345650434799042E-2</v>
      </c>
      <c r="U113" s="420">
        <f>+'Detailed Disclosures - USD'!AN62/1000</f>
        <v>0.29953905802268571</v>
      </c>
      <c r="V113" s="420">
        <f>+'Detailed Disclosures - USD'!AO62/1000</f>
        <v>0.29799468663675455</v>
      </c>
      <c r="W113" s="420">
        <f>SUM(K113:L113)</f>
        <v>1.2868953372907537</v>
      </c>
      <c r="X113" s="420">
        <f>+SUM(M113:N113)</f>
        <v>1.5139326816610996</v>
      </c>
      <c r="Y113" s="430"/>
    </row>
    <row r="114" spans="1:35" s="422" customFormat="1">
      <c r="A114" s="418" t="s">
        <v>28</v>
      </c>
      <c r="B114" s="423"/>
      <c r="C114" s="423">
        <f>+Historical!C114/'Historical - USD'!C$181</f>
        <v>0.61546658570380341</v>
      </c>
      <c r="D114" s="423">
        <f>+Historical!D114/'Historical - USD'!D$181</f>
        <v>1.2179131944081405</v>
      </c>
      <c r="E114" s="423">
        <f>+Historical!E114/'Historical - USD'!E$181</f>
        <v>3.4658495304812496</v>
      </c>
      <c r="F114" s="423">
        <f>+Historical!F114/'Historical - USD'!F$181</f>
        <v>-1.9352747279897746</v>
      </c>
      <c r="G114" s="423">
        <f>+Historical!G114/'Historical - USD'!G$181</f>
        <v>-7.4217705492073263</v>
      </c>
      <c r="H114" s="423">
        <f>+Historical!H114/'Historical - USD'!H$181</f>
        <v>-8.4434983772909078</v>
      </c>
      <c r="I114" s="423">
        <f>+Historical!I114/'Historical - USD'!I$181</f>
        <v>11.031132885287775</v>
      </c>
      <c r="J114" s="423">
        <f>+Historical!J114/'Historical - USD'!J$181</f>
        <v>8.3848663024576453</v>
      </c>
      <c r="K114" s="423">
        <f>+Historical!K114/'Historical - USD'!K$181</f>
        <v>16.860206060750201</v>
      </c>
      <c r="L114" s="423">
        <f>+Historical!L114/'Historical - USD'!L$181</f>
        <v>3.1025739388062892</v>
      </c>
      <c r="M114" s="423">
        <f t="shared" ref="M114" si="320">+M116*M33</f>
        <v>17.149671852018542</v>
      </c>
      <c r="N114" s="423">
        <f>+X114-M114</f>
        <v>10.996111761714634</v>
      </c>
      <c r="O114" s="423"/>
      <c r="P114" s="423"/>
      <c r="Q114" s="423">
        <f>+Historical!Q114/'Historical - USD'!Q$181</f>
        <v>0.13094759697307962</v>
      </c>
      <c r="R114" s="423">
        <f>+Historical!R114/'Historical - USD'!R$181</f>
        <v>0.43331925112700909</v>
      </c>
      <c r="S114" s="423">
        <f>SUM(C114:D114)</f>
        <v>1.8333797801119438</v>
      </c>
      <c r="T114" s="423">
        <f>SUM(E114:F114)</f>
        <v>1.5305748024914749</v>
      </c>
      <c r="U114" s="423">
        <f>SUM(G114:H114)</f>
        <v>-15.865268926498235</v>
      </c>
      <c r="V114" s="423">
        <f>+SUM(I114:J114)</f>
        <v>19.41599918774542</v>
      </c>
      <c r="W114" s="423">
        <f>SUM(K114:L114)</f>
        <v>19.962779999556489</v>
      </c>
      <c r="X114" s="463">
        <f>+'Simple - 5%'!J15</f>
        <v>28.145783613733176</v>
      </c>
      <c r="Y114" s="463">
        <f>+'Simple - 5%'!J15</f>
        <v>28.145783613733176</v>
      </c>
    </row>
    <row r="115" spans="1:35" s="438" customFormat="1">
      <c r="A115" s="435" t="s">
        <v>4252</v>
      </c>
      <c r="B115" s="437"/>
      <c r="C115" s="430"/>
      <c r="D115" s="430"/>
      <c r="E115" s="430">
        <f>+E114/C114-1</f>
        <v>4.6312553938536771</v>
      </c>
      <c r="F115" s="430">
        <f t="shared" ref="F115" si="321">+F114/D114-1</f>
        <v>-2.58900875438027</v>
      </c>
      <c r="G115" s="430">
        <f t="shared" ref="G115" si="322">+G114/E114-1</f>
        <v>-3.1414001052079081</v>
      </c>
      <c r="H115" s="430">
        <f t="shared" ref="H115" si="323">+H114/F114-1</f>
        <v>3.3629456093096461</v>
      </c>
      <c r="I115" s="430">
        <f t="shared" ref="I115" si="324">+I114/G114-1</f>
        <v>-2.4863209273514855</v>
      </c>
      <c r="J115" s="430">
        <f t="shared" ref="J115" si="325">+J114/H114-1</f>
        <v>-1.9930559500087126</v>
      </c>
      <c r="K115" s="430">
        <f t="shared" ref="K115:L115" si="326">+K114/I114-1</f>
        <v>0.52842017552310172</v>
      </c>
      <c r="L115" s="430">
        <f t="shared" si="326"/>
        <v>-0.62997931906237914</v>
      </c>
      <c r="M115" s="430">
        <f t="shared" ref="M115" si="327">+M114/K114-1</f>
        <v>1.7168579685523877E-2</v>
      </c>
      <c r="N115" s="430">
        <f t="shared" ref="N115" si="328">+N114/L114-1</f>
        <v>2.5441900752719437</v>
      </c>
      <c r="O115" s="430"/>
      <c r="P115" s="430"/>
      <c r="Q115" s="430"/>
      <c r="R115" s="430">
        <f>+R114/Q114-1</f>
        <v>2.3091042611197472</v>
      </c>
      <c r="S115" s="430">
        <f>+S114/R114-1</f>
        <v>3.231013912591127</v>
      </c>
      <c r="T115" s="430">
        <f>+T114/S114-1</f>
        <v>-0.16516216711083176</v>
      </c>
      <c r="U115" s="430">
        <f>+U114/T114-1</f>
        <v>-11.365562598229564</v>
      </c>
      <c r="V115" s="430">
        <f t="shared" ref="V115" si="329">+V114/U114-1</f>
        <v>-2.2238052363119252</v>
      </c>
      <c r="W115" s="430">
        <f t="shared" ref="W115:X115" si="330">+W114/V114-1</f>
        <v>2.81613532491376E-2</v>
      </c>
      <c r="X115" s="430">
        <f t="shared" si="330"/>
        <v>0.40991302886464154</v>
      </c>
      <c r="Y115" s="437"/>
      <c r="AG115" s="428" t="s">
        <v>132</v>
      </c>
    </row>
    <row r="116" spans="1:35" s="438" customFormat="1">
      <c r="A116" s="435" t="s">
        <v>27</v>
      </c>
      <c r="B116" s="447"/>
      <c r="C116" s="430">
        <f t="shared" ref="C116:H116" si="331">+C114/C33</f>
        <v>0.12847682365276902</v>
      </c>
      <c r="D116" s="430">
        <f t="shared" si="331"/>
        <v>0.11703407652704405</v>
      </c>
      <c r="E116" s="430">
        <f t="shared" si="331"/>
        <v>0.11831471581163046</v>
      </c>
      <c r="F116" s="430">
        <f t="shared" si="331"/>
        <v>-4.837948295902101E-2</v>
      </c>
      <c r="G116" s="430">
        <f t="shared" si="331"/>
        <v>-8.9229908686916812E-2</v>
      </c>
      <c r="H116" s="430">
        <f t="shared" si="331"/>
        <v>-0.1220866574879515</v>
      </c>
      <c r="I116" s="430">
        <f t="shared" ref="I116:J116" si="332">+I114/I33</f>
        <v>8.8196717724814036E-2</v>
      </c>
      <c r="J116" s="430">
        <f t="shared" si="332"/>
        <v>5.438034825591629E-2</v>
      </c>
      <c r="K116" s="430">
        <f t="shared" ref="K116:L116" si="333">+K114/K33</f>
        <v>7.2946960605481906E-2</v>
      </c>
      <c r="L116" s="430">
        <f t="shared" si="333"/>
        <v>1.2148229485231582E-2</v>
      </c>
      <c r="M116" s="444">
        <v>0.06</v>
      </c>
      <c r="N116" s="430">
        <f>+N114/N33</f>
        <v>3.6899773162321875E-2</v>
      </c>
      <c r="O116" s="430"/>
      <c r="P116" s="430"/>
      <c r="Q116" s="430">
        <f t="shared" ref="Q116:V116" si="334">+Q114/Q33</f>
        <v>0.31066176470588236</v>
      </c>
      <c r="R116" s="430">
        <f t="shared" si="334"/>
        <v>0.10612959719789841</v>
      </c>
      <c r="S116" s="430">
        <f t="shared" si="334"/>
        <v>0.12064113314824107</v>
      </c>
      <c r="T116" s="430">
        <f t="shared" si="334"/>
        <v>2.2087666636099592E-2</v>
      </c>
      <c r="U116" s="430">
        <f t="shared" si="334"/>
        <v>-0.10414675890739342</v>
      </c>
      <c r="V116" s="430">
        <f t="shared" si="334"/>
        <v>6.9525741644843361E-2</v>
      </c>
      <c r="W116" s="430">
        <f t="shared" ref="W116:X116" si="335">+W114/W33</f>
        <v>4.103154443327231E-2</v>
      </c>
      <c r="X116" s="430">
        <f t="shared" si="335"/>
        <v>4.820909090909091E-2</v>
      </c>
      <c r="Y116" s="430"/>
    </row>
    <row r="117" spans="1:35" s="438" customFormat="1" hidden="1" outlineLevel="1">
      <c r="A117" s="435" t="s">
        <v>149</v>
      </c>
      <c r="B117" s="447"/>
      <c r="C117" s="430"/>
      <c r="D117" s="430"/>
      <c r="E117" s="430">
        <f>(E114-C114)/(E33-C33)</f>
        <v>0.11632796046193274</v>
      </c>
      <c r="F117" s="430">
        <f>(F114-D114)/(F33-D33)</f>
        <v>-0.10654285764256542</v>
      </c>
      <c r="G117" s="430"/>
      <c r="H117" s="430"/>
      <c r="I117" s="430"/>
      <c r="J117" s="430"/>
      <c r="K117" s="430"/>
      <c r="L117" s="430"/>
      <c r="M117" s="430"/>
      <c r="N117" s="430"/>
      <c r="O117" s="430"/>
      <c r="P117" s="430"/>
      <c r="Q117" s="430"/>
      <c r="R117" s="430">
        <f>(R114-Q114)/(R33-Q33)</f>
        <v>8.2583304853051723E-2</v>
      </c>
      <c r="S117" s="430">
        <f>(S114-R114)/(S33-R33)</f>
        <v>0.12597218235616139</v>
      </c>
      <c r="T117" s="430">
        <f>(T114-S114)/(T33-S33)</f>
        <v>-5.5972918522577166E-3</v>
      </c>
      <c r="U117" s="430"/>
      <c r="V117" s="430"/>
      <c r="W117" s="430"/>
      <c r="X117" s="430"/>
      <c r="Y117" s="430"/>
    </row>
    <row r="118" spans="1:35" s="438" customFormat="1" collapsed="1">
      <c r="A118" s="435" t="s">
        <v>147</v>
      </c>
      <c r="B118" s="437"/>
      <c r="C118" s="430">
        <f>+C114/C$40</f>
        <v>0.40301268795117579</v>
      </c>
      <c r="D118" s="430">
        <f t="shared" ref="D118:G118" si="336">+D114/D$40</f>
        <v>0.4436687677984445</v>
      </c>
      <c r="E118" s="430">
        <f t="shared" si="336"/>
        <v>0.42263404043519254</v>
      </c>
      <c r="F118" s="430">
        <f t="shared" si="336"/>
        <v>-0.23612399915409263</v>
      </c>
      <c r="G118" s="430">
        <f t="shared" si="336"/>
        <v>-0.41056325101997398</v>
      </c>
      <c r="H118" s="430">
        <f t="shared" ref="H118:I118" si="337">+H114/H$40</f>
        <v>-0.92848851369089669</v>
      </c>
      <c r="I118" s="430">
        <f t="shared" si="337"/>
        <v>0.35201058215087749</v>
      </c>
      <c r="J118" s="430">
        <f t="shared" ref="J118:K118" si="338">+J114/J$40</f>
        <v>0.25573166043753948</v>
      </c>
      <c r="K118" s="430">
        <f t="shared" si="338"/>
        <v>0.31445690575337737</v>
      </c>
      <c r="L118" s="430">
        <f t="shared" ref="L118" si="339">+L114/L$40</f>
        <v>6.4724264822794877E-2</v>
      </c>
      <c r="M118" s="430">
        <f t="shared" ref="M118:N118" si="340">+M114/M$40</f>
        <v>0.27272727272727276</v>
      </c>
      <c r="N118" s="430">
        <f t="shared" si="340"/>
        <v>0.18449886581160937</v>
      </c>
      <c r="O118" s="430"/>
      <c r="P118" s="430"/>
      <c r="Q118" s="430">
        <f t="shared" ref="Q118:V118" si="341">+Q114/Q$40</f>
        <v>0.60142348754448394</v>
      </c>
      <c r="R118" s="430">
        <f t="shared" si="341"/>
        <v>0.4142173615857826</v>
      </c>
      <c r="S118" s="430">
        <f t="shared" si="341"/>
        <v>0.42913582398567318</v>
      </c>
      <c r="T118" s="430">
        <f t="shared" si="341"/>
        <v>9.3347068549128775E-2</v>
      </c>
      <c r="U118" s="430">
        <f t="shared" si="341"/>
        <v>-0.58390759172132312</v>
      </c>
      <c r="V118" s="430">
        <f t="shared" si="341"/>
        <v>0.30278240541966267</v>
      </c>
      <c r="W118" s="430">
        <f t="shared" ref="W118:X118" si="342">+W114/W$40</f>
        <v>0.19657662225981073</v>
      </c>
      <c r="X118" s="430">
        <f t="shared" si="342"/>
        <v>0.22979523048279277</v>
      </c>
      <c r="Y118" s="437"/>
      <c r="AD118" s="450"/>
    </row>
    <row r="119" spans="1:35">
      <c r="A119" s="418"/>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row>
    <row r="120" spans="1:35" s="422" customFormat="1">
      <c r="A120" s="401" t="s">
        <v>150</v>
      </c>
      <c r="B120" s="423"/>
      <c r="C120" s="423">
        <f>+Historical!C120/'Historical - USD'!C$181</f>
        <v>0.37545036336549498</v>
      </c>
      <c r="D120" s="423">
        <f>+Historical!D120/'Historical - USD'!D$181</f>
        <v>0.50959889757857468</v>
      </c>
      <c r="E120" s="423">
        <f>+Historical!E120/'Historical - USD'!E$181</f>
        <v>0.78613635046767172</v>
      </c>
      <c r="F120" s="423">
        <f>+Historical!F120/'Historical - USD'!F$181</f>
        <v>1.2485845116680516</v>
      </c>
      <c r="G120" s="423">
        <f>+Historical!G120/'Historical - USD'!G$181</f>
        <v>2.5949124211006818</v>
      </c>
      <c r="H120" s="423">
        <f>+Historical!H120/'Historical - USD'!H$181</f>
        <v>3.4715844108686018</v>
      </c>
      <c r="I120" s="423">
        <f>I122*I33</f>
        <v>3.424697125656416</v>
      </c>
      <c r="J120" s="423">
        <f t="shared" ref="J120:K120" si="343">J122*J33</f>
        <v>4.6737164561095703</v>
      </c>
      <c r="K120" s="423">
        <f t="shared" si="343"/>
        <v>4.8950363584385395</v>
      </c>
      <c r="L120" s="423">
        <f t="shared" ref="L120" si="344">L122*L33</f>
        <v>4.4619906524095967</v>
      </c>
      <c r="M120" s="423">
        <f t="shared" ref="M120" si="345">+M122*M33</f>
        <v>6.0023851482064901</v>
      </c>
      <c r="N120" s="423">
        <f>+X120-M120</f>
        <v>5.6741609483827959</v>
      </c>
      <c r="O120" s="423"/>
      <c r="P120" s="423"/>
      <c r="Q120" s="423">
        <f>+Historical!Q120/'Historical - USD'!Q$181</f>
        <v>0.43778338633011815</v>
      </c>
      <c r="R120" s="423">
        <f>+Historical!R120/'Historical - USD'!R$181</f>
        <v>0.80657444764235353</v>
      </c>
      <c r="S120" s="423">
        <f>SUM(C120:D120)</f>
        <v>0.88504926094406966</v>
      </c>
      <c r="T120" s="423">
        <f>SUM(E120:F120)</f>
        <v>2.0347208621357233</v>
      </c>
      <c r="U120" s="423">
        <f>SUM(G120:H120)</f>
        <v>6.0664968319692836</v>
      </c>
      <c r="V120" s="423">
        <f>+SUM(I120:J120)</f>
        <v>8.0984135817659855</v>
      </c>
      <c r="W120" s="423">
        <f>SUM(K120:L120)</f>
        <v>9.3570270108481353</v>
      </c>
      <c r="X120" s="463">
        <f>+'Simple - 5%'!J21</f>
        <v>11.676546096589286</v>
      </c>
      <c r="Y120" s="424"/>
    </row>
    <row r="121" spans="1:35" s="438" customFormat="1" hidden="1" outlineLevel="1">
      <c r="A121" s="429" t="s">
        <v>25</v>
      </c>
      <c r="B121" s="437"/>
      <c r="C121" s="430"/>
      <c r="D121" s="430"/>
      <c r="E121" s="430">
        <f>+E120/C120-1</f>
        <v>1.0938489536162215</v>
      </c>
      <c r="F121" s="430">
        <f t="shared" ref="F121" si="346">+F120/D120-1</f>
        <v>1.450131893143535</v>
      </c>
      <c r="G121" s="430">
        <f t="shared" ref="G121" si="347">+G120/E120-1</f>
        <v>2.3008426840419873</v>
      </c>
      <c r="H121" s="430">
        <f t="shared" ref="H121" si="348">+H120/F120-1</f>
        <v>1.7804160458715961</v>
      </c>
      <c r="I121" s="430">
        <f t="shared" ref="I121" si="349">+I120/G120-1</f>
        <v>0.31977368400116002</v>
      </c>
      <c r="J121" s="430">
        <f t="shared" ref="J121" si="350">+J120/H120-1</f>
        <v>0.34627763665414979</v>
      </c>
      <c r="K121" s="430">
        <f t="shared" ref="K121:L121" si="351">+K120/I120-1</f>
        <v>0.4293340925733109</v>
      </c>
      <c r="L121" s="430">
        <f t="shared" si="351"/>
        <v>-4.5301379681089049E-2</v>
      </c>
      <c r="M121" s="430">
        <f t="shared" ref="M121" si="352">+M120/K120-1</f>
        <v>0.22621870578325631</v>
      </c>
      <c r="N121" s="430">
        <f t="shared" ref="N121" si="353">+N120/L120-1</f>
        <v>0.27166580802194074</v>
      </c>
      <c r="O121" s="430"/>
      <c r="P121" s="430"/>
      <c r="Q121" s="430"/>
      <c r="R121" s="430">
        <f>+R120/Q120-1</f>
        <v>0.84240533749753155</v>
      </c>
      <c r="S121" s="430">
        <f>+S120/R120-1</f>
        <v>9.7293949158817172E-2</v>
      </c>
      <c r="T121" s="430">
        <f t="shared" ref="T121" si="354">+T120/S120-1</f>
        <v>1.298991651566733</v>
      </c>
      <c r="U121" s="430"/>
      <c r="V121" s="430"/>
      <c r="W121" s="430"/>
      <c r="X121" s="430"/>
      <c r="Y121" s="437"/>
    </row>
    <row r="122" spans="1:35" s="438" customFormat="1" collapsed="1">
      <c r="A122" s="429" t="s">
        <v>27</v>
      </c>
      <c r="B122" s="447"/>
      <c r="C122" s="430">
        <f t="shared" ref="C122:H122" si="355">+C120/C33</f>
        <v>7.8374149376958871E-2</v>
      </c>
      <c r="D122" s="430">
        <f t="shared" si="355"/>
        <v>4.8969365510726053E-2</v>
      </c>
      <c r="E122" s="430">
        <f t="shared" si="355"/>
        <v>2.6836565776085442E-2</v>
      </c>
      <c r="F122" s="430">
        <f t="shared" si="355"/>
        <v>3.1213073901857534E-2</v>
      </c>
      <c r="G122" s="430">
        <f t="shared" si="355"/>
        <v>3.1197919263360928E-2</v>
      </c>
      <c r="H122" s="430">
        <f t="shared" si="355"/>
        <v>5.0196508363185573E-2</v>
      </c>
      <c r="I122" s="430">
        <f>+Historical!I122</f>
        <v>2.7381326000282449E-2</v>
      </c>
      <c r="J122" s="430">
        <f>+Historical!J122</f>
        <v>3.0311554098143498E-2</v>
      </c>
      <c r="K122" s="430">
        <f>+Historical!K122</f>
        <v>2.1178746162105293E-2</v>
      </c>
      <c r="L122" s="430">
        <f>+Historical!L122</f>
        <v>1.7471069981102649E-2</v>
      </c>
      <c r="M122" s="444">
        <v>2.1000000000000001E-2</v>
      </c>
      <c r="N122" s="430">
        <f t="shared" ref="N122" si="356">+N120/N33</f>
        <v>1.9040844292872325E-2</v>
      </c>
      <c r="O122" s="430"/>
      <c r="P122" s="430"/>
      <c r="Q122" s="430">
        <f t="shared" ref="Q122:V122" si="357">+Q120/Q33</f>
        <v>1.0386029411764703</v>
      </c>
      <c r="R122" s="430">
        <f t="shared" si="357"/>
        <v>0.19754816112084062</v>
      </c>
      <c r="S122" s="430">
        <f t="shared" si="357"/>
        <v>5.8238531312801121E-2</v>
      </c>
      <c r="T122" s="430">
        <f t="shared" si="357"/>
        <v>2.9362979207036396E-2</v>
      </c>
      <c r="U122" s="430">
        <f t="shared" si="357"/>
        <v>3.9823212950164749E-2</v>
      </c>
      <c r="V122" s="430">
        <f t="shared" si="357"/>
        <v>2.8999187987931378E-2</v>
      </c>
      <c r="W122" s="430">
        <f t="shared" ref="W122:X122" si="358">+W120/W33</f>
        <v>1.9232455077272517E-2</v>
      </c>
      <c r="X122" s="430">
        <f t="shared" si="358"/>
        <v>0.02</v>
      </c>
      <c r="Y122" s="430"/>
    </row>
    <row r="123" spans="1:35" s="438" customFormat="1" collapsed="1">
      <c r="A123" s="429" t="s">
        <v>147</v>
      </c>
      <c r="B123" s="437"/>
      <c r="C123" s="430">
        <f>+C120/C$40</f>
        <v>0.24584805031965315</v>
      </c>
      <c r="D123" s="430">
        <f t="shared" ref="D123:G123" si="359">+D120/D$40</f>
        <v>0.18563976151847555</v>
      </c>
      <c r="E123" s="430">
        <f t="shared" si="359"/>
        <v>9.5863360255283345E-2</v>
      </c>
      <c r="F123" s="430">
        <f t="shared" si="359"/>
        <v>0.15234052504946363</v>
      </c>
      <c r="G123" s="430">
        <f t="shared" si="359"/>
        <v>0.14354737493642861</v>
      </c>
      <c r="H123" s="430">
        <f t="shared" ref="H123:I123" si="360">+H120/H$40</f>
        <v>0.38175245683342901</v>
      </c>
      <c r="I123" s="430">
        <f t="shared" si="360"/>
        <v>0.109284299394178</v>
      </c>
      <c r="J123" s="430">
        <f t="shared" ref="J123:K123" si="361">+J120/J$40</f>
        <v>0.14254458289750296</v>
      </c>
      <c r="K123" s="430">
        <f t="shared" si="361"/>
        <v>9.1296510925108626E-2</v>
      </c>
      <c r="L123" s="430">
        <f t="shared" ref="L123" si="362">+L120/L$40</f>
        <v>9.3083700926885574E-2</v>
      </c>
      <c r="M123" s="430">
        <f t="shared" ref="M123:N123" si="363">+M120/M$40</f>
        <v>9.5454545454545459E-2</v>
      </c>
      <c r="N123" s="430">
        <f t="shared" si="363"/>
        <v>9.5204221464361624E-2</v>
      </c>
      <c r="O123" s="430"/>
      <c r="P123" s="430"/>
      <c r="Q123" s="430">
        <f t="shared" ref="Q123:V123" si="364">+Q120/Q$40</f>
        <v>2.0106761565836293</v>
      </c>
      <c r="R123" s="430">
        <f t="shared" si="364"/>
        <v>0.77101845522898149</v>
      </c>
      <c r="S123" s="430">
        <f t="shared" si="364"/>
        <v>0.20716184828871295</v>
      </c>
      <c r="T123" s="430">
        <f t="shared" si="364"/>
        <v>0.12409405112833986</v>
      </c>
      <c r="U123" s="430">
        <f t="shared" si="364"/>
        <v>0.22327220368914777</v>
      </c>
      <c r="V123" s="430">
        <f t="shared" si="364"/>
        <v>0.1262905462994667</v>
      </c>
      <c r="W123" s="430">
        <f t="shared" ref="W123:X123" si="365">+W120/W$40</f>
        <v>9.2140110957852822E-2</v>
      </c>
      <c r="X123" s="430">
        <f t="shared" si="365"/>
        <v>9.5332737518790123E-2</v>
      </c>
      <c r="Y123" s="437"/>
      <c r="AD123" s="450"/>
    </row>
    <row r="124" spans="1:35">
      <c r="B124" s="464"/>
      <c r="C124" s="464"/>
      <c r="D124" s="464"/>
      <c r="E124" s="464"/>
      <c r="F124" s="464"/>
      <c r="G124" s="464"/>
      <c r="H124" s="464"/>
      <c r="I124" s="464"/>
      <c r="J124" s="464"/>
      <c r="K124" s="464"/>
      <c r="L124" s="464"/>
      <c r="M124" s="464"/>
      <c r="N124" s="464"/>
      <c r="O124" s="464"/>
      <c r="P124" s="464"/>
      <c r="Q124" s="464"/>
      <c r="R124" s="464"/>
      <c r="S124" s="464"/>
      <c r="T124" s="464"/>
      <c r="U124" s="464"/>
      <c r="V124" s="464"/>
      <c r="W124" s="464"/>
      <c r="X124" s="464"/>
      <c r="Y124" s="464"/>
      <c r="AC124" s="438"/>
      <c r="AE124" s="427">
        <v>20</v>
      </c>
      <c r="AF124" s="427">
        <v>21</v>
      </c>
      <c r="AG124" s="427">
        <v>22</v>
      </c>
      <c r="AH124" s="427">
        <v>23</v>
      </c>
      <c r="AI124" s="427">
        <v>24</v>
      </c>
    </row>
    <row r="125" spans="1:35" s="422" customFormat="1">
      <c r="A125" s="401" t="s">
        <v>33</v>
      </c>
      <c r="B125" s="423"/>
      <c r="C125" s="423">
        <f t="shared" ref="C125:F125" si="366">+C114-C120</f>
        <v>0.24001622233830844</v>
      </c>
      <c r="D125" s="423">
        <f t="shared" si="366"/>
        <v>0.70831429682956581</v>
      </c>
      <c r="E125" s="423">
        <f t="shared" si="366"/>
        <v>2.6797131800135778</v>
      </c>
      <c r="F125" s="423">
        <f t="shared" si="366"/>
        <v>-3.183859239657826</v>
      </c>
      <c r="G125" s="423">
        <f t="shared" ref="G125:H125" si="367">+G114-G120</f>
        <v>-10.016682970308008</v>
      </c>
      <c r="H125" s="423">
        <f t="shared" si="367"/>
        <v>-11.915082788159509</v>
      </c>
      <c r="I125" s="423">
        <f>+I114-I120</f>
        <v>7.606435759631359</v>
      </c>
      <c r="J125" s="423">
        <f t="shared" ref="J125:K125" si="368">+J114-J120</f>
        <v>3.711149846348075</v>
      </c>
      <c r="K125" s="423">
        <f t="shared" si="368"/>
        <v>11.965169702311663</v>
      </c>
      <c r="L125" s="423">
        <f t="shared" ref="L125:N125" si="369">+L114-L120</f>
        <v>-1.3594167136033075</v>
      </c>
      <c r="M125" s="423">
        <f t="shared" si="369"/>
        <v>11.147286703812053</v>
      </c>
      <c r="N125" s="423">
        <f t="shared" si="369"/>
        <v>5.3219508133318376</v>
      </c>
      <c r="O125" s="423"/>
      <c r="P125" s="423"/>
      <c r="Q125" s="423">
        <f>+Q114-Q120</f>
        <v>-0.30683578935703854</v>
      </c>
      <c r="R125" s="423">
        <f t="shared" ref="R125" si="370">+R114-R120</f>
        <v>-0.37325519651534445</v>
      </c>
      <c r="S125" s="423">
        <f>+S114-S120</f>
        <v>0.94833051916787414</v>
      </c>
      <c r="T125" s="423">
        <f t="shared" ref="T125:U125" si="371">+T114-T120</f>
        <v>-0.50414605964424841</v>
      </c>
      <c r="U125" s="423">
        <f t="shared" si="371"/>
        <v>-21.93176575846752</v>
      </c>
      <c r="V125" s="423">
        <f t="shared" ref="V125:W125" si="372">+V114-V120</f>
        <v>11.317585605979435</v>
      </c>
      <c r="W125" s="423">
        <f t="shared" si="372"/>
        <v>10.605752988708353</v>
      </c>
      <c r="X125" s="423">
        <f t="shared" ref="X125" si="373">+X114-X120</f>
        <v>16.469237517143888</v>
      </c>
      <c r="Y125" s="424"/>
      <c r="AB125" s="422">
        <f>SUM(D125:E125)</f>
        <v>3.3880274768431438</v>
      </c>
      <c r="AD125" s="422">
        <f>SUM(F125:G125)</f>
        <v>-13.200542209965834</v>
      </c>
      <c r="AE125" s="448">
        <f>+SUM(D125:E125)</f>
        <v>3.3880274768431438</v>
      </c>
      <c r="AF125" s="448">
        <f>+SUM(F125:G125)</f>
        <v>-13.200542209965834</v>
      </c>
      <c r="AG125" s="448">
        <f>+SUM(H125:I125)</f>
        <v>-4.3086470285281502</v>
      </c>
      <c r="AH125" s="448">
        <f>+SUM(J125:K125)</f>
        <v>15.676319548659738</v>
      </c>
      <c r="AI125" s="448">
        <f>+SUM(L125:M125)</f>
        <v>9.7878699902087458</v>
      </c>
    </row>
    <row r="126" spans="1:35" s="438" customFormat="1">
      <c r="A126" s="429" t="s">
        <v>4252</v>
      </c>
      <c r="B126" s="437"/>
      <c r="C126" s="430"/>
      <c r="D126" s="430"/>
      <c r="E126" s="430">
        <f>+E125/C125-1</f>
        <v>10.164716925827038</v>
      </c>
      <c r="F126" s="430">
        <f t="shared" ref="F126" si="374">+F125/D125-1</f>
        <v>-5.4949809059465089</v>
      </c>
      <c r="G126" s="430">
        <f t="shared" ref="G126" si="375">+G125/E125-1</f>
        <v>-4.7379683187800179</v>
      </c>
      <c r="H126" s="430">
        <f t="shared" ref="H126" si="376">+H125/F125-1</f>
        <v>2.7423396862984561</v>
      </c>
      <c r="I126" s="430">
        <f t="shared" ref="I126" si="377">+I125/G125-1</f>
        <v>-1.759376710052496</v>
      </c>
      <c r="J126" s="430">
        <f t="shared" ref="J126" si="378">+J125/H125-1</f>
        <v>-1.3114665598493358</v>
      </c>
      <c r="K126" s="430">
        <f t="shared" ref="K126" si="379">+K125/I125-1</f>
        <v>0.57303237421826947</v>
      </c>
      <c r="L126" s="430">
        <f t="shared" ref="L126" si="380">+L125/J125-1</f>
        <v>-1.3663060695167104</v>
      </c>
      <c r="M126" s="430">
        <f t="shared" ref="M126" si="381">+M125/K125-1</f>
        <v>-6.8355319552349969E-2</v>
      </c>
      <c r="N126" s="430">
        <f t="shared" ref="N126" si="382">+N125/L125-1</f>
        <v>-4.9148781680234954</v>
      </c>
      <c r="O126" s="430"/>
      <c r="P126" s="430"/>
      <c r="Q126" s="430"/>
      <c r="R126" s="430">
        <f>+R125/Q125-1</f>
        <v>0.21646564534562596</v>
      </c>
      <c r="S126" s="430">
        <f>+S125/R125-1</f>
        <v>-3.5407027899982322</v>
      </c>
      <c r="T126" s="430">
        <f>+T125/S125-1</f>
        <v>-1.5316142942300521</v>
      </c>
      <c r="U126" s="430">
        <f>+U125/T125-1</f>
        <v>42.502801100823262</v>
      </c>
      <c r="V126" s="430">
        <f t="shared" ref="V126" si="383">+V125/U125-1</f>
        <v>-1.5160362248356536</v>
      </c>
      <c r="W126" s="430">
        <f t="shared" ref="W126" si="384">+W125/V125-1</f>
        <v>-6.2896154891463607E-2</v>
      </c>
      <c r="X126" s="430">
        <f t="shared" ref="X126" si="385">+X125/W125-1</f>
        <v>0.55285886204197121</v>
      </c>
      <c r="Y126" s="437"/>
      <c r="AE126" s="465">
        <f>+AE125/AE33</f>
        <v>8.53408249974177E-2</v>
      </c>
      <c r="AF126" s="465">
        <f t="shared" ref="AF126:AI126" si="386">+AF125/AF33</f>
        <v>-0.10716657859683359</v>
      </c>
      <c r="AG126" s="465">
        <f t="shared" si="386"/>
        <v>-2.2182756619609782E-2</v>
      </c>
      <c r="AH126" s="465">
        <f t="shared" si="386"/>
        <v>4.0684010907960269E-2</v>
      </c>
      <c r="AI126" s="465">
        <f t="shared" si="386"/>
        <v>1.8084794770513921E-2</v>
      </c>
    </row>
    <row r="127" spans="1:35" s="438" customFormat="1">
      <c r="A127" s="429" t="s">
        <v>27</v>
      </c>
      <c r="B127" s="447"/>
      <c r="C127" s="430">
        <f t="shared" ref="C127:I127" si="387">+C125/C33</f>
        <v>5.0102674275810145E-2</v>
      </c>
      <c r="D127" s="430">
        <f t="shared" si="387"/>
        <v>6.8064711016317989E-2</v>
      </c>
      <c r="E127" s="430">
        <f t="shared" si="387"/>
        <v>9.1478150035545006E-2</v>
      </c>
      <c r="F127" s="430">
        <f t="shared" si="387"/>
        <v>-7.959255686087853E-2</v>
      </c>
      <c r="G127" s="430">
        <f t="shared" si="387"/>
        <v>-0.12042782795027773</v>
      </c>
      <c r="H127" s="430">
        <f t="shared" si="387"/>
        <v>-0.17228316585113707</v>
      </c>
      <c r="I127" s="430">
        <f t="shared" si="387"/>
        <v>6.0815391724531591E-2</v>
      </c>
      <c r="J127" s="430">
        <f t="shared" ref="J127:K127" si="388">+J125/J33</f>
        <v>2.4068794157772796E-2</v>
      </c>
      <c r="K127" s="430">
        <f t="shared" si="388"/>
        <v>5.1768214443376613E-2</v>
      </c>
      <c r="L127" s="430">
        <f t="shared" ref="L127:N127" si="389">+L125/L33</f>
        <v>-5.322840495871067E-3</v>
      </c>
      <c r="M127" s="430">
        <f t="shared" si="389"/>
        <v>3.9000000000000007E-2</v>
      </c>
      <c r="N127" s="430">
        <f t="shared" si="389"/>
        <v>1.785892886944955E-2</v>
      </c>
      <c r="O127" s="430"/>
      <c r="P127" s="430"/>
      <c r="Q127" s="430">
        <f t="shared" ref="Q127:V127" si="390">+Q125/Q33</f>
        <v>-0.72794117647058798</v>
      </c>
      <c r="R127" s="430">
        <f t="shared" si="390"/>
        <v>-9.1418563922942203E-2</v>
      </c>
      <c r="S127" s="430">
        <f t="shared" si="390"/>
        <v>6.2402601835439955E-2</v>
      </c>
      <c r="T127" s="430">
        <f t="shared" si="390"/>
        <v>-7.2753125709368021E-3</v>
      </c>
      <c r="U127" s="430">
        <f t="shared" si="390"/>
        <v>-0.14396997185755817</v>
      </c>
      <c r="V127" s="430">
        <f t="shared" si="390"/>
        <v>4.0526553656911976E-2</v>
      </c>
      <c r="W127" s="430">
        <f t="shared" ref="W127:X127" si="391">+W125/W33</f>
        <v>2.1799089355999793E-2</v>
      </c>
      <c r="X127" s="430">
        <f t="shared" si="391"/>
        <v>2.8209090909090909E-2</v>
      </c>
      <c r="Y127" s="430"/>
      <c r="AD127" s="450">
        <f>+AD125/AD38</f>
        <v>-0.10716657859683359</v>
      </c>
    </row>
    <row r="128" spans="1:35" s="438" customFormat="1" collapsed="1">
      <c r="A128" s="429" t="s">
        <v>147</v>
      </c>
      <c r="B128" s="437"/>
      <c r="C128" s="430">
        <f t="shared" ref="C128:I128" si="392">+C125/C$40</f>
        <v>0.15716463763152261</v>
      </c>
      <c r="D128" s="430">
        <f t="shared" si="392"/>
        <v>0.25802900627996894</v>
      </c>
      <c r="E128" s="430">
        <f t="shared" si="392"/>
        <v>0.32677068017990918</v>
      </c>
      <c r="F128" s="430">
        <f t="shared" si="392"/>
        <v>-0.38846452420355626</v>
      </c>
      <c r="G128" s="430">
        <f t="shared" si="392"/>
        <v>-0.55411062595640259</v>
      </c>
      <c r="H128" s="430">
        <f t="shared" si="392"/>
        <v>-1.3102409705243256</v>
      </c>
      <c r="I128" s="430">
        <f t="shared" si="392"/>
        <v>0.24272628275669947</v>
      </c>
      <c r="J128" s="430">
        <f t="shared" ref="J128:K128" si="393">+J125/J$40</f>
        <v>0.11318707754003651</v>
      </c>
      <c r="K128" s="430">
        <f t="shared" si="393"/>
        <v>0.22316039482826877</v>
      </c>
      <c r="L128" s="430">
        <f t="shared" ref="L128:N128" si="394">+L125/L$40</f>
        <v>-2.8359436104090703E-2</v>
      </c>
      <c r="M128" s="430">
        <f t="shared" si="394"/>
        <v>0.1772727272727273</v>
      </c>
      <c r="N128" s="430">
        <f t="shared" si="394"/>
        <v>8.9294644347247751E-2</v>
      </c>
      <c r="O128" s="430"/>
      <c r="P128" s="430"/>
      <c r="Q128" s="430">
        <f t="shared" ref="Q128:V128" si="395">+Q125/Q$40</f>
        <v>-1.4092526690391454</v>
      </c>
      <c r="R128" s="430">
        <f t="shared" si="395"/>
        <v>-0.35680109364319884</v>
      </c>
      <c r="S128" s="430">
        <f t="shared" si="395"/>
        <v>0.22197397569696023</v>
      </c>
      <c r="T128" s="430">
        <f t="shared" si="395"/>
        <v>-3.0746982579211081E-2</v>
      </c>
      <c r="U128" s="430">
        <f t="shared" si="395"/>
        <v>-0.80717979541047091</v>
      </c>
      <c r="V128" s="430">
        <f t="shared" si="395"/>
        <v>0.17649185912019597</v>
      </c>
      <c r="W128" s="430">
        <f t="shared" ref="W128:X128" si="396">+W125/W$40</f>
        <v>0.10443651130195793</v>
      </c>
      <c r="X128" s="430">
        <f t="shared" si="396"/>
        <v>0.13446249296400262</v>
      </c>
      <c r="Y128" s="437"/>
      <c r="AD128" s="450"/>
    </row>
    <row r="129" spans="1:30" s="438" customFormat="1" collapsed="1">
      <c r="A129" s="429"/>
      <c r="B129" s="437"/>
      <c r="C129" s="430"/>
      <c r="D129" s="430"/>
      <c r="E129" s="430"/>
      <c r="F129" s="430"/>
      <c r="G129" s="430"/>
      <c r="H129" s="430"/>
      <c r="I129" s="430"/>
      <c r="J129" s="430"/>
      <c r="K129" s="430"/>
      <c r="L129" s="430"/>
      <c r="M129" s="430"/>
      <c r="N129" s="430"/>
      <c r="O129" s="430"/>
      <c r="P129" s="430"/>
      <c r="Q129" s="430"/>
      <c r="R129" s="430"/>
      <c r="S129" s="430"/>
      <c r="T129" s="430"/>
      <c r="U129" s="430"/>
      <c r="V129" s="430"/>
      <c r="W129" s="430"/>
      <c r="X129" s="430"/>
      <c r="Y129" s="437"/>
      <c r="AD129" s="450"/>
    </row>
    <row r="130" spans="1:30" s="419" customFormat="1" ht="21.5">
      <c r="A130" s="401" t="s">
        <v>34</v>
      </c>
      <c r="B130" s="420"/>
      <c r="C130" s="420">
        <f>+Historical!C130/'Historical - USD'!C$181</f>
        <v>0.11397359479575472</v>
      </c>
      <c r="D130" s="420">
        <f>+Historical!D130/'Historical - USD'!D$181</f>
        <v>0.13092632460210482</v>
      </c>
      <c r="E130" s="420">
        <f>+Historical!E130/'Historical - USD'!E$181</f>
        <v>0.18930694205009849</v>
      </c>
      <c r="F130" s="420">
        <f>+Historical!F130/'Historical - USD'!F$181</f>
        <v>0.30957379313165195</v>
      </c>
      <c r="G130" s="420">
        <f>+Historical!G130/'Historical - USD'!G$181</f>
        <v>0.34546637518093748</v>
      </c>
      <c r="H130" s="420">
        <f>+Historical!H130/'Historical - USD'!H$181</f>
        <v>0.9385694137707612</v>
      </c>
      <c r="I130" s="420">
        <f>+Historical!I130/'Historical - USD'!I$181</f>
        <v>1.1713173795615852</v>
      </c>
      <c r="J130" s="420">
        <f>+Historical!J130/'Historical - USD'!J$181</f>
        <v>1.5678973535140928</v>
      </c>
      <c r="K130" s="420">
        <f>+Historical!K130/'Historical - USD'!K$181</f>
        <v>1.9244138467458938</v>
      </c>
      <c r="L130" s="420">
        <f>+Historical!L130/'Historical - USD'!L$181</f>
        <v>2.3334154254774684</v>
      </c>
      <c r="M130" s="420">
        <f>+L130+K130-J130</f>
        <v>2.6899319187092692</v>
      </c>
      <c r="N130" s="420">
        <f>+M130+L130-K130</f>
        <v>3.0989334974408433</v>
      </c>
      <c r="O130" s="420"/>
      <c r="P130" s="420"/>
      <c r="Q130" s="420">
        <f>+Historical!Q130/'Historical - USD'!Q$181</f>
        <v>0</v>
      </c>
      <c r="R130" s="420">
        <f>+Historical!R130/'Historical - USD'!R$181</f>
        <v>0.17089653633556959</v>
      </c>
      <c r="S130" s="420">
        <f>SUM(C130:D130)</f>
        <v>0.24489991939785954</v>
      </c>
      <c r="T130" s="420">
        <f>SUM(E130:F130)</f>
        <v>0.49888073518175047</v>
      </c>
      <c r="U130" s="420">
        <f>SUM(G130:H130)</f>
        <v>1.2840357889516987</v>
      </c>
      <c r="V130" s="420">
        <f>+SUM(I130:J130)</f>
        <v>2.739214733075678</v>
      </c>
      <c r="W130" s="420">
        <f>SUM(K130:L130)</f>
        <v>4.2578292722233622</v>
      </c>
      <c r="X130" s="420">
        <f>+SUM(M130:N130)</f>
        <v>5.788865416150113</v>
      </c>
      <c r="Y130" s="421"/>
    </row>
    <row r="131" spans="1:30" s="422" customFormat="1">
      <c r="A131" s="418" t="s">
        <v>151</v>
      </c>
      <c r="B131" s="423"/>
      <c r="C131" s="423">
        <f t="shared" ref="C131:N131" si="397">+C114-C130</f>
        <v>0.50149299090804866</v>
      </c>
      <c r="D131" s="423">
        <f t="shared" si="397"/>
        <v>1.0869868698060356</v>
      </c>
      <c r="E131" s="423">
        <f t="shared" si="397"/>
        <v>3.276542588431151</v>
      </c>
      <c r="F131" s="423">
        <f t="shared" si="397"/>
        <v>-2.2448485211214266</v>
      </c>
      <c r="G131" s="423">
        <f t="shared" si="397"/>
        <v>-7.7672369243882642</v>
      </c>
      <c r="H131" s="423">
        <f t="shared" si="397"/>
        <v>-9.3820677910616688</v>
      </c>
      <c r="I131" s="423">
        <f t="shared" si="397"/>
        <v>9.8598155057261891</v>
      </c>
      <c r="J131" s="423">
        <f t="shared" ref="J131:K131" si="398">+J114-J130</f>
        <v>6.8169689489435523</v>
      </c>
      <c r="K131" s="423">
        <f t="shared" si="398"/>
        <v>14.935792214004307</v>
      </c>
      <c r="L131" s="423">
        <f t="shared" ref="L131" si="399">+L114-L130</f>
        <v>0.76915851332882079</v>
      </c>
      <c r="M131" s="423">
        <f t="shared" si="397"/>
        <v>14.459739933309272</v>
      </c>
      <c r="N131" s="423">
        <f t="shared" si="397"/>
        <v>7.8971782642737907</v>
      </c>
      <c r="O131" s="423"/>
      <c r="P131" s="423"/>
      <c r="Q131" s="423">
        <f t="shared" ref="Q131:X131" si="400">+Q114-Q130</f>
        <v>0.13094759697307962</v>
      </c>
      <c r="R131" s="423">
        <f t="shared" si="400"/>
        <v>0.26242271479143953</v>
      </c>
      <c r="S131" s="423">
        <f t="shared" si="400"/>
        <v>1.5884798607140842</v>
      </c>
      <c r="T131" s="423">
        <f t="shared" si="400"/>
        <v>1.0316940673097243</v>
      </c>
      <c r="U131" s="423">
        <f t="shared" si="400"/>
        <v>-17.149304715449933</v>
      </c>
      <c r="V131" s="423">
        <f t="shared" si="400"/>
        <v>16.676784454669743</v>
      </c>
      <c r="W131" s="423">
        <f t="shared" si="400"/>
        <v>15.704950727333127</v>
      </c>
      <c r="X131" s="423">
        <f t="shared" si="400"/>
        <v>22.356918197583063</v>
      </c>
      <c r="Y131" s="424"/>
    </row>
    <row r="132" spans="1:30" s="419" customFormat="1" ht="21.5">
      <c r="A132" s="401" t="s">
        <v>152</v>
      </c>
      <c r="C132" s="420">
        <f>+Historical!C132/'Historical - USD'!C$181</f>
        <v>0</v>
      </c>
      <c r="D132" s="420">
        <f>+Historical!D132/'Historical - USD'!D$181</f>
        <v>0</v>
      </c>
      <c r="E132" s="420">
        <f>+Historical!E132/'Historical - USD'!E$181</f>
        <v>-6.2450343990319069E-4</v>
      </c>
      <c r="F132" s="420">
        <f>+Historical!F132/'Historical - USD'!F$181</f>
        <v>-6.4504017427738864E-3</v>
      </c>
      <c r="G132" s="420">
        <f>+Historical!G132/'Historical - USD'!G$181</f>
        <v>-1.1769058384210197E-2</v>
      </c>
      <c r="H132" s="420">
        <f>+Historical!H132/'Historical - USD'!H$181</f>
        <v>-1.4047329313607384E-2</v>
      </c>
      <c r="I132" s="420">
        <f>+Historical!I132/'Historical - USD'!I$181</f>
        <v>-4.4769047170403878E-2</v>
      </c>
      <c r="J132" s="420">
        <f>+Historical!J132/'Historical - USD'!J$181</f>
        <v>-0.12185879811029249</v>
      </c>
      <c r="K132" s="420">
        <f>+Historical!K132/'Historical - USD'!K$181</f>
        <v>-0.44235549604448027</v>
      </c>
      <c r="L132" s="420">
        <f>+Historical!L132/'Historical - USD'!L$181</f>
        <v>-0.92901703168472549</v>
      </c>
      <c r="M132" s="456">
        <v>0</v>
      </c>
      <c r="N132" s="456">
        <v>0</v>
      </c>
      <c r="O132" s="420"/>
      <c r="P132" s="420"/>
      <c r="Q132" s="420">
        <f>+Historical!Q132/'Historical - USD'!Q$181</f>
        <v>0</v>
      </c>
      <c r="R132" s="420">
        <f>+Historical!R132/'Historical - USD'!R$181</f>
        <v>0</v>
      </c>
      <c r="S132" s="420">
        <f>SUM(C132:D132)</f>
        <v>0</v>
      </c>
      <c r="T132" s="420">
        <f>SUM(E132:F132)</f>
        <v>-7.0749051826770768E-3</v>
      </c>
      <c r="U132" s="420">
        <f>SUM(G132:H132)</f>
        <v>-2.5816387697817581E-2</v>
      </c>
      <c r="V132" s="420">
        <f>+SUM(I132:J132)</f>
        <v>-0.16662784528069635</v>
      </c>
      <c r="W132" s="420">
        <f>SUM(K132:L132)</f>
        <v>-1.3713725277292057</v>
      </c>
      <c r="X132" s="420">
        <f>SUM(M132:N132)</f>
        <v>0</v>
      </c>
      <c r="Y132" s="421"/>
    </row>
    <row r="133" spans="1:30" s="422" customFormat="1">
      <c r="A133" s="418" t="s">
        <v>153</v>
      </c>
      <c r="C133" s="423">
        <f>C131-SUM(C132)</f>
        <v>0.50149299090804866</v>
      </c>
      <c r="D133" s="423">
        <f>D131-SUM(D132)</f>
        <v>1.0869868698060356</v>
      </c>
      <c r="E133" s="423">
        <f>E131-SUM(E132)</f>
        <v>3.2771670918710543</v>
      </c>
      <c r="F133" s="423">
        <f>F131-SUM(F132)</f>
        <v>-2.2383981193786529</v>
      </c>
      <c r="G133" s="423">
        <f t="shared" ref="G133" si="401">G131-SUM(G132)</f>
        <v>-7.7554678660040537</v>
      </c>
      <c r="H133" s="423">
        <f t="shared" ref="H133:I133" si="402">H131-SUM(H132)</f>
        <v>-9.3680204617480616</v>
      </c>
      <c r="I133" s="423">
        <f t="shared" si="402"/>
        <v>9.9045845528965923</v>
      </c>
      <c r="J133" s="423">
        <f t="shared" ref="J133:K133" si="403">J131-SUM(J132)</f>
        <v>6.9388277470538444</v>
      </c>
      <c r="K133" s="423">
        <f t="shared" si="403"/>
        <v>15.378147710048788</v>
      </c>
      <c r="L133" s="423">
        <f t="shared" ref="L133" si="404">L131-SUM(L132)</f>
        <v>1.6981755450135463</v>
      </c>
      <c r="M133" s="423">
        <f t="shared" ref="M133:N133" si="405">M131-SUM(M132)</f>
        <v>14.459739933309272</v>
      </c>
      <c r="N133" s="423">
        <f t="shared" si="405"/>
        <v>7.8971782642737907</v>
      </c>
      <c r="O133" s="423"/>
      <c r="P133" s="423"/>
      <c r="Q133" s="423">
        <f t="shared" ref="Q133:X133" si="406">Q131-SUM(Q132)</f>
        <v>0.13094759697307962</v>
      </c>
      <c r="R133" s="423">
        <f t="shared" si="406"/>
        <v>0.26242271479143953</v>
      </c>
      <c r="S133" s="423">
        <f t="shared" si="406"/>
        <v>1.5884798607140842</v>
      </c>
      <c r="T133" s="423">
        <f t="shared" si="406"/>
        <v>1.0387689724924014</v>
      </c>
      <c r="U133" s="423">
        <f t="shared" si="406"/>
        <v>-17.123488327752117</v>
      </c>
      <c r="V133" s="423">
        <f t="shared" si="406"/>
        <v>16.84341229995044</v>
      </c>
      <c r="W133" s="423">
        <f t="shared" si="406"/>
        <v>17.076323255062334</v>
      </c>
      <c r="X133" s="423">
        <f t="shared" si="406"/>
        <v>22.356918197583063</v>
      </c>
      <c r="Y133" s="424"/>
    </row>
    <row r="134" spans="1:30" s="419" customFormat="1" ht="21.5">
      <c r="A134" s="401" t="s">
        <v>154</v>
      </c>
      <c r="C134" s="420">
        <f>IF((C133)*30%&lt;0,0,C133)*30%</f>
        <v>0.15044789727241459</v>
      </c>
      <c r="D134" s="420">
        <f t="shared" ref="D134:H134" si="407">IF((D133)*30%&lt;0,0,D133)*30%</f>
        <v>0.32609606094181071</v>
      </c>
      <c r="E134" s="420">
        <f t="shared" si="407"/>
        <v>0.98315012756131626</v>
      </c>
      <c r="F134" s="420">
        <f t="shared" si="407"/>
        <v>0</v>
      </c>
      <c r="G134" s="420">
        <f t="shared" ref="G134" si="408">IF((G133)*30%&lt;0,0,G133)*30%</f>
        <v>0</v>
      </c>
      <c r="H134" s="420">
        <f t="shared" si="407"/>
        <v>0</v>
      </c>
      <c r="I134" s="420">
        <f t="shared" ref="I134" si="409">IF((I133)*30%&lt;0,0,I133)*30%</f>
        <v>2.9713753658689774</v>
      </c>
      <c r="J134" s="420">
        <f t="shared" ref="J134:K134" si="410">IF((J133)*30%&lt;0,0,J133)*30%</f>
        <v>2.0816483241161534</v>
      </c>
      <c r="K134" s="420">
        <f t="shared" si="410"/>
        <v>4.6134443130146359</v>
      </c>
      <c r="L134" s="420">
        <f t="shared" ref="L134" si="411">IF((L133)*30%&lt;0,0,L133)*30%</f>
        <v>0.50945266350406382</v>
      </c>
      <c r="M134" s="420">
        <f t="shared" ref="M134:N134" si="412">IF((M133)*30%&lt;0,0,M133)*30%</f>
        <v>4.3379219799927817</v>
      </c>
      <c r="N134" s="420">
        <f t="shared" si="412"/>
        <v>2.3691534792821369</v>
      </c>
      <c r="O134" s="420"/>
      <c r="P134" s="420"/>
      <c r="Q134" s="420">
        <f t="shared" ref="Q134:U134" si="413">IF((Q133)*30%&lt;0,0,Q133)*30%</f>
        <v>3.9284279091923884E-2</v>
      </c>
      <c r="R134" s="420">
        <f t="shared" si="413"/>
        <v>7.8726814437431861E-2</v>
      </c>
      <c r="S134" s="420">
        <f t="shared" si="413"/>
        <v>0.47654395821422524</v>
      </c>
      <c r="T134" s="420">
        <f t="shared" si="413"/>
        <v>0.3116306917477204</v>
      </c>
      <c r="U134" s="420">
        <f t="shared" si="413"/>
        <v>0</v>
      </c>
      <c r="V134" s="420">
        <f t="shared" ref="V134:W134" si="414">IF((V133)*30%&lt;0,0,V133)*30%</f>
        <v>5.0530236899851317</v>
      </c>
      <c r="W134" s="420">
        <f t="shared" si="414"/>
        <v>5.1228969765187005</v>
      </c>
      <c r="X134" s="420">
        <f t="shared" ref="X134" si="415">IF((X133)*30%&lt;0,0,X133)*30%</f>
        <v>6.7070754592749191</v>
      </c>
      <c r="Y134" s="421"/>
    </row>
    <row r="135" spans="1:30" s="422" customFormat="1">
      <c r="A135" s="418" t="s">
        <v>40</v>
      </c>
      <c r="C135" s="423">
        <f t="shared" ref="C135:H135" si="416">+C133-C134</f>
        <v>0.35104509363563408</v>
      </c>
      <c r="D135" s="423">
        <f t="shared" si="416"/>
        <v>0.760890808864225</v>
      </c>
      <c r="E135" s="423">
        <f t="shared" si="416"/>
        <v>2.2940169643097379</v>
      </c>
      <c r="F135" s="423">
        <f t="shared" si="416"/>
        <v>-2.2383981193786529</v>
      </c>
      <c r="G135" s="423">
        <f t="shared" ref="G135" si="417">+G133-G134</f>
        <v>-7.7554678660040537</v>
      </c>
      <c r="H135" s="423">
        <f t="shared" si="416"/>
        <v>-9.3680204617480616</v>
      </c>
      <c r="I135" s="423">
        <f t="shared" ref="I135" si="418">+I133-I134</f>
        <v>6.9332091870276145</v>
      </c>
      <c r="J135" s="423">
        <f t="shared" ref="J135:K135" si="419">+J133-J134</f>
        <v>4.8571794229376906</v>
      </c>
      <c r="K135" s="423">
        <f t="shared" si="419"/>
        <v>10.764703397034152</v>
      </c>
      <c r="L135" s="423">
        <f t="shared" ref="L135" si="420">+L133-L134</f>
        <v>1.1887228815094826</v>
      </c>
      <c r="M135" s="423">
        <f t="shared" ref="M135:N135" si="421">+M133-M134</f>
        <v>10.121817953316491</v>
      </c>
      <c r="N135" s="423">
        <f t="shared" si="421"/>
        <v>5.5280247849916542</v>
      </c>
      <c r="O135" s="423"/>
      <c r="P135" s="423"/>
      <c r="Q135" s="423">
        <f t="shared" ref="Q135:U135" si="422">+Q133-Q134</f>
        <v>9.1663317881155726E-2</v>
      </c>
      <c r="R135" s="423">
        <f t="shared" si="422"/>
        <v>0.18369590035400768</v>
      </c>
      <c r="S135" s="423">
        <f t="shared" si="422"/>
        <v>1.111935902499859</v>
      </c>
      <c r="T135" s="423">
        <f t="shared" si="422"/>
        <v>0.72713828074468101</v>
      </c>
      <c r="U135" s="423">
        <f t="shared" si="422"/>
        <v>-17.123488327752117</v>
      </c>
      <c r="V135" s="423">
        <f t="shared" ref="V135:W135" si="423">+V133-V134</f>
        <v>11.790388609965309</v>
      </c>
      <c r="W135" s="423">
        <f t="shared" si="423"/>
        <v>11.953426278543635</v>
      </c>
      <c r="X135" s="423">
        <f t="shared" ref="X135" si="424">+X133-X134</f>
        <v>15.649842738308145</v>
      </c>
      <c r="Y135" s="424"/>
    </row>
    <row r="136" spans="1:30" ht="8.15" customHeight="1">
      <c r="B136" s="464"/>
      <c r="C136" s="464"/>
      <c r="D136" s="464"/>
      <c r="E136" s="464"/>
      <c r="F136" s="464"/>
      <c r="G136" s="464"/>
      <c r="H136" s="464"/>
      <c r="I136" s="464"/>
      <c r="J136" s="464"/>
      <c r="K136" s="464"/>
      <c r="L136" s="464"/>
      <c r="M136" s="464"/>
      <c r="N136" s="464"/>
      <c r="O136" s="464"/>
      <c r="P136" s="464"/>
      <c r="Q136" s="464"/>
      <c r="R136" s="464"/>
      <c r="S136" s="464"/>
      <c r="T136" s="464"/>
      <c r="U136" s="464"/>
      <c r="V136" s="464"/>
      <c r="W136" s="464"/>
      <c r="X136" s="464"/>
      <c r="Y136" s="464"/>
    </row>
    <row r="137" spans="1:30">
      <c r="A137" s="412" t="s">
        <v>155</v>
      </c>
      <c r="B137" s="408"/>
      <c r="C137" s="464"/>
      <c r="D137" s="464"/>
      <c r="E137" s="464"/>
      <c r="F137" s="464"/>
      <c r="G137" s="464"/>
      <c r="H137" s="464"/>
      <c r="I137" s="464"/>
      <c r="J137" s="464"/>
      <c r="K137" s="464"/>
      <c r="L137" s="464"/>
      <c r="M137" s="464"/>
      <c r="N137" s="464"/>
      <c r="O137" s="464"/>
      <c r="P137" s="464"/>
      <c r="Q137" s="464"/>
      <c r="R137" s="464"/>
      <c r="S137" s="464"/>
      <c r="T137" s="464"/>
      <c r="U137" s="464"/>
      <c r="V137" s="464"/>
      <c r="W137" s="464"/>
      <c r="X137" s="464"/>
      <c r="Y137" s="464"/>
    </row>
    <row r="138" spans="1:30" ht="8.15" customHeight="1">
      <c r="B138" s="464"/>
      <c r="C138" s="464"/>
      <c r="D138" s="464"/>
      <c r="E138" s="464"/>
      <c r="F138" s="464"/>
      <c r="G138" s="464"/>
      <c r="H138" s="464"/>
      <c r="I138" s="464"/>
      <c r="J138" s="464"/>
      <c r="K138" s="464"/>
      <c r="L138" s="464"/>
      <c r="M138" s="464"/>
      <c r="N138" s="464"/>
      <c r="O138" s="464"/>
      <c r="P138" s="464"/>
      <c r="Q138" s="464"/>
      <c r="R138" s="464"/>
      <c r="S138" s="464"/>
      <c r="T138" s="464"/>
      <c r="U138" s="464"/>
      <c r="V138" s="464"/>
      <c r="W138" s="464"/>
      <c r="X138" s="464"/>
      <c r="Y138" s="464"/>
    </row>
    <row r="139" spans="1:30">
      <c r="A139" s="413" t="s">
        <v>39</v>
      </c>
      <c r="B139" s="464"/>
      <c r="C139" s="464"/>
      <c r="D139" s="464"/>
      <c r="E139" s="464"/>
      <c r="F139" s="464"/>
      <c r="G139" s="464"/>
      <c r="H139" s="464"/>
      <c r="I139" s="464"/>
      <c r="J139" s="464"/>
      <c r="K139" s="464"/>
      <c r="L139" s="464"/>
      <c r="M139" s="464"/>
      <c r="N139" s="464"/>
      <c r="O139" s="464"/>
      <c r="P139" s="464"/>
      <c r="Q139" s="464"/>
      <c r="R139" s="464"/>
      <c r="S139" s="464"/>
      <c r="T139" s="464"/>
      <c r="U139" s="464"/>
      <c r="V139" s="464"/>
      <c r="W139" s="464"/>
      <c r="X139" s="464"/>
      <c r="Y139" s="464"/>
    </row>
    <row r="140" spans="1:30" s="422" customFormat="1">
      <c r="A140" s="401" t="s">
        <v>28</v>
      </c>
      <c r="B140" s="423"/>
      <c r="C140" s="423">
        <f t="shared" ref="C140:G140" si="425">+C114</f>
        <v>0.61546658570380341</v>
      </c>
      <c r="D140" s="423">
        <f t="shared" si="425"/>
        <v>1.2179131944081405</v>
      </c>
      <c r="E140" s="423">
        <f t="shared" si="425"/>
        <v>3.4658495304812496</v>
      </c>
      <c r="F140" s="423">
        <f t="shared" si="425"/>
        <v>-1.9352747279897746</v>
      </c>
      <c r="G140" s="423">
        <f t="shared" si="425"/>
        <v>-7.4217705492073263</v>
      </c>
      <c r="H140" s="423">
        <f t="shared" ref="H140:I140" si="426">+H114</f>
        <v>-8.4434983772909078</v>
      </c>
      <c r="I140" s="423">
        <f t="shared" si="426"/>
        <v>11.031132885287775</v>
      </c>
      <c r="J140" s="423">
        <f t="shared" ref="J140:K140" si="427">+J114</f>
        <v>8.3848663024576453</v>
      </c>
      <c r="K140" s="423">
        <f t="shared" si="427"/>
        <v>16.860206060750201</v>
      </c>
      <c r="L140" s="423">
        <f t="shared" ref="L140" si="428">+L114</f>
        <v>3.1025739388062892</v>
      </c>
      <c r="M140" s="423">
        <f t="shared" ref="M140:N140" si="429">+M114</f>
        <v>17.149671852018542</v>
      </c>
      <c r="N140" s="423">
        <f t="shared" si="429"/>
        <v>10.996111761714634</v>
      </c>
      <c r="O140" s="423"/>
      <c r="P140" s="423"/>
      <c r="Q140" s="423">
        <f t="shared" ref="Q140:V140" si="430">+Q114</f>
        <v>0.13094759697307962</v>
      </c>
      <c r="R140" s="423">
        <f t="shared" si="430"/>
        <v>0.43331925112700909</v>
      </c>
      <c r="S140" s="423">
        <f t="shared" si="430"/>
        <v>1.8333797801119438</v>
      </c>
      <c r="T140" s="423">
        <f t="shared" si="430"/>
        <v>1.5305748024914749</v>
      </c>
      <c r="U140" s="423">
        <f t="shared" si="430"/>
        <v>-15.865268926498235</v>
      </c>
      <c r="V140" s="423">
        <f t="shared" si="430"/>
        <v>19.41599918774542</v>
      </c>
      <c r="W140" s="423">
        <f t="shared" ref="W140:X140" si="431">+W114</f>
        <v>19.962779999556489</v>
      </c>
      <c r="X140" s="423">
        <f t="shared" si="431"/>
        <v>28.145783613733176</v>
      </c>
      <c r="Y140" s="423"/>
    </row>
    <row r="141" spans="1:30" s="422" customFormat="1">
      <c r="A141" s="401" t="s">
        <v>156</v>
      </c>
      <c r="B141" s="423"/>
      <c r="C141" s="423">
        <f t="shared" ref="C141:G141" si="432">-C120</f>
        <v>-0.37545036336549498</v>
      </c>
      <c r="D141" s="423">
        <f t="shared" si="432"/>
        <v>-0.50959889757857468</v>
      </c>
      <c r="E141" s="423">
        <f t="shared" si="432"/>
        <v>-0.78613635046767172</v>
      </c>
      <c r="F141" s="423">
        <f t="shared" si="432"/>
        <v>-1.2485845116680516</v>
      </c>
      <c r="G141" s="423">
        <f t="shared" si="432"/>
        <v>-2.5949124211006818</v>
      </c>
      <c r="H141" s="423">
        <f t="shared" ref="H141:I141" si="433">-H120</f>
        <v>-3.4715844108686018</v>
      </c>
      <c r="I141" s="423">
        <f t="shared" si="433"/>
        <v>-3.424697125656416</v>
      </c>
      <c r="J141" s="423">
        <f t="shared" ref="J141:K141" si="434">-J120</f>
        <v>-4.6737164561095703</v>
      </c>
      <c r="K141" s="423">
        <f t="shared" si="434"/>
        <v>-4.8950363584385395</v>
      </c>
      <c r="L141" s="423">
        <f t="shared" ref="L141" si="435">-L120</f>
        <v>-4.4619906524095967</v>
      </c>
      <c r="M141" s="423">
        <f t="shared" ref="M141:N141" si="436">-M120</f>
        <v>-6.0023851482064901</v>
      </c>
      <c r="N141" s="423">
        <f t="shared" si="436"/>
        <v>-5.6741609483827959</v>
      </c>
      <c r="O141" s="423"/>
      <c r="P141" s="423"/>
      <c r="Q141" s="423">
        <f t="shared" ref="Q141:V141" si="437">-Q120</f>
        <v>-0.43778338633011815</v>
      </c>
      <c r="R141" s="423">
        <f t="shared" si="437"/>
        <v>-0.80657444764235353</v>
      </c>
      <c r="S141" s="423">
        <f t="shared" si="437"/>
        <v>-0.88504926094406966</v>
      </c>
      <c r="T141" s="423">
        <f t="shared" si="437"/>
        <v>-2.0347208621357233</v>
      </c>
      <c r="U141" s="423">
        <f t="shared" si="437"/>
        <v>-6.0664968319692836</v>
      </c>
      <c r="V141" s="423">
        <f t="shared" si="437"/>
        <v>-8.0984135817659855</v>
      </c>
      <c r="W141" s="423">
        <f t="shared" ref="W141:X141" si="438">-W120</f>
        <v>-9.3570270108481353</v>
      </c>
      <c r="X141" s="423">
        <f t="shared" si="438"/>
        <v>-11.676546096589286</v>
      </c>
      <c r="Y141" s="423"/>
    </row>
    <row r="142" spans="1:30" s="422" customFormat="1">
      <c r="A142" s="401" t="s">
        <v>157</v>
      </c>
      <c r="B142" s="423"/>
      <c r="C142" s="423">
        <f>-C132</f>
        <v>0</v>
      </c>
      <c r="D142" s="423">
        <f t="shared" ref="D142:F142" si="439">-D132</f>
        <v>0</v>
      </c>
      <c r="E142" s="423">
        <f t="shared" si="439"/>
        <v>6.2450343990319069E-4</v>
      </c>
      <c r="F142" s="423">
        <f t="shared" si="439"/>
        <v>6.4504017427738864E-3</v>
      </c>
      <c r="G142" s="423">
        <f t="shared" ref="G142:H142" si="440">-G132</f>
        <v>1.1769058384210197E-2</v>
      </c>
      <c r="H142" s="423">
        <f t="shared" si="440"/>
        <v>1.4047329313607384E-2</v>
      </c>
      <c r="I142" s="423">
        <f t="shared" ref="I142:J142" si="441">-I132</f>
        <v>4.4769047170403878E-2</v>
      </c>
      <c r="J142" s="423">
        <f t="shared" si="441"/>
        <v>0.12185879811029249</v>
      </c>
      <c r="K142" s="423">
        <f t="shared" ref="K142:L142" si="442">-K132</f>
        <v>0.44235549604448027</v>
      </c>
      <c r="L142" s="423">
        <f t="shared" si="442"/>
        <v>0.92901703168472549</v>
      </c>
      <c r="M142" s="423">
        <f t="shared" ref="M142:N142" si="443">-M132</f>
        <v>0</v>
      </c>
      <c r="N142" s="423">
        <f t="shared" si="443"/>
        <v>0</v>
      </c>
      <c r="O142" s="423"/>
      <c r="P142" s="423"/>
      <c r="Q142" s="423">
        <f t="shared" ref="Q142:T142" si="444">-Q132</f>
        <v>0</v>
      </c>
      <c r="R142" s="423">
        <f t="shared" si="444"/>
        <v>0</v>
      </c>
      <c r="S142" s="423">
        <f t="shared" si="444"/>
        <v>0</v>
      </c>
      <c r="T142" s="423">
        <f t="shared" si="444"/>
        <v>7.0749051826770768E-3</v>
      </c>
      <c r="U142" s="423">
        <f t="shared" ref="U142:V142" si="445">-U132</f>
        <v>2.5816387697817581E-2</v>
      </c>
      <c r="V142" s="423">
        <f t="shared" si="445"/>
        <v>0.16662784528069635</v>
      </c>
      <c r="W142" s="423">
        <f t="shared" ref="W142:X142" si="446">-W132</f>
        <v>1.3713725277292057</v>
      </c>
      <c r="X142" s="423">
        <f t="shared" si="446"/>
        <v>0</v>
      </c>
      <c r="Y142" s="423"/>
    </row>
    <row r="143" spans="1:30" s="419" customFormat="1" ht="21.5">
      <c r="A143" s="401" t="s">
        <v>158</v>
      </c>
      <c r="B143" s="420"/>
      <c r="C143" s="420">
        <f t="shared" ref="C143:F143" si="447">-C134</f>
        <v>-0.15044789727241459</v>
      </c>
      <c r="D143" s="420">
        <f t="shared" si="447"/>
        <v>-0.32609606094181071</v>
      </c>
      <c r="E143" s="420">
        <f t="shared" si="447"/>
        <v>-0.98315012756131626</v>
      </c>
      <c r="F143" s="420">
        <f t="shared" si="447"/>
        <v>0</v>
      </c>
      <c r="G143" s="420">
        <f t="shared" ref="G143:H143" si="448">-G134</f>
        <v>0</v>
      </c>
      <c r="H143" s="420">
        <f t="shared" si="448"/>
        <v>0</v>
      </c>
      <c r="I143" s="420">
        <f t="shared" ref="I143:J143" si="449">-I134</f>
        <v>-2.9713753658689774</v>
      </c>
      <c r="J143" s="420">
        <f t="shared" si="449"/>
        <v>-2.0816483241161534</v>
      </c>
      <c r="K143" s="420">
        <f t="shared" ref="K143:L143" si="450">-K134</f>
        <v>-4.6134443130146359</v>
      </c>
      <c r="L143" s="420">
        <f t="shared" si="450"/>
        <v>-0.50945266350406382</v>
      </c>
      <c r="M143" s="420">
        <f t="shared" ref="M143:N143" si="451">-M134</f>
        <v>-4.3379219799927817</v>
      </c>
      <c r="N143" s="420">
        <f t="shared" si="451"/>
        <v>-2.3691534792821369</v>
      </c>
      <c r="O143" s="420"/>
      <c r="P143" s="420"/>
      <c r="Q143" s="420">
        <f t="shared" ref="Q143:T143" si="452">-Q134</f>
        <v>-3.9284279091923884E-2</v>
      </c>
      <c r="R143" s="420">
        <f t="shared" si="452"/>
        <v>-7.8726814437431861E-2</v>
      </c>
      <c r="S143" s="420">
        <f t="shared" si="452"/>
        <v>-0.47654395821422524</v>
      </c>
      <c r="T143" s="420">
        <f t="shared" si="452"/>
        <v>-0.3116306917477204</v>
      </c>
      <c r="U143" s="420">
        <f t="shared" ref="U143:V143" si="453">-U134</f>
        <v>0</v>
      </c>
      <c r="V143" s="420">
        <f t="shared" si="453"/>
        <v>-5.0530236899851317</v>
      </c>
      <c r="W143" s="420">
        <f t="shared" ref="W143:X143" si="454">-W134</f>
        <v>-5.1228969765187005</v>
      </c>
      <c r="X143" s="420">
        <f t="shared" si="454"/>
        <v>-6.7070754592749191</v>
      </c>
      <c r="Y143" s="420"/>
    </row>
    <row r="144" spans="1:30" s="422" customFormat="1">
      <c r="A144" s="418" t="s">
        <v>39</v>
      </c>
      <c r="B144" s="423"/>
      <c r="C144" s="423">
        <f t="shared" ref="C144:E144" si="455">SUM(C140:C143)</f>
        <v>8.956832506589385E-2</v>
      </c>
      <c r="D144" s="423">
        <f t="shared" si="455"/>
        <v>0.38221823588775511</v>
      </c>
      <c r="E144" s="423">
        <f t="shared" si="455"/>
        <v>1.6971875558921647</v>
      </c>
      <c r="F144" s="423">
        <f t="shared" ref="F144" si="456">SUM(F140:F143)</f>
        <v>-3.1774088379150522</v>
      </c>
      <c r="G144" s="423">
        <f t="shared" ref="G144:H144" si="457">SUM(G140:G143)</f>
        <v>-10.004913911923797</v>
      </c>
      <c r="H144" s="423">
        <f t="shared" si="457"/>
        <v>-11.901035458845902</v>
      </c>
      <c r="I144" s="423">
        <f t="shared" ref="I144:J144" si="458">SUM(I140:I143)</f>
        <v>4.6798294409327852</v>
      </c>
      <c r="J144" s="423">
        <f t="shared" si="458"/>
        <v>1.7513603203422141</v>
      </c>
      <c r="K144" s="423">
        <f t="shared" ref="K144:L144" si="459">SUM(K140:K143)</f>
        <v>7.7940808853415078</v>
      </c>
      <c r="L144" s="423">
        <f t="shared" si="459"/>
        <v>-0.93985234542264584</v>
      </c>
      <c r="M144" s="423">
        <f t="shared" ref="M144:N144" si="460">SUM(M140:M143)</f>
        <v>6.8093647238192716</v>
      </c>
      <c r="N144" s="423">
        <f t="shared" si="460"/>
        <v>2.9527973340497007</v>
      </c>
      <c r="O144" s="423"/>
      <c r="P144" s="423"/>
      <c r="Q144" s="423">
        <f t="shared" ref="Q144:T144" si="461">SUM(Q140:Q143)</f>
        <v>-0.34612006844896243</v>
      </c>
      <c r="R144" s="423">
        <f t="shared" si="461"/>
        <v>-0.45198201095277629</v>
      </c>
      <c r="S144" s="423">
        <f t="shared" si="461"/>
        <v>0.4717865609536489</v>
      </c>
      <c r="T144" s="423">
        <f t="shared" si="461"/>
        <v>-0.80870184620929175</v>
      </c>
      <c r="U144" s="423">
        <f t="shared" ref="U144:V144" si="462">SUM(U140:U143)</f>
        <v>-21.905949370769704</v>
      </c>
      <c r="V144" s="423">
        <f t="shared" si="462"/>
        <v>6.4311897612750002</v>
      </c>
      <c r="W144" s="423">
        <f t="shared" ref="W144:X144" si="463">SUM(W140:W143)</f>
        <v>6.8542285399188581</v>
      </c>
      <c r="X144" s="423">
        <f t="shared" si="463"/>
        <v>9.7621620578689701</v>
      </c>
      <c r="Y144" s="466"/>
    </row>
    <row r="145" spans="1:30">
      <c r="A145" s="467"/>
      <c r="B145" s="464"/>
      <c r="C145" s="464"/>
      <c r="D145" s="464"/>
      <c r="E145" s="464"/>
      <c r="F145" s="464"/>
      <c r="G145" s="464"/>
      <c r="H145" s="464"/>
      <c r="I145" s="464"/>
      <c r="J145" s="464"/>
      <c r="K145" s="464"/>
      <c r="L145" s="464"/>
      <c r="M145" s="468"/>
      <c r="N145" s="468"/>
      <c r="O145" s="468"/>
      <c r="P145" s="468"/>
      <c r="Q145" s="468"/>
      <c r="R145" s="468"/>
      <c r="S145" s="468"/>
      <c r="T145" s="468"/>
      <c r="U145" s="468"/>
      <c r="V145" s="468"/>
      <c r="W145" s="468"/>
      <c r="X145" s="468"/>
      <c r="Y145" s="466"/>
    </row>
    <row r="146" spans="1:30">
      <c r="A146" s="401" t="s">
        <v>4204</v>
      </c>
      <c r="B146" s="464"/>
      <c r="C146" s="464">
        <v>0</v>
      </c>
      <c r="D146" s="464">
        <v>0</v>
      </c>
      <c r="E146" s="464">
        <v>0</v>
      </c>
      <c r="F146" s="464">
        <v>0</v>
      </c>
      <c r="G146" s="464">
        <v>0</v>
      </c>
      <c r="H146" s="464">
        <v>0</v>
      </c>
      <c r="I146" s="464">
        <v>0</v>
      </c>
      <c r="J146" s="464">
        <v>0</v>
      </c>
      <c r="K146" s="464">
        <v>0</v>
      </c>
      <c r="L146" s="464">
        <f>+Historical!L146/'Historical - USD'!L$181</f>
        <v>0.60029880402441371</v>
      </c>
      <c r="M146" s="469">
        <v>0</v>
      </c>
      <c r="N146" s="469">
        <v>0</v>
      </c>
      <c r="O146" s="468"/>
      <c r="P146" s="468"/>
      <c r="Q146" s="423">
        <v>0</v>
      </c>
      <c r="R146" s="423">
        <v>0</v>
      </c>
      <c r="S146" s="423">
        <v>0</v>
      </c>
      <c r="T146" s="423">
        <v>0</v>
      </c>
      <c r="U146" s="423">
        <v>0</v>
      </c>
      <c r="V146" s="423">
        <v>0</v>
      </c>
      <c r="W146" s="423">
        <f>+SUM(K146:L146)</f>
        <v>0.60029880402441371</v>
      </c>
      <c r="X146" s="423">
        <f>+SUM(M146:N146)</f>
        <v>0</v>
      </c>
      <c r="Y146" s="466"/>
    </row>
    <row r="147" spans="1:30" s="419" customFormat="1" ht="21.5">
      <c r="A147" s="401" t="s">
        <v>159</v>
      </c>
      <c r="B147" s="420"/>
      <c r="C147" s="420">
        <f>+C148-C144</f>
        <v>0.20113249483192031</v>
      </c>
      <c r="D147" s="420">
        <f t="shared" ref="D147:E147" si="464">+D148-D144</f>
        <v>2.0912151600252553</v>
      </c>
      <c r="E147" s="420">
        <f t="shared" si="464"/>
        <v>3.716357375958915</v>
      </c>
      <c r="F147" s="420">
        <f t="shared" ref="F147:G147" si="465">+F148-F144</f>
        <v>5.1376378155348625</v>
      </c>
      <c r="G147" s="420">
        <f t="shared" si="465"/>
        <v>16.402149488607982</v>
      </c>
      <c r="H147" s="420">
        <f t="shared" ref="H147:I147" si="466">+H148-H144</f>
        <v>-10.962024526764489</v>
      </c>
      <c r="I147" s="420">
        <f t="shared" si="466"/>
        <v>15.884995381628613</v>
      </c>
      <c r="J147" s="420">
        <f t="shared" ref="J147:K147" si="467">+J148-J144</f>
        <v>-6.0139617204571625</v>
      </c>
      <c r="K147" s="420">
        <f t="shared" si="467"/>
        <v>29.721244827506702</v>
      </c>
      <c r="L147" s="420">
        <f>+L148-L144-L146</f>
        <v>-5.4401806090952638</v>
      </c>
      <c r="M147" s="456">
        <f>+K147/(K13-J13)*(M13-L13)</f>
        <v>9.1114661810291615</v>
      </c>
      <c r="N147" s="456">
        <f>+L147/(L13-K13)*(N13-M13)</f>
        <v>-3.5187710790216795</v>
      </c>
      <c r="O147" s="420"/>
      <c r="P147" s="420"/>
      <c r="Q147" s="420">
        <f t="shared" ref="Q147:S147" si="468">+Q148-Q144</f>
        <v>-0.71387993155103757</v>
      </c>
      <c r="R147" s="420">
        <f t="shared" si="468"/>
        <v>7.9982010952776406E-2</v>
      </c>
      <c r="S147" s="420">
        <f t="shared" si="468"/>
        <v>3.7221444390463514</v>
      </c>
      <c r="T147" s="420">
        <f>SUM(E147:F147)</f>
        <v>8.8539951914937767</v>
      </c>
      <c r="U147" s="420">
        <f>SUM(G147:H147)</f>
        <v>5.4401249618434928</v>
      </c>
      <c r="V147" s="420">
        <f>+SUM(I147:J147)</f>
        <v>9.8710336611714506</v>
      </c>
      <c r="W147" s="420">
        <f>+SUM(K147:L147)</f>
        <v>24.281064218411437</v>
      </c>
      <c r="X147" s="420">
        <f>+SUM(M147:N147)</f>
        <v>5.5926951020074824</v>
      </c>
      <c r="Y147" s="421"/>
    </row>
    <row r="148" spans="1:30" s="422" customFormat="1">
      <c r="A148" s="418" t="s">
        <v>42</v>
      </c>
      <c r="B148" s="423"/>
      <c r="C148" s="423">
        <f>+Historical!C148/'Historical - USD'!C$181</f>
        <v>0.29070081989781416</v>
      </c>
      <c r="D148" s="423">
        <f>+Historical!D148/'Historical - USD'!D$181</f>
        <v>2.4734333959130104</v>
      </c>
      <c r="E148" s="423">
        <f>+Historical!E148/'Historical - USD'!E$181</f>
        <v>5.4135449318510798</v>
      </c>
      <c r="F148" s="423">
        <f>+Historical!F148/'Historical - USD'!F$181</f>
        <v>1.9602289776198107</v>
      </c>
      <c r="G148" s="423">
        <f>+Historical!G148/'Historical - USD'!G$181</f>
        <v>6.3972355766841833</v>
      </c>
      <c r="H148" s="423">
        <f>+Historical!H148/'Historical - USD'!H$181</f>
        <v>-22.863059985610391</v>
      </c>
      <c r="I148" s="423">
        <f>+Historical!I148/'Historical - USD'!I$181</f>
        <v>20.564824822561398</v>
      </c>
      <c r="J148" s="423">
        <f>+Historical!J148/'Historical - USD'!J$181</f>
        <v>-4.2626014001149484</v>
      </c>
      <c r="K148" s="423">
        <f>+Historical!K148/'Historical - USD'!K$181</f>
        <v>37.51532571284821</v>
      </c>
      <c r="L148" s="423">
        <f>+Historical!L148/'Historical - USD'!L$181</f>
        <v>-5.7797341504934963</v>
      </c>
      <c r="M148" s="423">
        <f>+M147+M144+M146</f>
        <v>15.920830904848433</v>
      </c>
      <c r="N148" s="423">
        <f>+N147+N144+N146</f>
        <v>-0.56597374497197883</v>
      </c>
      <c r="O148" s="423"/>
      <c r="P148" s="423"/>
      <c r="Q148" s="423">
        <f>+'Detailed Disclosure'!AJ228/1000+'Detailed Disclosure'!AJ232/1000</f>
        <v>-1.06</v>
      </c>
      <c r="R148" s="423">
        <f>+'Detailed Disclosure'!AK228/1000+'Detailed Disclosure'!AK232/1000</f>
        <v>-0.37199999999999989</v>
      </c>
      <c r="S148" s="423">
        <f>+'Detailed Disclosure'!AL228/1000+'Detailed Disclosure'!AL232/1000</f>
        <v>4.1939310000000001</v>
      </c>
      <c r="T148" s="423">
        <f>SUM(E148:F148)</f>
        <v>7.3737739094708905</v>
      </c>
      <c r="U148" s="423">
        <f>SUM(G148:H148)</f>
        <v>-16.46582440892621</v>
      </c>
      <c r="V148" s="423">
        <f>+SUM(I148:J148)</f>
        <v>16.302223422446449</v>
      </c>
      <c r="W148" s="423">
        <f>+SUM(K148:L148)</f>
        <v>31.735591562354713</v>
      </c>
      <c r="X148" s="423">
        <f>+SUM(M148:N148)</f>
        <v>15.354857159876454</v>
      </c>
      <c r="Y148" s="424"/>
      <c r="AD148" s="422">
        <f>SUM(F148:G148)</f>
        <v>8.3574645543039949</v>
      </c>
    </row>
    <row r="149" spans="1:30">
      <c r="A149" s="470"/>
      <c r="B149" s="424"/>
      <c r="C149" s="424"/>
      <c r="D149" s="424"/>
      <c r="E149" s="424"/>
      <c r="F149" s="466"/>
      <c r="G149" s="466"/>
      <c r="H149" s="466"/>
      <c r="I149" s="466"/>
      <c r="J149" s="466"/>
      <c r="K149" s="466"/>
      <c r="L149" s="466"/>
      <c r="M149" s="424"/>
      <c r="N149" s="424"/>
      <c r="O149" s="424"/>
      <c r="P149" s="424"/>
      <c r="Q149" s="424"/>
      <c r="R149" s="424"/>
      <c r="S149" s="424"/>
      <c r="T149" s="471"/>
      <c r="U149" s="471"/>
      <c r="V149" s="471"/>
      <c r="W149" s="471"/>
      <c r="X149" s="471"/>
      <c r="Y149" s="471"/>
      <c r="AD149" s="422">
        <f>SUM('Detailed Disclosures - USD'!AA76:AB76)/1000</f>
        <v>0.20003407278219792</v>
      </c>
    </row>
    <row r="150" spans="1:30">
      <c r="A150" s="413" t="s">
        <v>160</v>
      </c>
      <c r="B150" s="424"/>
      <c r="C150" s="424"/>
      <c r="D150" s="424"/>
      <c r="E150" s="424"/>
      <c r="F150" s="424"/>
      <c r="G150" s="424"/>
      <c r="H150" s="424"/>
      <c r="I150" s="424"/>
      <c r="J150" s="424"/>
      <c r="K150" s="424"/>
      <c r="L150" s="424"/>
      <c r="M150" s="424"/>
      <c r="N150" s="424"/>
      <c r="O150" s="424"/>
      <c r="P150" s="424"/>
      <c r="Q150" s="424"/>
      <c r="R150" s="424"/>
      <c r="S150" s="424"/>
      <c r="T150" s="471"/>
      <c r="U150" s="471"/>
      <c r="V150" s="471"/>
      <c r="W150" s="471"/>
      <c r="X150" s="471"/>
      <c r="Y150" s="471"/>
      <c r="AD150" s="422">
        <f>+AD148-AD149</f>
        <v>8.1574304815217964</v>
      </c>
    </row>
    <row r="151" spans="1:30" s="422" customFormat="1">
      <c r="A151" s="401" t="s">
        <v>161</v>
      </c>
      <c r="B151" s="423"/>
      <c r="C151" s="423">
        <f>+Historical!C151/'Historical - USD'!C$181</f>
        <v>0.66615118326330913</v>
      </c>
      <c r="D151" s="423">
        <f>+Historical!D151/'Historical - USD'!D$181</f>
        <v>2.9830322934915854</v>
      </c>
      <c r="E151" s="423">
        <f>+Historical!E151/'Historical - USD'!E$181</f>
        <v>6.1996812823187515</v>
      </c>
      <c r="F151" s="423">
        <f>+Historical!F151/'Historical - USD'!F$181</f>
        <v>3.2088134892878624</v>
      </c>
      <c r="G151" s="423">
        <f>+Historical!G151/'Historical - USD'!G$181</f>
        <v>8.9921479977848655</v>
      </c>
      <c r="H151" s="423">
        <f>+Historical!H151/'Historical - USD'!H$181</f>
        <v>-19.39147557474179</v>
      </c>
      <c r="I151" s="423">
        <f>+Historical!I151/'Historical - USD'!I$181</f>
        <v>24.008095303896322</v>
      </c>
      <c r="J151" s="423">
        <f>+Historical!J151/'Historical - USD'!J$181</f>
        <v>0.41615113554095767</v>
      </c>
      <c r="K151" s="423">
        <f>+Historical!K151/'Historical - USD'!K$181</f>
        <v>42.413936549498302</v>
      </c>
      <c r="L151" s="423">
        <f>+Historical!L151/'Historical - USD'!L$181</f>
        <v>-1.3178184557596824</v>
      </c>
      <c r="M151" s="423"/>
      <c r="N151" s="423"/>
      <c r="O151" s="423"/>
      <c r="P151" s="423"/>
      <c r="Q151" s="423">
        <f>+Historical!Q151/'Historical - USD'!Q$181</f>
        <v>-0.38354473669629824</v>
      </c>
      <c r="R151" s="423">
        <f>+Historical!R151/'Historical - USD'!R$181</f>
        <v>0.54057649150498166</v>
      </c>
      <c r="S151" s="423">
        <f>SUM(C151:D151)</f>
        <v>3.6491834767548945</v>
      </c>
      <c r="T151" s="423">
        <f>SUM(E151:F151)</f>
        <v>9.4084947716066143</v>
      </c>
      <c r="U151" s="423">
        <f t="shared" ref="U151:U155" si="469">SUM(G151:H151)</f>
        <v>-10.399327576956924</v>
      </c>
      <c r="V151" s="423">
        <f t="shared" ref="V151:V155" si="470">+SUM(I151:J151)</f>
        <v>24.42424643943728</v>
      </c>
      <c r="W151" s="423">
        <f t="shared" ref="W151:W155" si="471">+SUM(K151:L151)</f>
        <v>41.096118093738617</v>
      </c>
      <c r="X151" s="423"/>
      <c r="Y151" s="424"/>
      <c r="AD151" s="450">
        <f>+AD149/AD38</f>
        <v>1.623945959331441E-3</v>
      </c>
    </row>
    <row r="152" spans="1:30" s="422" customFormat="1">
      <c r="A152" s="401" t="s">
        <v>162</v>
      </c>
      <c r="B152" s="423"/>
      <c r="C152" s="423">
        <f>+Historical!C152/'Historical - USD'!C$181</f>
        <v>0</v>
      </c>
      <c r="D152" s="423">
        <f>+Historical!D152/'Historical - USD'!D$181</f>
        <v>0</v>
      </c>
      <c r="E152" s="423">
        <f>+Historical!E152/'Historical - USD'!E$181</f>
        <v>0</v>
      </c>
      <c r="F152" s="423">
        <f>+Historical!F152/'Historical - USD'!F$181</f>
        <v>0</v>
      </c>
      <c r="G152" s="423">
        <f>+Historical!G152/'Historical - USD'!G$181</f>
        <v>0</v>
      </c>
      <c r="H152" s="423">
        <f>+Historical!H152/'Historical - USD'!H$181</f>
        <v>0</v>
      </c>
      <c r="I152" s="423">
        <f>+Historical!I152/'Historical - USD'!I$181</f>
        <v>0</v>
      </c>
      <c r="J152" s="423">
        <f>+Historical!J152/'Historical - USD'!J$181</f>
        <v>0</v>
      </c>
      <c r="K152" s="423">
        <f>+Historical!K152/'Historical - USD'!K$181</f>
        <v>0</v>
      </c>
      <c r="L152" s="423">
        <f>+Historical!L152/'Historical - USD'!L$181</f>
        <v>0</v>
      </c>
      <c r="M152" s="423"/>
      <c r="N152" s="423"/>
      <c r="O152" s="423"/>
      <c r="P152" s="423"/>
      <c r="Q152" s="423">
        <f>+Historical!Q152/'Historical - USD'!Q$181</f>
        <v>0</v>
      </c>
      <c r="R152" s="423">
        <f>+Historical!R152/'Historical - USD'!R$181</f>
        <v>0</v>
      </c>
      <c r="S152" s="423">
        <f t="shared" ref="S152:S155" si="472">SUM(C152:D152)</f>
        <v>0</v>
      </c>
      <c r="T152" s="423">
        <f t="shared" ref="T152:T155" si="473">SUM(E152:F152)</f>
        <v>0</v>
      </c>
      <c r="U152" s="423">
        <f t="shared" si="469"/>
        <v>0</v>
      </c>
      <c r="V152" s="423">
        <f t="shared" si="470"/>
        <v>0</v>
      </c>
      <c r="W152" s="423">
        <f t="shared" si="471"/>
        <v>0</v>
      </c>
      <c r="X152" s="423"/>
      <c r="Y152" s="424"/>
      <c r="AD152" s="450">
        <f>+AD150/AD40</f>
        <v>0.31048655171077522</v>
      </c>
    </row>
    <row r="153" spans="1:30" s="422" customFormat="1" hidden="1" outlineLevel="1">
      <c r="A153" s="401" t="s">
        <v>163</v>
      </c>
      <c r="B153" s="423"/>
      <c r="C153" s="423">
        <f>+Historical!C153/'Historical - USD'!C$181</f>
        <v>0</v>
      </c>
      <c r="D153" s="423">
        <f>+Historical!D153/'Historical - USD'!D$181</f>
        <v>0</v>
      </c>
      <c r="E153" s="423">
        <f>+Historical!E153/'Historical - USD'!E$181</f>
        <v>0</v>
      </c>
      <c r="F153" s="423">
        <f>+Historical!F153/'Historical - USD'!F$181</f>
        <v>0</v>
      </c>
      <c r="G153" s="423">
        <f>+Historical!G153/'Historical - USD'!G$181</f>
        <v>0</v>
      </c>
      <c r="H153" s="423">
        <f>+Historical!H153/'Historical - USD'!H$181</f>
        <v>0</v>
      </c>
      <c r="I153" s="423">
        <f>+Historical!I153/'Historical - USD'!I$181</f>
        <v>0</v>
      </c>
      <c r="J153" s="423">
        <f>+Historical!J153/'Historical - USD'!J$181</f>
        <v>0</v>
      </c>
      <c r="K153" s="423">
        <f>+Historical!K153/'Historical - USD'!K$181</f>
        <v>0</v>
      </c>
      <c r="L153" s="423">
        <f>+Historical!L153/'Historical - USD'!L$181</f>
        <v>0</v>
      </c>
      <c r="M153" s="423"/>
      <c r="N153" s="423"/>
      <c r="O153" s="423"/>
      <c r="P153" s="423"/>
      <c r="Q153" s="423">
        <f>+Historical!Q153/'Historical - USD'!Q$181</f>
        <v>0</v>
      </c>
      <c r="R153" s="423">
        <f>+Historical!R153/'Historical - USD'!R$181</f>
        <v>0</v>
      </c>
      <c r="S153" s="423">
        <f t="shared" si="472"/>
        <v>0</v>
      </c>
      <c r="T153" s="423">
        <f t="shared" si="473"/>
        <v>0</v>
      </c>
      <c r="U153" s="423">
        <f t="shared" si="469"/>
        <v>0</v>
      </c>
      <c r="V153" s="423">
        <f t="shared" si="470"/>
        <v>0</v>
      </c>
      <c r="W153" s="423">
        <f t="shared" si="471"/>
        <v>0</v>
      </c>
      <c r="X153" s="423"/>
      <c r="Y153" s="424"/>
    </row>
    <row r="154" spans="1:30" s="422" customFormat="1" hidden="1" outlineLevel="1" collapsed="1">
      <c r="A154" s="401" t="s">
        <v>164</v>
      </c>
      <c r="B154" s="423"/>
      <c r="C154" s="423">
        <f>+Historical!C154/'Historical - USD'!C$181</f>
        <v>0</v>
      </c>
      <c r="D154" s="423">
        <f>+Historical!D154/'Historical - USD'!D$181</f>
        <v>0</v>
      </c>
      <c r="E154" s="423">
        <f>+Historical!E154/'Historical - USD'!E$181</f>
        <v>-2.3888702186111637</v>
      </c>
      <c r="F154" s="423">
        <f>+Historical!F154/'Historical - USD'!F$181</f>
        <v>0</v>
      </c>
      <c r="G154" s="423">
        <f>+Historical!G154/'Historical - USD'!G$181</f>
        <v>0</v>
      </c>
      <c r="H154" s="423">
        <f>+Historical!H154/'Historical - USD'!H$181</f>
        <v>0</v>
      </c>
      <c r="I154" s="423">
        <f>+Historical!I154/'Historical - USD'!I$181</f>
        <v>0</v>
      </c>
      <c r="J154" s="423">
        <f>+Historical!J154/'Historical - USD'!J$181</f>
        <v>0</v>
      </c>
      <c r="K154" s="423">
        <f>+Historical!K154/'Historical - USD'!K$181</f>
        <v>0</v>
      </c>
      <c r="L154" s="423">
        <f>+Historical!L154/'Historical - USD'!L$181</f>
        <v>0</v>
      </c>
      <c r="M154" s="423"/>
      <c r="N154" s="423"/>
      <c r="O154" s="423"/>
      <c r="P154" s="423"/>
      <c r="Q154" s="423">
        <f>+Historical!Q154/'Historical - USD'!Q$181</f>
        <v>0</v>
      </c>
      <c r="R154" s="423">
        <f>+Historical!R154/'Historical - USD'!R$181</f>
        <v>0</v>
      </c>
      <c r="S154" s="423">
        <f t="shared" si="472"/>
        <v>0</v>
      </c>
      <c r="T154" s="423">
        <f t="shared" si="473"/>
        <v>-2.3888702186111637</v>
      </c>
      <c r="U154" s="423">
        <f t="shared" si="469"/>
        <v>0</v>
      </c>
      <c r="V154" s="423">
        <f t="shared" si="470"/>
        <v>0</v>
      </c>
      <c r="W154" s="423">
        <f t="shared" si="471"/>
        <v>0</v>
      </c>
      <c r="X154" s="423"/>
      <c r="Y154" s="424"/>
    </row>
    <row r="155" spans="1:30" s="422" customFormat="1" collapsed="1">
      <c r="A155" s="401" t="s">
        <v>165</v>
      </c>
      <c r="B155" s="423"/>
      <c r="C155" s="423">
        <f>+Historical!C155/'Historical - USD'!C$181</f>
        <v>0</v>
      </c>
      <c r="D155" s="423">
        <f>+Historical!D155/'Historical - USD'!D$181</f>
        <v>0</v>
      </c>
      <c r="E155" s="423">
        <f>+Historical!E155/'Historical - USD'!E$181</f>
        <v>28.912196291814386</v>
      </c>
      <c r="F155" s="423">
        <f>+Historical!F155/'Historical - USD'!F$181</f>
        <v>0</v>
      </c>
      <c r="G155" s="423">
        <f>+Historical!G155/'Historical - USD'!G$181</f>
        <v>0</v>
      </c>
      <c r="H155" s="423">
        <f>+Historical!H155/'Historical - USD'!H$181</f>
        <v>0</v>
      </c>
      <c r="I155" s="423">
        <f>+Historical!I155/'Historical - USD'!I$181</f>
        <v>0</v>
      </c>
      <c r="J155" s="423">
        <f>+Historical!J155/'Historical - USD'!J$181</f>
        <v>-0.91365359096642162</v>
      </c>
      <c r="K155" s="423">
        <f>+Historical!K155/'Historical - USD'!K$181</f>
        <v>0</v>
      </c>
      <c r="L155" s="423">
        <f>+Historical!L155/'Historical - USD'!L$181</f>
        <v>-6.7739402095389289</v>
      </c>
      <c r="M155" s="423"/>
      <c r="N155" s="423"/>
      <c r="O155" s="423"/>
      <c r="P155" s="423"/>
      <c r="Q155" s="423">
        <f>+Historical!Q155/'Historical - USD'!Q$181</f>
        <v>0</v>
      </c>
      <c r="R155" s="423">
        <f>+Historical!R155/'Historical - USD'!R$181</f>
        <v>0</v>
      </c>
      <c r="S155" s="423">
        <f t="shared" si="472"/>
        <v>0</v>
      </c>
      <c r="T155" s="423">
        <f t="shared" si="473"/>
        <v>28.912196291814386</v>
      </c>
      <c r="U155" s="423">
        <f t="shared" si="469"/>
        <v>0</v>
      </c>
      <c r="V155" s="423">
        <f t="shared" si="470"/>
        <v>-0.91365359096642162</v>
      </c>
      <c r="W155" s="423">
        <f t="shared" si="471"/>
        <v>-6.7739402095389289</v>
      </c>
      <c r="X155" s="423"/>
      <c r="Y155" s="424"/>
    </row>
    <row r="156" spans="1:30" s="473" customFormat="1">
      <c r="A156" s="472"/>
      <c r="B156" s="424"/>
      <c r="C156" s="424"/>
      <c r="D156" s="424"/>
      <c r="E156" s="424"/>
      <c r="F156" s="424"/>
      <c r="G156" s="424"/>
      <c r="H156" s="424"/>
      <c r="I156" s="424"/>
      <c r="J156" s="424"/>
      <c r="K156" s="424"/>
      <c r="L156" s="424"/>
      <c r="M156" s="424"/>
      <c r="N156" s="424"/>
      <c r="O156" s="424"/>
      <c r="P156" s="424"/>
      <c r="Q156" s="424"/>
      <c r="R156" s="424"/>
      <c r="S156" s="424"/>
      <c r="T156" s="471"/>
      <c r="U156" s="471"/>
      <c r="V156" s="471"/>
      <c r="W156" s="471"/>
      <c r="X156" s="471"/>
      <c r="Y156" s="471"/>
    </row>
    <row r="157" spans="1:30" s="422" customFormat="1">
      <c r="A157" s="401" t="s">
        <v>71</v>
      </c>
      <c r="B157" s="423"/>
      <c r="C157" s="423"/>
      <c r="D157" s="423">
        <f>+Historical!D157/'Historical - USD'!D$181</f>
        <v>-3.0639729932710362</v>
      </c>
      <c r="E157" s="423">
        <f>+Historical!E157/'Historical - USD'!E$181</f>
        <v>-32.425912131671453</v>
      </c>
      <c r="F157" s="423">
        <f>+Historical!F157/'Historical - USD'!F$181</f>
        <v>-36.339216416289275</v>
      </c>
      <c r="G157" s="423">
        <f>+Historical!G157/'Historical - USD'!G$181</f>
        <v>-40.593534948272556</v>
      </c>
      <c r="H157" s="423">
        <f>+Historical!H157/'Historical - USD'!H$181</f>
        <v>-16.304137214963198</v>
      </c>
      <c r="I157" s="423">
        <f>+Historical!I157/'Historical - USD'!I$181</f>
        <v>-35.719433368925742</v>
      </c>
      <c r="J157" s="423">
        <f>+'Detailed Disclosures - USD'!AE214/1000</f>
        <v>-30.769202710783336</v>
      </c>
      <c r="K157" s="423">
        <f>+'Detailed Disclosures - USD'!AF214/1000</f>
        <v>-68.032043626448527</v>
      </c>
      <c r="L157" s="423">
        <f>+'Detailed Disclosures - USD'!AG214/1000</f>
        <v>-52.680382305844681</v>
      </c>
      <c r="M157" s="423">
        <f>+L157-M148</f>
        <v>-68.601213210693118</v>
      </c>
      <c r="N157" s="423">
        <f>+M157-N148</f>
        <v>-68.035239465721133</v>
      </c>
      <c r="O157" s="423"/>
      <c r="P157" s="423"/>
      <c r="Q157" s="423">
        <f>+Historical!Q157/'Historical - USD'!Q$181</f>
        <v>-0.24484876120410151</v>
      </c>
      <c r="R157" s="423">
        <f>+Historical!R157/'Historical - USD'!R$181</f>
        <v>-0.58347938765617069</v>
      </c>
      <c r="S157" s="423">
        <f>+D157</f>
        <v>-3.0639729932710362</v>
      </c>
      <c r="T157" s="423">
        <f>+F157</f>
        <v>-36.339216416289275</v>
      </c>
      <c r="U157" s="423">
        <f>+H157</f>
        <v>-16.304137214963198</v>
      </c>
      <c r="V157" s="423">
        <f>+J157</f>
        <v>-30.769202710783336</v>
      </c>
      <c r="W157" s="423">
        <f>+L157</f>
        <v>-52.680382305844681</v>
      </c>
      <c r="X157" s="423">
        <f>+N157</f>
        <v>-68.035239465721133</v>
      </c>
      <c r="Y157" s="424"/>
    </row>
    <row r="158" spans="1:30" s="438" customFormat="1" hidden="1" outlineLevel="1">
      <c r="A158" s="429" t="s">
        <v>166</v>
      </c>
      <c r="B158" s="474"/>
      <c r="C158" s="474"/>
      <c r="D158" s="474">
        <f>+D157/SUM(C114:D114)</f>
        <v>-1.6712156567385912</v>
      </c>
      <c r="E158" s="474">
        <f>+E157/SUM(D114:E114)</f>
        <v>-6.9230475658728441</v>
      </c>
      <c r="F158" s="474">
        <f>+F157/SUM(E114:F114)</f>
        <v>-23.742202182563162</v>
      </c>
      <c r="G158" s="474"/>
      <c r="H158" s="474"/>
      <c r="I158" s="474"/>
      <c r="J158" s="474"/>
      <c r="K158" s="474"/>
      <c r="L158" s="474"/>
      <c r="M158" s="474"/>
      <c r="N158" s="474"/>
      <c r="O158" s="474"/>
      <c r="P158" s="474"/>
      <c r="Q158" s="474">
        <f>+Q157/Q114</f>
        <v>-1.8698224852071004</v>
      </c>
      <c r="R158" s="474">
        <f>+R157/R114</f>
        <v>-1.3465346534653466</v>
      </c>
      <c r="S158" s="474">
        <f>+S157/S114</f>
        <v>-1.6712156567385912</v>
      </c>
      <c r="T158" s="474">
        <f>+T157/T114</f>
        <v>-23.742202182563162</v>
      </c>
      <c r="U158" s="474"/>
      <c r="V158" s="474"/>
      <c r="W158" s="474"/>
      <c r="X158" s="474"/>
      <c r="Y158" s="474"/>
    </row>
    <row r="159" spans="1:30" ht="12" customHeight="1" collapsed="1">
      <c r="A159" s="418"/>
      <c r="B159" s="475"/>
      <c r="C159" s="476"/>
      <c r="D159" s="476"/>
      <c r="E159" s="476"/>
      <c r="F159" s="476"/>
      <c r="G159" s="476"/>
      <c r="H159" s="476"/>
      <c r="I159" s="476"/>
      <c r="J159" s="476"/>
      <c r="K159" s="476"/>
      <c r="L159" s="476"/>
      <c r="M159" s="476"/>
      <c r="N159" s="476"/>
      <c r="O159" s="476"/>
      <c r="P159" s="476"/>
      <c r="Q159" s="476"/>
      <c r="R159" s="476"/>
      <c r="S159" s="476"/>
      <c r="T159" s="476"/>
      <c r="U159" s="476"/>
      <c r="V159" s="476"/>
      <c r="W159" s="476"/>
      <c r="X159" s="476"/>
      <c r="Y159" s="476"/>
    </row>
    <row r="160" spans="1:30">
      <c r="A160" s="477" t="s">
        <v>167</v>
      </c>
      <c r="B160" s="478"/>
      <c r="C160" s="478"/>
      <c r="D160" s="479"/>
      <c r="E160" s="402"/>
      <c r="F160" s="477" t="s">
        <v>175</v>
      </c>
      <c r="G160" s="478"/>
      <c r="H160" s="478"/>
      <c r="I160" s="479"/>
      <c r="J160" s="402"/>
      <c r="K160" s="402"/>
      <c r="L160" s="402"/>
      <c r="M160" s="402"/>
      <c r="N160" s="402"/>
      <c r="O160" s="402"/>
      <c r="P160" s="402"/>
      <c r="Q160" s="477" t="s">
        <v>168</v>
      </c>
      <c r="R160" s="478"/>
      <c r="S160" s="478"/>
      <c r="T160" s="478"/>
      <c r="U160" s="478"/>
      <c r="V160" s="478"/>
      <c r="W160" s="478"/>
      <c r="X160" s="479"/>
      <c r="Y160" s="402"/>
    </row>
    <row r="161" spans="1:36" ht="21.5">
      <c r="B161" s="475"/>
      <c r="C161" s="480" t="s">
        <v>64</v>
      </c>
      <c r="D161" s="480" t="s">
        <v>65</v>
      </c>
      <c r="E161" s="402"/>
      <c r="G161" s="475"/>
      <c r="H161" s="480" t="s">
        <v>64</v>
      </c>
      <c r="I161" s="481" t="s">
        <v>66</v>
      </c>
      <c r="J161" s="402"/>
      <c r="K161" s="402"/>
      <c r="L161" s="402"/>
      <c r="M161" s="402"/>
      <c r="N161" s="402"/>
      <c r="O161" s="402"/>
      <c r="P161" s="402"/>
      <c r="Q161" s="402"/>
      <c r="R161" s="402"/>
      <c r="S161" s="411"/>
      <c r="T161" s="411" t="s">
        <v>121</v>
      </c>
      <c r="U161" s="411" t="s">
        <v>122</v>
      </c>
      <c r="V161" s="411" t="s">
        <v>123</v>
      </c>
      <c r="W161" s="411" t="s">
        <v>4190</v>
      </c>
      <c r="X161" s="411" t="s">
        <v>4189</v>
      </c>
      <c r="Y161" s="402"/>
    </row>
    <row r="162" spans="1:36">
      <c r="A162" s="401" t="s">
        <v>69</v>
      </c>
      <c r="B162" s="482"/>
      <c r="C162" s="414">
        <f>+D162*D165</f>
        <v>492.57631390072396</v>
      </c>
      <c r="D162" s="483">
        <f>+Simple!P76</f>
        <v>1.2920433683189581</v>
      </c>
      <c r="E162" s="402"/>
      <c r="F162" s="401" t="s">
        <v>69</v>
      </c>
      <c r="G162" s="482"/>
      <c r="H162" s="414">
        <f>+Historical!C162</f>
        <v>711.0092803</v>
      </c>
      <c r="I162" s="483">
        <f>+Historical!D162</f>
        <v>1.865</v>
      </c>
      <c r="J162" s="402"/>
      <c r="K162" s="402"/>
      <c r="L162" s="402"/>
      <c r="M162" s="402"/>
      <c r="N162" s="402"/>
      <c r="O162" s="402"/>
      <c r="P162" s="402"/>
      <c r="Q162" s="402"/>
      <c r="R162" s="484" t="s">
        <v>169</v>
      </c>
      <c r="S162" s="476"/>
      <c r="T162" s="476">
        <f>+$C$164/T33</f>
        <v>6.3189699775914763</v>
      </c>
      <c r="U162" s="476">
        <f>+$C$164/U33</f>
        <v>2.8744140918904262</v>
      </c>
      <c r="V162" s="476">
        <f>+$C$164/V33</f>
        <v>1.5679669253934447</v>
      </c>
      <c r="W162" s="476">
        <f t="shared" ref="W162:X162" si="474">+$C$164/W33</f>
        <v>0.90001107966860161</v>
      </c>
      <c r="X162" s="476">
        <f t="shared" si="474"/>
        <v>0.75000923305716816</v>
      </c>
      <c r="Y162" s="402"/>
    </row>
    <row r="163" spans="1:36" ht="21.5">
      <c r="A163" s="401" t="s">
        <v>43</v>
      </c>
      <c r="B163" s="485"/>
      <c r="C163" s="420">
        <f>+Down!C87</f>
        <v>-54.700444767743953</v>
      </c>
      <c r="D163" s="486">
        <f>+C163/D165</f>
        <v>-0.14348100976797121</v>
      </c>
      <c r="E163" s="428"/>
      <c r="F163" s="401" t="s">
        <v>43</v>
      </c>
      <c r="G163" s="485"/>
      <c r="H163" s="420">
        <f>+Historical!C163</f>
        <v>-78.957357000000002</v>
      </c>
      <c r="I163" s="486">
        <f>+Historical!D163</f>
        <v>-0.20710766354957799</v>
      </c>
      <c r="J163" s="402"/>
      <c r="K163" s="402"/>
      <c r="L163" s="402"/>
      <c r="M163" s="402"/>
      <c r="N163" s="402"/>
      <c r="O163" s="402"/>
      <c r="P163" s="402"/>
      <c r="Q163" s="402"/>
      <c r="R163" s="484" t="s">
        <v>170</v>
      </c>
      <c r="S163" s="476"/>
      <c r="T163" s="476">
        <f>+$C$164/T40</f>
        <v>26.705280072186014</v>
      </c>
      <c r="U163" s="476">
        <f>+$C$164/U40</f>
        <v>16.115645149341493</v>
      </c>
      <c r="V163" s="476">
        <f>+$C$164/V40</f>
        <v>6.8284463575270884</v>
      </c>
      <c r="W163" s="476">
        <f t="shared" ref="W163:X163" si="475">+$C$164/W40</f>
        <v>4.3118322861421348</v>
      </c>
      <c r="X163" s="476">
        <f t="shared" si="475"/>
        <v>3.5750216675854052</v>
      </c>
      <c r="Y163" s="402"/>
    </row>
    <row r="164" spans="1:36" s="492" customFormat="1">
      <c r="A164" s="487" t="s">
        <v>72</v>
      </c>
      <c r="B164" s="488"/>
      <c r="C164" s="489">
        <f>+C163+C162</f>
        <v>437.87586913298003</v>
      </c>
      <c r="D164" s="490">
        <f>+C164/D165</f>
        <v>1.1485623585509868</v>
      </c>
      <c r="E164" s="491"/>
      <c r="F164" s="487" t="s">
        <v>72</v>
      </c>
      <c r="G164" s="488"/>
      <c r="H164" s="489">
        <f>+Historical!C164</f>
        <v>632.0519233</v>
      </c>
      <c r="I164" s="490">
        <f>+Historical!D164</f>
        <v>1.6578923364504219</v>
      </c>
      <c r="J164" s="491"/>
      <c r="K164" s="491"/>
      <c r="L164" s="491"/>
      <c r="M164" s="404"/>
      <c r="N164" s="404"/>
      <c r="O164" s="404"/>
      <c r="P164" s="404"/>
      <c r="Q164" s="404"/>
      <c r="R164" s="484" t="s">
        <v>171</v>
      </c>
      <c r="T164" s="476">
        <f>+$C$162/T135</f>
        <v>677.41766173589963</v>
      </c>
      <c r="U164" s="476">
        <f t="shared" ref="U164:W164" si="476">+$C$162/U135</f>
        <v>-28.766119640611034</v>
      </c>
      <c r="V164" s="476">
        <f t="shared" si="476"/>
        <v>41.777784447613158</v>
      </c>
      <c r="W164" s="476">
        <f t="shared" si="476"/>
        <v>41.207960163262733</v>
      </c>
      <c r="X164" s="476">
        <f t="shared" ref="X164" si="477">+$C$162/X135</f>
        <v>31.474841130191116</v>
      </c>
    </row>
    <row r="165" spans="1:36" s="438" customFormat="1">
      <c r="A165" s="429" t="s">
        <v>74</v>
      </c>
      <c r="B165" s="493"/>
      <c r="D165" s="494">
        <f>+Simple!D79</f>
        <v>381.23822000000001</v>
      </c>
      <c r="F165" s="429" t="s">
        <v>74</v>
      </c>
      <c r="G165" s="493"/>
      <c r="I165" s="494">
        <f>+Historical!D165</f>
        <v>381.23822000000001</v>
      </c>
      <c r="R165" s="484" t="s">
        <v>174</v>
      </c>
      <c r="S165" s="476"/>
      <c r="T165" s="476">
        <f>+C162/T148</f>
        <v>66.801114320586635</v>
      </c>
      <c r="U165" s="476">
        <f>+C162/U148</f>
        <v>-29.915071463636874</v>
      </c>
      <c r="V165" s="476">
        <f>+C162/V148</f>
        <v>30.215284206110077</v>
      </c>
      <c r="W165" s="476">
        <f>+C162/W148</f>
        <v>15.521258298680216</v>
      </c>
      <c r="X165" s="476">
        <f>+C162/X148</f>
        <v>32.079511308504237</v>
      </c>
    </row>
    <row r="166" spans="1:36">
      <c r="C166" s="438" t="str">
        <f>+Down!N83</f>
        <v>AUD / USD &gt;&gt;</v>
      </c>
      <c r="D166" s="461">
        <f>+Down!O83</f>
        <v>0.69278464789220273</v>
      </c>
      <c r="Y166" s="404"/>
    </row>
    <row r="167" spans="1:36">
      <c r="Y167" s="404"/>
    </row>
    <row r="168" spans="1:36">
      <c r="Y168" s="404"/>
    </row>
    <row r="169" spans="1:36">
      <c r="Y169" s="404"/>
    </row>
    <row r="170" spans="1:36">
      <c r="Y170" s="404"/>
    </row>
    <row r="171" spans="1:36">
      <c r="Y171" s="404"/>
    </row>
    <row r="172" spans="1:36">
      <c r="Y172" s="404"/>
    </row>
    <row r="173" spans="1:36">
      <c r="Y173" s="404"/>
    </row>
    <row r="174" spans="1:36">
      <c r="Y174" s="404"/>
    </row>
    <row r="175" spans="1:36">
      <c r="K175" s="470"/>
    </row>
    <row r="176" spans="1:36">
      <c r="A176" s="495" t="s">
        <v>176</v>
      </c>
      <c r="B176" s="496"/>
      <c r="C176" s="402"/>
      <c r="D176" s="497"/>
      <c r="E176" s="497"/>
      <c r="F176" s="497"/>
      <c r="G176" s="497"/>
      <c r="H176" s="497"/>
      <c r="I176" s="497"/>
      <c r="J176" s="497"/>
      <c r="K176" s="497"/>
      <c r="L176" s="497"/>
      <c r="M176" s="497"/>
      <c r="N176" s="497"/>
      <c r="O176" s="497"/>
      <c r="P176" s="497"/>
      <c r="Q176" s="497"/>
      <c r="R176" s="497"/>
      <c r="S176" s="402"/>
      <c r="T176" s="497"/>
      <c r="U176" s="497"/>
      <c r="V176" s="497"/>
      <c r="W176" s="497"/>
      <c r="X176" s="497"/>
      <c r="Y176" s="497"/>
      <c r="Z176" s="497"/>
      <c r="AA176" s="497"/>
      <c r="AB176" s="497"/>
      <c r="AC176" s="497"/>
      <c r="AD176" s="497"/>
      <c r="AE176" s="497"/>
      <c r="AF176" s="497"/>
      <c r="AG176" s="497"/>
      <c r="AH176" s="497"/>
      <c r="AI176" s="497"/>
      <c r="AJ176" s="497"/>
    </row>
    <row r="177" spans="1:36">
      <c r="A177" s="402"/>
      <c r="B177" s="402"/>
      <c r="C177" s="402"/>
      <c r="D177" s="497"/>
      <c r="E177" s="497"/>
      <c r="F177" s="497"/>
      <c r="G177" s="497"/>
      <c r="H177" s="498"/>
      <c r="I177" s="498"/>
      <c r="J177" s="498"/>
      <c r="K177" s="498"/>
      <c r="L177" s="498"/>
      <c r="M177" s="498" t="s">
        <v>177</v>
      </c>
      <c r="N177" s="497" t="s">
        <v>178</v>
      </c>
      <c r="O177" s="497"/>
      <c r="P177" s="497"/>
      <c r="Q177" s="497"/>
      <c r="R177" s="497"/>
      <c r="S177" s="402"/>
      <c r="T177" s="497"/>
      <c r="U177" s="497"/>
      <c r="V177" s="497"/>
      <c r="W177" s="497"/>
      <c r="X177" s="497"/>
      <c r="Y177" s="497"/>
      <c r="Z177" s="497"/>
      <c r="AA177" s="497"/>
      <c r="AB177" s="497"/>
      <c r="AC177" s="497"/>
      <c r="AD177" s="497"/>
      <c r="AE177" s="497"/>
      <c r="AF177" s="497"/>
      <c r="AG177" s="497"/>
      <c r="AH177" s="497"/>
      <c r="AI177" s="497"/>
      <c r="AJ177" s="497"/>
    </row>
    <row r="178" spans="1:36">
      <c r="A178" s="402" t="s">
        <v>179</v>
      </c>
      <c r="B178" s="402"/>
      <c r="C178" s="499">
        <v>43647</v>
      </c>
      <c r="D178" s="499">
        <f>+C179+1</f>
        <v>43831</v>
      </c>
      <c r="E178" s="499">
        <f>+D179+1</f>
        <v>44013</v>
      </c>
      <c r="F178" s="499">
        <f t="shared" ref="F178" si="478">+E179+1</f>
        <v>44197</v>
      </c>
      <c r="G178" s="499">
        <f t="shared" ref="G178:H178" si="479">+F179+1</f>
        <v>44378</v>
      </c>
      <c r="H178" s="499">
        <f t="shared" si="479"/>
        <v>44562</v>
      </c>
      <c r="I178" s="499">
        <f t="shared" ref="I178" si="480">+H179+1</f>
        <v>44743</v>
      </c>
      <c r="J178" s="499">
        <f t="shared" ref="J178" si="481">+I179+1</f>
        <v>44927</v>
      </c>
      <c r="K178" s="499">
        <f>+J179+1</f>
        <v>45108</v>
      </c>
      <c r="L178" s="499">
        <f>+K179+1</f>
        <v>45292</v>
      </c>
      <c r="M178" s="646">
        <f>+L179+1</f>
        <v>45474</v>
      </c>
      <c r="N178" s="646">
        <f>+N179-1</f>
        <v>45564</v>
      </c>
      <c r="O178" s="499"/>
      <c r="P178" s="499"/>
      <c r="Q178" s="500">
        <f>+Q179-364</f>
        <v>42917</v>
      </c>
      <c r="R178" s="499">
        <v>43282</v>
      </c>
      <c r="S178" s="499">
        <f>+R179+1</f>
        <v>43647</v>
      </c>
      <c r="T178" s="499">
        <f>+S179+1</f>
        <v>44013</v>
      </c>
      <c r="U178" s="499">
        <f t="shared" ref="U178:V178" si="482">+T179+1</f>
        <v>44378</v>
      </c>
      <c r="V178" s="499">
        <f t="shared" si="482"/>
        <v>44743</v>
      </c>
      <c r="W178" s="499">
        <f>+V179+1</f>
        <v>45108</v>
      </c>
      <c r="X178" s="499">
        <f>+W179+1</f>
        <v>45474</v>
      </c>
      <c r="Y178" s="402"/>
      <c r="AA178" s="499"/>
      <c r="AB178" s="499"/>
      <c r="AF178" s="499"/>
      <c r="AG178" s="497"/>
      <c r="AH178" s="497"/>
      <c r="AI178" s="497"/>
      <c r="AJ178" s="497"/>
    </row>
    <row r="179" spans="1:36">
      <c r="A179" s="402" t="s">
        <v>180</v>
      </c>
      <c r="B179" s="402"/>
      <c r="C179" s="499">
        <f>+C178+183</f>
        <v>43830</v>
      </c>
      <c r="D179" s="499">
        <f>+D178+181</f>
        <v>44012</v>
      </c>
      <c r="E179" s="499">
        <f>+E178+183</f>
        <v>44196</v>
      </c>
      <c r="F179" s="499">
        <f>+F178+180</f>
        <v>44377</v>
      </c>
      <c r="G179" s="499">
        <f>+G178+183</f>
        <v>44561</v>
      </c>
      <c r="H179" s="499">
        <f>+H178+180</f>
        <v>44742</v>
      </c>
      <c r="I179" s="499">
        <f>+I178+183</f>
        <v>44926</v>
      </c>
      <c r="J179" s="499">
        <f>+J178+180</f>
        <v>45107</v>
      </c>
      <c r="K179" s="499">
        <f>+K178+183</f>
        <v>45291</v>
      </c>
      <c r="L179" s="499">
        <f>+L178+181</f>
        <v>45473</v>
      </c>
      <c r="M179" s="646">
        <f>+X1</f>
        <v>45565</v>
      </c>
      <c r="N179" s="646">
        <f>+M179</f>
        <v>45565</v>
      </c>
      <c r="O179" s="499"/>
      <c r="P179" s="499"/>
      <c r="Q179" s="500">
        <f>+R178-1</f>
        <v>43281</v>
      </c>
      <c r="R179" s="499">
        <f>+R178+364</f>
        <v>43646</v>
      </c>
      <c r="S179" s="499">
        <f>+S178+365</f>
        <v>44012</v>
      </c>
      <c r="T179" s="499">
        <f>+T178+364</f>
        <v>44377</v>
      </c>
      <c r="U179" s="499">
        <f t="shared" ref="U179:V179" si="483">+U178+364</f>
        <v>44742</v>
      </c>
      <c r="V179" s="499">
        <f t="shared" si="483"/>
        <v>45107</v>
      </c>
      <c r="W179" s="499">
        <f>+W178+365</f>
        <v>45473</v>
      </c>
      <c r="X179" s="499">
        <f>+X178+364</f>
        <v>45838</v>
      </c>
      <c r="Y179" s="402"/>
      <c r="AA179" s="499"/>
      <c r="AB179" s="499"/>
      <c r="AF179" s="499"/>
      <c r="AG179" s="497"/>
      <c r="AH179" s="497"/>
      <c r="AI179" s="497"/>
      <c r="AJ179" s="497"/>
    </row>
    <row r="180" spans="1:36">
      <c r="A180" s="402"/>
      <c r="B180" s="402"/>
      <c r="C180" s="402"/>
      <c r="D180" s="497"/>
      <c r="E180" s="497"/>
      <c r="F180" s="497"/>
      <c r="G180" s="497"/>
      <c r="H180" s="497"/>
      <c r="I180" s="497"/>
      <c r="J180" s="497"/>
      <c r="K180" s="497"/>
      <c r="L180" s="497"/>
      <c r="M180" s="497"/>
      <c r="N180" s="497"/>
      <c r="O180" s="497"/>
      <c r="P180" s="497"/>
      <c r="Q180" s="497"/>
      <c r="R180" s="497"/>
      <c r="S180" s="402"/>
      <c r="T180" s="497"/>
      <c r="U180" s="497"/>
      <c r="V180" s="497"/>
      <c r="W180" s="497"/>
      <c r="X180" s="497"/>
      <c r="Y180" s="497"/>
      <c r="Z180" s="497"/>
      <c r="AA180" s="497"/>
      <c r="AB180" s="497"/>
      <c r="AC180" s="497"/>
      <c r="AD180" s="497"/>
      <c r="AE180" s="497"/>
      <c r="AF180" s="497"/>
      <c r="AG180" s="497"/>
      <c r="AH180" s="497"/>
      <c r="AI180" s="497"/>
      <c r="AJ180" s="497"/>
    </row>
    <row r="181" spans="1:36">
      <c r="A181" s="402" t="s">
        <v>181</v>
      </c>
      <c r="B181" s="402"/>
      <c r="C181" s="501">
        <f>_xll.ciqfunctions.udf.CIQAVG("$"&amp;$Z181&amp;$AA181,"iq_lastsaleprice",C$178,C$179)</f>
        <v>1.4606804347826099</v>
      </c>
      <c r="D181" s="501">
        <f>_xll.ciqfunctions.udf.CIQAVG("$"&amp;$Z181&amp;$AA181,"iq_lastsaleprice",D$178,D$179)</f>
        <v>1.5239181318681301</v>
      </c>
      <c r="E181" s="501">
        <f>_xll.ciqfunctions.udf.CIQAVG("$"&amp;$Z181&amp;$AA181,"iq_lastsaleprice",E$178,E$179)</f>
        <v>1.3834991847826099</v>
      </c>
      <c r="F181" s="501">
        <f>_xll.ciqfunctions.udf.CIQAVG("$"&amp;$Z181&amp;$AA181,"iq_lastsaleprice",F$178,F$179)</f>
        <v>1.29697348066298</v>
      </c>
      <c r="G181" s="501">
        <f>_xll.ciqfunctions.udf.CIQAVG("$"&amp;$Z181&amp;$AA181,"iq_lastsaleprice",G$178,G$179)</f>
        <v>1.3670592391304299</v>
      </c>
      <c r="H181" s="501">
        <f>_xll.ciqfunctions.udf.CIQAVG("$"&amp;$Z181&amp;$AA181,"iq_lastsaleprice",H$178,H$179)</f>
        <v>1.3906558011049699</v>
      </c>
      <c r="I181" s="501">
        <f>_xll.ciqfunctions.udf.CIQAVG("$"&amp;$Z181&amp;$AA181,"iq_lastsaleprice",I$178,I$179)</f>
        <v>1.4925937499999999</v>
      </c>
      <c r="J181" s="501">
        <f>_xll.ciqfunctions.udf.CIQAVG("$"&amp;$Z181&amp;$AA181,"iq_lastsaleprice",J$178,J$179)</f>
        <v>1.4805414364640901</v>
      </c>
      <c r="K181" s="501">
        <f>_xll.ciqfunctions.udf.CIQAVG("$"&amp;$Z181&amp;$AA181,"iq_lastsaleprice",K$178,K$179)</f>
        <v>1.5316029891304299</v>
      </c>
      <c r="L181" s="501">
        <f>_xll.ciqfunctions.udf.CIQAVG("$"&amp;$Z181&amp;$AA181,"iq_lastsaleprice",L$178,L$179)</f>
        <v>1.51924340659341</v>
      </c>
      <c r="M181" s="501" t="str">
        <f>_xll.ciqfunctions.udf.CIQAVG("$"&amp;$Z181&amp;$AA181,"iq_lastsaleprice",M$178,M$179)</f>
        <v>#PEND</v>
      </c>
      <c r="N181" s="501">
        <f>_xll.ciqfunctions.udf.CIQAVG("$"&amp;$Z181&amp;$AA181,"iq_lastsaleprice",N$178,N$179)</f>
        <v>1.4434499999999999</v>
      </c>
      <c r="O181" s="501"/>
      <c r="P181" s="501"/>
      <c r="Q181" s="501">
        <f>_xll.ciqfunctions.udf.CIQAVG("$"&amp;$Z181&amp;$AA181,"iq_lastsaleprice",Q$178,Q$179)</f>
        <v>1.2905926027397301</v>
      </c>
      <c r="R181" s="501">
        <f>_xll.ciqfunctions.udf.CIQAVG("$"&amp;$Z181&amp;$AA181,"iq_lastsaleprice",R$178,R$179)</f>
        <v>1.3985069863013699</v>
      </c>
      <c r="S181" s="501">
        <f>_xll.ciqfunctions.udf.CIQAVG("$"&amp;$Z181&amp;$AA181,"iq_lastsaleprice",S$178,S$179)</f>
        <v>1.4921265027322399</v>
      </c>
      <c r="T181" s="501">
        <f>_xll.ciqfunctions.udf.CIQAVG("$"&amp;$Z181&amp;$AA181,"iq_lastsaleprice",T$178,T$179)</f>
        <v>1.34059191780822</v>
      </c>
      <c r="U181" s="501">
        <f>_xll.ciqfunctions.udf.CIQAVG("$"&amp;$Z181&amp;$AA181,"iq_lastsaleprice",U$178,U$179)</f>
        <v>1.3787605479452101</v>
      </c>
      <c r="V181" s="501">
        <f>_xll.ciqfunctions.udf.CIQAVG("$"&amp;$Z181&amp;$AA181,"iq_lastsaleprice",V$178,V$179)</f>
        <v>1.4866171232876699</v>
      </c>
      <c r="W181" s="501">
        <f>_xll.ciqfunctions.udf.CIQAVG("$"&amp;$Z181&amp;$AA181,"iq_lastsaleprice",W$178,W$179)</f>
        <v>1.52545696721311</v>
      </c>
      <c r="X181" s="501">
        <f>_xll.ciqfunctions.udf.CIQAVG("$"&amp;$Z181&amp;$AA181,"iq_lastsaleprice",X$178,X$179)</f>
        <v>1.49098316831683</v>
      </c>
      <c r="Y181" s="501"/>
      <c r="Z181" s="497" t="s">
        <v>67</v>
      </c>
      <c r="AA181" s="497" t="s">
        <v>68</v>
      </c>
      <c r="AB181" s="497"/>
      <c r="AC181" s="501"/>
      <c r="AD181" s="501"/>
      <c r="AE181" s="501"/>
      <c r="AF181" s="497"/>
      <c r="AI181" s="497"/>
      <c r="AJ181" s="497"/>
    </row>
    <row r="182" spans="1:36">
      <c r="A182" s="402"/>
      <c r="B182" s="402"/>
      <c r="C182" s="402"/>
      <c r="D182" s="497"/>
      <c r="E182" s="497"/>
      <c r="F182" s="497"/>
      <c r="G182" s="497"/>
      <c r="H182" s="497"/>
      <c r="I182" s="502"/>
      <c r="J182" s="497"/>
      <c r="K182" s="497"/>
      <c r="L182" s="497"/>
      <c r="M182" s="497"/>
      <c r="N182" s="497"/>
      <c r="O182" s="497"/>
      <c r="P182" s="497"/>
      <c r="Q182" s="497"/>
      <c r="R182" s="497"/>
      <c r="S182" s="402"/>
      <c r="T182" s="497"/>
      <c r="U182" s="497"/>
      <c r="V182" s="497"/>
      <c r="W182" s="497"/>
      <c r="X182" s="497"/>
      <c r="Y182" s="497"/>
      <c r="Z182" s="497"/>
      <c r="AA182" s="497"/>
      <c r="AB182" s="497"/>
      <c r="AC182" s="497"/>
      <c r="AD182" s="497"/>
      <c r="AE182" s="497"/>
      <c r="AF182" s="497"/>
      <c r="AG182" s="497"/>
      <c r="AH182" s="497"/>
      <c r="AI182" s="497"/>
      <c r="AJ182" s="497"/>
    </row>
    <row r="183" spans="1:36">
      <c r="A183" s="402"/>
      <c r="B183" s="402"/>
      <c r="C183" s="402"/>
      <c r="D183" s="497"/>
      <c r="E183" s="497"/>
      <c r="F183" s="497"/>
      <c r="G183" s="503"/>
      <c r="H183" s="497"/>
      <c r="I183" s="497"/>
      <c r="J183" s="497"/>
      <c r="K183" s="497"/>
      <c r="L183" s="497"/>
      <c r="M183" s="497"/>
      <c r="N183" s="497"/>
      <c r="O183" s="497"/>
      <c r="P183" s="497"/>
      <c r="Q183" s="497"/>
      <c r="R183" s="497"/>
      <c r="S183" s="402"/>
      <c r="T183" s="497"/>
      <c r="U183" s="497"/>
      <c r="V183" s="497"/>
      <c r="W183" s="497"/>
      <c r="X183" s="497"/>
      <c r="Y183" s="497"/>
      <c r="Z183" s="497"/>
      <c r="AA183" s="497"/>
      <c r="AB183" s="497"/>
      <c r="AC183" s="499"/>
      <c r="AD183" s="499"/>
      <c r="AE183" s="499"/>
      <c r="AF183" s="497"/>
      <c r="AG183" s="497"/>
      <c r="AH183" s="497"/>
      <c r="AI183" s="497"/>
      <c r="AJ183" s="497"/>
    </row>
    <row r="184" spans="1:36">
      <c r="A184" s="402"/>
      <c r="B184" s="402"/>
      <c r="C184" s="402"/>
      <c r="D184" s="497"/>
      <c r="E184" s="497"/>
      <c r="F184" s="497"/>
      <c r="M184" s="497"/>
      <c r="N184" s="497"/>
      <c r="O184" s="497"/>
      <c r="P184" s="497"/>
      <c r="Q184" s="497"/>
      <c r="R184" s="497"/>
      <c r="S184" s="402"/>
      <c r="T184" s="497"/>
      <c r="U184" s="497"/>
      <c r="V184" s="497"/>
      <c r="W184" s="497"/>
      <c r="X184" s="497"/>
      <c r="Y184" s="497"/>
      <c r="Z184" s="497"/>
      <c r="AA184" s="497"/>
      <c r="AB184" s="497"/>
      <c r="AC184" s="499"/>
      <c r="AD184" s="499"/>
      <c r="AE184" s="499"/>
      <c r="AF184" s="497"/>
      <c r="AG184" s="497"/>
      <c r="AH184" s="497"/>
      <c r="AI184" s="497"/>
      <c r="AJ184" s="497"/>
    </row>
    <row r="185" spans="1:36">
      <c r="A185" s="402"/>
      <c r="B185" s="402"/>
      <c r="C185" s="402"/>
      <c r="D185" s="497"/>
      <c r="E185" s="497"/>
      <c r="F185" s="497"/>
      <c r="G185" s="497"/>
      <c r="H185" s="497"/>
      <c r="I185" s="497"/>
      <c r="J185" s="497"/>
      <c r="K185" s="497"/>
      <c r="L185" s="497"/>
      <c r="M185" s="497"/>
      <c r="N185" s="497"/>
      <c r="O185" s="497"/>
      <c r="P185" s="497"/>
      <c r="Q185" s="497"/>
      <c r="R185" s="497"/>
      <c r="S185" s="402"/>
      <c r="T185" s="497"/>
      <c r="U185" s="497"/>
      <c r="V185" s="497"/>
      <c r="W185" s="497"/>
      <c r="X185" s="497"/>
      <c r="Y185" s="497"/>
      <c r="Z185" s="497"/>
      <c r="AA185" s="497"/>
      <c r="AB185" s="497"/>
      <c r="AC185" s="497"/>
      <c r="AD185" s="497"/>
      <c r="AE185" s="497"/>
      <c r="AF185" s="497"/>
      <c r="AG185" s="497"/>
      <c r="AH185" s="497"/>
      <c r="AI185" s="497"/>
      <c r="AJ185" s="497"/>
    </row>
    <row r="186" spans="1:36">
      <c r="A186" s="402" t="s">
        <v>181</v>
      </c>
      <c r="B186" s="402"/>
      <c r="C186" s="402"/>
      <c r="D186" s="497"/>
      <c r="E186" s="497"/>
      <c r="F186" s="497"/>
      <c r="G186" s="497"/>
      <c r="H186" s="497"/>
      <c r="I186" s="497"/>
      <c r="J186" s="497"/>
      <c r="K186" s="497"/>
      <c r="L186" s="497"/>
      <c r="M186" s="497"/>
      <c r="N186" s="497"/>
      <c r="O186" s="497"/>
      <c r="P186" s="497"/>
      <c r="Q186" s="497"/>
      <c r="R186" s="497"/>
      <c r="S186" s="402"/>
      <c r="T186" s="497"/>
      <c r="U186" s="497"/>
      <c r="V186" s="497"/>
      <c r="W186" s="497"/>
      <c r="X186" s="497"/>
      <c r="Y186" s="497"/>
      <c r="Z186" s="497"/>
      <c r="AA186" s="497"/>
      <c r="AB186" s="497"/>
      <c r="AC186" s="501"/>
      <c r="AD186" s="501"/>
      <c r="AE186" s="501"/>
      <c r="AF186" s="497"/>
      <c r="AG186" s="497"/>
      <c r="AH186" s="497"/>
      <c r="AI186" s="497"/>
      <c r="AJ186" s="497"/>
    </row>
    <row r="188" spans="1:36">
      <c r="F188" s="497" t="s">
        <v>182</v>
      </c>
      <c r="G188" s="497" t="s">
        <v>183</v>
      </c>
      <c r="H188" s="497" t="s">
        <v>184</v>
      </c>
      <c r="I188" s="497" t="s">
        <v>185</v>
      </c>
      <c r="J188" s="497" t="s">
        <v>186</v>
      </c>
      <c r="K188" s="497" t="s">
        <v>187</v>
      </c>
      <c r="L188" s="497" t="s">
        <v>188</v>
      </c>
    </row>
    <row r="189" spans="1:36">
      <c r="A189" s="401" t="s">
        <v>189</v>
      </c>
      <c r="G189" s="470">
        <f>SUM(D33:E33)</f>
        <v>39.699961617967261</v>
      </c>
      <c r="H189" s="470">
        <f>SUM(F33:G33)</f>
        <v>123.17778903464838</v>
      </c>
      <c r="I189" s="470">
        <f>SUM(H33:I33)</f>
        <v>194.23406668579966</v>
      </c>
      <c r="J189" s="470">
        <f>SUM(J33:K33)</f>
        <v>385.31892993845634</v>
      </c>
      <c r="K189" s="470">
        <f>SUM(L33:M33)</f>
        <v>541.22096017186936</v>
      </c>
      <c r="L189" s="470">
        <f>+SUM(K33:L33)</f>
        <v>486.52275402455365</v>
      </c>
      <c r="M189" s="470"/>
      <c r="N189" s="470"/>
      <c r="O189" s="470"/>
    </row>
    <row r="190" spans="1:36">
      <c r="H190" s="504">
        <f>+H189/G189-1</f>
        <v>2.1027180887474972</v>
      </c>
      <c r="I190" s="504">
        <f>+I189/H189-1</f>
        <v>0.57685949884328602</v>
      </c>
      <c r="J190" s="504">
        <f>+J189/I189-1</f>
        <v>0.98378655460971598</v>
      </c>
      <c r="K190" s="504">
        <f>+K189/J189-1</f>
        <v>0.40460516761611975</v>
      </c>
      <c r="L190" s="504"/>
    </row>
    <row r="191" spans="1:36">
      <c r="J191" s="504">
        <f>+$C$164/J189</f>
        <v>1.1363985392643912</v>
      </c>
      <c r="K191" s="504">
        <f>+$C$164/K189</f>
        <v>0.80905194247083256</v>
      </c>
      <c r="L191" s="504">
        <f>+$C$164/L189</f>
        <v>0.90001107966860161</v>
      </c>
    </row>
    <row r="193" spans="1:12">
      <c r="A193" s="401" t="s">
        <v>190</v>
      </c>
      <c r="G193" s="470">
        <f>SUM(D125:E125)</f>
        <v>3.3880274768431438</v>
      </c>
      <c r="H193" s="470">
        <f>SUM(F125:G125)</f>
        <v>-13.200542209965834</v>
      </c>
      <c r="I193" s="470">
        <f>SUM(H125:I125)</f>
        <v>-4.3086470285281502</v>
      </c>
      <c r="J193" s="470">
        <f>SUM(J125:K125)</f>
        <v>15.676319548659738</v>
      </c>
      <c r="K193" s="470"/>
      <c r="L193" s="470"/>
    </row>
    <row r="194" spans="1:12">
      <c r="G194" s="504">
        <f>+G193/G189</f>
        <v>8.53408249974177E-2</v>
      </c>
      <c r="H194" s="504">
        <f t="shared" ref="H194:J194" si="484">+H193/H189</f>
        <v>-0.10716657859683359</v>
      </c>
      <c r="I194" s="504">
        <f t="shared" si="484"/>
        <v>-2.2182756619609782E-2</v>
      </c>
      <c r="J194" s="504">
        <f t="shared" si="484"/>
        <v>4.0684010907960269E-2</v>
      </c>
      <c r="K194" s="504"/>
      <c r="L194" s="504"/>
    </row>
    <row r="221" spans="7:12">
      <c r="G221" s="470"/>
      <c r="H221" s="470"/>
      <c r="I221" s="470"/>
      <c r="J221" s="470"/>
      <c r="K221" s="470"/>
      <c r="L221" s="470"/>
    </row>
    <row r="224" spans="7:12">
      <c r="G224" s="470"/>
      <c r="H224" s="470"/>
      <c r="I224" s="470"/>
      <c r="J224" s="470"/>
      <c r="K224" s="470"/>
      <c r="L224" s="470"/>
    </row>
    <row r="226" spans="7:12">
      <c r="G226" s="470"/>
      <c r="H226" s="470"/>
      <c r="I226" s="470"/>
      <c r="J226" s="470"/>
      <c r="K226" s="470"/>
      <c r="L226" s="470"/>
    </row>
    <row r="237" spans="7:12">
      <c r="G237" s="470"/>
      <c r="H237" s="470"/>
      <c r="I237" s="470"/>
      <c r="J237" s="470"/>
      <c r="K237" s="470"/>
      <c r="L237" s="470"/>
    </row>
  </sheetData>
  <printOptions horizontalCentered="1"/>
  <pageMargins left="0.3" right="0.3" top="0.3" bottom="0.3" header="0.3" footer="0.3"/>
  <pageSetup scale="28" fitToHeight="0" orientation="portrait" r:id="rId1"/>
  <headerFooter>
    <oddFooter>Page &amp;P of &amp;N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E5A1-0294-492E-AF24-10203DB7026D}">
  <sheetPr>
    <pageSetUpPr fitToPage="1"/>
  </sheetPr>
  <dimension ref="A1:BD132"/>
  <sheetViews>
    <sheetView view="pageBreakPreview" zoomScale="55" zoomScaleNormal="85" zoomScaleSheetLayoutView="55" workbookViewId="0">
      <pane xSplit="2" ySplit="5" topLeftCell="AB6" activePane="bottomRight" state="frozen"/>
      <selection activeCell="D86" sqref="D86"/>
      <selection pane="topRight" activeCell="D86" sqref="D86"/>
      <selection pane="bottomLeft" activeCell="D86" sqref="D86"/>
      <selection pane="bottomRight" activeCell="BA2" sqref="BA2"/>
    </sheetView>
  </sheetViews>
  <sheetFormatPr defaultColWidth="8.7265625" defaultRowHeight="15.5" outlineLevelRow="2" outlineLevelCol="1"/>
  <cols>
    <col min="1" max="1" width="23.453125" style="319" customWidth="1"/>
    <col min="2" max="3" width="3.7265625" style="319" customWidth="1"/>
    <col min="4" max="11" width="11.1796875" style="319" hidden="1" customWidth="1" outlineLevel="1"/>
    <col min="12" max="12" width="11.1796875" style="319" hidden="1" customWidth="1" outlineLevel="1" collapsed="1"/>
    <col min="13" max="15" width="11.1796875" style="319" hidden="1" customWidth="1" outlineLevel="1"/>
    <col min="16" max="16" width="11.1796875" style="319" customWidth="1" collapsed="1"/>
    <col min="17" max="31" width="11.1796875" style="319" customWidth="1"/>
    <col min="32" max="32" width="8.7265625" style="319"/>
    <col min="33" max="34" width="11.453125" style="319" hidden="1" customWidth="1" outlineLevel="1"/>
    <col min="35" max="35" width="11.453125" style="319" customWidth="1" collapsed="1"/>
    <col min="36" max="44" width="11.81640625" style="319" customWidth="1"/>
    <col min="45" max="45" width="8.7265625" style="319"/>
    <col min="46" max="46" width="12.26953125" style="319" hidden="1" customWidth="1" outlineLevel="1"/>
    <col min="47" max="47" width="12.26953125" style="319" customWidth="1" collapsed="1"/>
    <col min="48" max="53" width="12.26953125" style="319" customWidth="1"/>
    <col min="54" max="16384" width="8.7265625" style="319"/>
  </cols>
  <sheetData>
    <row r="1" spans="1:54">
      <c r="A1" s="318" t="s">
        <v>0</v>
      </c>
      <c r="B1" s="318"/>
      <c r="C1" s="318"/>
      <c r="D1" s="318"/>
      <c r="E1" s="318"/>
      <c r="F1" s="318"/>
      <c r="G1" s="318"/>
      <c r="H1" s="318"/>
      <c r="I1" s="318"/>
      <c r="J1" s="318"/>
      <c r="AV1" s="320"/>
      <c r="AW1" s="320"/>
      <c r="AX1" s="320"/>
      <c r="AY1" s="320"/>
      <c r="AZ1" s="320"/>
      <c r="BA1" s="320">
        <f>+'Historical - USD'!X1</f>
        <v>45565</v>
      </c>
    </row>
    <row r="2" spans="1:54">
      <c r="A2" s="321" t="s">
        <v>191</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22"/>
      <c r="AI2" s="322"/>
      <c r="AJ2" s="322"/>
      <c r="AK2" s="322"/>
      <c r="AL2" s="322"/>
      <c r="AM2" s="322"/>
      <c r="AN2" s="322"/>
      <c r="AO2" s="322"/>
      <c r="AP2" s="322"/>
      <c r="AQ2" s="322"/>
      <c r="AR2" s="322"/>
      <c r="AS2" s="322"/>
      <c r="AT2" s="322"/>
      <c r="AU2" s="322"/>
      <c r="AV2" s="322"/>
      <c r="AW2" s="322"/>
      <c r="AX2" s="322"/>
      <c r="AY2" s="322"/>
      <c r="AZ2" s="322"/>
      <c r="BA2" s="322"/>
    </row>
    <row r="3" spans="1:54">
      <c r="A3" s="323" t="s">
        <v>192</v>
      </c>
      <c r="B3" s="324"/>
      <c r="C3" s="324"/>
      <c r="D3" s="324"/>
      <c r="E3" s="324"/>
      <c r="F3" s="324"/>
      <c r="G3" s="324"/>
      <c r="H3" s="324"/>
      <c r="I3" s="324"/>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row>
    <row r="4" spans="1:54" ht="18.5">
      <c r="D4" s="325"/>
      <c r="E4" s="325"/>
      <c r="F4" s="325"/>
      <c r="G4" s="325"/>
      <c r="H4" s="325"/>
      <c r="I4" s="325"/>
      <c r="J4" s="325"/>
      <c r="K4" s="325"/>
      <c r="L4" s="325" t="s">
        <v>105</v>
      </c>
      <c r="M4" s="325"/>
      <c r="N4" s="325"/>
      <c r="O4" s="325"/>
      <c r="P4" s="325" t="s">
        <v>105</v>
      </c>
      <c r="Q4" s="325"/>
      <c r="R4" s="325"/>
      <c r="S4" s="325"/>
      <c r="T4" s="325"/>
      <c r="U4" s="325"/>
      <c r="V4" s="325"/>
      <c r="W4" s="325"/>
      <c r="X4" s="325"/>
      <c r="Y4" s="325"/>
      <c r="Z4" s="325"/>
      <c r="AA4" s="325"/>
      <c r="AB4" s="325"/>
      <c r="AC4" s="325"/>
      <c r="AD4" s="325"/>
      <c r="AE4" s="325"/>
      <c r="AG4" s="325"/>
      <c r="AH4" s="325"/>
      <c r="AI4" s="325" t="s">
        <v>105</v>
      </c>
      <c r="AJ4" s="325"/>
      <c r="AK4" s="325"/>
      <c r="AL4" s="325"/>
      <c r="AM4" s="325"/>
      <c r="AN4" s="325"/>
      <c r="AO4" s="325"/>
      <c r="AP4" s="325"/>
      <c r="AQ4" s="325"/>
      <c r="AR4" s="325"/>
      <c r="AT4" s="325"/>
      <c r="AU4" s="325" t="s">
        <v>105</v>
      </c>
      <c r="AV4" s="325"/>
      <c r="AW4" s="325"/>
      <c r="AX4" s="325"/>
      <c r="AY4" s="325"/>
      <c r="AZ4" s="325"/>
      <c r="BA4" s="325"/>
    </row>
    <row r="5" spans="1:54" s="505" customFormat="1" ht="18.5">
      <c r="D5" s="326" t="s">
        <v>193</v>
      </c>
      <c r="E5" s="326" t="s">
        <v>194</v>
      </c>
      <c r="F5" s="326" t="s">
        <v>195</v>
      </c>
      <c r="G5" s="326" t="s">
        <v>196</v>
      </c>
      <c r="H5" s="326" t="s">
        <v>197</v>
      </c>
      <c r="I5" s="326" t="s">
        <v>198</v>
      </c>
      <c r="J5" s="326" t="s">
        <v>199</v>
      </c>
      <c r="K5" s="326" t="s">
        <v>200</v>
      </c>
      <c r="L5" s="326" t="s">
        <v>201</v>
      </c>
      <c r="M5" s="326" t="s">
        <v>202</v>
      </c>
      <c r="N5" s="326" t="s">
        <v>203</v>
      </c>
      <c r="O5" s="326" t="s">
        <v>204</v>
      </c>
      <c r="P5" s="326" t="s">
        <v>205</v>
      </c>
      <c r="Q5" s="326" t="s">
        <v>206</v>
      </c>
      <c r="R5" s="326" t="s">
        <v>207</v>
      </c>
      <c r="S5" s="326" t="s">
        <v>208</v>
      </c>
      <c r="T5" s="326" t="s">
        <v>209</v>
      </c>
      <c r="U5" s="326" t="s">
        <v>210</v>
      </c>
      <c r="V5" s="326" t="s">
        <v>211</v>
      </c>
      <c r="W5" s="326" t="s">
        <v>212</v>
      </c>
      <c r="X5" s="326" t="s">
        <v>213</v>
      </c>
      <c r="Y5" s="326" t="s">
        <v>214</v>
      </c>
      <c r="Z5" s="326" t="s">
        <v>1605</v>
      </c>
      <c r="AA5" s="326" t="s">
        <v>4192</v>
      </c>
      <c r="AB5" s="326" t="s">
        <v>4183</v>
      </c>
      <c r="AC5" s="326" t="s">
        <v>4184</v>
      </c>
      <c r="AD5" s="326" t="s">
        <v>4185</v>
      </c>
      <c r="AE5" s="326" t="s">
        <v>4186</v>
      </c>
      <c r="AG5" s="326" t="s">
        <v>106</v>
      </c>
      <c r="AH5" s="326" t="s">
        <v>107</v>
      </c>
      <c r="AI5" s="326" t="s">
        <v>108</v>
      </c>
      <c r="AJ5" s="326" t="s">
        <v>109</v>
      </c>
      <c r="AK5" s="326" t="s">
        <v>110</v>
      </c>
      <c r="AL5" s="326" t="s">
        <v>111</v>
      </c>
      <c r="AM5" s="326" t="s">
        <v>112</v>
      </c>
      <c r="AN5" s="326" t="s">
        <v>113</v>
      </c>
      <c r="AO5" s="326" t="s">
        <v>114</v>
      </c>
      <c r="AP5" s="326" t="s">
        <v>4191</v>
      </c>
      <c r="AQ5" s="326" t="s">
        <v>4187</v>
      </c>
      <c r="AR5" s="326" t="s">
        <v>4188</v>
      </c>
      <c r="AS5" s="326"/>
      <c r="AT5" s="326" t="s">
        <v>216</v>
      </c>
      <c r="AU5" s="326" t="s">
        <v>217</v>
      </c>
      <c r="AV5" s="326" t="s">
        <v>218</v>
      </c>
      <c r="AW5" s="326" t="s">
        <v>219</v>
      </c>
      <c r="AX5" s="326" t="s">
        <v>220</v>
      </c>
      <c r="AY5" s="326" t="s">
        <v>221</v>
      </c>
      <c r="AZ5" s="326" t="s">
        <v>455</v>
      </c>
      <c r="BA5" s="326" t="s">
        <v>11</v>
      </c>
    </row>
    <row r="6" spans="1:54">
      <c r="C6" s="352"/>
      <c r="D6" s="355"/>
      <c r="E6" s="355"/>
      <c r="F6" s="355"/>
      <c r="G6" s="355"/>
      <c r="H6" s="355"/>
      <c r="I6" s="355"/>
      <c r="J6" s="355"/>
      <c r="K6" s="355"/>
      <c r="L6" s="355"/>
      <c r="M6" s="355"/>
      <c r="N6" s="355"/>
      <c r="O6" s="355"/>
      <c r="P6" s="355"/>
      <c r="Q6" s="355"/>
      <c r="R6" s="355"/>
      <c r="S6" s="355"/>
      <c r="T6" s="355"/>
      <c r="U6" s="355"/>
      <c r="V6" s="355"/>
      <c r="W6" s="355"/>
      <c r="X6" s="355"/>
      <c r="Y6" s="355"/>
      <c r="Z6" s="355"/>
      <c r="AA6" s="355"/>
      <c r="AB6" s="355"/>
      <c r="AC6" s="355"/>
      <c r="AD6" s="355"/>
      <c r="AE6" s="355"/>
      <c r="AF6" s="352"/>
      <c r="AG6" s="355"/>
      <c r="AH6" s="355"/>
      <c r="AI6" s="355"/>
      <c r="AJ6" s="355"/>
      <c r="AK6" s="355"/>
      <c r="AL6" s="355"/>
      <c r="AM6" s="355"/>
      <c r="AN6" s="355"/>
      <c r="AO6" s="355"/>
      <c r="AP6" s="355"/>
      <c r="AQ6" s="355"/>
      <c r="AR6" s="355"/>
      <c r="AS6" s="355"/>
      <c r="AT6" s="355"/>
      <c r="AU6" s="355"/>
      <c r="AV6" s="355"/>
      <c r="AW6" s="355"/>
      <c r="AX6" s="355"/>
      <c r="AY6" s="355"/>
      <c r="AZ6" s="355"/>
      <c r="BA6" s="355"/>
      <c r="BB6" s="355"/>
    </row>
    <row r="7" spans="1:54">
      <c r="A7" s="353" t="s">
        <v>222</v>
      </c>
      <c r="B7" s="354"/>
      <c r="D7" s="355"/>
      <c r="E7" s="355"/>
      <c r="F7" s="355"/>
      <c r="G7" s="355"/>
      <c r="H7" s="355"/>
      <c r="I7" s="355"/>
      <c r="J7" s="355"/>
      <c r="K7" s="506"/>
      <c r="L7" s="506"/>
      <c r="M7" s="506"/>
      <c r="N7" s="506"/>
      <c r="O7" s="506"/>
      <c r="P7" s="506"/>
      <c r="Q7" s="506"/>
      <c r="R7" s="506"/>
      <c r="S7" s="506"/>
      <c r="T7" s="506"/>
      <c r="U7" s="506"/>
      <c r="V7" s="506"/>
      <c r="W7" s="506"/>
      <c r="X7" s="506"/>
      <c r="Y7" s="506"/>
      <c r="Z7" s="506"/>
      <c r="AA7" s="506"/>
      <c r="AB7" s="506"/>
      <c r="AC7" s="506"/>
      <c r="AD7" s="506"/>
      <c r="AE7" s="506"/>
      <c r="AG7" s="355"/>
      <c r="AH7" s="355"/>
      <c r="AI7" s="355"/>
      <c r="AJ7" s="355"/>
      <c r="AK7" s="355"/>
      <c r="AL7" s="355"/>
      <c r="AM7" s="355"/>
      <c r="AN7" s="355"/>
      <c r="AO7" s="355"/>
      <c r="AP7" s="355"/>
      <c r="AQ7" s="355"/>
      <c r="AR7" s="355"/>
      <c r="AS7" s="355"/>
      <c r="AT7" s="355"/>
      <c r="AU7" s="355"/>
      <c r="AV7" s="355"/>
      <c r="AW7" s="355"/>
      <c r="AX7" s="355"/>
      <c r="AY7" s="355"/>
      <c r="AZ7" s="355"/>
      <c r="BA7" s="355"/>
      <c r="BB7" s="355"/>
    </row>
    <row r="8" spans="1:54">
      <c r="D8" s="355"/>
      <c r="E8" s="355"/>
      <c r="F8" s="355"/>
      <c r="G8" s="355"/>
      <c r="H8" s="355"/>
      <c r="I8" s="355"/>
      <c r="J8" s="355"/>
      <c r="K8" s="506"/>
      <c r="L8" s="506"/>
      <c r="M8" s="506"/>
      <c r="N8" s="506"/>
      <c r="O8" s="506"/>
      <c r="P8" s="506"/>
      <c r="Q8" s="506"/>
      <c r="R8" s="506"/>
      <c r="S8" s="506"/>
      <c r="T8" s="506"/>
      <c r="U8" s="506"/>
      <c r="V8" s="506"/>
      <c r="W8" s="506"/>
      <c r="X8" s="506"/>
      <c r="Y8" s="506"/>
      <c r="Z8" s="506"/>
      <c r="AA8" s="506"/>
      <c r="AB8" s="506"/>
      <c r="AC8" s="506"/>
      <c r="AD8" s="506"/>
      <c r="AE8" s="506"/>
      <c r="AG8" s="355"/>
      <c r="AH8" s="355"/>
      <c r="AI8" s="355"/>
      <c r="AJ8" s="355"/>
      <c r="AK8" s="355"/>
      <c r="AL8" s="355"/>
      <c r="AM8" s="355"/>
      <c r="AN8" s="355"/>
      <c r="AO8" s="355"/>
      <c r="AP8" s="355"/>
      <c r="AQ8" s="355"/>
      <c r="AR8" s="355"/>
      <c r="AS8" s="355"/>
      <c r="AT8" s="355"/>
      <c r="AU8" s="355"/>
      <c r="AV8" s="355"/>
      <c r="AW8" s="355"/>
      <c r="AX8" s="355"/>
      <c r="AY8" s="355"/>
      <c r="AZ8" s="355"/>
      <c r="BA8" s="355"/>
      <c r="BB8" s="355"/>
    </row>
    <row r="9" spans="1:54" ht="18.5">
      <c r="A9" s="327" t="s">
        <v>125</v>
      </c>
      <c r="P9" s="507"/>
      <c r="Q9" s="507"/>
    </row>
    <row r="10" spans="1:54">
      <c r="A10" s="318" t="str">
        <f>+'Historical - USD'!A9</f>
        <v>Unique Website Visits ('000s)</v>
      </c>
      <c r="D10" s="328"/>
      <c r="E10" s="328"/>
      <c r="F10" s="328"/>
      <c r="G10" s="328"/>
      <c r="H10" s="328"/>
      <c r="I10" s="328"/>
      <c r="J10" s="328">
        <f>+'Detailed Disclosures - USD'!D101</f>
        <v>847.05882352941171</v>
      </c>
      <c r="K10" s="328">
        <f>+'Detailed Disclosures - USD'!E101</f>
        <v>1495.4411764705883</v>
      </c>
      <c r="L10" s="508">
        <f>(0.7+0.8+0.8)*1000</f>
        <v>2300</v>
      </c>
      <c r="M10" s="328">
        <f>+AI10-L10</f>
        <v>3546</v>
      </c>
      <c r="N10" s="328">
        <f>+'Detailed Disclosures - USD'!H101</f>
        <v>3600</v>
      </c>
      <c r="O10" s="328">
        <f>+'Detailed Disclosures - USD'!I101</f>
        <v>4490</v>
      </c>
      <c r="P10" s="509">
        <f>+P35*0.7*1000</f>
        <v>7279.9999999999991</v>
      </c>
      <c r="Q10" s="328">
        <f>+'Detailed Disclosures - USD'!K101</f>
        <v>16320</v>
      </c>
      <c r="R10" s="328">
        <f>+'Detailed Disclosures - USD'!L101</f>
        <v>13300</v>
      </c>
      <c r="S10" s="328">
        <f>+'Detailed Disclosures - USD'!M101</f>
        <v>7800</v>
      </c>
      <c r="T10" s="329"/>
      <c r="U10" s="329"/>
      <c r="V10" s="329"/>
      <c r="W10" s="329"/>
      <c r="X10" s="329"/>
      <c r="Y10" s="329"/>
      <c r="Z10" s="329"/>
      <c r="AA10" s="329"/>
      <c r="AB10" s="329"/>
      <c r="AC10" s="329"/>
      <c r="AD10" s="329"/>
      <c r="AE10" s="329"/>
      <c r="AF10" s="328"/>
      <c r="AG10" s="328">
        <f>+'Historical - USD'!C9</f>
        <v>1461.5</v>
      </c>
      <c r="AH10" s="328">
        <f>+'Historical - USD'!D9</f>
        <v>2342.5</v>
      </c>
      <c r="AI10" s="328">
        <f>+'Historical - USD'!E9</f>
        <v>5846</v>
      </c>
      <c r="AJ10" s="328">
        <f>SUM(N10:O10)</f>
        <v>8090</v>
      </c>
      <c r="AK10" s="328">
        <f>SUM(P10:Q10)</f>
        <v>23600</v>
      </c>
      <c r="AL10" s="328">
        <f>SUM(R10:S10)</f>
        <v>21100</v>
      </c>
      <c r="AM10" s="329"/>
      <c r="AN10" s="329"/>
      <c r="AO10" s="329"/>
      <c r="AP10" s="329"/>
      <c r="AQ10" s="329"/>
      <c r="AR10" s="329"/>
      <c r="AS10" s="328"/>
      <c r="AT10" s="328">
        <f>+'Historical - USD'!Q9</f>
        <v>193.6386768447837</v>
      </c>
      <c r="AU10" s="328">
        <f>+'Historical - USD'!R9</f>
        <v>1522</v>
      </c>
      <c r="AV10" s="328">
        <f>+'Historical - USD'!S9</f>
        <v>3804</v>
      </c>
      <c r="AW10" s="328">
        <f>+SUM(AI10:AJ10)</f>
        <v>13936</v>
      </c>
      <c r="AX10" s="328">
        <f>SUM(AK10:AL10)</f>
        <v>44700</v>
      </c>
      <c r="AY10" s="328"/>
      <c r="AZ10" s="328"/>
      <c r="BA10" s="328"/>
    </row>
    <row r="11" spans="1:54" ht="18.5">
      <c r="A11" s="318" t="str">
        <f>+'Historical - USD'!A10</f>
        <v>Conversion Rate %</v>
      </c>
      <c r="D11" s="331"/>
      <c r="E11" s="331"/>
      <c r="F11" s="331"/>
      <c r="G11" s="331"/>
      <c r="H11" s="331"/>
      <c r="I11" s="331"/>
      <c r="J11" s="331">
        <f>+'Detailed Disclosures - USD'!D105</f>
        <v>8.0143673701634586E-3</v>
      </c>
      <c r="K11" s="331">
        <f>+'Detailed Disclosures - USD'!E105</f>
        <v>1.2578641469066537E-2</v>
      </c>
      <c r="L11" s="331">
        <f t="shared" ref="L11:M11" si="0">+L12/L10/1000</f>
        <v>1.043695652173913E-2</v>
      </c>
      <c r="M11" s="331">
        <f t="shared" si="0"/>
        <v>1.2122391426959955E-2</v>
      </c>
      <c r="N11" s="331">
        <f>+'Detailed Disclosures - USD'!H105</f>
        <v>1.0126388888888888E-2</v>
      </c>
      <c r="O11" s="331">
        <f>+'Detailed Disclosures - USD'!I105</f>
        <v>1.4909354120267259E-2</v>
      </c>
      <c r="P11" s="331">
        <f t="shared" ref="P11" si="1">+P12/P10/1000</f>
        <v>9.8170005577413004E-3</v>
      </c>
      <c r="Q11" s="331">
        <f>+'Detailed Disclosures - USD'!K105</f>
        <v>8.7839605355173617E-3</v>
      </c>
      <c r="R11" s="331">
        <f>+'Detailed Disclosures - USD'!L105</f>
        <v>7.4940601503759394E-3</v>
      </c>
      <c r="S11" s="331">
        <f>+'Detailed Disclosures - USD'!M105</f>
        <v>1.1400897435897436E-2</v>
      </c>
      <c r="T11" s="331"/>
      <c r="U11" s="331"/>
      <c r="V11" s="331"/>
      <c r="W11" s="331"/>
      <c r="X11" s="331"/>
      <c r="Y11" s="331"/>
      <c r="Z11" s="331"/>
      <c r="AA11" s="331"/>
      <c r="AB11" s="331"/>
      <c r="AC11" s="331"/>
      <c r="AD11" s="331"/>
      <c r="AE11" s="331"/>
      <c r="AF11" s="331"/>
      <c r="AG11" s="331">
        <f>+'Historical - USD'!C10</f>
        <v>8.3000000000000001E-3</v>
      </c>
      <c r="AH11" s="331">
        <f>+'Historical - USD'!D10</f>
        <v>1.0928178865658807E-2</v>
      </c>
      <c r="AI11" s="331">
        <f>+'Historical - USD'!E10</f>
        <v>1.15E-2</v>
      </c>
      <c r="AJ11" s="331">
        <f>+AJ12/AJ10/1000</f>
        <v>1.278096415327565E-2</v>
      </c>
      <c r="AK11" s="331">
        <f t="shared" ref="AK11:AL11" si="2">+AK12/AK10/1000</f>
        <v>9.1026271186440671E-3</v>
      </c>
      <c r="AL11" s="331">
        <f t="shared" si="2"/>
        <v>8.9382938388625592E-3</v>
      </c>
      <c r="AM11" s="331"/>
      <c r="AN11" s="331"/>
      <c r="AO11" s="331"/>
      <c r="AP11" s="331"/>
      <c r="AQ11" s="331"/>
      <c r="AR11" s="331"/>
      <c r="AS11" s="331"/>
      <c r="AT11" s="331">
        <f>+'Historical - USD'!Q10</f>
        <v>5.0000000000000001E-3</v>
      </c>
      <c r="AU11" s="331">
        <f>+'Historical - USD'!R10</f>
        <v>6.7999999999999996E-3</v>
      </c>
      <c r="AV11" s="331">
        <f>+'Historical - USD'!S10</f>
        <v>9.9000000000000008E-3</v>
      </c>
      <c r="AW11" s="331">
        <f>+AW12/AW10/1000</f>
        <v>1.2226535591274396E-2</v>
      </c>
      <c r="AX11" s="331">
        <f>+AX12/AX10/1000</f>
        <v>9.0250559284116346E-3</v>
      </c>
      <c r="AY11" s="331"/>
      <c r="AZ11" s="331"/>
      <c r="BA11" s="331"/>
    </row>
    <row r="12" spans="1:54">
      <c r="A12" s="332" t="str">
        <f>+'Historical - USD'!A11</f>
        <v>Number of Orders (#)</v>
      </c>
      <c r="D12" s="328"/>
      <c r="E12" s="328"/>
      <c r="F12" s="328"/>
      <c r="G12" s="328"/>
      <c r="H12" s="328"/>
      <c r="I12" s="328"/>
      <c r="J12" s="328">
        <f>+J11*J10*1000</f>
        <v>6788.6405959031645</v>
      </c>
      <c r="K12" s="328">
        <f>+K11*K10*1000</f>
        <v>18810.618396902591</v>
      </c>
      <c r="L12" s="508">
        <f>7309+7991+8705</f>
        <v>24005</v>
      </c>
      <c r="M12" s="328">
        <f>+AI12-L12</f>
        <v>42986</v>
      </c>
      <c r="N12" s="328">
        <f t="shared" ref="N12" si="3">+N11*N10*1000</f>
        <v>36455</v>
      </c>
      <c r="O12" s="328">
        <f t="shared" ref="O12:Q12" si="4">+O11*O10*1000</f>
        <v>66943</v>
      </c>
      <c r="P12" s="328">
        <f>+P14/P13*1000</f>
        <v>71467.764060356654</v>
      </c>
      <c r="Q12" s="328">
        <f t="shared" si="4"/>
        <v>143354.23593964335</v>
      </c>
      <c r="R12" s="328">
        <f t="shared" ref="R12" si="5">+R11*R10*1000</f>
        <v>99670.999999999985</v>
      </c>
      <c r="S12" s="328">
        <f t="shared" ref="S12" si="6">+S11*S10*1000</f>
        <v>88927</v>
      </c>
      <c r="T12" s="328">
        <f>+'Detailed Disclosures - USD'!N106</f>
        <v>117388.03894297635</v>
      </c>
      <c r="U12" s="328">
        <f>+'Detailed Disclosures - USD'!O106</f>
        <v>202308.93075399334</v>
      </c>
      <c r="V12" s="328">
        <f>+'Detailed Disclosures - USD'!P106</f>
        <v>177150.5376344086</v>
      </c>
      <c r="W12" s="328">
        <f>+'Detailed Disclosures - USD'!Q106</f>
        <v>212538.49266862174</v>
      </c>
      <c r="X12" s="328">
        <f>+'Detailed Disclosures - USD'!R106</f>
        <v>229001.3679890561</v>
      </c>
      <c r="Y12" s="328">
        <f>+'Detailed Disclosures - USD'!S106</f>
        <v>343042.56170791358</v>
      </c>
      <c r="Z12" s="328">
        <f>+'Detailed Disclosures - USD'!T106</f>
        <v>308533.65384615387</v>
      </c>
      <c r="AA12" s="328">
        <f>+'Detailed Disclosures - USD'!U106</f>
        <v>315594.41645687644</v>
      </c>
      <c r="AB12" s="328"/>
      <c r="AC12" s="328"/>
      <c r="AD12" s="328"/>
      <c r="AE12" s="328"/>
      <c r="AF12" s="328"/>
      <c r="AG12" s="328">
        <f>+'Historical - USD'!C11</f>
        <v>12048.741007194245</v>
      </c>
      <c r="AH12" s="328">
        <f>+'Historical - USD'!D11</f>
        <v>25599.258992805757</v>
      </c>
      <c r="AI12" s="328">
        <f>+'Historical - USD'!E11</f>
        <v>66991</v>
      </c>
      <c r="AJ12" s="328">
        <f>SUM(N12:O12)</f>
        <v>103398</v>
      </c>
      <c r="AK12" s="328">
        <f>SUM(P12:Q12)</f>
        <v>214822</v>
      </c>
      <c r="AL12" s="328">
        <f>SUM(R12:S12)</f>
        <v>188598</v>
      </c>
      <c r="AM12" s="328">
        <f>+'Historical - USD'!I11</f>
        <v>319696.96969696967</v>
      </c>
      <c r="AN12" s="328">
        <f>+'Historical - USD'!J11</f>
        <v>389689.03030303033</v>
      </c>
      <c r="AO12" s="328">
        <f>+'Historical - USD'!K11</f>
        <v>572043.92969696969</v>
      </c>
      <c r="AP12" s="328">
        <f>+SUM(Z12:AA12)</f>
        <v>624128.07030303031</v>
      </c>
      <c r="AQ12" s="328"/>
      <c r="AR12" s="328"/>
      <c r="AS12" s="328"/>
      <c r="AT12" s="328">
        <f>+'Historical - USD'!Q11</f>
        <v>965</v>
      </c>
      <c r="AU12" s="328">
        <f>+'Historical - USD'!R11</f>
        <v>10388</v>
      </c>
      <c r="AV12" s="328">
        <f>+'Historical - USD'!S11</f>
        <v>37648</v>
      </c>
      <c r="AW12" s="328">
        <f>+SUM(AI12:AJ12)</f>
        <v>170389</v>
      </c>
      <c r="AX12" s="328">
        <f>SUM(AK12:AL12)</f>
        <v>403420</v>
      </c>
      <c r="AY12" s="335">
        <f>SUM(AM12:AN12)</f>
        <v>709386</v>
      </c>
      <c r="AZ12" s="328">
        <f>+SUM(AO12:AP12)</f>
        <v>1196172</v>
      </c>
      <c r="BA12" s="328"/>
    </row>
    <row r="13" spans="1:54" ht="18.5">
      <c r="A13" s="318" t="s">
        <v>223</v>
      </c>
      <c r="D13" s="333"/>
      <c r="E13" s="333"/>
      <c r="F13" s="333"/>
      <c r="G13" s="333"/>
      <c r="H13" s="333"/>
      <c r="I13" s="333"/>
      <c r="J13" s="333">
        <f>+J14/J12*1000</f>
        <v>523.93532294707052</v>
      </c>
      <c r="K13" s="333">
        <f>+K14/K12*1000</f>
        <v>493.52554261208428</v>
      </c>
      <c r="L13" s="333">
        <f>+L14/L12*1000</f>
        <v>547.78525619547599</v>
      </c>
      <c r="M13" s="333">
        <f>+M14/M12*1000</f>
        <v>580.79574981235271</v>
      </c>
      <c r="N13" s="333">
        <f>+N14/N12*1000</f>
        <v>536.04788705287012</v>
      </c>
      <c r="O13" s="333">
        <f t="shared" ref="O13:Q13" si="7">+O14/O12*1000</f>
        <v>533.73555488916543</v>
      </c>
      <c r="P13" s="333">
        <f>+'Detailed Disclosures - USD'!J110</f>
        <v>535.6235844325106</v>
      </c>
      <c r="Q13" s="333">
        <f t="shared" si="7"/>
        <v>519.30030136090807</v>
      </c>
      <c r="R13" s="333">
        <f t="shared" ref="R13" si="8">+R14/R12*1000</f>
        <v>514.38203098420502</v>
      </c>
      <c r="S13" s="333">
        <f t="shared" ref="S13:U13" si="9">+S14/S12*1000</f>
        <v>504.60174482087126</v>
      </c>
      <c r="T13" s="333">
        <f t="shared" si="9"/>
        <v>491.4250606127797</v>
      </c>
      <c r="U13" s="333">
        <f t="shared" si="9"/>
        <v>513.90309089916673</v>
      </c>
      <c r="V13" s="333">
        <f t="shared" ref="V13:W13" si="10">+V14/V12*1000</f>
        <v>508.31824548218509</v>
      </c>
      <c r="W13" s="333">
        <f t="shared" si="10"/>
        <v>517.71923665622376</v>
      </c>
      <c r="X13" s="333">
        <f t="shared" ref="X13:Y13" si="11">+X14/X12*1000</f>
        <v>478.52551639194814</v>
      </c>
      <c r="Y13" s="333">
        <f t="shared" si="11"/>
        <v>556.40449569821249</v>
      </c>
      <c r="Z13" s="333">
        <f t="shared" ref="Z13:AA13" si="12">+Z14/Z12*1000</f>
        <v>547.08325113933438</v>
      </c>
      <c r="AA13" s="333">
        <f t="shared" si="12"/>
        <v>545.12135904109357</v>
      </c>
      <c r="AB13" s="333"/>
      <c r="AC13" s="333"/>
      <c r="AD13" s="333"/>
      <c r="AE13" s="333"/>
      <c r="AF13" s="333"/>
      <c r="AG13" s="333">
        <f t="shared" ref="AG13:AI13" si="13">+AG14/AG12*1000</f>
        <v>520.3030035397959</v>
      </c>
      <c r="AH13" s="333">
        <f t="shared" si="13"/>
        <v>501.589880308445</v>
      </c>
      <c r="AI13" s="333">
        <f t="shared" si="13"/>
        <v>568.96704298198563</v>
      </c>
      <c r="AJ13" s="333">
        <f>+AJ14/AJ12*1000</f>
        <v>534.55081310526111</v>
      </c>
      <c r="AK13" s="333">
        <f t="shared" ref="AK13:AM13" si="14">+AK14/AK12*1000</f>
        <v>524.73079052520086</v>
      </c>
      <c r="AL13" s="333">
        <f t="shared" si="14"/>
        <v>509.77046825476577</v>
      </c>
      <c r="AM13" s="333">
        <f t="shared" si="14"/>
        <v>505.64948781646979</v>
      </c>
      <c r="AN13" s="333">
        <f t="shared" ref="AN13" si="15">+AN14/AN12*1000</f>
        <v>513.44559662206052</v>
      </c>
      <c r="AO13" s="333">
        <f t="shared" ref="AO13:AP13" si="16">+AO14/AO12*1000</f>
        <v>525.22788167807357</v>
      </c>
      <c r="AP13" s="333">
        <f t="shared" si="16"/>
        <v>546.0912076448077</v>
      </c>
      <c r="AQ13" s="333"/>
      <c r="AR13" s="333"/>
      <c r="AS13" s="333"/>
      <c r="AT13" s="333">
        <f>+'Historical - USD'!Q12</f>
        <v>574.15484826657973</v>
      </c>
      <c r="AU13" s="333">
        <f>+'Historical - USD'!R12</f>
        <v>500.49742059218585</v>
      </c>
      <c r="AV13" s="333">
        <f>+'Historical - USD'!S12</f>
        <v>507.27708210249449</v>
      </c>
      <c r="AW13" s="333">
        <f>+AW14/AW12*1000</f>
        <v>548.08207190525206</v>
      </c>
      <c r="AX13" s="333">
        <f>+AX14/AX12*1000</f>
        <v>517.73687138495131</v>
      </c>
      <c r="AY13" s="333">
        <f>+AY14/AY12*1000</f>
        <v>509.93214645448569</v>
      </c>
      <c r="AZ13" s="333">
        <f>+AZ14/AZ12*1000</f>
        <v>536.11376378843966</v>
      </c>
      <c r="BA13" s="333"/>
    </row>
    <row r="14" spans="1:54">
      <c r="A14" s="332" t="str">
        <f>+'Historical - USD'!A13</f>
        <v xml:space="preserve">Gross Revenue </v>
      </c>
      <c r="D14" s="335"/>
      <c r="E14" s="335"/>
      <c r="F14" s="335"/>
      <c r="G14" s="335"/>
      <c r="H14" s="335"/>
      <c r="I14" s="335"/>
      <c r="J14" s="335">
        <f>+J52</f>
        <v>3556.8086029861183</v>
      </c>
      <c r="K14" s="335">
        <f t="shared" ref="K14:N14" si="17">+K52</f>
        <v>9283.520651200206</v>
      </c>
      <c r="L14" s="510">
        <f>(5.3+6+7.1)*1000*'Detailed Disclosures - USD'!F299</f>
        <v>13149.585074972403</v>
      </c>
      <c r="M14" s="335">
        <f>+AI14-L14</f>
        <v>24966.086101433793</v>
      </c>
      <c r="N14" s="335">
        <f t="shared" si="17"/>
        <v>19541.625722512381</v>
      </c>
      <c r="O14" s="335">
        <f t="shared" ref="O14:Q14" si="18">+O52</f>
        <v>35729.859250945403</v>
      </c>
      <c r="P14" s="335">
        <f>+P52</f>
        <v>38279.819957385189</v>
      </c>
      <c r="Q14" s="335">
        <f t="shared" si="18"/>
        <v>74443.89792481951</v>
      </c>
      <c r="R14" s="335">
        <f t="shared" ref="R14:T14" si="19">+R52</f>
        <v>51268.971410226688</v>
      </c>
      <c r="S14" s="335">
        <f t="shared" si="19"/>
        <v>44872.719361685624</v>
      </c>
      <c r="T14" s="335">
        <f t="shared" si="19"/>
        <v>57687.424152767489</v>
      </c>
      <c r="U14" s="335">
        <f t="shared" ref="U14:V14" si="20">+U52</f>
        <v>103967.18483098266</v>
      </c>
      <c r="V14" s="335">
        <f t="shared" si="20"/>
        <v>90048.850476548367</v>
      </c>
      <c r="W14" s="335">
        <f t="shared" ref="W14:X14" si="21">+W52</f>
        <v>110035.26618446327</v>
      </c>
      <c r="X14" s="335">
        <f t="shared" si="21"/>
        <v>109582.99787142561</v>
      </c>
      <c r="Y14" s="335">
        <f t="shared" ref="Y14" si="22">+Y52</f>
        <v>190870.42355011459</v>
      </c>
      <c r="Z14" s="335">
        <f t="shared" ref="Z14:AA14" si="23">+Z52</f>
        <v>168793.59443205188</v>
      </c>
      <c r="AA14" s="335">
        <f t="shared" si="23"/>
        <v>172037.25720475338</v>
      </c>
      <c r="AB14" s="335">
        <f t="shared" ref="AB14:AE14" si="24">+AB52</f>
        <v>137629.80576380269</v>
      </c>
      <c r="AC14" s="335">
        <f t="shared" si="24"/>
        <v>233970.66979846457</v>
      </c>
      <c r="AD14" s="335">
        <f t="shared" si="24"/>
        <v>198875.0693286949</v>
      </c>
      <c r="AE14" s="335">
        <f t="shared" si="24"/>
        <v>198841.99020307395</v>
      </c>
      <c r="AF14" s="335"/>
      <c r="AG14" s="335">
        <f>+AG52</f>
        <v>6268.9961349162713</v>
      </c>
      <c r="AH14" s="335">
        <f>SUM(J14:K14)</f>
        <v>12840.329254186325</v>
      </c>
      <c r="AI14" s="335">
        <f>+AI52</f>
        <v>38115.671176406198</v>
      </c>
      <c r="AJ14" s="335">
        <f>+SUM(N14:O14)</f>
        <v>55271.484973457787</v>
      </c>
      <c r="AK14" s="335">
        <f>SUM(P14:Q14)</f>
        <v>112723.7178822047</v>
      </c>
      <c r="AL14" s="335">
        <f>SUM(R14:S14)</f>
        <v>96141.690771912312</v>
      </c>
      <c r="AM14" s="335">
        <f>SUM(T14:U14)</f>
        <v>161654.60898375016</v>
      </c>
      <c r="AN14" s="335">
        <f>SUM(V14:W14)</f>
        <v>200084.11666101165</v>
      </c>
      <c r="AO14" s="335">
        <f>+SUM(X14:Y14)</f>
        <v>300453.4214215402</v>
      </c>
      <c r="AP14" s="328">
        <f>+SUM(Z14:AA14)</f>
        <v>340830.85163680522</v>
      </c>
      <c r="AQ14" s="335">
        <f>+SUM(AB14:AC14)</f>
        <v>371600.47556226724</v>
      </c>
      <c r="AR14" s="335">
        <f>+SUM(AD14:AE14)</f>
        <v>397717.05953176884</v>
      </c>
      <c r="AS14" s="335"/>
      <c r="AT14" s="335">
        <f>+'Historical - USD'!Q13*1000</f>
        <v>449.40595410879388</v>
      </c>
      <c r="AU14" s="335">
        <f>+'Historical - USD'!R13*1000</f>
        <v>5199.831013524109</v>
      </c>
      <c r="AV14" s="335">
        <f>+'Historical - USD'!S13*1000</f>
        <v>19112.205747500389</v>
      </c>
      <c r="AW14" s="335">
        <f>+AW52</f>
        <v>93387.156149863993</v>
      </c>
      <c r="AX14" s="335">
        <f>SUM(AK14:AL14)</f>
        <v>208865.40865411703</v>
      </c>
      <c r="AY14" s="335">
        <f>SUM(AM14:AN14)</f>
        <v>361738.72564476181</v>
      </c>
      <c r="AZ14" s="335">
        <f>SUM(AO14:AP14)</f>
        <v>641284.27305834542</v>
      </c>
      <c r="BA14" s="335">
        <f>SUM(AQ14:AR14)</f>
        <v>769317.53509403602</v>
      </c>
    </row>
    <row r="15" spans="1:54">
      <c r="A15" s="318"/>
      <c r="P15" s="511"/>
    </row>
    <row r="16" spans="1:54">
      <c r="A16" s="336" t="s">
        <v>224</v>
      </c>
      <c r="O16" s="512"/>
      <c r="P16" s="512"/>
      <c r="Q16" s="512"/>
      <c r="R16" s="512"/>
      <c r="S16" s="512"/>
      <c r="T16" s="512"/>
      <c r="U16" s="512"/>
      <c r="V16" s="512"/>
      <c r="W16" s="512"/>
      <c r="X16" s="512"/>
      <c r="Y16" s="512"/>
      <c r="Z16" s="512"/>
      <c r="AA16" s="512"/>
      <c r="AB16" s="512"/>
      <c r="AC16" s="512"/>
      <c r="AD16" s="512"/>
      <c r="AE16" s="512"/>
    </row>
    <row r="17" spans="1:54">
      <c r="A17" s="338" t="str">
        <f>+A23</f>
        <v>Unique Website Visits ('000s)</v>
      </c>
      <c r="D17" s="344"/>
      <c r="E17" s="344"/>
      <c r="F17" s="344"/>
      <c r="G17" s="344"/>
      <c r="H17" s="344"/>
      <c r="I17" s="344"/>
      <c r="J17" s="344"/>
      <c r="K17" s="344">
        <f>+K10/J10-1</f>
        <v>0.76545138888888897</v>
      </c>
      <c r="L17" s="344">
        <f t="shared" ref="L17:N17" si="25">+L10/K10-1</f>
        <v>0.5380076703707346</v>
      </c>
      <c r="M17" s="344">
        <f t="shared" si="25"/>
        <v>0.5417391304347825</v>
      </c>
      <c r="N17" s="344">
        <f t="shared" si="25"/>
        <v>1.5228426395939021E-2</v>
      </c>
      <c r="O17" s="344">
        <f>+O10/N10-1</f>
        <v>0.24722222222222223</v>
      </c>
      <c r="P17" s="344">
        <f>+P10/O10-1</f>
        <v>0.62138084632516688</v>
      </c>
      <c r="Q17" s="344">
        <f t="shared" ref="Q17" si="26">+Q10/P10-1</f>
        <v>1.2417582417582422</v>
      </c>
      <c r="R17" s="344">
        <f t="shared" ref="R17" si="27">+R10/Q10-1</f>
        <v>-0.18504901960784315</v>
      </c>
      <c r="S17" s="344">
        <f t="shared" ref="S17" si="28">+S10/R10-1</f>
        <v>-0.4135338345864662</v>
      </c>
      <c r="T17" s="344"/>
      <c r="U17" s="344"/>
      <c r="V17" s="344"/>
      <c r="W17" s="344"/>
      <c r="X17" s="344"/>
      <c r="Y17" s="344"/>
      <c r="Z17" s="344"/>
      <c r="AA17" s="344"/>
      <c r="AB17" s="344"/>
      <c r="AC17" s="344"/>
      <c r="AD17" s="344"/>
      <c r="AE17" s="344"/>
      <c r="AH17" s="344">
        <f>+AH10/AG10-1</f>
        <v>0.60280533698255212</v>
      </c>
      <c r="AI17" s="344">
        <f>+AI10/AH10-1</f>
        <v>1.495624332977588</v>
      </c>
      <c r="AJ17" s="344">
        <f>+AJ10/AI10-1</f>
        <v>0.38385220663701669</v>
      </c>
      <c r="AK17" s="344">
        <f t="shared" ref="AK17:AL17" si="29">+AK10/AJ10-1</f>
        <v>1.9171817058096416</v>
      </c>
      <c r="AL17" s="344">
        <f t="shared" si="29"/>
        <v>-0.10593220338983056</v>
      </c>
      <c r="AM17" s="344"/>
      <c r="AN17" s="344"/>
      <c r="AO17" s="344"/>
      <c r="AP17" s="344"/>
      <c r="AQ17" s="344"/>
      <c r="AR17" s="344"/>
      <c r="AU17" s="344">
        <f t="shared" ref="AU17" si="30">+AU10/AT10-1</f>
        <v>6.86</v>
      </c>
      <c r="AV17" s="344">
        <f>+AV10/AU10-1</f>
        <v>1.4993429697766096</v>
      </c>
      <c r="AW17" s="344">
        <f t="shared" ref="AW17" si="31">+AW10/AV10-1</f>
        <v>2.6635120925341744</v>
      </c>
      <c r="AX17" s="344">
        <f t="shared" ref="AX17" si="32">+AX10/AW10-1</f>
        <v>2.2075200918484499</v>
      </c>
      <c r="AY17" s="344"/>
      <c r="AZ17" s="344"/>
      <c r="BA17" s="344"/>
    </row>
    <row r="18" spans="1:54">
      <c r="A18" s="338" t="str">
        <f t="shared" ref="A18:A20" si="33">+A24</f>
        <v>Number of Orders (#)</v>
      </c>
      <c r="D18" s="344"/>
      <c r="E18" s="344"/>
      <c r="F18" s="344"/>
      <c r="G18" s="344"/>
      <c r="H18" s="344"/>
      <c r="I18" s="344"/>
      <c r="J18" s="344"/>
      <c r="K18" s="344">
        <f>+K12/J12-1</f>
        <v>1.7708961950724711</v>
      </c>
      <c r="L18" s="344">
        <f t="shared" ref="L18:N20" si="34">+L12/K12-1</f>
        <v>0.2761409270815216</v>
      </c>
      <c r="M18" s="344">
        <f t="shared" si="34"/>
        <v>0.79071026869402217</v>
      </c>
      <c r="N18" s="344">
        <f t="shared" si="34"/>
        <v>-0.15193318754943475</v>
      </c>
      <c r="O18" s="344">
        <f>+O12/N12-1</f>
        <v>0.83631874914277882</v>
      </c>
      <c r="P18" s="344">
        <f t="shared" ref="P18:P20" si="35">+P12/O12-1</f>
        <v>6.759129498762606E-2</v>
      </c>
      <c r="Q18" s="344">
        <f t="shared" ref="Q18:Q20" si="36">+Q12/P12-1</f>
        <v>1.0058586948176584</v>
      </c>
      <c r="R18" s="344">
        <f t="shared" ref="R18:R20" si="37">+R12/Q12-1</f>
        <v>-0.30472232406188104</v>
      </c>
      <c r="S18" s="344">
        <f t="shared" ref="S18:T20" si="38">+S12/R12-1</f>
        <v>-0.10779464438001007</v>
      </c>
      <c r="T18" s="344">
        <f t="shared" ref="T18:T19" si="39">+T12/S12-1</f>
        <v>0.32004946689955061</v>
      </c>
      <c r="U18" s="344">
        <f t="shared" ref="U18:U19" si="40">+U12/T12-1</f>
        <v>0.72342031245848704</v>
      </c>
      <c r="V18" s="344">
        <f t="shared" ref="V18:V20" si="41">+V12/U12-1</f>
        <v>-0.12435631499717248</v>
      </c>
      <c r="W18" s="344">
        <f t="shared" ref="W18:X20" si="42">+W12/V12-1</f>
        <v>0.19976205269692393</v>
      </c>
      <c r="X18" s="344">
        <f t="shared" si="42"/>
        <v>7.7458323495793069E-2</v>
      </c>
      <c r="Y18" s="344">
        <f t="shared" ref="Y18:Z20" si="43">+Y12/X12-1</f>
        <v>0.49799350423228672</v>
      </c>
      <c r="Z18" s="344">
        <f t="shared" si="43"/>
        <v>-0.10059657813289824</v>
      </c>
      <c r="AA18" s="344">
        <f t="shared" ref="AA18:AA20" si="44">+AA12/Z12-1</f>
        <v>2.2884902579357824E-2</v>
      </c>
      <c r="AB18" s="344"/>
      <c r="AC18" s="344"/>
      <c r="AD18" s="344"/>
      <c r="AE18" s="344"/>
      <c r="AH18" s="344">
        <f>+AH12/AG12-1</f>
        <v>1.1246418175575825</v>
      </c>
      <c r="AI18" s="344">
        <f>+AI12/AH12-1</f>
        <v>1.6169116855619414</v>
      </c>
      <c r="AJ18" s="344">
        <f>+AJ12/AI12-1</f>
        <v>0.54346106193369259</v>
      </c>
      <c r="AK18" s="344">
        <f t="shared" ref="AK18:AL20" si="45">+AK12/AJ12-1</f>
        <v>1.0776223911487648</v>
      </c>
      <c r="AL18" s="344">
        <f t="shared" si="45"/>
        <v>-0.12207315824263809</v>
      </c>
      <c r="AM18" s="344">
        <f t="shared" ref="AM18:AM20" si="46">+AM12/AL12-1</f>
        <v>0.69512385972793811</v>
      </c>
      <c r="AN18" s="344">
        <f t="shared" ref="AN18:AP20" si="47">+AN12/AM12-1</f>
        <v>0.21893251184834139</v>
      </c>
      <c r="AO18" s="344">
        <f t="shared" si="47"/>
        <v>0.46794978871264714</v>
      </c>
      <c r="AP18" s="344">
        <f t="shared" si="47"/>
        <v>9.1049197276949156E-2</v>
      </c>
      <c r="AQ18" s="344"/>
      <c r="AR18" s="344"/>
      <c r="AU18" s="344">
        <f t="shared" ref="AU18" si="48">+AU12/AT12-1</f>
        <v>9.7647668393782379</v>
      </c>
      <c r="AV18" s="344">
        <f>+AV12/AU12-1</f>
        <v>2.6241817481709666</v>
      </c>
      <c r="AW18" s="344">
        <f t="shared" ref="AW18:AW20" si="49">+AW12/AV12-1</f>
        <v>3.5258446663833407</v>
      </c>
      <c r="AX18" s="344">
        <f t="shared" ref="AX18:AX20" si="50">+AX12/AW12-1</f>
        <v>1.3676411035923679</v>
      </c>
      <c r="AY18" s="344">
        <f t="shared" ref="AY18:AZ20" si="51">+AY12/AX12-1</f>
        <v>0.75843041990977156</v>
      </c>
      <c r="AZ18" s="344">
        <f t="shared" si="51"/>
        <v>0.68620750902893479</v>
      </c>
      <c r="BA18" s="344"/>
    </row>
    <row r="19" spans="1:54" s="513" customFormat="1" ht="18.5">
      <c r="A19" s="338" t="str">
        <f t="shared" si="33"/>
        <v>AOV ($)</v>
      </c>
      <c r="D19" s="514"/>
      <c r="E19" s="514"/>
      <c r="F19" s="514"/>
      <c r="G19" s="514"/>
      <c r="H19" s="514"/>
      <c r="I19" s="514"/>
      <c r="J19" s="514"/>
      <c r="K19" s="514">
        <f t="shared" ref="K19:K20" si="52">+K13/J13-1</f>
        <v>-5.8041095919883823E-2</v>
      </c>
      <c r="L19" s="514">
        <f t="shared" si="34"/>
        <v>0.10994307061841457</v>
      </c>
      <c r="M19" s="514">
        <f t="shared" si="34"/>
        <v>6.0261741701746363E-2</v>
      </c>
      <c r="N19" s="514">
        <f t="shared" si="34"/>
        <v>-7.7045782056669676E-2</v>
      </c>
      <c r="O19" s="514">
        <f t="shared" ref="O19:O20" si="53">+O13/N13-1</f>
        <v>-4.3136671546596395E-3</v>
      </c>
      <c r="P19" s="514">
        <f t="shared" si="35"/>
        <v>3.537387618363308E-3</v>
      </c>
      <c r="Q19" s="514">
        <f t="shared" si="36"/>
        <v>-3.0475288142692514E-2</v>
      </c>
      <c r="R19" s="514">
        <f t="shared" si="37"/>
        <v>-9.4709561381226548E-3</v>
      </c>
      <c r="S19" s="514">
        <f t="shared" si="38"/>
        <v>-1.9013662169769852E-2</v>
      </c>
      <c r="T19" s="514">
        <f t="shared" si="39"/>
        <v>-2.6113037347441526E-2</v>
      </c>
      <c r="U19" s="514">
        <f t="shared" si="40"/>
        <v>4.5740504683172256E-2</v>
      </c>
      <c r="V19" s="514">
        <f t="shared" si="41"/>
        <v>-1.0867506959745921E-2</v>
      </c>
      <c r="W19" s="514">
        <f t="shared" si="42"/>
        <v>1.8494302058980727E-2</v>
      </c>
      <c r="X19" s="514">
        <f t="shared" si="42"/>
        <v>-7.5704585592404894E-2</v>
      </c>
      <c r="Y19" s="514">
        <f t="shared" si="43"/>
        <v>0.16274780892243079</v>
      </c>
      <c r="Z19" s="514">
        <f t="shared" si="43"/>
        <v>-1.6752640625560034E-2</v>
      </c>
      <c r="AA19" s="514">
        <f t="shared" si="44"/>
        <v>-3.5860942446237498E-3</v>
      </c>
      <c r="AB19" s="514"/>
      <c r="AC19" s="514"/>
      <c r="AD19" s="514"/>
      <c r="AE19" s="514"/>
      <c r="AH19" s="514">
        <f t="shared" ref="AH19:AI20" si="54">+AH13/AG13-1</f>
        <v>-3.5965818194473642E-2</v>
      </c>
      <c r="AI19" s="514">
        <f t="shared" si="54"/>
        <v>0.13432719701623186</v>
      </c>
      <c r="AJ19" s="514">
        <f t="shared" ref="AJ19" si="55">+AJ13/AI13-1</f>
        <v>-6.0488969090981559E-2</v>
      </c>
      <c r="AK19" s="514">
        <f t="shared" si="45"/>
        <v>-1.8370606384479515E-2</v>
      </c>
      <c r="AL19" s="514">
        <f t="shared" si="45"/>
        <v>-2.851047154191455E-2</v>
      </c>
      <c r="AM19" s="514">
        <f t="shared" si="46"/>
        <v>-8.0839921002180404E-3</v>
      </c>
      <c r="AN19" s="514">
        <f t="shared" si="47"/>
        <v>1.5418009893090945E-2</v>
      </c>
      <c r="AO19" s="514">
        <f t="shared" si="47"/>
        <v>2.294748486213205E-2</v>
      </c>
      <c r="AP19" s="514">
        <f t="shared" si="47"/>
        <v>3.9722426578111092E-2</v>
      </c>
      <c r="AQ19" s="514"/>
      <c r="AR19" s="514"/>
      <c r="AU19" s="514">
        <f t="shared" ref="AU19" si="56">+AU13/AT13-1</f>
        <v>-0.12828843629340003</v>
      </c>
      <c r="AV19" s="514">
        <f t="shared" ref="AV19:AV20" si="57">+AV13/AU13-1</f>
        <v>1.3545847054090565E-2</v>
      </c>
      <c r="AW19" s="514">
        <f t="shared" si="49"/>
        <v>8.0439253501527253E-2</v>
      </c>
      <c r="AX19" s="514">
        <f t="shared" si="50"/>
        <v>-5.5366161521784973E-2</v>
      </c>
      <c r="AY19" s="514">
        <f t="shared" si="51"/>
        <v>-1.5074694042145231E-2</v>
      </c>
      <c r="AZ19" s="514">
        <f t="shared" si="51"/>
        <v>5.1343335610418928E-2</v>
      </c>
      <c r="BA19" s="514"/>
    </row>
    <row r="20" spans="1:54">
      <c r="A20" s="341" t="str">
        <f t="shared" si="33"/>
        <v xml:space="preserve">Gross Revenue </v>
      </c>
      <c r="D20" s="344"/>
      <c r="E20" s="344"/>
      <c r="F20" s="344"/>
      <c r="G20" s="344"/>
      <c r="H20" s="344"/>
      <c r="I20" s="344"/>
      <c r="J20" s="344"/>
      <c r="K20" s="344">
        <f t="shared" si="52"/>
        <v>1.6100703432302281</v>
      </c>
      <c r="L20" s="344">
        <f t="shared" si="34"/>
        <v>0.41644377914669461</v>
      </c>
      <c r="M20" s="344">
        <f t="shared" si="34"/>
        <v>0.89862158836872563</v>
      </c>
      <c r="N20" s="344">
        <f t="shared" si="34"/>
        <v>-0.21727315835099548</v>
      </c>
      <c r="O20" s="344">
        <f t="shared" si="53"/>
        <v>0.82839748126911572</v>
      </c>
      <c r="P20" s="344">
        <f t="shared" si="35"/>
        <v>7.1367779215987692E-2</v>
      </c>
      <c r="Q20" s="344">
        <f t="shared" si="36"/>
        <v>0.94472957311956507</v>
      </c>
      <c r="R20" s="344">
        <f t="shared" si="37"/>
        <v>-0.31130726843450696</v>
      </c>
      <c r="S20" s="344">
        <f t="shared" si="38"/>
        <v>-0.1247587355978278</v>
      </c>
      <c r="T20" s="344">
        <f t="shared" si="38"/>
        <v>0.28557896586993214</v>
      </c>
      <c r="U20" s="344">
        <f t="shared" ref="U20" si="58">+U14/T14-1</f>
        <v>0.80225042733156871</v>
      </c>
      <c r="V20" s="344">
        <f t="shared" si="41"/>
        <v>-0.13387237883819825</v>
      </c>
      <c r="W20" s="344">
        <f t="shared" si="42"/>
        <v>0.22195081449840393</v>
      </c>
      <c r="X20" s="344">
        <f t="shared" ref="X20" si="59">+X14/W14-1</f>
        <v>-4.1102123775432764E-3</v>
      </c>
      <c r="Y20" s="344">
        <f t="shared" si="43"/>
        <v>0.7417886648261256</v>
      </c>
      <c r="Z20" s="344">
        <f t="shared" si="43"/>
        <v>-0.11566396043683669</v>
      </c>
      <c r="AA20" s="344">
        <f t="shared" si="44"/>
        <v>1.921674091730563E-2</v>
      </c>
      <c r="AB20" s="344">
        <f t="shared" ref="AB20" si="60">+AB14/AA14-1</f>
        <v>-0.20000000000000007</v>
      </c>
      <c r="AC20" s="344">
        <f t="shared" ref="AC20" si="61">+AC14/AB14-1</f>
        <v>0.7</v>
      </c>
      <c r="AD20" s="344">
        <f t="shared" ref="AD20" si="62">+AD14/AC14-1</f>
        <v>-0.14999999999999991</v>
      </c>
      <c r="AE20" s="344">
        <f t="shared" ref="AE20" si="63">+AE14/AD14-1</f>
        <v>-1.663311833535186E-4</v>
      </c>
      <c r="AH20" s="344">
        <f t="shared" si="54"/>
        <v>1.0482273362189303</v>
      </c>
      <c r="AI20" s="344">
        <f t="shared" si="54"/>
        <v>1.9684340971224992</v>
      </c>
      <c r="AJ20" s="344">
        <f t="shared" ref="AJ20" si="64">+AJ14/AI14-1</f>
        <v>0.45009869346525178</v>
      </c>
      <c r="AK20" s="344">
        <f t="shared" si="45"/>
        <v>1.0394552079853896</v>
      </c>
      <c r="AL20" s="344">
        <f t="shared" si="45"/>
        <v>-0.14710326648044436</v>
      </c>
      <c r="AM20" s="344">
        <f t="shared" si="46"/>
        <v>0.68142049183700615</v>
      </c>
      <c r="AN20" s="344">
        <f t="shared" si="47"/>
        <v>0.23772602537502974</v>
      </c>
      <c r="AO20" s="344">
        <f t="shared" si="47"/>
        <v>0.50163554426750001</v>
      </c>
      <c r="AP20" s="344">
        <f t="shared" si="47"/>
        <v>0.13438831890888991</v>
      </c>
      <c r="AQ20" s="344">
        <f t="shared" ref="AQ20" si="65">+AQ14/AP14-1</f>
        <v>9.0278282548936106E-2</v>
      </c>
      <c r="AR20" s="344">
        <f t="shared" ref="AR20" si="66">+AR14/AQ14-1</f>
        <v>7.0281352385205276E-2</v>
      </c>
      <c r="AU20" s="344">
        <f t="shared" ref="AU20" si="67">+AU14/AT14-1</f>
        <v>10.570454209570428</v>
      </c>
      <c r="AV20" s="344">
        <f t="shared" si="57"/>
        <v>2.6755436278201996</v>
      </c>
      <c r="AW20" s="344">
        <f t="shared" si="49"/>
        <v>3.8862573678643937</v>
      </c>
      <c r="AX20" s="344">
        <f t="shared" si="50"/>
        <v>1.2365539038252553</v>
      </c>
      <c r="AY20" s="344">
        <f t="shared" si="51"/>
        <v>0.73192261933523106</v>
      </c>
      <c r="AZ20" s="344">
        <f t="shared" ref="AZ20" si="68">+AZ14/AY14-1</f>
        <v>0.77278302707381585</v>
      </c>
      <c r="BA20" s="344">
        <f t="shared" ref="BA20" si="69">+BA14/AZ14-1</f>
        <v>0.19965133625542975</v>
      </c>
    </row>
    <row r="21" spans="1:54">
      <c r="A21" s="318"/>
    </row>
    <row r="22" spans="1:54">
      <c r="A22" s="336" t="s">
        <v>225</v>
      </c>
    </row>
    <row r="23" spans="1:54">
      <c r="A23" s="338" t="str">
        <f>+A10</f>
        <v>Unique Website Visits ('000s)</v>
      </c>
      <c r="K23" s="511"/>
      <c r="N23" s="344">
        <f>+N10/J10-1</f>
        <v>3.25</v>
      </c>
      <c r="O23" s="344">
        <f>+O10/K10-1</f>
        <v>2.0024584521585207</v>
      </c>
      <c r="P23" s="344">
        <f t="shared" ref="P23:Q23" si="70">+P10/L10-1</f>
        <v>2.1652173913043473</v>
      </c>
      <c r="Q23" s="344">
        <f t="shared" si="70"/>
        <v>3.6023688663282574</v>
      </c>
      <c r="R23" s="344">
        <f t="shared" ref="R23" si="71">+R10/N10-1</f>
        <v>2.6944444444444446</v>
      </c>
      <c r="S23" s="344">
        <f t="shared" ref="S23" si="72">+S10/O10-1</f>
        <v>0.73719376391982183</v>
      </c>
      <c r="T23" s="344"/>
      <c r="U23" s="344"/>
      <c r="V23" s="344"/>
      <c r="W23" s="344"/>
      <c r="X23" s="344"/>
      <c r="Y23" s="344"/>
      <c r="Z23" s="344"/>
      <c r="AA23" s="344"/>
      <c r="AB23" s="344"/>
      <c r="AC23" s="344"/>
      <c r="AD23" s="344"/>
      <c r="AE23" s="344"/>
      <c r="AI23" s="344">
        <f>+AI10/AG10-1</f>
        <v>3</v>
      </c>
      <c r="AJ23" s="344">
        <f t="shared" ref="AJ23" si="73">+AJ10/AH10-1</f>
        <v>2.4535752401280684</v>
      </c>
      <c r="AK23" s="344">
        <f t="shared" ref="AK23" si="74">+AK10/AI10-1</f>
        <v>3.0369483407458091</v>
      </c>
      <c r="AL23" s="344">
        <f t="shared" ref="AL23" si="75">+AL10/AJ10-1</f>
        <v>1.608158220024722</v>
      </c>
      <c r="AM23" s="344"/>
      <c r="AN23" s="344"/>
      <c r="AO23" s="344"/>
      <c r="AP23" s="344"/>
      <c r="AQ23" s="344"/>
      <c r="AR23" s="344"/>
      <c r="AU23" s="344">
        <f>+AU10/AT10-1</f>
        <v>6.86</v>
      </c>
      <c r="AV23" s="344">
        <f>+AV10/AU10-1</f>
        <v>1.4993429697766096</v>
      </c>
      <c r="AW23" s="344">
        <f t="shared" ref="AW23" si="76">+AW10/AV10-1</f>
        <v>2.6635120925341744</v>
      </c>
      <c r="AX23" s="344">
        <f t="shared" ref="AX23" si="77">+AX10/AW10-1</f>
        <v>2.2075200918484499</v>
      </c>
      <c r="AY23" s="344"/>
      <c r="AZ23" s="344"/>
      <c r="BA23" s="344"/>
    </row>
    <row r="24" spans="1:54">
      <c r="A24" s="338" t="str">
        <f>+A12</f>
        <v>Number of Orders (#)</v>
      </c>
      <c r="N24" s="344">
        <f t="shared" ref="N24:O26" si="78">+N12/J12-1</f>
        <v>4.370000000000001</v>
      </c>
      <c r="O24" s="344">
        <f t="shared" si="78"/>
        <v>2.5587878392675818</v>
      </c>
      <c r="P24" s="344">
        <f t="shared" ref="P24:P26" si="79">+P12/L12-1</f>
        <v>1.9772032518373943</v>
      </c>
      <c r="Q24" s="344">
        <f t="shared" ref="Q24:Q26" si="80">+Q12/M12-1</f>
        <v>2.3349052235528625</v>
      </c>
      <c r="R24" s="344">
        <f t="shared" ref="R24:R26" si="81">+R12/N12-1</f>
        <v>1.7340831161706207</v>
      </c>
      <c r="S24" s="344">
        <f t="shared" ref="S24:T26" si="82">+S12/O12-1</f>
        <v>0.32839878702776981</v>
      </c>
      <c r="T24" s="344">
        <f t="shared" ref="T24:T25" si="83">+T12/P12-1</f>
        <v>0.64253129346314308</v>
      </c>
      <c r="U24" s="344">
        <f t="shared" ref="U24:U25" si="84">+U12/Q12-1</f>
        <v>0.41125185054993274</v>
      </c>
      <c r="V24" s="344">
        <f t="shared" ref="V24:V26" si="85">+V12/R12-1</f>
        <v>0.77735286727742903</v>
      </c>
      <c r="W24" s="344">
        <f t="shared" ref="W24:W26" si="86">+W12/S12-1</f>
        <v>1.3900333157378721</v>
      </c>
      <c r="X24" s="344">
        <f t="shared" ref="X24:X26" si="87">+X12/T12-1</f>
        <v>0.95080665842197276</v>
      </c>
      <c r="Y24" s="344">
        <f t="shared" ref="Y24:Z26" si="88">+Y12/U12-1</f>
        <v>0.69563726341399956</v>
      </c>
      <c r="Z24" s="344">
        <f t="shared" si="88"/>
        <v>0.74164672580833457</v>
      </c>
      <c r="AA24" s="344">
        <f t="shared" ref="AA24:AA26" si="89">+AA12/W12-1</f>
        <v>0.48488122078165774</v>
      </c>
      <c r="AB24" s="344"/>
      <c r="AC24" s="344"/>
      <c r="AD24" s="344"/>
      <c r="AE24" s="344"/>
      <c r="AI24" s="344">
        <f>+AI12/AG12-1</f>
        <v>4.5599999999999996</v>
      </c>
      <c r="AJ24" s="344">
        <f t="shared" ref="AJ24:AJ26" si="90">+AJ12/AH12-1</f>
        <v>3.0391012891841234</v>
      </c>
      <c r="AK24" s="344">
        <f t="shared" ref="AK24:AK26" si="91">+AK12/AI12-1</f>
        <v>2.2067292621396906</v>
      </c>
      <c r="AL24" s="344">
        <f t="shared" ref="AL24:AL26" si="92">+AL12/AJ12-1</f>
        <v>0.82400046422561357</v>
      </c>
      <c r="AM24" s="344">
        <f t="shared" ref="AM24:AM26" si="93">+AM12/AK12-1</f>
        <v>0.48819473655849799</v>
      </c>
      <c r="AN24" s="344">
        <f t="shared" ref="AN24:AN26" si="94">+AN12/AL12-1</f>
        <v>1.0662415842322313</v>
      </c>
      <c r="AO24" s="344">
        <f t="shared" ref="AO24:AP26" si="95">+AO12/AM12-1</f>
        <v>0.78933172322274903</v>
      </c>
      <c r="AP24" s="344">
        <f t="shared" si="95"/>
        <v>0.60160543861780069</v>
      </c>
      <c r="AQ24" s="344"/>
      <c r="AR24" s="344"/>
      <c r="AU24" s="344">
        <f t="shared" ref="AU24:AV26" si="96">+AU12/AT12-1</f>
        <v>9.7647668393782379</v>
      </c>
      <c r="AV24" s="344">
        <f t="shared" si="96"/>
        <v>2.6241817481709666</v>
      </c>
      <c r="AW24" s="344">
        <f t="shared" ref="AW24" si="97">+AW12/AV12-1</f>
        <v>3.5258446663833407</v>
      </c>
      <c r="AX24" s="344">
        <f t="shared" ref="AX24:AX26" si="98">+AX12/AW12-1</f>
        <v>1.3676411035923679</v>
      </c>
      <c r="AY24" s="344">
        <f t="shared" ref="AY24:AY26" si="99">+AY12/AX12-1</f>
        <v>0.75843041990977156</v>
      </c>
      <c r="AZ24" s="344">
        <f t="shared" ref="AZ24:AZ25" si="100">+AZ12/AY12-1</f>
        <v>0.68620750902893479</v>
      </c>
      <c r="BA24" s="344"/>
    </row>
    <row r="25" spans="1:54" s="513" customFormat="1" ht="18.5">
      <c r="A25" s="338" t="str">
        <f>+A13</f>
        <v>AOV ($)</v>
      </c>
      <c r="N25" s="514">
        <f t="shared" si="78"/>
        <v>2.3118433851086806E-2</v>
      </c>
      <c r="O25" s="514">
        <f t="shared" si="78"/>
        <v>8.1475037875975875E-2</v>
      </c>
      <c r="P25" s="514">
        <f t="shared" si="79"/>
        <v>-2.2201531759784232E-2</v>
      </c>
      <c r="Q25" s="514">
        <f t="shared" si="80"/>
        <v>-0.10588136788417102</v>
      </c>
      <c r="R25" s="514">
        <f t="shared" si="81"/>
        <v>-4.0417762278257441E-2</v>
      </c>
      <c r="S25" s="514">
        <f t="shared" si="82"/>
        <v>-5.458472796391467E-2</v>
      </c>
      <c r="T25" s="514">
        <f t="shared" si="83"/>
        <v>-8.2517882155168532E-2</v>
      </c>
      <c r="U25" s="514">
        <f t="shared" si="84"/>
        <v>-1.0393235758957009E-2</v>
      </c>
      <c r="V25" s="514">
        <f t="shared" si="85"/>
        <v>-1.1788486254890485E-2</v>
      </c>
      <c r="W25" s="514">
        <f t="shared" si="86"/>
        <v>2.5995732218502487E-2</v>
      </c>
      <c r="X25" s="514">
        <f t="shared" si="87"/>
        <v>-2.6249260069778568E-2</v>
      </c>
      <c r="Y25" s="514">
        <f t="shared" si="88"/>
        <v>8.2703150752959642E-2</v>
      </c>
      <c r="Z25" s="514">
        <f t="shared" si="88"/>
        <v>7.6261291035062628E-2</v>
      </c>
      <c r="AA25" s="514">
        <f t="shared" si="89"/>
        <v>5.2928538181913121E-2</v>
      </c>
      <c r="AB25" s="514"/>
      <c r="AC25" s="514"/>
      <c r="AD25" s="514"/>
      <c r="AE25" s="514"/>
      <c r="AI25" s="514">
        <f>+AI13/AG13-1</f>
        <v>9.3530191275299046E-2</v>
      </c>
      <c r="AJ25" s="514">
        <f t="shared" si="90"/>
        <v>6.5712914256857102E-2</v>
      </c>
      <c r="AK25" s="514">
        <f t="shared" si="91"/>
        <v>-7.7748356433687715E-2</v>
      </c>
      <c r="AL25" s="514">
        <f t="shared" si="92"/>
        <v>-4.6357323275861728E-2</v>
      </c>
      <c r="AM25" s="514">
        <f t="shared" si="93"/>
        <v>-3.6363985215414285E-2</v>
      </c>
      <c r="AN25" s="514">
        <f t="shared" si="94"/>
        <v>7.2093787226961137E-3</v>
      </c>
      <c r="AO25" s="514">
        <f t="shared" si="95"/>
        <v>3.8719299303848986E-2</v>
      </c>
      <c r="AP25" s="514">
        <f t="shared" si="95"/>
        <v>6.3581441222831492E-2</v>
      </c>
      <c r="AQ25" s="514"/>
      <c r="AR25" s="514"/>
      <c r="AU25" s="514">
        <f t="shared" si="96"/>
        <v>-0.12828843629340003</v>
      </c>
      <c r="AV25" s="514">
        <f t="shared" si="96"/>
        <v>1.3545847054090565E-2</v>
      </c>
      <c r="AW25" s="514">
        <f t="shared" ref="AW25" si="101">+AW13/AV13-1</f>
        <v>8.0439253501527253E-2</v>
      </c>
      <c r="AX25" s="514">
        <f t="shared" si="98"/>
        <v>-5.5366161521784973E-2</v>
      </c>
      <c r="AY25" s="514">
        <f t="shared" si="99"/>
        <v>-1.5074694042145231E-2</v>
      </c>
      <c r="AZ25" s="514">
        <f t="shared" si="100"/>
        <v>5.1343335610418928E-2</v>
      </c>
      <c r="BA25" s="514"/>
    </row>
    <row r="26" spans="1:54">
      <c r="A26" s="341" t="str">
        <f>+A14</f>
        <v xml:space="preserve">Gross Revenue </v>
      </c>
      <c r="N26" s="344">
        <f t="shared" si="78"/>
        <v>4.4941459897803355</v>
      </c>
      <c r="O26" s="344">
        <f t="shared" si="78"/>
        <v>2.8487402132644712</v>
      </c>
      <c r="P26" s="344">
        <f t="shared" si="79"/>
        <v>1.9111047792863931</v>
      </c>
      <c r="Q26" s="344">
        <f t="shared" si="80"/>
        <v>1.9818008967190184</v>
      </c>
      <c r="R26" s="344">
        <f t="shared" si="81"/>
        <v>1.6235775947322391</v>
      </c>
      <c r="S26" s="344">
        <f t="shared" si="82"/>
        <v>0.25588850061026491</v>
      </c>
      <c r="T26" s="344">
        <f t="shared" si="82"/>
        <v>0.50699308975297463</v>
      </c>
      <c r="U26" s="344">
        <f t="shared" ref="U26" si="102">+U14/Q14-1</f>
        <v>0.39658437735190266</v>
      </c>
      <c r="V26" s="344">
        <f t="shared" si="85"/>
        <v>0.75640056743143869</v>
      </c>
      <c r="W26" s="344">
        <f t="shared" si="86"/>
        <v>1.4521639818070931</v>
      </c>
      <c r="X26" s="344">
        <f t="shared" si="87"/>
        <v>0.89959942709919893</v>
      </c>
      <c r="Y26" s="344">
        <f t="shared" si="88"/>
        <v>0.8358718076324636</v>
      </c>
      <c r="Z26" s="344">
        <f t="shared" si="88"/>
        <v>0.87446695364546811</v>
      </c>
      <c r="AA26" s="344">
        <f t="shared" si="89"/>
        <v>0.56347381317140521</v>
      </c>
      <c r="AB26" s="344">
        <f t="shared" ref="AB26" si="103">+AB14/X14-1</f>
        <v>0.2559412357497699</v>
      </c>
      <c r="AC26" s="344">
        <f t="shared" ref="AC26" si="104">+AC14/Y14-1</f>
        <v>0.22580893072222707</v>
      </c>
      <c r="AD26" s="344">
        <f t="shared" ref="AD26" si="105">+AD14/Z14-1</f>
        <v>0.1782145525004053</v>
      </c>
      <c r="AE26" s="344">
        <f t="shared" ref="AE26" si="106">+AE14/AA14-1</f>
        <v>0.15580772115204322</v>
      </c>
      <c r="AI26" s="344">
        <f>+AI14/AG14-1</f>
        <v>5.0800278634906624</v>
      </c>
      <c r="AJ26" s="344">
        <f t="shared" si="90"/>
        <v>3.3045224058750406</v>
      </c>
      <c r="AK26" s="344">
        <f t="shared" si="91"/>
        <v>1.9574113324805174</v>
      </c>
      <c r="AL26" s="344">
        <f t="shared" si="92"/>
        <v>0.73944468505018501</v>
      </c>
      <c r="AM26" s="344">
        <f t="shared" si="93"/>
        <v>0.43407804516062742</v>
      </c>
      <c r="AN26" s="344">
        <f t="shared" si="94"/>
        <v>1.0811379023455454</v>
      </c>
      <c r="AO26" s="344">
        <f t="shared" si="95"/>
        <v>0.85861339376808221</v>
      </c>
      <c r="AP26" s="344">
        <f t="shared" si="95"/>
        <v>0.70343782067544525</v>
      </c>
      <c r="AQ26" s="344">
        <f t="shared" ref="AQ26" si="107">+AQ14/AO14-1</f>
        <v>0.23679894808355928</v>
      </c>
      <c r="AR26" s="344">
        <f t="shared" ref="AR26" si="108">+AR14/AP14-1</f>
        <v>0.16690451472269441</v>
      </c>
      <c r="AU26" s="344">
        <f t="shared" si="96"/>
        <v>10.570454209570428</v>
      </c>
      <c r="AV26" s="344">
        <f t="shared" si="96"/>
        <v>2.6755436278201996</v>
      </c>
      <c r="AW26" s="344">
        <f t="shared" ref="AW26" si="109">+AW14/AV14-1</f>
        <v>3.8862573678643937</v>
      </c>
      <c r="AX26" s="344">
        <f t="shared" si="98"/>
        <v>1.2365539038252553</v>
      </c>
      <c r="AY26" s="344">
        <f t="shared" si="99"/>
        <v>0.73192261933523106</v>
      </c>
      <c r="AZ26" s="344">
        <f t="shared" ref="AZ26" si="110">+AZ14/AY14-1</f>
        <v>0.77278302707381585</v>
      </c>
      <c r="BA26" s="344">
        <f t="shared" ref="BA26" si="111">+BA14/AZ14-1</f>
        <v>0.19965133625542975</v>
      </c>
    </row>
    <row r="27" spans="1:54">
      <c r="D27" s="355"/>
      <c r="E27" s="355"/>
      <c r="F27" s="355"/>
      <c r="G27" s="355"/>
      <c r="H27" s="355"/>
      <c r="I27" s="355"/>
      <c r="J27" s="355"/>
      <c r="K27" s="506"/>
      <c r="L27" s="506"/>
      <c r="M27" s="506"/>
      <c r="N27" s="506"/>
      <c r="O27" s="506"/>
      <c r="P27" s="506"/>
      <c r="Q27" s="506"/>
      <c r="R27" s="506"/>
      <c r="S27" s="506"/>
      <c r="T27" s="506"/>
      <c r="U27" s="506"/>
      <c r="V27" s="506"/>
      <c r="W27" s="506"/>
      <c r="X27" s="506"/>
      <c r="Y27" s="506"/>
      <c r="Z27" s="506"/>
      <c r="AA27" s="506"/>
      <c r="AB27" s="506"/>
      <c r="AC27" s="506"/>
      <c r="AD27" s="506"/>
      <c r="AE27" s="506"/>
      <c r="AG27" s="355"/>
      <c r="AH27" s="355"/>
      <c r="AI27" s="355"/>
      <c r="AJ27" s="355"/>
      <c r="AK27" s="355"/>
      <c r="AL27" s="355"/>
      <c r="AM27" s="355"/>
      <c r="AN27" s="355"/>
      <c r="AO27" s="355"/>
      <c r="AP27" s="355"/>
      <c r="AQ27" s="355"/>
      <c r="AR27" s="355"/>
      <c r="AS27" s="355"/>
      <c r="AT27" s="355"/>
      <c r="AU27" s="355"/>
      <c r="AV27" s="355"/>
      <c r="AW27" s="355"/>
      <c r="AX27" s="355"/>
      <c r="AY27" s="355"/>
      <c r="AZ27" s="355"/>
      <c r="BA27" s="355"/>
      <c r="BB27" s="355"/>
    </row>
    <row r="28" spans="1:54">
      <c r="A28" s="336" t="s">
        <v>226</v>
      </c>
    </row>
    <row r="29" spans="1:54">
      <c r="A29" s="338" t="str">
        <f>+A23</f>
        <v>Unique Website Visits ('000s)</v>
      </c>
      <c r="K29" s="511"/>
      <c r="N29" s="344"/>
      <c r="O29" s="344"/>
      <c r="P29" s="344"/>
      <c r="Q29" s="344"/>
      <c r="R29" s="344">
        <f t="shared" ref="R29" si="112">+R23+N23</f>
        <v>5.9444444444444446</v>
      </c>
      <c r="S29" s="344">
        <f t="shared" ref="S29" si="113">+S23+O23</f>
        <v>2.7396522160783423</v>
      </c>
      <c r="T29" s="344"/>
      <c r="U29" s="344"/>
      <c r="V29" s="344"/>
      <c r="W29" s="344"/>
      <c r="X29" s="344"/>
      <c r="Y29" s="344"/>
      <c r="Z29" s="344"/>
      <c r="AA29" s="344"/>
      <c r="AB29" s="344"/>
      <c r="AC29" s="344"/>
      <c r="AD29" s="344"/>
      <c r="AE29" s="344"/>
      <c r="AI29" s="344"/>
      <c r="AJ29" s="344"/>
      <c r="AK29" s="344">
        <f>+AK23+AI23</f>
        <v>6.0369483407458091</v>
      </c>
      <c r="AL29" s="344">
        <f>+AL23+AJ23</f>
        <v>4.0617334601527908</v>
      </c>
      <c r="AM29" s="344"/>
      <c r="AN29" s="344"/>
      <c r="AO29" s="344"/>
      <c r="AP29" s="344"/>
      <c r="AQ29" s="344"/>
      <c r="AR29" s="344"/>
      <c r="AU29" s="344"/>
      <c r="AV29" s="344">
        <f t="shared" ref="AV29:AW29" si="114">+AV23+AU23</f>
        <v>8.3593429697766091</v>
      </c>
      <c r="AW29" s="344">
        <f t="shared" si="114"/>
        <v>4.1628550623107845</v>
      </c>
      <c r="AX29" s="344">
        <f>+AX23+AW23</f>
        <v>4.8710321843826243</v>
      </c>
      <c r="AY29" s="344"/>
      <c r="AZ29" s="344"/>
      <c r="BA29" s="344"/>
    </row>
    <row r="30" spans="1:54">
      <c r="A30" s="338" t="str">
        <f t="shared" ref="A30:A32" si="115">+A24</f>
        <v>Number of Orders (#)</v>
      </c>
      <c r="N30" s="344"/>
      <c r="O30" s="344"/>
      <c r="P30" s="344"/>
      <c r="Q30" s="344"/>
      <c r="R30" s="344">
        <f t="shared" ref="R30:U30" si="116">+R24+N24</f>
        <v>6.1040831161706217</v>
      </c>
      <c r="S30" s="344">
        <f t="shared" si="116"/>
        <v>2.8871866262953514</v>
      </c>
      <c r="T30" s="344">
        <f t="shared" si="116"/>
        <v>2.6197345453005374</v>
      </c>
      <c r="U30" s="344">
        <f t="shared" si="116"/>
        <v>2.7461570741027952</v>
      </c>
      <c r="V30" s="344">
        <f>+V24+R24</f>
        <v>2.5114359834480497</v>
      </c>
      <c r="W30" s="344">
        <f t="shared" ref="W30:W32" si="117">+W24+S24</f>
        <v>1.718432102765642</v>
      </c>
      <c r="X30" s="344">
        <f t="shared" ref="X30:X31" si="118">+X24+T24</f>
        <v>1.5933379518851158</v>
      </c>
      <c r="Y30" s="344">
        <f t="shared" ref="Y30:Z32" si="119">+Y24+U24</f>
        <v>1.1068891139639323</v>
      </c>
      <c r="Z30" s="344">
        <f t="shared" si="119"/>
        <v>1.5189995930857636</v>
      </c>
      <c r="AA30" s="344">
        <f t="shared" ref="AA30:AA32" si="120">+AA24+W24</f>
        <v>1.8749145365195299</v>
      </c>
      <c r="AB30" s="344"/>
      <c r="AC30" s="344"/>
      <c r="AD30" s="344"/>
      <c r="AE30" s="344"/>
      <c r="AI30" s="344"/>
      <c r="AJ30" s="344"/>
      <c r="AK30" s="344">
        <f t="shared" ref="AK30:AL30" si="121">+AK24+AI24</f>
        <v>6.7667292621396902</v>
      </c>
      <c r="AL30" s="344">
        <f t="shared" si="121"/>
        <v>3.8631017534097367</v>
      </c>
      <c r="AM30" s="344">
        <f t="shared" ref="AM30:AM32" si="122">+AM24+AK24</f>
        <v>2.6949239986981883</v>
      </c>
      <c r="AN30" s="344">
        <f t="shared" ref="AN30:AN32" si="123">+AN24+AL24</f>
        <v>1.8902420484578448</v>
      </c>
      <c r="AO30" s="344">
        <f t="shared" ref="AO30:AP32" si="124">+AO24+AM24</f>
        <v>1.277526459781247</v>
      </c>
      <c r="AP30" s="344">
        <f t="shared" si="124"/>
        <v>1.6678470228500319</v>
      </c>
      <c r="AQ30" s="344"/>
      <c r="AR30" s="344"/>
      <c r="AU30" s="344"/>
      <c r="AV30" s="344">
        <f t="shared" ref="AV30:AX30" si="125">+AV24+AU24</f>
        <v>12.388948587549205</v>
      </c>
      <c r="AW30" s="344">
        <f t="shared" si="125"/>
        <v>6.1500264145543078</v>
      </c>
      <c r="AX30" s="344">
        <f t="shared" si="125"/>
        <v>4.8934857699757082</v>
      </c>
      <c r="AY30" s="344">
        <f t="shared" ref="AY30:AY32" si="126">+AY24+AX24</f>
        <v>2.1260715235021395</v>
      </c>
      <c r="AZ30" s="344">
        <f t="shared" ref="AZ30:AZ31" si="127">+AZ24+AY24</f>
        <v>1.4446379289387064</v>
      </c>
      <c r="BA30" s="344"/>
    </row>
    <row r="31" spans="1:54" s="513" customFormat="1" ht="18.5">
      <c r="A31" s="338" t="str">
        <f t="shared" si="115"/>
        <v>AOV ($)</v>
      </c>
      <c r="N31" s="514"/>
      <c r="O31" s="514"/>
      <c r="P31" s="514"/>
      <c r="Q31" s="514"/>
      <c r="R31" s="514">
        <f t="shared" ref="R31:V31" si="128">+R25+N25</f>
        <v>-1.7299328427170635E-2</v>
      </c>
      <c r="S31" s="514">
        <f t="shared" si="128"/>
        <v>2.6890309912061205E-2</v>
      </c>
      <c r="T31" s="514">
        <f t="shared" si="128"/>
        <v>-0.10471941391495276</v>
      </c>
      <c r="U31" s="514">
        <f t="shared" si="128"/>
        <v>-0.11627460364312803</v>
      </c>
      <c r="V31" s="514">
        <f t="shared" si="128"/>
        <v>-5.2206248533147925E-2</v>
      </c>
      <c r="W31" s="514">
        <f t="shared" si="117"/>
        <v>-2.8588995745412182E-2</v>
      </c>
      <c r="X31" s="514">
        <f t="shared" si="118"/>
        <v>-0.1087671422249471</v>
      </c>
      <c r="Y31" s="514">
        <f t="shared" si="119"/>
        <v>7.2309914994002633E-2</v>
      </c>
      <c r="Z31" s="514">
        <f t="shared" si="119"/>
        <v>6.4472804780172144E-2</v>
      </c>
      <c r="AA31" s="514">
        <f t="shared" si="120"/>
        <v>7.8924270400415608E-2</v>
      </c>
      <c r="AB31" s="514"/>
      <c r="AC31" s="514"/>
      <c r="AD31" s="514"/>
      <c r="AE31" s="514"/>
      <c r="AI31" s="514"/>
      <c r="AJ31" s="514"/>
      <c r="AK31" s="514">
        <f t="shared" ref="AK31:AL31" si="129">+AK25+AI25</f>
        <v>1.5781834841611331E-2</v>
      </c>
      <c r="AL31" s="514">
        <f t="shared" si="129"/>
        <v>1.9355590980995374E-2</v>
      </c>
      <c r="AM31" s="514">
        <f t="shared" si="122"/>
        <v>-0.114112341649102</v>
      </c>
      <c r="AN31" s="514">
        <f t="shared" si="123"/>
        <v>-3.9147944553165615E-2</v>
      </c>
      <c r="AO31" s="514">
        <f t="shared" si="124"/>
        <v>2.3553140884347012E-3</v>
      </c>
      <c r="AP31" s="514">
        <f t="shared" si="124"/>
        <v>7.0790819945527605E-2</v>
      </c>
      <c r="AQ31" s="514"/>
      <c r="AR31" s="514"/>
      <c r="AU31" s="514"/>
      <c r="AV31" s="514">
        <f t="shared" ref="AV31:AX31" si="130">+AV25+AU25</f>
        <v>-0.11474258923930947</v>
      </c>
      <c r="AW31" s="514">
        <f t="shared" si="130"/>
        <v>9.3985100555617818E-2</v>
      </c>
      <c r="AX31" s="514">
        <f t="shared" si="130"/>
        <v>2.5073091979742279E-2</v>
      </c>
      <c r="AY31" s="514">
        <f t="shared" si="126"/>
        <v>-7.0440855563930205E-2</v>
      </c>
      <c r="AZ31" s="514">
        <f t="shared" si="127"/>
        <v>3.6268641568273696E-2</v>
      </c>
      <c r="BA31" s="514"/>
    </row>
    <row r="32" spans="1:54">
      <c r="A32" s="341" t="str">
        <f t="shared" si="115"/>
        <v xml:space="preserve">Gross Revenue </v>
      </c>
      <c r="N32" s="344"/>
      <c r="O32" s="344"/>
      <c r="P32" s="344"/>
      <c r="Q32" s="344"/>
      <c r="R32" s="344">
        <f t="shared" ref="R32:V32" si="131">+R26+N26</f>
        <v>6.117723584512575</v>
      </c>
      <c r="S32" s="344">
        <f t="shared" si="131"/>
        <v>3.1046287138747362</v>
      </c>
      <c r="T32" s="344">
        <f t="shared" si="131"/>
        <v>2.418097869039368</v>
      </c>
      <c r="U32" s="344">
        <f t="shared" si="131"/>
        <v>2.3783852740709213</v>
      </c>
      <c r="V32" s="344">
        <f t="shared" si="131"/>
        <v>2.3799781621636775</v>
      </c>
      <c r="W32" s="344">
        <f t="shared" si="117"/>
        <v>1.708052482417358</v>
      </c>
      <c r="X32" s="344">
        <f t="shared" ref="X32" si="132">+X26+T26</f>
        <v>1.4065925168521736</v>
      </c>
      <c r="Y32" s="344">
        <f t="shared" si="119"/>
        <v>1.2324561849843663</v>
      </c>
      <c r="Z32" s="344">
        <f t="shared" si="119"/>
        <v>1.6308675210769068</v>
      </c>
      <c r="AA32" s="344">
        <f t="shared" si="120"/>
        <v>2.015637794978498</v>
      </c>
      <c r="AB32" s="344">
        <f t="shared" ref="AB32" si="133">+AB26+X26</f>
        <v>1.1555406628489688</v>
      </c>
      <c r="AC32" s="344">
        <f t="shared" ref="AC32" si="134">+AC26+Y26</f>
        <v>1.0616807383546907</v>
      </c>
      <c r="AD32" s="344">
        <f t="shared" ref="AD32" si="135">+AD26+Z26</f>
        <v>1.0526815061458734</v>
      </c>
      <c r="AE32" s="344">
        <f t="shared" ref="AE32" si="136">+AE26+AA26</f>
        <v>0.71928153432344843</v>
      </c>
      <c r="AI32" s="344"/>
      <c r="AJ32" s="344"/>
      <c r="AK32" s="344">
        <f t="shared" ref="AK32:AL32" si="137">+AK26+AI26</f>
        <v>7.0374391959711797</v>
      </c>
      <c r="AL32" s="344">
        <f t="shared" si="137"/>
        <v>4.0439670909252259</v>
      </c>
      <c r="AM32" s="344">
        <f t="shared" si="122"/>
        <v>2.391489377641145</v>
      </c>
      <c r="AN32" s="344">
        <f t="shared" si="123"/>
        <v>1.8205825873957304</v>
      </c>
      <c r="AO32" s="344">
        <f t="shared" si="124"/>
        <v>1.2926914389287096</v>
      </c>
      <c r="AP32" s="344">
        <f t="shared" si="124"/>
        <v>1.7845757230209907</v>
      </c>
      <c r="AQ32" s="344">
        <f t="shared" ref="AQ32" si="138">+AQ26+AO26</f>
        <v>1.0954123418516415</v>
      </c>
      <c r="AR32" s="344">
        <f t="shared" ref="AR32" si="139">+AR26+AP26</f>
        <v>0.87034233539813965</v>
      </c>
      <c r="AU32" s="344"/>
      <c r="AV32" s="344">
        <f t="shared" ref="AV32:AX32" si="140">+AV26+AU26</f>
        <v>13.245997837390629</v>
      </c>
      <c r="AW32" s="344">
        <f t="shared" si="140"/>
        <v>6.5618009956845933</v>
      </c>
      <c r="AX32" s="344">
        <f t="shared" si="140"/>
        <v>5.122811271689649</v>
      </c>
      <c r="AY32" s="344">
        <f t="shared" si="126"/>
        <v>1.9684765231604864</v>
      </c>
      <c r="AZ32" s="344">
        <f t="shared" ref="AZ32" si="141">+AZ26+AY26</f>
        <v>1.5047056464090469</v>
      </c>
      <c r="BA32" s="344">
        <f t="shared" ref="BA32" si="142">+BA26+AZ26</f>
        <v>0.9724343633292456</v>
      </c>
    </row>
    <row r="33" spans="1:54">
      <c r="D33" s="355"/>
      <c r="E33" s="355"/>
      <c r="F33" s="355"/>
      <c r="G33" s="355"/>
      <c r="H33" s="355"/>
      <c r="I33" s="355"/>
      <c r="J33" s="355"/>
      <c r="K33" s="506"/>
      <c r="L33" s="506"/>
      <c r="M33" s="506"/>
      <c r="N33" s="506"/>
      <c r="O33" s="506"/>
      <c r="P33" s="506"/>
      <c r="Q33" s="506"/>
      <c r="R33" s="506"/>
      <c r="S33" s="506"/>
      <c r="T33" s="506"/>
      <c r="U33" s="506"/>
      <c r="V33" s="506"/>
      <c r="W33" s="506"/>
      <c r="X33" s="506"/>
      <c r="Y33" s="506"/>
      <c r="Z33" s="506"/>
      <c r="AA33" s="506"/>
      <c r="AB33" s="506"/>
      <c r="AC33" s="506"/>
      <c r="AD33" s="506"/>
      <c r="AE33" s="506"/>
      <c r="AG33" s="355"/>
      <c r="AH33" s="355"/>
      <c r="AI33" s="355"/>
      <c r="AJ33" s="355"/>
      <c r="AK33" s="355"/>
      <c r="AL33" s="355"/>
      <c r="AM33" s="355"/>
      <c r="AN33" s="355"/>
      <c r="AO33" s="355"/>
      <c r="AP33" s="355"/>
      <c r="AQ33" s="355"/>
      <c r="AR33" s="355"/>
      <c r="AS33" s="355"/>
      <c r="AT33" s="355"/>
      <c r="AU33" s="355"/>
      <c r="AV33" s="355"/>
      <c r="AW33" s="355"/>
      <c r="AX33" s="355"/>
      <c r="AY33" s="355"/>
      <c r="AZ33" s="355"/>
      <c r="BA33" s="355"/>
      <c r="BB33" s="355"/>
    </row>
    <row r="34" spans="1:54" ht="18.5" hidden="1" outlineLevel="1">
      <c r="A34" s="336" t="s">
        <v>227</v>
      </c>
      <c r="L34" s="515" t="s">
        <v>228</v>
      </c>
      <c r="M34" s="337"/>
      <c r="N34" s="516"/>
      <c r="O34" s="337"/>
      <c r="P34" s="515" t="s">
        <v>228</v>
      </c>
      <c r="Q34" s="337"/>
      <c r="R34" s="516"/>
    </row>
    <row r="35" spans="1:54" hidden="1" outlineLevel="1">
      <c r="A35" s="338" t="s">
        <v>229</v>
      </c>
      <c r="L35" s="517">
        <v>3.1</v>
      </c>
      <c r="M35" s="518"/>
      <c r="N35" s="518"/>
      <c r="O35" s="518"/>
      <c r="P35" s="517">
        <v>10.4</v>
      </c>
      <c r="Q35" s="337"/>
      <c r="R35" s="519"/>
    </row>
    <row r="36" spans="1:54" hidden="1" outlineLevel="1">
      <c r="A36" s="338" t="s">
        <v>230</v>
      </c>
      <c r="L36" s="520">
        <v>1.11E-2</v>
      </c>
      <c r="M36" s="518"/>
      <c r="N36" s="518"/>
      <c r="O36" s="518"/>
      <c r="P36" s="520">
        <v>1.03E-2</v>
      </c>
      <c r="Q36" s="337"/>
      <c r="R36" s="337"/>
    </row>
    <row r="37" spans="1:54" hidden="1" outlineLevel="1">
      <c r="A37" s="338" t="s">
        <v>231</v>
      </c>
      <c r="L37" s="521">
        <v>34884</v>
      </c>
      <c r="M37" s="518"/>
      <c r="N37" s="518"/>
      <c r="O37" s="518"/>
      <c r="P37" s="521">
        <v>107676</v>
      </c>
      <c r="Q37" s="337"/>
      <c r="R37" s="337"/>
    </row>
    <row r="38" spans="1:54" hidden="1" outlineLevel="1">
      <c r="A38" s="338" t="s">
        <v>232</v>
      </c>
      <c r="L38" s="521">
        <f>789*'Detailed Disclosures - USD'!F299</f>
        <v>563.85992522571883</v>
      </c>
      <c r="M38" s="518"/>
      <c r="N38" s="518"/>
      <c r="O38" s="518"/>
      <c r="P38" s="521">
        <f>734*'Detailed Disclosures - USD'!J299</f>
        <v>539.29727156853608</v>
      </c>
      <c r="Q38" s="337"/>
      <c r="R38" s="337"/>
    </row>
    <row r="39" spans="1:54" hidden="1" outlineLevel="1">
      <c r="A39" s="338" t="s">
        <v>233</v>
      </c>
      <c r="L39" s="517">
        <f>27.8*'Detailed Disclosures - USD'!F299</f>
        <v>19.867307885012654</v>
      </c>
      <c r="M39" s="518"/>
      <c r="N39" s="518"/>
      <c r="O39" s="518"/>
      <c r="P39" s="517">
        <f>78.9*'Detailed Disclosures - USD'!J299</f>
        <v>57.970783006481611</v>
      </c>
      <c r="Q39" s="337"/>
      <c r="R39" s="337"/>
    </row>
    <row r="40" spans="1:54" hidden="1" outlineLevel="1">
      <c r="A40" s="338" t="s">
        <v>234</v>
      </c>
      <c r="L40" s="517">
        <f>21.3*'Detailed Disclosures - USD'!F299</f>
        <v>15.222074027006098</v>
      </c>
      <c r="M40" s="518"/>
      <c r="N40" s="518"/>
      <c r="O40" s="518"/>
      <c r="P40" s="517">
        <f>57.8*'Detailed Disclosures - USD'!J299</f>
        <v>42.467823292454206</v>
      </c>
      <c r="Q40" s="337"/>
      <c r="R40" s="337"/>
    </row>
    <row r="41" spans="1:54" hidden="1" outlineLevel="1">
      <c r="A41" s="338"/>
      <c r="L41" s="337"/>
      <c r="M41" s="337"/>
      <c r="N41" s="337"/>
      <c r="O41" s="337"/>
      <c r="P41" s="337"/>
      <c r="Q41" s="337"/>
      <c r="R41" s="337"/>
    </row>
    <row r="42" spans="1:54" hidden="1" outlineLevel="1">
      <c r="A42" s="347" t="s">
        <v>225</v>
      </c>
      <c r="L42" s="337"/>
      <c r="M42" s="337"/>
      <c r="N42" s="337"/>
      <c r="O42" s="337"/>
      <c r="P42" s="337"/>
      <c r="Q42" s="337"/>
      <c r="R42" s="337"/>
    </row>
    <row r="43" spans="1:54" hidden="1" outlineLevel="1">
      <c r="A43" s="341" t="str">
        <f>+A35</f>
        <v>Unique Website Visits (mm)</v>
      </c>
      <c r="K43" s="511"/>
      <c r="L43" s="337"/>
      <c r="M43" s="337"/>
      <c r="N43" s="344"/>
      <c r="O43" s="344"/>
      <c r="P43" s="344">
        <f t="shared" ref="P43:P48" si="143">+P35/L35-1</f>
        <v>2.3548387096774195</v>
      </c>
      <c r="Q43" s="522"/>
      <c r="R43" s="522"/>
      <c r="S43" s="522"/>
      <c r="T43" s="522"/>
      <c r="U43" s="522"/>
      <c r="V43" s="522"/>
      <c r="W43" s="522"/>
      <c r="X43" s="522"/>
      <c r="Y43" s="522"/>
      <c r="Z43" s="522"/>
      <c r="AA43" s="522"/>
      <c r="AB43" s="522"/>
      <c r="AC43" s="522"/>
      <c r="AD43" s="522"/>
      <c r="AE43" s="522"/>
      <c r="AI43" s="344"/>
      <c r="AJ43" s="344"/>
      <c r="AK43" s="344"/>
      <c r="AL43" s="344"/>
      <c r="AM43" s="344"/>
      <c r="AN43" s="344"/>
      <c r="AO43" s="344"/>
      <c r="AP43" s="344"/>
      <c r="AQ43" s="344"/>
      <c r="AR43" s="344"/>
      <c r="AU43" s="344"/>
      <c r="AV43" s="344"/>
      <c r="AW43" s="344"/>
      <c r="AX43" s="344"/>
      <c r="AY43" s="344"/>
      <c r="AZ43" s="344"/>
      <c r="BA43" s="344"/>
    </row>
    <row r="44" spans="1:54" hidden="1" outlineLevel="2">
      <c r="A44" s="341" t="str">
        <f t="shared" ref="A44:A48" si="144">+A36</f>
        <v>Conversion Rate %</v>
      </c>
      <c r="K44" s="511"/>
      <c r="L44" s="337"/>
      <c r="M44" s="337"/>
      <c r="N44" s="344"/>
      <c r="O44" s="344"/>
      <c r="P44" s="344">
        <f t="shared" si="143"/>
        <v>-7.2072072072072113E-2</v>
      </c>
      <c r="Q44" s="522"/>
      <c r="R44" s="522"/>
      <c r="S44" s="522"/>
      <c r="T44" s="522"/>
      <c r="U44" s="522"/>
      <c r="V44" s="522"/>
      <c r="W44" s="522"/>
      <c r="X44" s="522"/>
      <c r="Y44" s="522"/>
      <c r="Z44" s="522"/>
      <c r="AA44" s="522"/>
      <c r="AB44" s="522"/>
      <c r="AC44" s="522"/>
      <c r="AD44" s="522"/>
      <c r="AE44" s="522"/>
      <c r="AI44" s="344"/>
      <c r="AJ44" s="344"/>
      <c r="AK44" s="344"/>
      <c r="AL44" s="344"/>
      <c r="AM44" s="344"/>
      <c r="AN44" s="344"/>
      <c r="AO44" s="344"/>
      <c r="AP44" s="344"/>
      <c r="AQ44" s="344"/>
      <c r="AR44" s="344"/>
      <c r="AU44" s="344"/>
      <c r="AV44" s="344"/>
      <c r="AW44" s="344"/>
      <c r="AX44" s="344"/>
      <c r="AY44" s="344"/>
      <c r="AZ44" s="344"/>
      <c r="BA44" s="344"/>
    </row>
    <row r="45" spans="1:54" hidden="1" outlineLevel="1" collapsed="1">
      <c r="A45" s="341" t="str">
        <f t="shared" si="144"/>
        <v>Orders  (#)</v>
      </c>
      <c r="K45" s="511"/>
      <c r="L45" s="337"/>
      <c r="M45" s="337"/>
      <c r="N45" s="344"/>
      <c r="O45" s="344"/>
      <c r="P45" s="344">
        <f t="shared" si="143"/>
        <v>2.0866873065015481</v>
      </c>
      <c r="Q45" s="522"/>
      <c r="R45" s="522"/>
      <c r="S45" s="522"/>
      <c r="T45" s="522"/>
      <c r="U45" s="522"/>
      <c r="V45" s="522"/>
      <c r="W45" s="522"/>
      <c r="X45" s="522"/>
      <c r="Y45" s="522"/>
      <c r="Z45" s="522"/>
      <c r="AA45" s="522"/>
      <c r="AB45" s="522"/>
      <c r="AC45" s="522"/>
      <c r="AD45" s="522"/>
      <c r="AE45" s="522"/>
      <c r="AI45" s="344"/>
      <c r="AJ45" s="344"/>
      <c r="AK45" s="344"/>
      <c r="AL45" s="344"/>
      <c r="AM45" s="344"/>
      <c r="AN45" s="344"/>
      <c r="AO45" s="344"/>
      <c r="AP45" s="344"/>
      <c r="AQ45" s="344"/>
      <c r="AR45" s="344"/>
      <c r="AU45" s="344"/>
      <c r="AV45" s="344"/>
      <c r="AW45" s="344"/>
      <c r="AX45" s="344"/>
      <c r="AY45" s="344"/>
      <c r="AZ45" s="344"/>
      <c r="BA45" s="344"/>
    </row>
    <row r="46" spans="1:54" hidden="1" outlineLevel="1">
      <c r="A46" s="341" t="str">
        <f t="shared" si="144"/>
        <v>AOV (USD converted)</v>
      </c>
      <c r="K46" s="511"/>
      <c r="L46" s="337"/>
      <c r="M46" s="337"/>
      <c r="N46" s="344"/>
      <c r="O46" s="344"/>
      <c r="P46" s="344">
        <f t="shared" si="143"/>
        <v>-4.3561623300946706E-2</v>
      </c>
      <c r="Q46" s="522"/>
      <c r="R46" s="522"/>
      <c r="S46" s="522"/>
      <c r="T46" s="522"/>
      <c r="U46" s="522"/>
      <c r="V46" s="522"/>
      <c r="W46" s="522"/>
      <c r="X46" s="522"/>
      <c r="Y46" s="522"/>
      <c r="Z46" s="522"/>
      <c r="AA46" s="522"/>
      <c r="AB46" s="522"/>
      <c r="AC46" s="522"/>
      <c r="AD46" s="522"/>
      <c r="AE46" s="522"/>
      <c r="AI46" s="344"/>
      <c r="AJ46" s="344"/>
      <c r="AK46" s="344"/>
      <c r="AL46" s="344"/>
      <c r="AM46" s="344"/>
      <c r="AN46" s="344"/>
      <c r="AO46" s="344"/>
      <c r="AP46" s="344"/>
      <c r="AQ46" s="344"/>
      <c r="AR46" s="344"/>
      <c r="AU46" s="344"/>
      <c r="AV46" s="344"/>
      <c r="AW46" s="344"/>
      <c r="AX46" s="344"/>
      <c r="AY46" s="344"/>
      <c r="AZ46" s="344"/>
      <c r="BA46" s="344"/>
    </row>
    <row r="47" spans="1:54" hidden="1" outlineLevel="1">
      <c r="A47" s="341" t="str">
        <f t="shared" si="144"/>
        <v>Gross Revenue (USD mm, converted)</v>
      </c>
      <c r="K47" s="511"/>
      <c r="L47" s="337"/>
      <c r="M47" s="337"/>
      <c r="N47" s="344"/>
      <c r="O47" s="344"/>
      <c r="P47" s="344">
        <f t="shared" si="143"/>
        <v>1.9178982548618557</v>
      </c>
      <c r="Q47" s="522"/>
      <c r="R47" s="522"/>
      <c r="S47" s="522"/>
      <c r="T47" s="522"/>
      <c r="U47" s="522"/>
      <c r="V47" s="522"/>
      <c r="W47" s="522"/>
      <c r="X47" s="522"/>
      <c r="Y47" s="522"/>
      <c r="Z47" s="522"/>
      <c r="AA47" s="522"/>
      <c r="AB47" s="522"/>
      <c r="AC47" s="522"/>
      <c r="AD47" s="522"/>
      <c r="AE47" s="522"/>
      <c r="AI47" s="344"/>
      <c r="AJ47" s="344"/>
      <c r="AK47" s="344"/>
      <c r="AL47" s="344"/>
      <c r="AM47" s="344"/>
      <c r="AN47" s="344"/>
      <c r="AO47" s="344"/>
      <c r="AP47" s="344"/>
      <c r="AQ47" s="344"/>
      <c r="AR47" s="344"/>
      <c r="AU47" s="344"/>
      <c r="AV47" s="344"/>
      <c r="AW47" s="344"/>
      <c r="AX47" s="344"/>
      <c r="AY47" s="344"/>
      <c r="AZ47" s="344"/>
      <c r="BA47" s="344"/>
    </row>
    <row r="48" spans="1:54" hidden="1" outlineLevel="1">
      <c r="A48" s="341" t="str">
        <f t="shared" si="144"/>
        <v>Sales Revenue (USD mm, converted)</v>
      </c>
      <c r="K48" s="511"/>
      <c r="L48" s="337"/>
      <c r="M48" s="337"/>
      <c r="N48" s="344"/>
      <c r="O48" s="344"/>
      <c r="P48" s="344">
        <f t="shared" si="143"/>
        <v>1.7898841653975879</v>
      </c>
      <c r="Q48" s="522"/>
      <c r="R48" s="522"/>
      <c r="S48" s="522"/>
      <c r="T48" s="522"/>
      <c r="U48" s="522"/>
      <c r="V48" s="522"/>
      <c r="W48" s="522"/>
      <c r="X48" s="522"/>
      <c r="Y48" s="522"/>
      <c r="Z48" s="522"/>
      <c r="AA48" s="522"/>
      <c r="AB48" s="522"/>
      <c r="AC48" s="522"/>
      <c r="AD48" s="522"/>
      <c r="AE48" s="522"/>
      <c r="AI48" s="344"/>
      <c r="AJ48" s="344"/>
      <c r="AK48" s="344"/>
      <c r="AL48" s="344"/>
      <c r="AM48" s="344"/>
      <c r="AN48" s="344"/>
      <c r="AO48" s="344"/>
      <c r="AP48" s="344"/>
      <c r="AQ48" s="344"/>
      <c r="AR48" s="344"/>
      <c r="AU48" s="344"/>
      <c r="AV48" s="344"/>
      <c r="AW48" s="344"/>
      <c r="AX48" s="344"/>
      <c r="AY48" s="344"/>
      <c r="AZ48" s="344"/>
      <c r="BA48" s="344"/>
    </row>
    <row r="49" spans="1:54" hidden="1" outlineLevel="1">
      <c r="D49" s="355"/>
      <c r="E49" s="355"/>
      <c r="F49" s="355"/>
      <c r="G49" s="355"/>
      <c r="H49" s="355"/>
      <c r="I49" s="355"/>
      <c r="J49" s="355"/>
      <c r="K49" s="506"/>
      <c r="L49" s="523"/>
      <c r="M49" s="523"/>
      <c r="N49" s="523"/>
      <c r="O49" s="523"/>
      <c r="P49" s="523"/>
      <c r="Q49" s="523"/>
      <c r="R49" s="523"/>
      <c r="S49" s="506"/>
      <c r="T49" s="506"/>
      <c r="U49" s="506"/>
      <c r="V49" s="506"/>
      <c r="W49" s="506"/>
      <c r="X49" s="506"/>
      <c r="Y49" s="506"/>
      <c r="Z49" s="506"/>
      <c r="AA49" s="506"/>
      <c r="AB49" s="506"/>
      <c r="AC49" s="506"/>
      <c r="AD49" s="506"/>
      <c r="AE49" s="506"/>
      <c r="AG49" s="355"/>
      <c r="AH49" s="355"/>
      <c r="AI49" s="355"/>
      <c r="AJ49" s="355"/>
      <c r="AK49" s="355"/>
      <c r="AL49" s="355"/>
      <c r="AM49" s="355"/>
      <c r="AN49" s="355"/>
      <c r="AO49" s="355"/>
      <c r="AP49" s="355"/>
      <c r="AQ49" s="355"/>
      <c r="AR49" s="355"/>
      <c r="AS49" s="355"/>
      <c r="AT49" s="355"/>
      <c r="AU49" s="355"/>
      <c r="AV49" s="355"/>
      <c r="AW49" s="355"/>
      <c r="AX49" s="355"/>
      <c r="AY49" s="355"/>
      <c r="AZ49" s="355"/>
      <c r="BA49" s="355"/>
      <c r="BB49" s="355"/>
    </row>
    <row r="50" spans="1:54" collapsed="1">
      <c r="A50" s="353" t="s">
        <v>235</v>
      </c>
      <c r="B50" s="354"/>
      <c r="D50" s="355"/>
      <c r="E50" s="355"/>
      <c r="F50" s="355"/>
      <c r="G50" s="355"/>
      <c r="H50" s="355"/>
      <c r="I50" s="355"/>
      <c r="J50" s="355"/>
      <c r="K50" s="506"/>
      <c r="L50" s="523"/>
      <c r="M50" s="523"/>
      <c r="N50" s="523"/>
      <c r="O50" s="523"/>
      <c r="P50" s="523"/>
      <c r="Q50" s="523"/>
      <c r="R50" s="523"/>
      <c r="S50" s="506"/>
      <c r="T50" s="506"/>
      <c r="U50" s="506"/>
      <c r="V50" s="506"/>
      <c r="W50" s="506"/>
      <c r="X50" s="506"/>
      <c r="Y50" s="506"/>
      <c r="Z50" s="506"/>
      <c r="AA50" s="506"/>
      <c r="AB50" s="506"/>
      <c r="AC50" s="506"/>
      <c r="AD50" s="506"/>
      <c r="AE50" s="506"/>
      <c r="AG50" s="355"/>
      <c r="AH50" s="355"/>
      <c r="AI50" s="355"/>
      <c r="AJ50" s="355"/>
      <c r="AK50" s="355"/>
      <c r="AL50" s="355"/>
      <c r="AM50" s="355"/>
      <c r="AN50" s="355"/>
      <c r="AO50" s="355"/>
      <c r="AP50" s="355"/>
      <c r="AQ50" s="355"/>
      <c r="AR50" s="355"/>
      <c r="AS50" s="355"/>
      <c r="AT50" s="355"/>
      <c r="AU50" s="355"/>
      <c r="AV50" s="355"/>
      <c r="AW50" s="355"/>
      <c r="AX50" s="355"/>
      <c r="AY50" s="355"/>
      <c r="AZ50" s="355"/>
      <c r="BA50" s="355"/>
      <c r="BB50" s="355"/>
    </row>
    <row r="51" spans="1:54">
      <c r="D51" s="355"/>
      <c r="E51" s="355"/>
      <c r="F51" s="355"/>
      <c r="G51" s="355"/>
      <c r="H51" s="355"/>
      <c r="I51" s="355"/>
      <c r="J51" s="355"/>
      <c r="K51" s="506"/>
      <c r="L51" s="506"/>
      <c r="M51" s="506"/>
      <c r="N51" s="506"/>
      <c r="O51" s="506"/>
      <c r="P51" s="506"/>
      <c r="Q51" s="506"/>
      <c r="R51" s="506"/>
      <c r="S51" s="506"/>
      <c r="T51" s="506"/>
      <c r="U51" s="506"/>
      <c r="V51" s="506"/>
      <c r="W51" s="506"/>
      <c r="X51" s="506"/>
      <c r="Y51" s="506"/>
      <c r="Z51" s="506"/>
      <c r="AA51" s="506"/>
      <c r="AB51" s="506"/>
      <c r="AC51" s="506"/>
      <c r="AD51" s="506"/>
      <c r="AE51" s="506"/>
      <c r="AG51" s="355"/>
      <c r="AH51" s="355"/>
      <c r="AI51" s="355"/>
      <c r="AJ51" s="355"/>
      <c r="AK51" s="355"/>
      <c r="AL51" s="355"/>
      <c r="AM51" s="355"/>
      <c r="AN51" s="355"/>
      <c r="AO51" s="355"/>
      <c r="AP51" s="355"/>
      <c r="AQ51" s="355"/>
      <c r="AR51" s="355"/>
      <c r="AS51" s="355"/>
      <c r="AT51" s="355"/>
      <c r="AU51" s="355"/>
      <c r="AV51" s="355"/>
      <c r="AW51" s="355"/>
      <c r="AX51" s="355"/>
      <c r="AY51" s="355"/>
      <c r="AZ51" s="355"/>
      <c r="BA51" s="355"/>
      <c r="BB51" s="355"/>
    </row>
    <row r="52" spans="1:54">
      <c r="A52" s="319" t="s">
        <v>131</v>
      </c>
      <c r="D52" s="355"/>
      <c r="E52" s="355"/>
      <c r="F52" s="355"/>
      <c r="G52" s="355"/>
      <c r="H52" s="355"/>
      <c r="I52" s="355"/>
      <c r="J52" s="355">
        <f>+'Detailed Disclosures - USD'!D8</f>
        <v>3556.8086029861183</v>
      </c>
      <c r="K52" s="355">
        <f>+'Detailed Disclosures - USD'!E8</f>
        <v>9283.520651200206</v>
      </c>
      <c r="L52" s="355">
        <f>+L14</f>
        <v>13149.585074972403</v>
      </c>
      <c r="M52" s="355">
        <f>+M14</f>
        <v>24966.086101433793</v>
      </c>
      <c r="N52" s="355">
        <f>+'Detailed Disclosures - USD'!H8</f>
        <v>19541.625722512381</v>
      </c>
      <c r="O52" s="355">
        <f>+'Detailed Disclosures - USD'!I8</f>
        <v>35729.859250945403</v>
      </c>
      <c r="P52" s="355">
        <f>+'Detailed Disclosures - USD'!J8</f>
        <v>38279.819957385189</v>
      </c>
      <c r="Q52" s="355">
        <f>+'Detailed Disclosures - USD'!K8</f>
        <v>74443.89792481951</v>
      </c>
      <c r="R52" s="355">
        <f>+'Detailed Disclosures - USD'!L8</f>
        <v>51268.971410226688</v>
      </c>
      <c r="S52" s="355">
        <f>+'Detailed Disclosures - USD'!M8</f>
        <v>44872.719361685624</v>
      </c>
      <c r="T52" s="355">
        <f>+'Detailed Disclosures - USD'!N8</f>
        <v>57687.424152767489</v>
      </c>
      <c r="U52" s="355">
        <f>+'Detailed Disclosures - USD'!O8</f>
        <v>103967.18483098266</v>
      </c>
      <c r="V52" s="355">
        <f>+'Detailed Disclosures - USD'!P8</f>
        <v>90048.850476548367</v>
      </c>
      <c r="W52" s="355">
        <f>+'Detailed Disclosures - USD'!Q8</f>
        <v>110035.26618446327</v>
      </c>
      <c r="X52" s="355">
        <f>+'Detailed Disclosures - USD'!R8</f>
        <v>109582.99787142561</v>
      </c>
      <c r="Y52" s="355">
        <f>+'Detailed Disclosures - USD'!S8</f>
        <v>190870.42355011459</v>
      </c>
      <c r="Z52" s="355">
        <f>+'Detailed Disclosures - USD'!T8</f>
        <v>168793.59443205188</v>
      </c>
      <c r="AA52" s="355">
        <f>+'Detailed Disclosures - USD'!U8</f>
        <v>172037.25720475338</v>
      </c>
      <c r="AB52" s="355">
        <f>+AA52*(1+AB72)</f>
        <v>137629.80576380269</v>
      </c>
      <c r="AC52" s="355">
        <f t="shared" ref="AC52:AD52" si="145">+AB52*(1+AC72)</f>
        <v>233970.66979846457</v>
      </c>
      <c r="AD52" s="355">
        <f t="shared" si="145"/>
        <v>198875.0693286949</v>
      </c>
      <c r="AE52" s="355">
        <f>+AE54/AE60</f>
        <v>198841.99020307395</v>
      </c>
      <c r="AG52" s="355">
        <f>+'Detailed Disclosures - USD'!X8</f>
        <v>6268.9961349162713</v>
      </c>
      <c r="AH52" s="355">
        <f>+'Detailed Disclosures - USD'!Y8</f>
        <v>12840.329254186325</v>
      </c>
      <c r="AI52" s="355">
        <f>+'Detailed Disclosures - USD'!Z8</f>
        <v>38115.671176406198</v>
      </c>
      <c r="AJ52" s="355">
        <f>SUM(N52:O52)</f>
        <v>55271.484973457787</v>
      </c>
      <c r="AK52" s="328">
        <f>SUM(P52:Q52)</f>
        <v>112723.7178822047</v>
      </c>
      <c r="AL52" s="328">
        <f>SUM(R52:S52)</f>
        <v>96141.690771912312</v>
      </c>
      <c r="AM52" s="328">
        <f>SUM(T52:U52)</f>
        <v>161654.60898375016</v>
      </c>
      <c r="AN52" s="328">
        <f>SUM(V52:W52)</f>
        <v>200084.11666101165</v>
      </c>
      <c r="AO52" s="328">
        <f>SUM(X52:Y52)</f>
        <v>300453.4214215402</v>
      </c>
      <c r="AP52" s="328">
        <f>SUM(Z52:AA52)</f>
        <v>340830.85163680522</v>
      </c>
      <c r="AQ52" s="328">
        <f>+SUM(AB52:AC52)</f>
        <v>371600.47556226724</v>
      </c>
      <c r="AR52" s="328">
        <f>+SUM(AD52:AE52)</f>
        <v>397717.05953176884</v>
      </c>
      <c r="AS52" s="355"/>
      <c r="AT52" s="355">
        <f>+'Detailed Disclosures - USD'!AJ8</f>
        <v>449.40595410879388</v>
      </c>
      <c r="AU52" s="355">
        <f>+'Detailed Disclosures - USD'!AK8</f>
        <v>5199.4532036376795</v>
      </c>
      <c r="AV52" s="355">
        <f>+'Detailed Disclosures - USD'!AL8</f>
        <v>19109.325389102596</v>
      </c>
      <c r="AW52" s="355">
        <f>SUM(AI52:AJ52)</f>
        <v>93387.156149863993</v>
      </c>
      <c r="AX52" s="355">
        <f>SUM(AK52:AL52)</f>
        <v>208865.40865411703</v>
      </c>
      <c r="AY52" s="355">
        <f>SUM(AM52:AN52)</f>
        <v>361738.72564476181</v>
      </c>
      <c r="AZ52" s="355">
        <f>SUM(AO52:AP52)</f>
        <v>641284.27305834542</v>
      </c>
      <c r="BA52" s="355">
        <f t="shared" ref="BA52:BA53" si="146">SUM(AQ52:AR52)</f>
        <v>769317.53509403602</v>
      </c>
      <c r="BB52" s="355"/>
    </row>
    <row r="53" spans="1:54" s="524" customFormat="1" ht="18.5">
      <c r="A53" s="319" t="s">
        <v>56</v>
      </c>
      <c r="D53" s="525">
        <f t="shared" ref="D53:X53" si="147">+D54-D52</f>
        <v>0</v>
      </c>
      <c r="E53" s="525">
        <f t="shared" si="147"/>
        <v>0</v>
      </c>
      <c r="F53" s="525">
        <f t="shared" si="147"/>
        <v>0</v>
      </c>
      <c r="G53" s="525">
        <f t="shared" si="147"/>
        <v>0</v>
      </c>
      <c r="H53" s="525">
        <f t="shared" si="147"/>
        <v>0</v>
      </c>
      <c r="I53" s="525">
        <f t="shared" si="147"/>
        <v>0</v>
      </c>
      <c r="J53" s="525">
        <f t="shared" si="147"/>
        <v>-738.74160872710445</v>
      </c>
      <c r="K53" s="525">
        <f t="shared" si="147"/>
        <v>-1697.5022078965931</v>
      </c>
      <c r="L53" s="525">
        <f t="shared" si="147"/>
        <v>-2715.675178526908</v>
      </c>
      <c r="M53" s="525">
        <f t="shared" si="147"/>
        <v>-8645.4735470285723</v>
      </c>
      <c r="N53" s="525">
        <f t="shared" si="147"/>
        <v>-5252.2946605962134</v>
      </c>
      <c r="O53" s="525">
        <f t="shared" si="147"/>
        <v>-10036.950944628214</v>
      </c>
      <c r="P53" s="525">
        <f t="shared" si="147"/>
        <v>-9918.9552672687132</v>
      </c>
      <c r="Q53" s="525">
        <f t="shared" si="147"/>
        <v>-19628.945689601271</v>
      </c>
      <c r="R53" s="525">
        <f t="shared" si="147"/>
        <v>-15931.036313912249</v>
      </c>
      <c r="S53" s="525">
        <f t="shared" si="147"/>
        <v>-11050.776130393453</v>
      </c>
      <c r="T53" s="525">
        <f t="shared" si="147"/>
        <v>-12309.548458464757</v>
      </c>
      <c r="U53" s="525">
        <f t="shared" si="147"/>
        <v>-24270.872167092326</v>
      </c>
      <c r="V53" s="525">
        <f t="shared" si="147"/>
        <v>-20701.670481330919</v>
      </c>
      <c r="W53" s="525">
        <f t="shared" si="147"/>
        <v>-25193.174294217635</v>
      </c>
      <c r="X53" s="525">
        <f t="shared" si="147"/>
        <v>-26381.092080158021</v>
      </c>
      <c r="Y53" s="525">
        <f t="shared" ref="Y53" si="148">+Y54-Y52</f>
        <v>-42942.671288388927</v>
      </c>
      <c r="Z53" s="525">
        <f t="shared" ref="Z53:AA53" si="149">+Z54-Z52</f>
        <v>-43201.165384440246</v>
      </c>
      <c r="AA53" s="525">
        <f t="shared" si="149"/>
        <v>-42236.590280804608</v>
      </c>
      <c r="AB53" s="525">
        <f t="shared" ref="AB53:AE53" si="150">+AB54-AB52</f>
        <v>-33133.101387582137</v>
      </c>
      <c r="AC53" s="525">
        <f t="shared" si="150"/>
        <v>-52639.509974376124</v>
      </c>
      <c r="AD53" s="525">
        <f t="shared" si="150"/>
        <v>-50900.241740924277</v>
      </c>
      <c r="AE53" s="525">
        <f t="shared" si="150"/>
        <v>-48817.377161689306</v>
      </c>
      <c r="AG53" s="525">
        <f t="shared" ref="AG53" si="151">+AG54-AG52</f>
        <v>-3529.2702477850526</v>
      </c>
      <c r="AH53" s="525">
        <f t="shared" ref="AH53" si="152">+AH54-AH52</f>
        <v>-2436.2438166236989</v>
      </c>
      <c r="AI53" s="525">
        <f t="shared" ref="AI53" si="153">+AI54-AI52</f>
        <v>-11361.148725555482</v>
      </c>
      <c r="AJ53" s="525">
        <f t="shared" ref="AJ53" si="154">+AJ54-AJ52</f>
        <v>-15289.245605224431</v>
      </c>
      <c r="AK53" s="526">
        <f t="shared" ref="AK53" si="155">+AK54-AK52</f>
        <v>-29547.900956869984</v>
      </c>
      <c r="AL53" s="526">
        <f t="shared" ref="AL53" si="156">+AL54-AL52</f>
        <v>-26981.812444305702</v>
      </c>
      <c r="AM53" s="526">
        <f t="shared" ref="AM53" si="157">+AM54-AM52</f>
        <v>-36580.420625557104</v>
      </c>
      <c r="AN53" s="526">
        <f t="shared" ref="AN53" si="158">+AN54-AN52</f>
        <v>-45894.844775548554</v>
      </c>
      <c r="AO53" s="526">
        <f t="shared" ref="AO53" si="159">+AO54-AO52</f>
        <v>-69323.763368546963</v>
      </c>
      <c r="AP53" s="526">
        <f t="shared" ref="AP53" si="160">+AP54-AP52</f>
        <v>-85437.755665244826</v>
      </c>
      <c r="AQ53" s="526">
        <f t="shared" ref="AQ53:AQ54" si="161">+SUM(AB53:AC53)</f>
        <v>-85772.611361958261</v>
      </c>
      <c r="AR53" s="526">
        <f t="shared" ref="AR53" si="162">+SUM(AD53:AE53)</f>
        <v>-99717.618902613583</v>
      </c>
      <c r="AS53" s="525"/>
      <c r="AT53" s="525">
        <f t="shared" ref="AT53" si="163">+AT54-AT52</f>
        <v>-27.894162668821707</v>
      </c>
      <c r="AU53" s="525">
        <f t="shared" ref="AU53" si="164">+AU54-AU52</f>
        <v>-1116.8242442357064</v>
      </c>
      <c r="AV53" s="525">
        <f t="shared" ref="AV53" si="165">+AV54-AV52</f>
        <v>-3912.3545693811939</v>
      </c>
      <c r="AW53" s="525">
        <f t="shared" ref="AW53" si="166">+AW54-AW52</f>
        <v>-26650.39433077992</v>
      </c>
      <c r="AX53" s="525">
        <f t="shared" ref="AX53" si="167">+AX54-AX52</f>
        <v>-56529.713401175686</v>
      </c>
      <c r="AY53" s="525">
        <f t="shared" ref="AY53" si="168">+AY54-AY52</f>
        <v>-82475.265401105629</v>
      </c>
      <c r="AZ53" s="525">
        <f t="shared" ref="AZ53:AZ54" si="169">SUM(AO53:AP53)</f>
        <v>-154761.51903379179</v>
      </c>
      <c r="BA53" s="525">
        <f t="shared" si="146"/>
        <v>-185490.23026457184</v>
      </c>
      <c r="BB53" s="525"/>
    </row>
    <row r="54" spans="1:54">
      <c r="A54" s="527" t="s">
        <v>236</v>
      </c>
      <c r="D54" s="355"/>
      <c r="E54" s="355"/>
      <c r="F54" s="355"/>
      <c r="G54" s="355"/>
      <c r="H54" s="355"/>
      <c r="I54" s="355"/>
      <c r="J54" s="355">
        <f>+'Detailed Disclosures - USD'!D17</f>
        <v>2818.0669942590139</v>
      </c>
      <c r="K54" s="355">
        <f>+'Detailed Disclosures - USD'!E17</f>
        <v>7586.0184433036129</v>
      </c>
      <c r="L54" s="508">
        <f>(4.2+4.7+5.7)*1000*'Detailed Disclosures - USD'!F299</f>
        <v>10433.909896445495</v>
      </c>
      <c r="M54" s="355">
        <f>+AI54-L54</f>
        <v>16320.612554405221</v>
      </c>
      <c r="N54" s="355">
        <f>+'Detailed Disclosures - USD'!H17</f>
        <v>14289.331061916168</v>
      </c>
      <c r="O54" s="355">
        <f>+'Detailed Disclosures - USD'!I17</f>
        <v>25692.908306317189</v>
      </c>
      <c r="P54" s="355">
        <f>+'Detailed Disclosures - USD'!J17</f>
        <v>28360.864690116476</v>
      </c>
      <c r="Q54" s="355">
        <f>+'Detailed Disclosures - USD'!K17</f>
        <v>54814.952235218239</v>
      </c>
      <c r="R54" s="355">
        <f>+'Detailed Disclosures - USD'!L17</f>
        <v>35337.935096314439</v>
      </c>
      <c r="S54" s="355">
        <f>+'Detailed Disclosures - USD'!M17</f>
        <v>33821.943231292171</v>
      </c>
      <c r="T54" s="355">
        <f>+'Detailed Disclosures - USD'!N17</f>
        <v>45377.875694302733</v>
      </c>
      <c r="U54" s="355">
        <f>+'Detailed Disclosures - USD'!O17</f>
        <v>79696.312663890334</v>
      </c>
      <c r="V54" s="355">
        <f>+'Detailed Disclosures - USD'!P17</f>
        <v>69347.179995217448</v>
      </c>
      <c r="W54" s="355">
        <f>+'Detailed Disclosures - USD'!Q17</f>
        <v>84842.091890245632</v>
      </c>
      <c r="X54" s="355">
        <f>+'Detailed Disclosures - USD'!R17</f>
        <v>83201.905791267593</v>
      </c>
      <c r="Y54" s="355">
        <f>+'Detailed Disclosures - USD'!S17</f>
        <v>147927.75226172566</v>
      </c>
      <c r="Z54" s="355">
        <f>+'Detailed Disclosures - USD'!T17</f>
        <v>125592.42904761163</v>
      </c>
      <c r="AA54" s="355">
        <f>+'Detailed Disclosures - USD'!U17</f>
        <v>129800.66692394877</v>
      </c>
      <c r="AB54" s="355">
        <f>+AB60*AB52</f>
        <v>104496.70437622056</v>
      </c>
      <c r="AC54" s="355">
        <f t="shared" ref="AC54:AD54" si="170">+AC60*AC52</f>
        <v>181331.15982408845</v>
      </c>
      <c r="AD54" s="355">
        <f t="shared" si="170"/>
        <v>147974.82758777062</v>
      </c>
      <c r="AE54" s="355">
        <f>+AR54-AD54</f>
        <v>150024.61304138464</v>
      </c>
      <c r="AG54" s="355">
        <f>+SUM(AG63:AG64)</f>
        <v>2739.7258871312188</v>
      </c>
      <c r="AH54" s="528">
        <f>SUM(J54:K54)</f>
        <v>10404.085437562626</v>
      </c>
      <c r="AI54" s="355">
        <f>+SUM(AI63:AI64)</f>
        <v>26754.522450850716</v>
      </c>
      <c r="AJ54" s="355">
        <f>SUM(N54:O54)</f>
        <v>39982.239368233357</v>
      </c>
      <c r="AK54" s="355">
        <f>SUM(P54:Q54)</f>
        <v>83175.816925334715</v>
      </c>
      <c r="AL54" s="355">
        <f>SUM(R54:S54)</f>
        <v>69159.87832760661</v>
      </c>
      <c r="AM54" s="355">
        <f>SUM(T54:U54)</f>
        <v>125074.18835819306</v>
      </c>
      <c r="AN54" s="355">
        <f>SUM(V54:W54)</f>
        <v>154189.27188546309</v>
      </c>
      <c r="AO54" s="355">
        <f>SUM(X54:Y54)</f>
        <v>231129.65805299324</v>
      </c>
      <c r="AP54" s="355">
        <f>SUM(Z54:AA54)</f>
        <v>255393.0959715604</v>
      </c>
      <c r="AQ54" s="355">
        <f t="shared" si="161"/>
        <v>285827.86420030904</v>
      </c>
      <c r="AR54" s="355">
        <f>+BA54-AQ54</f>
        <v>297999.44062915526</v>
      </c>
      <c r="AS54" s="355"/>
      <c r="AT54" s="355">
        <f>+'Detailed Disclosures - USD'!AJ17</f>
        <v>421.51179143997217</v>
      </c>
      <c r="AU54" s="355">
        <f>+'Detailed Disclosures - USD'!AK17</f>
        <v>4082.6289594019731</v>
      </c>
      <c r="AV54" s="355">
        <f>+'Detailed Disclosures - USD'!AL17</f>
        <v>15196.970819721402</v>
      </c>
      <c r="AW54" s="355">
        <f>SUM(AI54:AJ54)</f>
        <v>66736.761819084073</v>
      </c>
      <c r="AX54" s="355">
        <f>SUM(AK54:AL54)</f>
        <v>152335.69525294134</v>
      </c>
      <c r="AY54" s="355">
        <f>SUM(AM54:AN54)</f>
        <v>279263.46024365618</v>
      </c>
      <c r="AZ54" s="355">
        <f t="shared" si="169"/>
        <v>486522.75402455364</v>
      </c>
      <c r="BA54" s="529">
        <f>+'Simple - 5%'!J7*1000</f>
        <v>583827.30482946429</v>
      </c>
    </row>
    <row r="55" spans="1:54">
      <c r="D55" s="355"/>
      <c r="E55" s="355"/>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c r="AD55" s="355"/>
      <c r="AE55" s="355"/>
      <c r="AG55" s="355"/>
      <c r="AH55" s="355"/>
      <c r="AI55" s="355"/>
      <c r="AJ55" s="355"/>
      <c r="AK55" s="328"/>
      <c r="AL55" s="328"/>
      <c r="AM55" s="328"/>
      <c r="AN55" s="328"/>
      <c r="AO55" s="328"/>
      <c r="AP55" s="328"/>
      <c r="AQ55" s="328"/>
      <c r="AR55" s="328"/>
      <c r="AS55" s="355"/>
      <c r="AT55" s="355"/>
      <c r="AU55" s="355"/>
      <c r="AV55" s="355"/>
      <c r="AW55" s="355"/>
      <c r="AX55" s="355"/>
      <c r="AY55" s="355"/>
      <c r="AZ55" s="355"/>
      <c r="BA55" s="355"/>
      <c r="BB55" s="355"/>
    </row>
    <row r="56" spans="1:54">
      <c r="A56" s="530" t="s">
        <v>237</v>
      </c>
      <c r="D56" s="355"/>
      <c r="E56" s="355"/>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c r="AD56" s="355"/>
      <c r="AE56" s="355"/>
      <c r="AG56" s="355"/>
      <c r="AH56" s="355"/>
      <c r="AI56" s="355"/>
      <c r="AJ56" s="355"/>
      <c r="AK56" s="328"/>
      <c r="AL56" s="328"/>
      <c r="AM56" s="328"/>
      <c r="AN56" s="328"/>
      <c r="AO56" s="328"/>
      <c r="AP56" s="328"/>
      <c r="AQ56" s="328"/>
      <c r="AR56" s="328"/>
      <c r="AS56" s="355"/>
      <c r="AT56" s="355"/>
      <c r="AU56" s="355"/>
      <c r="AV56" s="355"/>
      <c r="AW56" s="355"/>
      <c r="AX56" s="355"/>
      <c r="AY56" s="355"/>
      <c r="AZ56" s="355"/>
      <c r="BA56" s="355"/>
      <c r="BB56" s="355"/>
    </row>
    <row r="57" spans="1:54">
      <c r="A57" s="338" t="str">
        <f>+A52</f>
        <v>Gross Revenue</v>
      </c>
      <c r="N57" s="344">
        <f t="shared" ref="N57:X57" si="171">+N52/J52-1</f>
        <v>4.4941459897803355</v>
      </c>
      <c r="O57" s="344">
        <f t="shared" si="171"/>
        <v>2.8487402132644712</v>
      </c>
      <c r="P57" s="344">
        <f t="shared" si="171"/>
        <v>1.9111047792863931</v>
      </c>
      <c r="Q57" s="344">
        <f t="shared" si="171"/>
        <v>1.9818008967190184</v>
      </c>
      <c r="R57" s="344">
        <f t="shared" si="171"/>
        <v>1.6235775947322391</v>
      </c>
      <c r="S57" s="344">
        <f t="shared" si="171"/>
        <v>0.25588850061026491</v>
      </c>
      <c r="T57" s="344">
        <f t="shared" si="171"/>
        <v>0.50699308975297463</v>
      </c>
      <c r="U57" s="344">
        <f t="shared" si="171"/>
        <v>0.39658437735190266</v>
      </c>
      <c r="V57" s="344">
        <f t="shared" si="171"/>
        <v>0.75640056743143869</v>
      </c>
      <c r="W57" s="344">
        <f t="shared" si="171"/>
        <v>1.4521639818070931</v>
      </c>
      <c r="X57" s="344">
        <f t="shared" si="171"/>
        <v>0.89959942709919893</v>
      </c>
      <c r="Y57" s="344">
        <f t="shared" ref="Y57:Y59" si="172">+Y52/U52-1</f>
        <v>0.8358718076324636</v>
      </c>
      <c r="Z57" s="344">
        <f t="shared" ref="Z57:AA59" si="173">+Z52/V52-1</f>
        <v>0.87446695364546811</v>
      </c>
      <c r="AA57" s="344">
        <f t="shared" si="173"/>
        <v>0.56347381317140521</v>
      </c>
      <c r="AB57" s="344">
        <f t="shared" ref="AB57" si="174">+AB52/X52-1</f>
        <v>0.2559412357497699</v>
      </c>
      <c r="AC57" s="344">
        <f t="shared" ref="AC57" si="175">+AC52/Y52-1</f>
        <v>0.22580893072222707</v>
      </c>
      <c r="AD57" s="344">
        <f t="shared" ref="AD57" si="176">+AD52/Z52-1</f>
        <v>0.1782145525004053</v>
      </c>
      <c r="AE57" s="344">
        <f t="shared" ref="AE57" si="177">+AE52/AA52-1</f>
        <v>0.15580772115204322</v>
      </c>
      <c r="AI57" s="344">
        <f t="shared" ref="AI57:AP57" si="178">+AI52/AG52-1</f>
        <v>5.0800278634906624</v>
      </c>
      <c r="AJ57" s="344">
        <f t="shared" si="178"/>
        <v>3.3045224058750406</v>
      </c>
      <c r="AK57" s="344">
        <f t="shared" si="178"/>
        <v>1.9574113324805174</v>
      </c>
      <c r="AL57" s="344">
        <f t="shared" si="178"/>
        <v>0.73944468505018501</v>
      </c>
      <c r="AM57" s="344">
        <f t="shared" si="178"/>
        <v>0.43407804516062742</v>
      </c>
      <c r="AN57" s="344">
        <f t="shared" si="178"/>
        <v>1.0811379023455454</v>
      </c>
      <c r="AO57" s="344">
        <f t="shared" si="178"/>
        <v>0.85861339376808221</v>
      </c>
      <c r="AP57" s="344">
        <f t="shared" si="178"/>
        <v>0.70343782067544525</v>
      </c>
      <c r="AQ57" s="344">
        <f t="shared" ref="AQ57:AQ59" si="179">+AQ52/AO52-1</f>
        <v>0.23679894808355928</v>
      </c>
      <c r="AR57" s="344">
        <f t="shared" ref="AR57:AR59" si="180">+AR52/AP52-1</f>
        <v>0.16690451472269441</v>
      </c>
      <c r="AU57" s="344">
        <f t="shared" ref="AU57:AZ57" si="181">+AU52/AT52-1</f>
        <v>10.569613522252036</v>
      </c>
      <c r="AV57" s="344">
        <f t="shared" si="181"/>
        <v>2.675256731945042</v>
      </c>
      <c r="AW57" s="344">
        <f t="shared" si="181"/>
        <v>3.8869938759386837</v>
      </c>
      <c r="AX57" s="344">
        <f t="shared" si="181"/>
        <v>1.2365539038252553</v>
      </c>
      <c r="AY57" s="344">
        <f t="shared" si="181"/>
        <v>0.73192261933523106</v>
      </c>
      <c r="AZ57" s="344">
        <f t="shared" si="181"/>
        <v>0.77278302707381585</v>
      </c>
      <c r="BA57" s="344">
        <f t="shared" ref="BA57:BA59" si="182">+BA52/AZ52-1</f>
        <v>0.19965133625542975</v>
      </c>
    </row>
    <row r="58" spans="1:54" s="513" customFormat="1" ht="18.5">
      <c r="A58" s="338" t="str">
        <f t="shared" ref="A58:A59" si="183">+A53</f>
        <v>Returns</v>
      </c>
      <c r="N58" s="514">
        <f t="shared" ref="N58:X58" si="184">+N53/J53-1</f>
        <v>6.109785882571618</v>
      </c>
      <c r="O58" s="514">
        <f t="shared" si="184"/>
        <v>4.9127763710335248</v>
      </c>
      <c r="P58" s="514">
        <f t="shared" si="184"/>
        <v>2.6524822061558759</v>
      </c>
      <c r="Q58" s="514">
        <f t="shared" si="184"/>
        <v>1.2704303683107896</v>
      </c>
      <c r="R58" s="514">
        <f t="shared" si="184"/>
        <v>2.0331573804170082</v>
      </c>
      <c r="S58" s="514">
        <f t="shared" si="184"/>
        <v>0.10100927974624008</v>
      </c>
      <c r="T58" s="514">
        <f t="shared" si="184"/>
        <v>0.24101259928902952</v>
      </c>
      <c r="U58" s="514">
        <f t="shared" si="184"/>
        <v>0.23648373941704803</v>
      </c>
      <c r="V58" s="514">
        <f t="shared" si="184"/>
        <v>0.29945535704118464</v>
      </c>
      <c r="W58" s="514">
        <f t="shared" si="184"/>
        <v>1.2797651492484494</v>
      </c>
      <c r="X58" s="514">
        <f t="shared" si="184"/>
        <v>1.1431405196684414</v>
      </c>
      <c r="Y58" s="514">
        <f t="shared" si="172"/>
        <v>0.76930894748037804</v>
      </c>
      <c r="Z58" s="514">
        <f t="shared" si="173"/>
        <v>1.0868444130341905</v>
      </c>
      <c r="AA58" s="514">
        <f t="shared" si="173"/>
        <v>0.67650927142193429</v>
      </c>
      <c r="AB58" s="514">
        <f t="shared" ref="AB58:AB59" si="185">+AB53/X53-1</f>
        <v>0.25594123574977012</v>
      </c>
      <c r="AC58" s="514">
        <f t="shared" ref="AC58:AC59" si="186">+AC53/Y53-1</f>
        <v>0.2258089307222273</v>
      </c>
      <c r="AD58" s="514">
        <f t="shared" ref="AD58:AD59" si="187">+AD53/Z53-1</f>
        <v>0.17821455250040552</v>
      </c>
      <c r="AE58" s="514">
        <f t="shared" ref="AE58:AE59" si="188">+AE53/AA53-1</f>
        <v>0.155807721152043</v>
      </c>
      <c r="AI58" s="514">
        <f t="shared" ref="AI58:AP58" si="189">+AI53/AG53-1</f>
        <v>2.219121214275293</v>
      </c>
      <c r="AJ58" s="514">
        <f t="shared" si="189"/>
        <v>5.2757452685557702</v>
      </c>
      <c r="AK58" s="514">
        <f t="shared" si="189"/>
        <v>1.6007846275619717</v>
      </c>
      <c r="AL58" s="514">
        <f t="shared" si="189"/>
        <v>0.76475760420029149</v>
      </c>
      <c r="AM58" s="514">
        <f t="shared" si="189"/>
        <v>0.23800403551346139</v>
      </c>
      <c r="AN58" s="514">
        <f t="shared" si="189"/>
        <v>0.70095485135707758</v>
      </c>
      <c r="AO58" s="514">
        <f t="shared" si="189"/>
        <v>0.895105692691613</v>
      </c>
      <c r="AP58" s="514">
        <f t="shared" si="189"/>
        <v>0.86159809632396001</v>
      </c>
      <c r="AQ58" s="514">
        <f t="shared" si="179"/>
        <v>0.23727575068254803</v>
      </c>
      <c r="AR58" s="514">
        <f t="shared" si="180"/>
        <v>0.1671376211392881</v>
      </c>
      <c r="AU58" s="514">
        <f t="shared" ref="AU58:AZ58" si="190">+AU53/AT53-1</f>
        <v>39.037919671416425</v>
      </c>
      <c r="AV58" s="514">
        <f t="shared" si="190"/>
        <v>2.5031067686559725</v>
      </c>
      <c r="AW58" s="514">
        <f t="shared" si="190"/>
        <v>5.8118555867484014</v>
      </c>
      <c r="AX58" s="514">
        <f t="shared" si="190"/>
        <v>1.1211586102456499</v>
      </c>
      <c r="AY58" s="514">
        <f t="shared" si="190"/>
        <v>0.45897193597642283</v>
      </c>
      <c r="AZ58" s="514">
        <f t="shared" si="190"/>
        <v>0.87645978804837066</v>
      </c>
      <c r="BA58" s="514">
        <f t="shared" si="182"/>
        <v>0.19855524436969718</v>
      </c>
    </row>
    <row r="59" spans="1:54">
      <c r="A59" s="341" t="str">
        <f t="shared" si="183"/>
        <v>Total Net Revenue</v>
      </c>
      <c r="N59" s="344">
        <f t="shared" ref="N59:X59" si="191">+N54/J54-1</f>
        <v>4.070614393137741</v>
      </c>
      <c r="O59" s="344">
        <f t="shared" si="191"/>
        <v>2.386876593873434</v>
      </c>
      <c r="P59" s="344">
        <f t="shared" si="191"/>
        <v>1.7181435311970761</v>
      </c>
      <c r="Q59" s="344">
        <f t="shared" si="191"/>
        <v>2.3586332652951016</v>
      </c>
      <c r="R59" s="344">
        <f t="shared" si="191"/>
        <v>1.4730293491832431</v>
      </c>
      <c r="S59" s="344">
        <f t="shared" si="191"/>
        <v>0.31639216658770675</v>
      </c>
      <c r="T59" s="344">
        <f t="shared" si="191"/>
        <v>0.6000173545525409</v>
      </c>
      <c r="U59" s="344">
        <f t="shared" si="191"/>
        <v>0.45391557255952497</v>
      </c>
      <c r="V59" s="344">
        <f t="shared" si="191"/>
        <v>0.96240045736147151</v>
      </c>
      <c r="W59" s="344">
        <f t="shared" si="191"/>
        <v>1.5084925283580235</v>
      </c>
      <c r="X59" s="344">
        <f t="shared" si="191"/>
        <v>0.83353461391128381</v>
      </c>
      <c r="Y59" s="344">
        <f t="shared" si="172"/>
        <v>0.85614299228112678</v>
      </c>
      <c r="Z59" s="344">
        <f t="shared" si="173"/>
        <v>0.81106757414321895</v>
      </c>
      <c r="AA59" s="344">
        <f t="shared" si="173"/>
        <v>0.529908846329048</v>
      </c>
      <c r="AB59" s="344">
        <f t="shared" si="185"/>
        <v>0.2559412357497699</v>
      </c>
      <c r="AC59" s="344">
        <f t="shared" si="186"/>
        <v>0.22580893072222707</v>
      </c>
      <c r="AD59" s="344">
        <f t="shared" si="187"/>
        <v>0.17821455250040508</v>
      </c>
      <c r="AE59" s="344">
        <f t="shared" si="188"/>
        <v>0.15580772115204344</v>
      </c>
      <c r="AH59" s="344"/>
      <c r="AI59" s="344">
        <f t="shared" ref="AI59:AP59" si="192">+AI54/AG54-1</f>
        <v>8.7654011945207824</v>
      </c>
      <c r="AJ59" s="344">
        <f t="shared" si="192"/>
        <v>2.8429364703102662</v>
      </c>
      <c r="AK59" s="344">
        <f t="shared" si="192"/>
        <v>2.1088507402115848</v>
      </c>
      <c r="AL59" s="344">
        <f t="shared" si="192"/>
        <v>0.72976500117088072</v>
      </c>
      <c r="AM59" s="344">
        <f t="shared" si="192"/>
        <v>0.50373261101204081</v>
      </c>
      <c r="AN59" s="344">
        <f t="shared" si="192"/>
        <v>1.2294612948142682</v>
      </c>
      <c r="AO59" s="344">
        <f t="shared" si="192"/>
        <v>0.84794049905064162</v>
      </c>
      <c r="AP59" s="344">
        <f t="shared" si="192"/>
        <v>0.65636099612218723</v>
      </c>
      <c r="AQ59" s="344">
        <f t="shared" si="179"/>
        <v>0.2366559385242315</v>
      </c>
      <c r="AR59" s="344">
        <f t="shared" si="180"/>
        <v>0.16682653262615732</v>
      </c>
      <c r="AU59" s="344">
        <f t="shared" ref="AU59:AZ59" si="193">+AU54/AT54-1</f>
        <v>8.6856814976749792</v>
      </c>
      <c r="AV59" s="344">
        <f t="shared" si="193"/>
        <v>2.7223492437939956</v>
      </c>
      <c r="AW59" s="344">
        <f t="shared" si="193"/>
        <v>3.3914515998463646</v>
      </c>
      <c r="AX59" s="344">
        <f t="shared" si="193"/>
        <v>1.2826354036461409</v>
      </c>
      <c r="AY59" s="344">
        <f t="shared" si="193"/>
        <v>0.83321092131401864</v>
      </c>
      <c r="AZ59" s="344">
        <f t="shared" si="193"/>
        <v>0.74216402532599357</v>
      </c>
      <c r="BA59" s="344">
        <f t="shared" si="182"/>
        <v>0.19999999999999996</v>
      </c>
    </row>
    <row r="60" spans="1:54" collapsed="1">
      <c r="A60" s="531" t="s">
        <v>137</v>
      </c>
      <c r="D60" s="519"/>
      <c r="E60" s="519"/>
      <c r="F60" s="519"/>
      <c r="G60" s="519"/>
      <c r="H60" s="519"/>
      <c r="I60" s="519"/>
      <c r="J60" s="519">
        <f t="shared" ref="J60:X60" si="194">+J54/J52</f>
        <v>0.79230211934741335</v>
      </c>
      <c r="K60" s="519">
        <f t="shared" si="194"/>
        <v>0.81714887361432931</v>
      </c>
      <c r="L60" s="519">
        <f t="shared" si="194"/>
        <v>0.7934782608695653</v>
      </c>
      <c r="M60" s="519">
        <f t="shared" si="194"/>
        <v>0.65371129812245321</v>
      </c>
      <c r="N60" s="519">
        <f t="shared" si="194"/>
        <v>0.73122529644268774</v>
      </c>
      <c r="O60" s="519">
        <f t="shared" si="194"/>
        <v>0.71908786782129186</v>
      </c>
      <c r="P60" s="519">
        <f t="shared" si="194"/>
        <v>0.74088291746641077</v>
      </c>
      <c r="Q60" s="519">
        <f t="shared" si="194"/>
        <v>0.73632565949966189</v>
      </c>
      <c r="R60" s="519">
        <f t="shared" si="194"/>
        <v>0.68926553672316382</v>
      </c>
      <c r="S60" s="519">
        <f t="shared" si="194"/>
        <v>0.75373063439009869</v>
      </c>
      <c r="T60" s="519">
        <f t="shared" si="194"/>
        <v>0.78661643089026323</v>
      </c>
      <c r="U60" s="519">
        <f t="shared" si="194"/>
        <v>0.76655256938476324</v>
      </c>
      <c r="V60" s="519">
        <f t="shared" si="194"/>
        <v>0.77010622154779973</v>
      </c>
      <c r="W60" s="519">
        <f t="shared" si="194"/>
        <v>0.77104454628224584</v>
      </c>
      <c r="X60" s="519">
        <f t="shared" si="194"/>
        <v>0.75925925925925919</v>
      </c>
      <c r="Y60" s="519">
        <f t="shared" ref="Y60" si="195">+Y54/Y52</f>
        <v>0.77501662913681346</v>
      </c>
      <c r="Z60" s="519">
        <f t="shared" ref="Z60:AA60" si="196">+Z54/Z52</f>
        <v>0.74405921308920908</v>
      </c>
      <c r="AA60" s="519">
        <f t="shared" si="196"/>
        <v>0.75449160857908859</v>
      </c>
      <c r="AB60" s="532">
        <f>+X60</f>
        <v>0.75925925925925919</v>
      </c>
      <c r="AC60" s="532">
        <f t="shared" ref="AC60:AE60" si="197">+Y60</f>
        <v>0.77501662913681346</v>
      </c>
      <c r="AD60" s="532">
        <f t="shared" si="197"/>
        <v>0.74405921308920908</v>
      </c>
      <c r="AE60" s="532">
        <f t="shared" si="197"/>
        <v>0.75449160857908859</v>
      </c>
      <c r="AG60" s="519">
        <f t="shared" ref="AG60:AP60" si="198">+AG54/AG52</f>
        <v>0.43702784754832369</v>
      </c>
      <c r="AH60" s="519">
        <f t="shared" si="198"/>
        <v>0.81026625031212407</v>
      </c>
      <c r="AI60" s="519">
        <f t="shared" si="198"/>
        <v>0.70192972142681054</v>
      </c>
      <c r="AJ60" s="519">
        <f t="shared" si="198"/>
        <v>0.72337914183838992</v>
      </c>
      <c r="AK60" s="519">
        <f t="shared" si="198"/>
        <v>0.73787325762491895</v>
      </c>
      <c r="AL60" s="519">
        <f t="shared" si="198"/>
        <v>0.71935367240089765</v>
      </c>
      <c r="AM60" s="519">
        <f t="shared" si="198"/>
        <v>0.77371247961612877</v>
      </c>
      <c r="AN60" s="519">
        <f t="shared" si="198"/>
        <v>0.77062224857505834</v>
      </c>
      <c r="AO60" s="519">
        <f t="shared" si="198"/>
        <v>0.76926951591845982</v>
      </c>
      <c r="AP60" s="519">
        <f t="shared" si="198"/>
        <v>0.74932505301401331</v>
      </c>
      <c r="AQ60" s="519">
        <f t="shared" ref="AQ60:AR60" si="199">+AQ54/AQ52</f>
        <v>0.76918056621920083</v>
      </c>
      <c r="AR60" s="519">
        <f t="shared" si="199"/>
        <v>0.7492749769898962</v>
      </c>
      <c r="AS60" s="355"/>
      <c r="AT60" s="519">
        <f t="shared" ref="AT60:AZ60" si="200">+AT54/AT52</f>
        <v>0.93793103448275861</v>
      </c>
      <c r="AU60" s="519">
        <f t="shared" si="200"/>
        <v>0.78520352035203522</v>
      </c>
      <c r="AV60" s="519">
        <f t="shared" si="200"/>
        <v>0.79526464227710114</v>
      </c>
      <c r="AW60" s="519">
        <f t="shared" si="200"/>
        <v>0.71462462902272739</v>
      </c>
      <c r="AX60" s="519">
        <f t="shared" si="200"/>
        <v>0.72934860891786346</v>
      </c>
      <c r="AY60" s="519">
        <f t="shared" si="200"/>
        <v>0.77200321791894966</v>
      </c>
      <c r="AZ60" s="519">
        <f t="shared" si="200"/>
        <v>0.75866939899255681</v>
      </c>
      <c r="BA60" s="519">
        <f t="shared" ref="BA60" si="201">+BA54/BA52</f>
        <v>0.75888989682017494</v>
      </c>
      <c r="BB60" s="355"/>
    </row>
    <row r="61" spans="1:54" hidden="1" outlineLevel="1">
      <c r="A61" s="531"/>
      <c r="D61" s="519"/>
      <c r="E61" s="519"/>
      <c r="F61" s="519"/>
      <c r="G61" s="519"/>
      <c r="H61" s="519"/>
      <c r="I61" s="519"/>
      <c r="J61" s="519"/>
      <c r="K61" s="519"/>
      <c r="L61" s="519"/>
      <c r="M61" s="519"/>
      <c r="N61" s="519"/>
      <c r="O61" s="519"/>
      <c r="P61" s="519"/>
      <c r="Q61" s="519"/>
      <c r="R61" s="519"/>
      <c r="S61" s="519"/>
      <c r="T61" s="519"/>
      <c r="U61" s="519"/>
      <c r="V61" s="519"/>
      <c r="W61" s="519"/>
      <c r="X61" s="519"/>
      <c r="Y61" s="532"/>
      <c r="Z61" s="532"/>
      <c r="AA61" s="532"/>
      <c r="AB61" s="532"/>
      <c r="AC61" s="532"/>
      <c r="AD61" s="532"/>
      <c r="AE61" s="532"/>
      <c r="AG61" s="519"/>
      <c r="AH61" s="519"/>
      <c r="AI61" s="519"/>
      <c r="AJ61" s="519"/>
      <c r="AK61" s="519"/>
      <c r="AL61" s="519"/>
      <c r="AM61" s="519"/>
      <c r="AN61" s="519"/>
      <c r="AO61" s="519"/>
      <c r="AP61" s="519"/>
      <c r="AQ61" s="519"/>
      <c r="AR61" s="519"/>
      <c r="AS61" s="355"/>
      <c r="AT61" s="519"/>
      <c r="AU61" s="519"/>
      <c r="AV61" s="519"/>
      <c r="AW61" s="519"/>
      <c r="AX61" s="519"/>
      <c r="AY61" s="519"/>
      <c r="AZ61" s="519"/>
      <c r="BA61" s="519"/>
      <c r="BB61" s="355"/>
    </row>
    <row r="62" spans="1:54" hidden="1" outlineLevel="1">
      <c r="A62" s="513" t="s">
        <v>23</v>
      </c>
      <c r="D62" s="355"/>
      <c r="E62" s="355"/>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c r="AD62" s="355"/>
      <c r="AE62" s="355"/>
      <c r="AG62" s="355"/>
      <c r="AH62" s="528"/>
      <c r="AI62" s="519"/>
      <c r="AJ62" s="355"/>
      <c r="AK62" s="355"/>
      <c r="AL62" s="355"/>
      <c r="AM62" s="355"/>
      <c r="AN62" s="355"/>
      <c r="AO62" s="355"/>
      <c r="AP62" s="355"/>
      <c r="AQ62" s="355"/>
      <c r="AR62" s="355"/>
      <c r="AS62" s="355"/>
      <c r="AT62" s="355"/>
      <c r="AU62" s="355"/>
      <c r="AV62" s="355"/>
      <c r="AW62" s="355"/>
      <c r="AX62" s="355"/>
      <c r="AY62" s="355"/>
      <c r="AZ62" s="355"/>
      <c r="BA62" s="355"/>
      <c r="BB62" s="355"/>
    </row>
    <row r="63" spans="1:54" hidden="1" outlineLevel="1">
      <c r="A63" s="319" t="s">
        <v>238</v>
      </c>
      <c r="D63" s="355"/>
      <c r="E63" s="355"/>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c r="AD63" s="355"/>
      <c r="AE63" s="355"/>
      <c r="AG63" s="355">
        <f>+'Detailed Disclosures - USD'!X14</f>
        <v>2739.7258871312188</v>
      </c>
      <c r="AH63" s="355">
        <f>+'Detailed Disclosures - USD'!Y14</f>
        <v>7271.1898154374421</v>
      </c>
      <c r="AI63" s="355">
        <f>+'Detailed Disclosures - USD'!Z14</f>
        <v>19299.483002005178</v>
      </c>
      <c r="AJ63" s="355">
        <f>+'Detailed Disclosures - USD'!AA14</f>
        <v>27465.9339848573</v>
      </c>
      <c r="AK63" s="355">
        <f>+'Detailed Disclosures - USD'!AB14</f>
        <v>49969.626805237858</v>
      </c>
      <c r="AL63" s="355">
        <f>+'Detailed Disclosures - USD'!AC14</f>
        <v>38300.565069860582</v>
      </c>
      <c r="AM63" s="355">
        <f>+'Detailed Disclosures - USD'!AD14</f>
        <v>77428.035592404165</v>
      </c>
      <c r="AN63" s="355">
        <f>+'Detailed Disclosures - USD'!AE14</f>
        <v>88944.352219211927</v>
      </c>
      <c r="AO63" s="355"/>
      <c r="AP63" s="355"/>
      <c r="AQ63" s="355"/>
      <c r="AR63" s="355"/>
      <c r="AS63" s="355"/>
      <c r="AT63" s="355"/>
      <c r="AU63" s="355"/>
      <c r="AV63" s="355">
        <f>SUM(AG63:AH63)</f>
        <v>10010.915702568662</v>
      </c>
      <c r="AW63" s="355">
        <f>SUM(AI63:AJ63)</f>
        <v>46765.416986862474</v>
      </c>
      <c r="AX63" s="355">
        <f>SUM(AK63:AL63)</f>
        <v>88270.191875098448</v>
      </c>
      <c r="AY63" s="355">
        <f>SUM(AM63:AN63)</f>
        <v>166372.38781161609</v>
      </c>
      <c r="AZ63" s="355"/>
      <c r="BA63" s="355"/>
      <c r="BB63" s="355"/>
    </row>
    <row r="64" spans="1:54" s="513" customFormat="1" hidden="1" outlineLevel="1">
      <c r="A64" s="319" t="s">
        <v>41</v>
      </c>
      <c r="D64" s="533"/>
      <c r="E64" s="533"/>
      <c r="F64" s="533"/>
      <c r="G64" s="533"/>
      <c r="H64" s="533"/>
      <c r="I64" s="533"/>
      <c r="J64" s="533"/>
      <c r="K64" s="534"/>
      <c r="L64" s="535"/>
      <c r="M64" s="535"/>
      <c r="N64" s="533"/>
      <c r="O64" s="534"/>
      <c r="P64" s="534"/>
      <c r="Q64" s="534"/>
      <c r="R64" s="534"/>
      <c r="S64" s="534"/>
      <c r="T64" s="534"/>
      <c r="U64" s="534"/>
      <c r="V64" s="534"/>
      <c r="W64" s="534"/>
      <c r="X64" s="534"/>
      <c r="Y64" s="534"/>
      <c r="Z64" s="534"/>
      <c r="AA64" s="534"/>
      <c r="AB64" s="534"/>
      <c r="AC64" s="534"/>
      <c r="AD64" s="534"/>
      <c r="AE64" s="534"/>
      <c r="AG64" s="535" t="str">
        <f>+'Detailed Disclosures - USD'!X16</f>
        <v>NA</v>
      </c>
      <c r="AH64" s="535" t="str">
        <f>+'Detailed Disclosures - USD'!Y16</f>
        <v>NA</v>
      </c>
      <c r="AI64" s="535">
        <f>+'Detailed Disclosures - USD'!Z16</f>
        <v>7455.0394488455377</v>
      </c>
      <c r="AJ64" s="535">
        <f>+'Detailed Disclosures - USD'!AA16</f>
        <v>8829.7449182585115</v>
      </c>
      <c r="AK64" s="535">
        <f>+'Detailed Disclosures - USD'!AB16</f>
        <v>24912.862606936826</v>
      </c>
      <c r="AL64" s="535">
        <f>+'Detailed Disclosures - USD'!AC16</f>
        <v>22375.315283103104</v>
      </c>
      <c r="AM64" s="535">
        <f>+'Detailed Disclosures - USD'!AD16</f>
        <v>37622.935912735797</v>
      </c>
      <c r="AN64" s="535">
        <f>+'Detailed Disclosures - USD'!AE16</f>
        <v>53030.384740538342</v>
      </c>
      <c r="AO64" s="535"/>
      <c r="AP64" s="535"/>
      <c r="AQ64" s="535"/>
      <c r="AR64" s="535"/>
      <c r="AS64" s="535"/>
      <c r="AT64" s="535"/>
      <c r="AU64" s="535"/>
      <c r="AV64" s="535">
        <f>SUM(AG64:AH64)</f>
        <v>0</v>
      </c>
      <c r="AW64" s="535">
        <f>SUM(AI64:AJ64)</f>
        <v>16284.78436710405</v>
      </c>
      <c r="AX64" s="535">
        <f>SUM(AK64:AL64)</f>
        <v>47288.177890039929</v>
      </c>
      <c r="AY64" s="535">
        <f>SUM(AM64:AN64)</f>
        <v>90653.320653274131</v>
      </c>
      <c r="AZ64" s="535"/>
      <c r="BA64" s="535"/>
      <c r="BB64" s="535"/>
    </row>
    <row r="65" spans="1:54" collapsed="1">
      <c r="A65" s="536"/>
      <c r="D65" s="537"/>
      <c r="E65" s="537"/>
      <c r="F65" s="537"/>
      <c r="G65" s="537"/>
      <c r="H65" s="537"/>
      <c r="I65" s="537"/>
      <c r="J65" s="537"/>
      <c r="K65" s="537"/>
      <c r="L65" s="355"/>
      <c r="M65" s="355"/>
      <c r="N65" s="537"/>
      <c r="O65" s="538"/>
      <c r="P65" s="538"/>
      <c r="Q65" s="538"/>
      <c r="R65" s="538"/>
      <c r="S65" s="538"/>
      <c r="T65" s="538"/>
      <c r="U65" s="538"/>
      <c r="V65" s="538"/>
      <c r="W65" s="538"/>
      <c r="X65" s="538"/>
      <c r="Y65" s="538"/>
      <c r="Z65" s="538"/>
      <c r="AA65" s="538"/>
      <c r="AB65" s="538"/>
      <c r="AC65" s="538"/>
      <c r="AD65" s="538"/>
      <c r="AE65" s="538"/>
      <c r="AG65" s="537"/>
      <c r="AH65" s="537"/>
      <c r="AI65" s="537"/>
      <c r="AJ65" s="537"/>
      <c r="AK65" s="537"/>
      <c r="AL65" s="537"/>
      <c r="AM65" s="537"/>
      <c r="AN65" s="537"/>
      <c r="AO65" s="537"/>
      <c r="AP65" s="537"/>
      <c r="AQ65" s="537"/>
      <c r="AR65" s="537"/>
      <c r="AS65" s="355"/>
      <c r="AT65" s="537"/>
      <c r="AU65" s="537"/>
      <c r="AV65" s="537"/>
      <c r="AW65" s="537"/>
      <c r="AX65" s="537"/>
      <c r="AY65" s="537"/>
      <c r="AZ65" s="537"/>
      <c r="BA65" s="537"/>
      <c r="BB65" s="355"/>
    </row>
    <row r="66" spans="1:54">
      <c r="A66" s="530" t="s">
        <v>226</v>
      </c>
      <c r="D66" s="537"/>
      <c r="E66" s="537"/>
      <c r="F66" s="537"/>
      <c r="G66" s="537"/>
      <c r="H66" s="537"/>
      <c r="I66" s="537"/>
      <c r="J66" s="537"/>
      <c r="K66" s="537"/>
      <c r="L66" s="355"/>
      <c r="M66" s="355"/>
      <c r="N66" s="537"/>
      <c r="O66" s="538"/>
      <c r="P66" s="538"/>
      <c r="Q66" s="538"/>
      <c r="R66" s="538"/>
      <c r="S66" s="538"/>
      <c r="T66" s="538"/>
      <c r="U66" s="538"/>
      <c r="V66" s="538"/>
      <c r="W66" s="538"/>
      <c r="X66" s="538"/>
      <c r="Y66" s="538"/>
      <c r="Z66" s="538"/>
      <c r="AA66" s="538"/>
      <c r="AB66" s="538"/>
      <c r="AC66" s="538"/>
      <c r="AD66" s="538"/>
      <c r="AE66" s="538"/>
      <c r="AG66" s="537"/>
      <c r="AH66" s="537"/>
      <c r="AI66" s="537"/>
      <c r="AJ66" s="537"/>
      <c r="AK66" s="537"/>
      <c r="AL66" s="537"/>
      <c r="AM66" s="537"/>
      <c r="AN66" s="537"/>
      <c r="AO66" s="537"/>
      <c r="AP66" s="537"/>
      <c r="AQ66" s="537"/>
      <c r="AR66" s="537"/>
      <c r="AS66" s="355"/>
      <c r="AT66" s="537"/>
      <c r="AU66" s="537"/>
      <c r="AV66" s="537"/>
      <c r="AW66" s="537"/>
      <c r="AX66" s="537"/>
      <c r="AY66" s="537"/>
      <c r="AZ66" s="537"/>
      <c r="BA66" s="537"/>
      <c r="BB66" s="355"/>
    </row>
    <row r="67" spans="1:54">
      <c r="A67" s="338" t="str">
        <f>+A57</f>
        <v>Gross Revenue</v>
      </c>
      <c r="D67" s="344"/>
      <c r="E67" s="344"/>
      <c r="F67" s="344"/>
      <c r="G67" s="344"/>
      <c r="H67" s="344"/>
      <c r="I67" s="344"/>
      <c r="J67" s="344"/>
      <c r="K67" s="344"/>
      <c r="L67" s="344"/>
      <c r="M67" s="344"/>
      <c r="N67" s="344"/>
      <c r="O67" s="344"/>
      <c r="P67" s="344"/>
      <c r="Q67" s="344"/>
      <c r="R67" s="344">
        <f t="shared" ref="R67:X67" si="202">+R57+N57</f>
        <v>6.117723584512575</v>
      </c>
      <c r="S67" s="344">
        <f t="shared" si="202"/>
        <v>3.1046287138747362</v>
      </c>
      <c r="T67" s="344">
        <f t="shared" si="202"/>
        <v>2.418097869039368</v>
      </c>
      <c r="U67" s="344">
        <f t="shared" si="202"/>
        <v>2.3783852740709213</v>
      </c>
      <c r="V67" s="344">
        <f t="shared" si="202"/>
        <v>2.3799781621636775</v>
      </c>
      <c r="W67" s="344">
        <f t="shared" si="202"/>
        <v>1.708052482417358</v>
      </c>
      <c r="X67" s="344">
        <f t="shared" si="202"/>
        <v>1.4065925168521736</v>
      </c>
      <c r="Y67" s="344">
        <f t="shared" ref="Y67:AA69" si="203">+Y57+U57</f>
        <v>1.2324561849843663</v>
      </c>
      <c r="Z67" s="344">
        <f t="shared" si="203"/>
        <v>1.6308675210769068</v>
      </c>
      <c r="AA67" s="344">
        <f t="shared" si="203"/>
        <v>2.015637794978498</v>
      </c>
      <c r="AB67" s="344">
        <f t="shared" ref="AB67:AB69" si="204">+AB57+X57</f>
        <v>1.1555406628489688</v>
      </c>
      <c r="AC67" s="344">
        <f t="shared" ref="AC67:AC69" si="205">+AC57+Y57</f>
        <v>1.0616807383546907</v>
      </c>
      <c r="AD67" s="344">
        <f t="shared" ref="AD67:AD69" si="206">+AD57+Z57</f>
        <v>1.0526815061458734</v>
      </c>
      <c r="AE67" s="344">
        <f t="shared" ref="AE67:AE69" si="207">+AE57+AA57</f>
        <v>0.71928153432344843</v>
      </c>
      <c r="AH67" s="344"/>
      <c r="AI67" s="344"/>
      <c r="AJ67" s="344"/>
      <c r="AK67" s="344">
        <f t="shared" ref="AK67:AP67" si="208">+AK57+AI57</f>
        <v>7.0374391959711797</v>
      </c>
      <c r="AL67" s="344">
        <f t="shared" si="208"/>
        <v>4.0439670909252259</v>
      </c>
      <c r="AM67" s="344">
        <f t="shared" si="208"/>
        <v>2.391489377641145</v>
      </c>
      <c r="AN67" s="344">
        <f t="shared" si="208"/>
        <v>1.8205825873957304</v>
      </c>
      <c r="AO67" s="344">
        <f t="shared" si="208"/>
        <v>1.2926914389287096</v>
      </c>
      <c r="AP67" s="344">
        <f t="shared" si="208"/>
        <v>1.7845757230209907</v>
      </c>
      <c r="AQ67" s="344">
        <f t="shared" ref="AQ67:AQ69" si="209">+AQ57+AO57</f>
        <v>1.0954123418516415</v>
      </c>
      <c r="AR67" s="344">
        <f t="shared" ref="AR67:AR69" si="210">+AR57+AP57</f>
        <v>0.87034233539813965</v>
      </c>
      <c r="AU67" s="344"/>
      <c r="AV67" s="344">
        <f t="shared" ref="AV67:AZ67" si="211">+AV57+AU57</f>
        <v>13.244870254197078</v>
      </c>
      <c r="AW67" s="344">
        <f t="shared" si="211"/>
        <v>6.5622506078837262</v>
      </c>
      <c r="AX67" s="344">
        <f t="shared" si="211"/>
        <v>5.123547779763939</v>
      </c>
      <c r="AY67" s="344">
        <f t="shared" si="211"/>
        <v>1.9684765231604864</v>
      </c>
      <c r="AZ67" s="344">
        <f t="shared" si="211"/>
        <v>1.5047056464090469</v>
      </c>
      <c r="BA67" s="344">
        <f t="shared" ref="BA67:BA69" si="212">+BA57+AZ57</f>
        <v>0.9724343633292456</v>
      </c>
    </row>
    <row r="68" spans="1:54" s="513" customFormat="1" ht="18.5">
      <c r="A68" s="338" t="str">
        <f t="shared" ref="A68:A69" si="213">+A58</f>
        <v>Returns</v>
      </c>
      <c r="D68" s="514"/>
      <c r="E68" s="514"/>
      <c r="F68" s="514"/>
      <c r="G68" s="514"/>
      <c r="H68" s="514"/>
      <c r="I68" s="514"/>
      <c r="J68" s="514"/>
      <c r="K68" s="514"/>
      <c r="L68" s="514"/>
      <c r="M68" s="514"/>
      <c r="N68" s="514"/>
      <c r="O68" s="514"/>
      <c r="P68" s="514"/>
      <c r="Q68" s="514"/>
      <c r="R68" s="514">
        <f t="shared" ref="R68:X68" si="214">+R58+N58</f>
        <v>8.1429432629886271</v>
      </c>
      <c r="S68" s="514">
        <f t="shared" si="214"/>
        <v>5.0137856507797647</v>
      </c>
      <c r="T68" s="514">
        <f t="shared" si="214"/>
        <v>2.8934948054449054</v>
      </c>
      <c r="U68" s="514">
        <f t="shared" si="214"/>
        <v>1.5069141077278376</v>
      </c>
      <c r="V68" s="514">
        <f t="shared" si="214"/>
        <v>2.3326127374581929</v>
      </c>
      <c r="W68" s="514">
        <f t="shared" si="214"/>
        <v>1.3807744289946895</v>
      </c>
      <c r="X68" s="514">
        <f t="shared" si="214"/>
        <v>1.384153118957471</v>
      </c>
      <c r="Y68" s="514">
        <f t="shared" si="203"/>
        <v>1.0057926868974261</v>
      </c>
      <c r="Z68" s="514">
        <f t="shared" si="203"/>
        <v>1.3862997700753752</v>
      </c>
      <c r="AA68" s="514">
        <f t="shared" si="203"/>
        <v>1.9562744206703837</v>
      </c>
      <c r="AB68" s="514">
        <f t="shared" si="204"/>
        <v>1.3990817554182116</v>
      </c>
      <c r="AC68" s="514">
        <f t="shared" si="205"/>
        <v>0.99511787820260533</v>
      </c>
      <c r="AD68" s="514">
        <f t="shared" si="206"/>
        <v>1.2650589655345961</v>
      </c>
      <c r="AE68" s="514">
        <f t="shared" si="207"/>
        <v>0.83231699257397729</v>
      </c>
      <c r="AH68" s="514"/>
      <c r="AI68" s="514"/>
      <c r="AJ68" s="514"/>
      <c r="AK68" s="514">
        <f t="shared" ref="AK68:AP68" si="215">+AK58+AI58</f>
        <v>3.8199058418372647</v>
      </c>
      <c r="AL68" s="514">
        <f t="shared" si="215"/>
        <v>6.0405028727560612</v>
      </c>
      <c r="AM68" s="514">
        <f t="shared" si="215"/>
        <v>1.8387886630754331</v>
      </c>
      <c r="AN68" s="514">
        <f t="shared" si="215"/>
        <v>1.4657124555573691</v>
      </c>
      <c r="AO68" s="514">
        <f t="shared" si="215"/>
        <v>1.1331097282050744</v>
      </c>
      <c r="AP68" s="514">
        <f t="shared" si="215"/>
        <v>1.5625529476810376</v>
      </c>
      <c r="AQ68" s="514">
        <f t="shared" si="209"/>
        <v>1.132381443374161</v>
      </c>
      <c r="AR68" s="514">
        <f t="shared" si="210"/>
        <v>1.0287357174632481</v>
      </c>
      <c r="AU68" s="514"/>
      <c r="AV68" s="514">
        <f t="shared" ref="AV68:AZ68" si="216">+AV58+AU58</f>
        <v>41.5410264400724</v>
      </c>
      <c r="AW68" s="514">
        <f t="shared" si="216"/>
        <v>8.3149623554043739</v>
      </c>
      <c r="AX68" s="514">
        <f t="shared" si="216"/>
        <v>6.9330141969940513</v>
      </c>
      <c r="AY68" s="514">
        <f t="shared" si="216"/>
        <v>1.5801305462220727</v>
      </c>
      <c r="AZ68" s="514">
        <f t="shared" si="216"/>
        <v>1.3354317240247935</v>
      </c>
      <c r="BA68" s="514">
        <f t="shared" si="212"/>
        <v>1.0750150324180678</v>
      </c>
    </row>
    <row r="69" spans="1:54">
      <c r="A69" s="341" t="str">
        <f t="shared" si="213"/>
        <v>Total Net Revenue</v>
      </c>
      <c r="D69" s="344"/>
      <c r="E69" s="344"/>
      <c r="F69" s="344"/>
      <c r="G69" s="344"/>
      <c r="H69" s="344"/>
      <c r="I69" s="344"/>
      <c r="J69" s="344"/>
      <c r="K69" s="344"/>
      <c r="L69" s="344"/>
      <c r="M69" s="344"/>
      <c r="N69" s="344"/>
      <c r="O69" s="344"/>
      <c r="P69" s="344"/>
      <c r="Q69" s="344"/>
      <c r="R69" s="344">
        <f t="shared" ref="R69:X69" si="217">+R59+N59</f>
        <v>5.5436437423209846</v>
      </c>
      <c r="S69" s="344">
        <f t="shared" si="217"/>
        <v>2.7032687604611407</v>
      </c>
      <c r="T69" s="344">
        <f t="shared" si="217"/>
        <v>2.318160885749617</v>
      </c>
      <c r="U69" s="344">
        <f t="shared" si="217"/>
        <v>2.8125488378546266</v>
      </c>
      <c r="V69" s="344">
        <f t="shared" si="217"/>
        <v>2.4354298065447146</v>
      </c>
      <c r="W69" s="344">
        <f t="shared" si="217"/>
        <v>1.8248846949457302</v>
      </c>
      <c r="X69" s="344">
        <f t="shared" si="217"/>
        <v>1.4335519684638247</v>
      </c>
      <c r="Y69" s="344">
        <f t="shared" si="203"/>
        <v>1.3100585648406518</v>
      </c>
      <c r="Z69" s="344">
        <f t="shared" si="203"/>
        <v>1.7734680315046905</v>
      </c>
      <c r="AA69" s="344">
        <f t="shared" si="203"/>
        <v>2.0384013746870715</v>
      </c>
      <c r="AB69" s="344">
        <f t="shared" si="204"/>
        <v>1.0894758496610537</v>
      </c>
      <c r="AC69" s="344">
        <f t="shared" si="205"/>
        <v>1.0819519230033539</v>
      </c>
      <c r="AD69" s="344">
        <f t="shared" si="206"/>
        <v>0.98928212664362403</v>
      </c>
      <c r="AE69" s="344">
        <f t="shared" si="207"/>
        <v>0.68571656748109144</v>
      </c>
      <c r="AH69" s="344"/>
      <c r="AI69" s="344"/>
      <c r="AJ69" s="344"/>
      <c r="AK69" s="344">
        <f t="shared" ref="AK69:AP69" si="218">+AK59+AI59</f>
        <v>10.874251934732367</v>
      </c>
      <c r="AL69" s="344">
        <f t="shared" si="218"/>
        <v>3.5727014714811469</v>
      </c>
      <c r="AM69" s="344">
        <f t="shared" si="218"/>
        <v>2.6125833512236256</v>
      </c>
      <c r="AN69" s="344">
        <f t="shared" si="218"/>
        <v>1.959226295985149</v>
      </c>
      <c r="AO69" s="344">
        <f t="shared" si="218"/>
        <v>1.3516731100626824</v>
      </c>
      <c r="AP69" s="344">
        <f t="shared" si="218"/>
        <v>1.8858222909364555</v>
      </c>
      <c r="AQ69" s="344">
        <f t="shared" si="209"/>
        <v>1.0845964375748731</v>
      </c>
      <c r="AR69" s="344">
        <f t="shared" si="210"/>
        <v>0.82318752874834455</v>
      </c>
      <c r="AU69" s="344"/>
      <c r="AV69" s="344">
        <f>+AV59+AU59</f>
        <v>11.408030741468975</v>
      </c>
      <c r="AW69" s="344">
        <f>+AW59+AV59</f>
        <v>6.1138008436403606</v>
      </c>
      <c r="AX69" s="344">
        <f>+AX59+AW59</f>
        <v>4.6740870034925059</v>
      </c>
      <c r="AY69" s="344">
        <f>+AY59+AX59</f>
        <v>2.1158463249601596</v>
      </c>
      <c r="AZ69" s="344">
        <f>+AZ59+AY59</f>
        <v>1.5753749466400122</v>
      </c>
      <c r="BA69" s="344">
        <f t="shared" si="212"/>
        <v>0.94216402532599353</v>
      </c>
    </row>
    <row r="70" spans="1:54">
      <c r="A70" s="531"/>
      <c r="D70" s="355"/>
      <c r="E70" s="355"/>
      <c r="F70" s="355"/>
      <c r="G70" s="355"/>
      <c r="H70" s="355"/>
      <c r="I70" s="355"/>
      <c r="J70" s="355"/>
      <c r="K70" s="355"/>
      <c r="L70" s="355"/>
      <c r="M70" s="355"/>
      <c r="N70" s="519"/>
      <c r="O70" s="519"/>
      <c r="P70" s="519"/>
      <c r="Q70" s="519"/>
      <c r="R70" s="519"/>
      <c r="S70" s="519"/>
      <c r="T70" s="519"/>
      <c r="U70" s="519"/>
      <c r="V70" s="519"/>
      <c r="W70" s="519"/>
      <c r="X70" s="519"/>
      <c r="Y70" s="519"/>
      <c r="Z70" s="519"/>
      <c r="AA70" s="519"/>
      <c r="AB70" s="519"/>
      <c r="AC70" s="519"/>
      <c r="AD70" s="519"/>
      <c r="AE70" s="519"/>
      <c r="AG70" s="355"/>
      <c r="AH70" s="355"/>
      <c r="AI70" s="519"/>
      <c r="AJ70" s="519"/>
      <c r="AK70" s="519"/>
      <c r="AL70" s="519"/>
      <c r="AM70" s="519"/>
      <c r="AN70" s="519"/>
      <c r="AO70" s="519"/>
      <c r="AP70" s="519"/>
      <c r="AQ70" s="519"/>
      <c r="AR70" s="519"/>
      <c r="AS70" s="355"/>
      <c r="AT70" s="355"/>
      <c r="AU70" s="519"/>
      <c r="AV70" s="519"/>
      <c r="AW70" s="519"/>
      <c r="AX70" s="519"/>
      <c r="AY70" s="519"/>
      <c r="AZ70" s="519"/>
      <c r="BA70" s="519"/>
      <c r="BB70" s="355"/>
    </row>
    <row r="71" spans="1:54">
      <c r="A71" s="530" t="s">
        <v>224</v>
      </c>
      <c r="D71" s="537"/>
      <c r="E71" s="537"/>
      <c r="F71" s="537"/>
      <c r="G71" s="537"/>
      <c r="H71" s="537"/>
      <c r="I71" s="537"/>
      <c r="J71" s="537"/>
      <c r="K71" s="537"/>
      <c r="L71" s="355"/>
      <c r="M71" s="355"/>
      <c r="N71" s="537"/>
      <c r="O71" s="538"/>
      <c r="P71" s="538"/>
      <c r="Q71" s="538"/>
      <c r="R71" s="538"/>
      <c r="S71" s="538"/>
      <c r="T71" s="538"/>
      <c r="U71" s="538"/>
      <c r="V71" s="538"/>
      <c r="W71" s="538"/>
      <c r="X71" s="538"/>
      <c r="Y71" s="538"/>
      <c r="Z71" s="538"/>
      <c r="AA71" s="538"/>
      <c r="AB71" s="538"/>
      <c r="AC71" s="538"/>
      <c r="AD71" s="538"/>
      <c r="AE71" s="538"/>
      <c r="AG71" s="537"/>
      <c r="AH71" s="537"/>
      <c r="AI71" s="537"/>
      <c r="AJ71" s="537"/>
      <c r="AK71" s="537"/>
      <c r="AL71" s="537"/>
      <c r="AM71" s="537"/>
      <c r="AN71" s="537"/>
      <c r="AO71" s="537"/>
      <c r="AP71" s="537"/>
      <c r="AQ71" s="537"/>
      <c r="AR71" s="537"/>
      <c r="AS71" s="355"/>
      <c r="AT71" s="537"/>
      <c r="AU71" s="537"/>
      <c r="AV71" s="537"/>
      <c r="AW71" s="537"/>
      <c r="AX71" s="537"/>
      <c r="AY71" s="537"/>
      <c r="AZ71" s="537"/>
      <c r="BA71" s="537"/>
      <c r="BB71" s="355"/>
    </row>
    <row r="72" spans="1:54">
      <c r="A72" s="338" t="str">
        <f>+A67</f>
        <v>Gross Revenue</v>
      </c>
      <c r="D72" s="344"/>
      <c r="E72" s="344"/>
      <c r="F72" s="344"/>
      <c r="G72" s="344"/>
      <c r="H72" s="344"/>
      <c r="I72" s="344"/>
      <c r="J72" s="344"/>
      <c r="K72" s="344">
        <f t="shared" ref="K72:X72" si="219">+K52/J52-1</f>
        <v>1.6100703432302281</v>
      </c>
      <c r="L72" s="344">
        <f t="shared" si="219"/>
        <v>0.41644377914669461</v>
      </c>
      <c r="M72" s="344">
        <f t="shared" si="219"/>
        <v>0.89862158836872563</v>
      </c>
      <c r="N72" s="344">
        <f t="shared" si="219"/>
        <v>-0.21727315835099548</v>
      </c>
      <c r="O72" s="344">
        <f t="shared" si="219"/>
        <v>0.82839748126911572</v>
      </c>
      <c r="P72" s="344">
        <f t="shared" si="219"/>
        <v>7.1367779215987692E-2</v>
      </c>
      <c r="Q72" s="344">
        <f t="shared" si="219"/>
        <v>0.94472957311956507</v>
      </c>
      <c r="R72" s="344">
        <f t="shared" si="219"/>
        <v>-0.31130726843450696</v>
      </c>
      <c r="S72" s="344">
        <f t="shared" si="219"/>
        <v>-0.1247587355978278</v>
      </c>
      <c r="T72" s="344">
        <f t="shared" si="219"/>
        <v>0.28557896586993214</v>
      </c>
      <c r="U72" s="344">
        <f t="shared" si="219"/>
        <v>0.80225042733156871</v>
      </c>
      <c r="V72" s="344">
        <f t="shared" si="219"/>
        <v>-0.13387237883819825</v>
      </c>
      <c r="W72" s="344">
        <f t="shared" si="219"/>
        <v>0.22195081449840393</v>
      </c>
      <c r="X72" s="344">
        <f t="shared" si="219"/>
        <v>-4.1102123775432764E-3</v>
      </c>
      <c r="Y72" s="344">
        <f t="shared" ref="Y72:AA74" si="220">+Y52/X52-1</f>
        <v>0.7417886648261256</v>
      </c>
      <c r="Z72" s="344">
        <f t="shared" si="220"/>
        <v>-0.11566396043683669</v>
      </c>
      <c r="AA72" s="344">
        <f t="shared" si="220"/>
        <v>1.921674091730563E-2</v>
      </c>
      <c r="AB72" s="522">
        <v>-0.2</v>
      </c>
      <c r="AC72" s="522">
        <v>0.7</v>
      </c>
      <c r="AD72" s="522">
        <v>-0.15</v>
      </c>
      <c r="AE72" s="344">
        <f t="shared" ref="AE72:AE74" si="221">+AE52/AD52-1</f>
        <v>-1.663311833535186E-4</v>
      </c>
      <c r="AH72" s="344">
        <f t="shared" ref="AH72:AP72" si="222">+AH52/AG52-1</f>
        <v>1.0482273362189303</v>
      </c>
      <c r="AI72" s="344">
        <f t="shared" si="222"/>
        <v>1.9684340971224992</v>
      </c>
      <c r="AJ72" s="344">
        <f t="shared" si="222"/>
        <v>0.45009869346525178</v>
      </c>
      <c r="AK72" s="344">
        <f t="shared" si="222"/>
        <v>1.0394552079853896</v>
      </c>
      <c r="AL72" s="344">
        <f t="shared" si="222"/>
        <v>-0.14710326648044436</v>
      </c>
      <c r="AM72" s="344">
        <f t="shared" si="222"/>
        <v>0.68142049183700615</v>
      </c>
      <c r="AN72" s="344">
        <f t="shared" si="222"/>
        <v>0.23772602537502974</v>
      </c>
      <c r="AO72" s="344">
        <f t="shared" si="222"/>
        <v>0.50163554426750001</v>
      </c>
      <c r="AP72" s="344">
        <f t="shared" si="222"/>
        <v>0.13438831890888991</v>
      </c>
      <c r="AQ72" s="344">
        <f t="shared" ref="AQ72:AQ74" si="223">+AQ52/AP52-1</f>
        <v>9.0278282548936106E-2</v>
      </c>
      <c r="AR72" s="344">
        <f t="shared" ref="AR72:AR74" si="224">+AR52/AQ52-1</f>
        <v>7.0281352385205276E-2</v>
      </c>
      <c r="AU72" s="344">
        <f t="shared" ref="AU72:AZ72" si="225">+AU52/AT52-1</f>
        <v>10.569613522252036</v>
      </c>
      <c r="AV72" s="344">
        <f t="shared" si="225"/>
        <v>2.675256731945042</v>
      </c>
      <c r="AW72" s="344">
        <f t="shared" si="225"/>
        <v>3.8869938759386837</v>
      </c>
      <c r="AX72" s="344">
        <f t="shared" si="225"/>
        <v>1.2365539038252553</v>
      </c>
      <c r="AY72" s="344">
        <f t="shared" si="225"/>
        <v>0.73192261933523106</v>
      </c>
      <c r="AZ72" s="344">
        <f t="shared" si="225"/>
        <v>0.77278302707381585</v>
      </c>
      <c r="BA72" s="344">
        <f t="shared" ref="BA72:BA74" si="226">+BA52/AZ52-1</f>
        <v>0.19965133625542975</v>
      </c>
    </row>
    <row r="73" spans="1:54" s="513" customFormat="1" ht="18.5">
      <c r="A73" s="338" t="str">
        <f t="shared" ref="A73:A74" si="227">+A68</f>
        <v>Returns</v>
      </c>
      <c r="D73" s="514"/>
      <c r="E73" s="514"/>
      <c r="F73" s="514"/>
      <c r="G73" s="514"/>
      <c r="H73" s="514"/>
      <c r="I73" s="514"/>
      <c r="J73" s="514"/>
      <c r="K73" s="514">
        <f t="shared" ref="K73:X73" si="228">+K53/J53-1</f>
        <v>1.2978294275605919</v>
      </c>
      <c r="L73" s="514">
        <f t="shared" si="228"/>
        <v>0.59980656631483975</v>
      </c>
      <c r="M73" s="514">
        <f t="shared" si="228"/>
        <v>2.1835447830392685</v>
      </c>
      <c r="N73" s="514">
        <f t="shared" si="228"/>
        <v>-0.39248039658840739</v>
      </c>
      <c r="O73" s="514">
        <f t="shared" si="228"/>
        <v>0.91096493879664986</v>
      </c>
      <c r="P73" s="514">
        <f t="shared" si="228"/>
        <v>-1.1756127733457911E-2</v>
      </c>
      <c r="Q73" s="514">
        <f t="shared" si="228"/>
        <v>0.97893277675868617</v>
      </c>
      <c r="R73" s="514">
        <f t="shared" si="228"/>
        <v>-0.18839062648423566</v>
      </c>
      <c r="S73" s="514">
        <f t="shared" si="228"/>
        <v>-0.30633664297513175</v>
      </c>
      <c r="T73" s="514">
        <f t="shared" si="228"/>
        <v>0.11390804711075853</v>
      </c>
      <c r="U73" s="514">
        <f t="shared" si="228"/>
        <v>0.97171100540266142</v>
      </c>
      <c r="V73" s="514">
        <f t="shared" si="228"/>
        <v>-0.14705700154445667</v>
      </c>
      <c r="W73" s="514">
        <f t="shared" si="228"/>
        <v>0.21696335167431169</v>
      </c>
      <c r="X73" s="514">
        <f t="shared" si="228"/>
        <v>4.7152366433357296E-2</v>
      </c>
      <c r="Y73" s="514">
        <f t="shared" si="220"/>
        <v>0.62778216905915518</v>
      </c>
      <c r="Z73" s="514">
        <f t="shared" si="220"/>
        <v>6.019515980162371E-3</v>
      </c>
      <c r="AA73" s="514">
        <f t="shared" si="220"/>
        <v>-2.2327525080678701E-2</v>
      </c>
      <c r="AB73" s="514">
        <f t="shared" ref="AB73:AB74" si="229">+AB53/AA53-1</f>
        <v>-0.21553560154120111</v>
      </c>
      <c r="AC73" s="514">
        <f t="shared" ref="AC73:AC74" si="230">+AC53/AB53-1</f>
        <v>0.5887287265569634</v>
      </c>
      <c r="AD73" s="514">
        <f t="shared" ref="AD73:AD74" si="231">+AD53/AC53-1</f>
        <v>-3.3041117485677396E-2</v>
      </c>
      <c r="AE73" s="514">
        <f t="shared" si="221"/>
        <v>-4.0920524303921457E-2</v>
      </c>
      <c r="AH73" s="514">
        <f t="shared" ref="AH73:AP73" si="232">+AH53/AG53-1</f>
        <v>-0.30970324016624406</v>
      </c>
      <c r="AI73" s="514">
        <f t="shared" si="232"/>
        <v>3.6633874031953342</v>
      </c>
      <c r="AJ73" s="514">
        <f t="shared" si="232"/>
        <v>0.34574821389611654</v>
      </c>
      <c r="AK73" s="514">
        <f t="shared" si="232"/>
        <v>0.93259377995558412</v>
      </c>
      <c r="AL73" s="514">
        <f t="shared" si="232"/>
        <v>-8.6845035669704918E-2</v>
      </c>
      <c r="AM73" s="514">
        <f t="shared" si="232"/>
        <v>0.35574364031564953</v>
      </c>
      <c r="AN73" s="514">
        <f t="shared" si="232"/>
        <v>0.25462867814821899</v>
      </c>
      <c r="AO73" s="514">
        <f t="shared" si="232"/>
        <v>0.51049129172522356</v>
      </c>
      <c r="AP73" s="514">
        <f t="shared" si="232"/>
        <v>0.23244543449020227</v>
      </c>
      <c r="AQ73" s="514">
        <f t="shared" si="223"/>
        <v>3.9192941587258279E-3</v>
      </c>
      <c r="AR73" s="514">
        <f t="shared" si="224"/>
        <v>0.16258112373200051</v>
      </c>
      <c r="AU73" s="514">
        <f t="shared" ref="AU73:AZ73" si="233">+AU53/AT53-1</f>
        <v>39.037919671416425</v>
      </c>
      <c r="AV73" s="514">
        <f t="shared" si="233"/>
        <v>2.5031067686559725</v>
      </c>
      <c r="AW73" s="514">
        <f t="shared" si="233"/>
        <v>5.8118555867484014</v>
      </c>
      <c r="AX73" s="514">
        <f t="shared" si="233"/>
        <v>1.1211586102456499</v>
      </c>
      <c r="AY73" s="514">
        <f t="shared" si="233"/>
        <v>0.45897193597642283</v>
      </c>
      <c r="AZ73" s="514">
        <f t="shared" si="233"/>
        <v>0.87645978804837066</v>
      </c>
      <c r="BA73" s="514">
        <f t="shared" si="226"/>
        <v>0.19855524436969718</v>
      </c>
    </row>
    <row r="74" spans="1:54">
      <c r="A74" s="341" t="str">
        <f t="shared" si="227"/>
        <v>Total Net Revenue</v>
      </c>
      <c r="D74" s="344"/>
      <c r="E74" s="344"/>
      <c r="F74" s="344"/>
      <c r="G74" s="344"/>
      <c r="H74" s="344"/>
      <c r="I74" s="344"/>
      <c r="J74" s="344"/>
      <c r="K74" s="344">
        <f t="shared" ref="K74:X74" si="234">+K54/J54-1</f>
        <v>1.6919226756347183</v>
      </c>
      <c r="L74" s="344">
        <f t="shared" si="234"/>
        <v>0.37541319921991412</v>
      </c>
      <c r="M74" s="344">
        <f t="shared" si="234"/>
        <v>0.56418952400242017</v>
      </c>
      <c r="N74" s="344">
        <f t="shared" si="234"/>
        <v>-0.12446110620650541</v>
      </c>
      <c r="O74" s="344">
        <f t="shared" si="234"/>
        <v>0.79804836174548166</v>
      </c>
      <c r="P74" s="344">
        <f t="shared" si="234"/>
        <v>0.10384018624872104</v>
      </c>
      <c r="Q74" s="344">
        <f t="shared" si="234"/>
        <v>0.93276731277945801</v>
      </c>
      <c r="R74" s="344">
        <f t="shared" si="234"/>
        <v>-0.35532307052508838</v>
      </c>
      <c r="S74" s="344">
        <f t="shared" si="234"/>
        <v>-4.2899842927731746E-2</v>
      </c>
      <c r="T74" s="344">
        <f t="shared" si="234"/>
        <v>0.34166967829095563</v>
      </c>
      <c r="U74" s="344">
        <f t="shared" si="234"/>
        <v>0.75628125919293177</v>
      </c>
      <c r="V74" s="344">
        <f t="shared" si="234"/>
        <v>-0.12985710784787641</v>
      </c>
      <c r="W74" s="344">
        <f t="shared" si="234"/>
        <v>0.22343968271091619</v>
      </c>
      <c r="X74" s="344">
        <f t="shared" si="234"/>
        <v>-1.9332221335370159E-2</v>
      </c>
      <c r="Y74" s="344">
        <f t="shared" si="220"/>
        <v>0.77793706592296985</v>
      </c>
      <c r="Z74" s="344">
        <f t="shared" si="220"/>
        <v>-0.15098805242843538</v>
      </c>
      <c r="AA74" s="344">
        <f t="shared" si="220"/>
        <v>3.3507098383627865E-2</v>
      </c>
      <c r="AB74" s="344">
        <f t="shared" si="229"/>
        <v>-0.19494478069634269</v>
      </c>
      <c r="AC74" s="344">
        <f t="shared" si="230"/>
        <v>0.73528113548193841</v>
      </c>
      <c r="AD74" s="344">
        <f t="shared" si="231"/>
        <v>-0.18395256650140668</v>
      </c>
      <c r="AE74" s="344">
        <f t="shared" si="221"/>
        <v>1.3852257759166431E-2</v>
      </c>
      <c r="AH74" s="344">
        <f t="shared" ref="AH74:AP74" si="235">+AH54/AG54-1</f>
        <v>2.7974913791309239</v>
      </c>
      <c r="AI74" s="344">
        <f t="shared" si="235"/>
        <v>1.5715400562030104</v>
      </c>
      <c r="AJ74" s="344">
        <f t="shared" si="235"/>
        <v>0.4944105035581392</v>
      </c>
      <c r="AK74" s="344">
        <f t="shared" si="235"/>
        <v>1.0803191176785227</v>
      </c>
      <c r="AL74" s="344">
        <f t="shared" si="235"/>
        <v>-0.16850977983552518</v>
      </c>
      <c r="AM74" s="344">
        <f t="shared" si="235"/>
        <v>0.80847901099136377</v>
      </c>
      <c r="AN74" s="344">
        <f t="shared" si="235"/>
        <v>0.23278251020017771</v>
      </c>
      <c r="AO74" s="344">
        <f t="shared" si="235"/>
        <v>0.49899960760359519</v>
      </c>
      <c r="AP74" s="344">
        <f t="shared" si="235"/>
        <v>0.10497760487753616</v>
      </c>
      <c r="AQ74" s="344">
        <f t="shared" si="223"/>
        <v>0.11916832799637511</v>
      </c>
      <c r="AR74" s="344">
        <f t="shared" si="224"/>
        <v>4.258358947228591E-2</v>
      </c>
      <c r="AU74" s="344">
        <f t="shared" ref="AU74:AZ74" si="236">+AU54/AT54-1</f>
        <v>8.6856814976749792</v>
      </c>
      <c r="AV74" s="344">
        <f t="shared" si="236"/>
        <v>2.7223492437939956</v>
      </c>
      <c r="AW74" s="344">
        <f t="shared" si="236"/>
        <v>3.3914515998463646</v>
      </c>
      <c r="AX74" s="344">
        <f t="shared" si="236"/>
        <v>1.2826354036461409</v>
      </c>
      <c r="AY74" s="344">
        <f t="shared" si="236"/>
        <v>0.83321092131401864</v>
      </c>
      <c r="AZ74" s="344">
        <f t="shared" si="236"/>
        <v>0.74216402532599357</v>
      </c>
      <c r="BA74" s="344">
        <f t="shared" si="226"/>
        <v>0.19999999999999996</v>
      </c>
    </row>
    <row r="75" spans="1:54">
      <c r="A75" s="341"/>
      <c r="D75" s="344"/>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c r="AC75" s="344"/>
      <c r="AD75" s="344"/>
      <c r="AE75" s="344"/>
      <c r="AH75" s="344"/>
      <c r="AI75" s="344"/>
      <c r="AJ75" s="344"/>
      <c r="AK75" s="344"/>
      <c r="AL75" s="344"/>
      <c r="AM75" s="344"/>
      <c r="AN75" s="344"/>
      <c r="AO75" s="344"/>
      <c r="AP75" s="344"/>
      <c r="AQ75" s="344"/>
      <c r="AR75" s="344"/>
      <c r="AU75" s="344"/>
      <c r="AV75" s="344"/>
      <c r="AW75" s="344"/>
      <c r="AX75" s="344"/>
      <c r="AY75" s="344"/>
      <c r="AZ75" s="344"/>
      <c r="BA75" s="344"/>
    </row>
    <row r="76" spans="1:54">
      <c r="A76" s="319" t="s">
        <v>26</v>
      </c>
      <c r="D76" s="355"/>
      <c r="E76" s="355"/>
      <c r="F76" s="355"/>
      <c r="G76" s="355"/>
      <c r="H76" s="355"/>
      <c r="I76" s="355"/>
      <c r="J76" s="355"/>
      <c r="K76" s="355"/>
      <c r="L76" s="355"/>
      <c r="M76" s="355"/>
      <c r="N76" s="355"/>
      <c r="O76" s="355"/>
      <c r="P76" s="355"/>
      <c r="Q76" s="355"/>
      <c r="R76" s="355"/>
      <c r="S76" s="355"/>
      <c r="T76" s="355">
        <f>+T78*T54</f>
        <v>11798.247680518711</v>
      </c>
      <c r="U76" s="355">
        <f>+AM76-T76</f>
        <v>19539.255919187424</v>
      </c>
      <c r="V76" s="355">
        <f>+V78*V54</f>
        <v>13175.964199091315</v>
      </c>
      <c r="W76" s="355">
        <f>+AN76-V76</f>
        <v>19611.787963123206</v>
      </c>
      <c r="X76" s="355">
        <f>+X78*X54</f>
        <v>19968.457389904223</v>
      </c>
      <c r="Y76" s="355">
        <f>+AO76-X76</f>
        <v>33648.447668537527</v>
      </c>
      <c r="Z76" s="355">
        <f>+Z78*Z54</f>
        <v>25872.040383807995</v>
      </c>
      <c r="AA76" s="355">
        <f>+AP76-Z76</f>
        <v>22063.211523659185</v>
      </c>
      <c r="AB76" s="355"/>
      <c r="AC76" s="355"/>
      <c r="AD76" s="355"/>
      <c r="AE76" s="355"/>
      <c r="AG76" s="355">
        <f>+'Historical - USD'!C40*1000</f>
        <v>1527.1642906150043</v>
      </c>
      <c r="AH76" s="355">
        <f>+'Historical - USD'!D40*1000</f>
        <v>2745.0956271986893</v>
      </c>
      <c r="AI76" s="355">
        <f>+'Historical - USD'!E40*1000</f>
        <v>8200.5924721832944</v>
      </c>
      <c r="AJ76" s="355">
        <f>+'Historical - USD'!F40*1000</f>
        <v>8196.0102951112131</v>
      </c>
      <c r="AK76" s="328">
        <f>+'Historical - USD'!G40*1000</f>
        <v>18077.045451021761</v>
      </c>
      <c r="AL76" s="328">
        <f>+'Historical - USD'!H40*1000</f>
        <v>9093.8102655967105</v>
      </c>
      <c r="AM76" s="328">
        <f>+'Historical - USD'!I40*1000</f>
        <v>31337.503599706135</v>
      </c>
      <c r="AN76" s="328">
        <f>+'Historical - USD'!J40*1000</f>
        <v>32787.752162214521</v>
      </c>
      <c r="AO76" s="328">
        <f>+'Historical - USD'!K40*1000</f>
        <v>53616.905058441749</v>
      </c>
      <c r="AP76" s="328">
        <f>+'Historical - USD'!L40*1000</f>
        <v>47935.25190746718</v>
      </c>
      <c r="AQ76" s="328">
        <f>+'Historical - USD'!M40*1000</f>
        <v>62882.130124067982</v>
      </c>
      <c r="AR76" s="328">
        <f>+'Historical - USD'!N40*1000</f>
        <v>59599.88812583105</v>
      </c>
      <c r="AS76" s="355"/>
      <c r="AT76" s="355">
        <f>+'Detailed Disclosures - USD'!AJ39</f>
        <v>217.7294363871915</v>
      </c>
      <c r="AU76" s="355">
        <f>+'Detailed Disclosures - USD'!AK39</f>
        <v>1046.0396090376685</v>
      </c>
      <c r="AV76" s="355">
        <f>+'Detailed Disclosures - USD'!AL39</f>
        <v>4272.2599178136943</v>
      </c>
      <c r="AW76" s="355">
        <f>+'Detailed Disclosures - USD'!AM39</f>
        <v>16396.602767294506</v>
      </c>
      <c r="AX76" s="355">
        <f>+'Detailed Disclosures - USD'!AN39</f>
        <v>27170.855716618476</v>
      </c>
      <c r="AY76" s="355">
        <f>+'Detailed Disclosures - USD'!AO39</f>
        <v>64125.255761920664</v>
      </c>
      <c r="AZ76" s="355">
        <f>+SUM(AO76:AP76)</f>
        <v>101552.15696590893</v>
      </c>
      <c r="BA76" s="355">
        <f>+SUM(AQ76:AR76)</f>
        <v>122482.01824989903</v>
      </c>
      <c r="BB76" s="355"/>
    </row>
    <row r="77" spans="1:54">
      <c r="A77" s="338" t="s">
        <v>237</v>
      </c>
      <c r="D77" s="344"/>
      <c r="E77" s="344"/>
      <c r="F77" s="344"/>
      <c r="G77" s="344"/>
      <c r="H77" s="344"/>
      <c r="I77" s="344"/>
      <c r="J77" s="344"/>
      <c r="K77" s="344"/>
      <c r="L77" s="344"/>
      <c r="M77" s="344"/>
      <c r="N77" s="344"/>
      <c r="O77" s="344"/>
      <c r="P77" s="344"/>
      <c r="Q77" s="344"/>
      <c r="R77" s="344"/>
      <c r="S77" s="344"/>
      <c r="T77" s="344"/>
      <c r="U77" s="344"/>
      <c r="V77" s="344"/>
      <c r="W77" s="344"/>
      <c r="X77" s="344">
        <f>+X76/T76-1</f>
        <v>0.69249348976426206</v>
      </c>
      <c r="Y77" s="344">
        <f t="shared" ref="Y77:AA77" si="237">+Y76/U76-1</f>
        <v>0.72209462876705377</v>
      </c>
      <c r="Z77" s="344">
        <f t="shared" si="237"/>
        <v>0.96357852775527952</v>
      </c>
      <c r="AA77" s="344">
        <f t="shared" si="237"/>
        <v>0.12499745383467764</v>
      </c>
      <c r="AB77" s="344"/>
      <c r="AC77" s="344"/>
      <c r="AD77" s="344"/>
      <c r="AE77" s="344"/>
      <c r="AH77" s="344"/>
      <c r="AI77" s="344">
        <f t="shared" ref="AI77:AO77" si="238">+AI76/AG76-1</f>
        <v>4.369816805290041</v>
      </c>
      <c r="AJ77" s="344">
        <f t="shared" si="238"/>
        <v>1.9856920880658224</v>
      </c>
      <c r="AK77" s="344">
        <f t="shared" si="238"/>
        <v>1.204358467066831</v>
      </c>
      <c r="AL77" s="344">
        <f t="shared" si="238"/>
        <v>0.10954109843188231</v>
      </c>
      <c r="AM77" s="344">
        <f t="shared" si="238"/>
        <v>0.73355229341058381</v>
      </c>
      <c r="AN77" s="344">
        <f t="shared" si="238"/>
        <v>2.6055021167810875</v>
      </c>
      <c r="AO77" s="344">
        <f t="shared" si="238"/>
        <v>0.71095010449219509</v>
      </c>
      <c r="AP77" s="344">
        <f>+AP76/AN76-1</f>
        <v>0.46198652686868358</v>
      </c>
      <c r="AQ77" s="344">
        <f t="shared" ref="AQ77:AR77" si="239">+AQ76/AO76-1</f>
        <v>0.17280417539071413</v>
      </c>
      <c r="AR77" s="344">
        <f t="shared" si="239"/>
        <v>0.24334150242666808</v>
      </c>
      <c r="AS77" s="344"/>
      <c r="AT77" s="344"/>
      <c r="AU77" s="344">
        <f t="shared" ref="AU77:AX77" si="240">+AU76/AT76-1</f>
        <v>3.804309543049019</v>
      </c>
      <c r="AV77" s="344">
        <f t="shared" si="240"/>
        <v>3.0842238486017486</v>
      </c>
      <c r="AW77" s="344">
        <f t="shared" si="240"/>
        <v>2.8379225708920299</v>
      </c>
      <c r="AX77" s="344">
        <f t="shared" si="240"/>
        <v>0.65710276099478615</v>
      </c>
      <c r="AY77" s="344">
        <f>+AY76/AX76-1</f>
        <v>1.3600749431936299</v>
      </c>
      <c r="AZ77" s="344">
        <f t="shared" ref="AZ77" si="241">+AZ76/AY76-1</f>
        <v>0.58365305150507307</v>
      </c>
      <c r="BA77" s="344">
        <f t="shared" ref="BA77" si="242">+BA76/AZ76-1</f>
        <v>0.20609962318197006</v>
      </c>
    </row>
    <row r="78" spans="1:54">
      <c r="A78" s="338" t="s">
        <v>239</v>
      </c>
      <c r="D78" s="344"/>
      <c r="E78" s="344"/>
      <c r="F78" s="344"/>
      <c r="G78" s="344"/>
      <c r="H78" s="344"/>
      <c r="I78" s="344"/>
      <c r="J78" s="344"/>
      <c r="K78" s="344"/>
      <c r="L78" s="344"/>
      <c r="M78" s="344"/>
      <c r="N78" s="344"/>
      <c r="O78" s="344"/>
      <c r="P78" s="344"/>
      <c r="Q78" s="344"/>
      <c r="R78" s="344"/>
      <c r="S78" s="344"/>
      <c r="T78" s="343">
        <f>+X78+2%</f>
        <v>0.26</v>
      </c>
      <c r="U78" s="339">
        <f>+U76/U54</f>
        <v>0.24517139207671876</v>
      </c>
      <c r="V78" s="343">
        <v>0.19</v>
      </c>
      <c r="W78" s="339">
        <f>+W76/W54</f>
        <v>0.23115634617417996</v>
      </c>
      <c r="X78" s="343">
        <v>0.24</v>
      </c>
      <c r="Y78" s="339">
        <f>+Y76/Y54</f>
        <v>0.22746541574568097</v>
      </c>
      <c r="Z78" s="343">
        <v>0.20599999999999999</v>
      </c>
      <c r="AA78" s="339">
        <f>+AA76/AA54</f>
        <v>0.16997764377116947</v>
      </c>
      <c r="AB78" s="343"/>
      <c r="AC78" s="343"/>
      <c r="AD78" s="343"/>
      <c r="AE78" s="343"/>
      <c r="AG78" s="319">
        <f>+'Historical - USD'!C40</f>
        <v>1.5271642906150042</v>
      </c>
      <c r="AH78" s="344">
        <f>+'Historical - USD'!D40</f>
        <v>2.745095627198689</v>
      </c>
      <c r="AI78" s="339">
        <f t="shared" ref="AI78:AP78" si="243">+AI76/AI54</f>
        <v>0.30651238448558216</v>
      </c>
      <c r="AJ78" s="339">
        <f t="shared" si="243"/>
        <v>0.20499127674232018</v>
      </c>
      <c r="AK78" s="339">
        <f t="shared" si="243"/>
        <v>0.21733535202003687</v>
      </c>
      <c r="AL78" s="339">
        <f t="shared" si="243"/>
        <v>0.1314896799343663</v>
      </c>
      <c r="AM78" s="339">
        <f t="shared" si="243"/>
        <v>0.25055132486616977</v>
      </c>
      <c r="AN78" s="339">
        <f t="shared" si="243"/>
        <v>0.21264613135063218</v>
      </c>
      <c r="AO78" s="339">
        <f t="shared" ref="AO78" si="244">+AO76/AO54</f>
        <v>0.2319776073313296</v>
      </c>
      <c r="AP78" s="339">
        <f t="shared" si="243"/>
        <v>0.18769204282955662</v>
      </c>
      <c r="AQ78" s="339">
        <f t="shared" ref="AQ78:AR78" si="245">+AQ76/AQ54</f>
        <v>0.21999999999999997</v>
      </c>
      <c r="AR78" s="339">
        <f t="shared" si="245"/>
        <v>0.19999999999999998</v>
      </c>
      <c r="AS78" s="339"/>
      <c r="AT78" s="339">
        <f t="shared" ref="AT78" si="246">+AT76/AT54</f>
        <v>0.51654411764705876</v>
      </c>
      <c r="AU78" s="339">
        <f>+AU76/AU54</f>
        <v>0.25621716287215412</v>
      </c>
      <c r="AV78" s="339">
        <f t="shared" ref="AV78:AY78" si="247">+AV76/AV54</f>
        <v>0.28112575647440874</v>
      </c>
      <c r="AW78" s="339">
        <f t="shared" si="247"/>
        <v>0.24569071558706831</v>
      </c>
      <c r="AX78" s="339">
        <f t="shared" si="247"/>
        <v>0.17836171405200485</v>
      </c>
      <c r="AY78" s="339">
        <f t="shared" si="247"/>
        <v>0.22962279313581394</v>
      </c>
      <c r="AZ78" s="339">
        <f t="shared" ref="AZ78:BA78" si="248">+AZ76/AZ54</f>
        <v>0.20873053958085552</v>
      </c>
      <c r="BA78" s="339">
        <f t="shared" si="248"/>
        <v>0.20979152094586598</v>
      </c>
    </row>
    <row r="79" spans="1:54">
      <c r="A79" s="338"/>
      <c r="D79" s="344"/>
      <c r="E79" s="344"/>
      <c r="F79" s="344"/>
      <c r="G79" s="344"/>
      <c r="H79" s="344"/>
      <c r="I79" s="344"/>
      <c r="J79" s="344"/>
      <c r="K79" s="344"/>
      <c r="L79" s="344"/>
      <c r="M79" s="344"/>
      <c r="N79" s="344"/>
      <c r="O79" s="344"/>
      <c r="P79" s="344"/>
      <c r="Q79" s="344"/>
      <c r="R79" s="344"/>
      <c r="S79" s="344"/>
      <c r="T79" s="344"/>
      <c r="U79" s="344"/>
      <c r="V79" s="344"/>
      <c r="W79" s="344"/>
      <c r="X79" s="344"/>
      <c r="Y79" s="344"/>
      <c r="Z79" s="344"/>
      <c r="AA79" s="339"/>
      <c r="AB79" s="339"/>
      <c r="AC79" s="339"/>
      <c r="AD79" s="339"/>
      <c r="AE79" s="339"/>
      <c r="AH79" s="344"/>
      <c r="AI79" s="344"/>
      <c r="AJ79" s="344"/>
      <c r="AK79" s="344"/>
      <c r="AL79" s="344"/>
      <c r="AM79" s="344"/>
      <c r="AN79" s="344"/>
      <c r="AO79" s="344"/>
      <c r="AP79" s="344"/>
      <c r="AQ79" s="344"/>
      <c r="AR79" s="344"/>
      <c r="AS79" s="344"/>
      <c r="AT79" s="344"/>
      <c r="AU79" s="344"/>
      <c r="AV79" s="344"/>
      <c r="AW79" s="344"/>
      <c r="AX79" s="344"/>
      <c r="AY79" s="344"/>
      <c r="AZ79" s="344"/>
      <c r="BA79" s="344"/>
    </row>
    <row r="80" spans="1:54">
      <c r="A80" s="513" t="s">
        <v>142</v>
      </c>
      <c r="D80" s="344"/>
      <c r="E80" s="344"/>
      <c r="F80" s="344"/>
      <c r="G80" s="344"/>
      <c r="H80" s="344"/>
      <c r="I80" s="344"/>
      <c r="J80" s="344"/>
      <c r="K80" s="344"/>
      <c r="L80" s="344"/>
      <c r="M80" s="344"/>
      <c r="N80" s="344"/>
      <c r="O80" s="344"/>
      <c r="P80" s="344"/>
      <c r="Q80" s="344"/>
      <c r="R80" s="344"/>
      <c r="S80" s="344"/>
      <c r="T80" s="344"/>
      <c r="U80" s="344"/>
      <c r="V80" s="344"/>
      <c r="W80" s="344"/>
      <c r="X80" s="344"/>
      <c r="Y80" s="344"/>
      <c r="Z80" s="344"/>
      <c r="AA80" s="339"/>
      <c r="AB80" s="339"/>
      <c r="AC80" s="339"/>
      <c r="AD80" s="339"/>
      <c r="AE80" s="339"/>
      <c r="AH80" s="344"/>
      <c r="AI80" s="344"/>
      <c r="AJ80" s="344"/>
      <c r="AK80" s="344"/>
      <c r="AL80" s="344"/>
      <c r="AM80" s="344"/>
      <c r="AN80" s="344"/>
      <c r="AO80" s="344"/>
      <c r="AP80" s="344"/>
      <c r="AQ80" s="344"/>
      <c r="AR80" s="344"/>
      <c r="AS80" s="344"/>
      <c r="AT80" s="344"/>
      <c r="AU80" s="344"/>
      <c r="AV80" s="344"/>
      <c r="AW80" s="344"/>
      <c r="AX80" s="344"/>
      <c r="AY80" s="344"/>
      <c r="AZ80" s="344"/>
      <c r="BA80" s="344"/>
    </row>
    <row r="81" spans="1:54">
      <c r="A81" s="319" t="str">
        <f>+'Detailed Disclosures - USD'!A45</f>
        <v>Advertising and Marketing Expense</v>
      </c>
      <c r="D81" s="355"/>
      <c r="E81" s="355"/>
      <c r="F81" s="355"/>
      <c r="G81" s="355"/>
      <c r="H81" s="355"/>
      <c r="I81" s="355"/>
      <c r="J81" s="355"/>
      <c r="K81" s="355"/>
      <c r="L81" s="355"/>
      <c r="M81" s="355"/>
      <c r="N81" s="355"/>
      <c r="O81" s="355"/>
      <c r="P81" s="355"/>
      <c r="Q81" s="355"/>
      <c r="R81" s="355"/>
      <c r="S81" s="355"/>
      <c r="T81" s="355">
        <f>+AM81-U81</f>
        <v>4706.7949760386482</v>
      </c>
      <c r="U81" s="355">
        <f>+U86*U54</f>
        <v>6296.0087004473362</v>
      </c>
      <c r="V81" s="355">
        <f>+V86*V54</f>
        <v>6379.9405595600047</v>
      </c>
      <c r="W81" s="355">
        <f>+AN81-V81</f>
        <v>7224.4858373830129</v>
      </c>
      <c r="X81" s="355">
        <f>+X86*X54</f>
        <v>8736.2001080830978</v>
      </c>
      <c r="Y81" s="355">
        <f>+AO81-X81</f>
        <v>13603.714506099079</v>
      </c>
      <c r="Z81" s="355">
        <f>+Z86*Z54</f>
        <v>12810.427762856385</v>
      </c>
      <c r="AA81" s="355">
        <f>+AP81-Z81</f>
        <v>14511.062539394205</v>
      </c>
      <c r="AB81" s="355"/>
      <c r="AC81" s="355"/>
      <c r="AD81" s="355"/>
      <c r="AE81" s="355"/>
      <c r="AG81" s="355"/>
      <c r="AH81" s="355"/>
      <c r="AI81" s="355">
        <f>+'Historical - USD'!E61*1000</f>
        <v>2793.3793113201241</v>
      </c>
      <c r="AJ81" s="355">
        <f>+'Historical - USD'!F61*1000</f>
        <v>6070.2505620820757</v>
      </c>
      <c r="AK81" s="328">
        <f>+'Historical - USD'!G61*1000</f>
        <v>18928.099280071656</v>
      </c>
      <c r="AL81" s="328">
        <f>+'Historical - USD'!H61*1000</f>
        <v>12336.167573866165</v>
      </c>
      <c r="AM81" s="328">
        <f>+'Historical - USD'!I61*1000</f>
        <v>11002.803676485984</v>
      </c>
      <c r="AN81" s="328">
        <f>+'Historical - USD'!J61*1000</f>
        <v>13604.426396943018</v>
      </c>
      <c r="AO81" s="328">
        <f>+'Historical - USD'!K61*1000</f>
        <v>22339.914614182177</v>
      </c>
      <c r="AP81" s="328">
        <f>+'Historical - USD'!L61*1000</f>
        <v>27321.49030225059</v>
      </c>
      <c r="AQ81" s="328">
        <f>+'Historical - USD'!M61*1000</f>
        <v>26826.406915937328</v>
      </c>
      <c r="AR81" s="328">
        <f>+'Historical - USD'!N61*1000</f>
        <v>28845.714657985063</v>
      </c>
      <c r="AS81" s="355"/>
      <c r="AT81" s="355"/>
      <c r="AU81" s="328">
        <f>+'Historical - USD'!R61*1000</f>
        <v>293.8634855191263</v>
      </c>
      <c r="AV81" s="328">
        <f>+'Historical - USD'!S61*1000</f>
        <v>1286.3828662683554</v>
      </c>
      <c r="AW81" s="328">
        <f>+'Historical - USD'!T61*1000</f>
        <v>8863.6298734022002</v>
      </c>
      <c r="AX81" s="328">
        <f>+'Historical - USD'!U61*1000</f>
        <v>31264.266853937821</v>
      </c>
      <c r="AY81" s="328">
        <f>+'Historical - USD'!V61*1000</f>
        <v>24607.230073429</v>
      </c>
      <c r="AZ81" s="328">
        <f>+'Historical - USD'!W61*1000</f>
        <v>49661.404916432766</v>
      </c>
      <c r="BA81" s="328">
        <f>+'Historical - USD'!X61*1000</f>
        <v>55672.121573922399</v>
      </c>
      <c r="BB81" s="355"/>
    </row>
    <row r="82" spans="1:54" s="524" customFormat="1" ht="18.5">
      <c r="A82" s="319" t="s">
        <v>1674</v>
      </c>
      <c r="D82" s="525"/>
      <c r="E82" s="525"/>
      <c r="F82" s="525"/>
      <c r="G82" s="525"/>
      <c r="H82" s="525"/>
      <c r="I82" s="525"/>
      <c r="J82" s="525"/>
      <c r="K82" s="525"/>
      <c r="L82" s="525"/>
      <c r="M82" s="525"/>
      <c r="N82" s="525"/>
      <c r="O82" s="525"/>
      <c r="P82" s="525"/>
      <c r="Q82" s="525"/>
      <c r="R82" s="525"/>
      <c r="S82" s="525"/>
      <c r="T82" s="525">
        <f>+T83-T81</f>
        <v>3332.2902102237504</v>
      </c>
      <c r="U82" s="525">
        <f t="shared" ref="U82:AA82" si="249">+U83-U81</f>
        <v>5894.169002779242</v>
      </c>
      <c r="V82" s="525">
        <f t="shared" si="249"/>
        <v>4671.9496976736364</v>
      </c>
      <c r="W82" s="525">
        <f t="shared" si="249"/>
        <v>6024.1452339717716</v>
      </c>
      <c r="X82" s="525">
        <f t="shared" si="249"/>
        <v>5537.0835573205095</v>
      </c>
      <c r="Y82" s="525">
        <f t="shared" si="249"/>
        <v>8717.5405755032934</v>
      </c>
      <c r="Z82" s="525">
        <f t="shared" si="249"/>
        <v>9116.3007136967954</v>
      </c>
      <c r="AA82" s="525">
        <f t="shared" si="249"/>
        <v>7288.5913324767735</v>
      </c>
      <c r="AB82" s="525"/>
      <c r="AC82" s="525"/>
      <c r="AD82" s="525"/>
      <c r="AE82" s="525"/>
      <c r="AG82" s="525"/>
      <c r="AH82" s="525"/>
      <c r="AI82" s="525">
        <f t="shared" ref="AI82:AO82" si="250">+AI83-AI81</f>
        <v>2315.1780898976754</v>
      </c>
      <c r="AJ82" s="525">
        <f t="shared" si="250"/>
        <v>4514.9774357812366</v>
      </c>
      <c r="AK82" s="526">
        <f t="shared" si="250"/>
        <v>7166.8320724945843</v>
      </c>
      <c r="AL82" s="526">
        <f t="shared" si="250"/>
        <v>5948.5251443434427</v>
      </c>
      <c r="AM82" s="526">
        <f t="shared" si="250"/>
        <v>9914.5397155280025</v>
      </c>
      <c r="AN82" s="526">
        <f t="shared" si="250"/>
        <v>11630.725260752501</v>
      </c>
      <c r="AO82" s="526">
        <f t="shared" si="250"/>
        <v>15335.795387006525</v>
      </c>
      <c r="AP82" s="526">
        <f>+AP83-AP81</f>
        <v>18613.086804319835</v>
      </c>
      <c r="AQ82" s="526">
        <f t="shared" ref="AQ82:AR82" si="251">+AQ83-AQ81</f>
        <v>20007.950494021632</v>
      </c>
      <c r="AR82" s="526">
        <f t="shared" si="251"/>
        <v>20859.960844040867</v>
      </c>
      <c r="AS82" s="525"/>
      <c r="AT82" s="525"/>
      <c r="AU82" s="526">
        <f t="shared" ref="AU82:AY82" si="252">+AU83-AU81</f>
        <v>418.31736897699574</v>
      </c>
      <c r="AV82" s="526">
        <f t="shared" si="252"/>
        <v>1476.7304445603245</v>
      </c>
      <c r="AW82" s="526">
        <f t="shared" si="252"/>
        <v>6830.1555256789125</v>
      </c>
      <c r="AX82" s="526">
        <f t="shared" si="252"/>
        <v>13115.357216838034</v>
      </c>
      <c r="AY82" s="526">
        <f t="shared" si="252"/>
        <v>21545.264976280498</v>
      </c>
      <c r="AZ82" s="526">
        <f>+AZ83-AZ81</f>
        <v>33948.88219132636</v>
      </c>
      <c r="BA82" s="526">
        <f t="shared" ref="BA82" si="253">+BA83-BA81</f>
        <v>40867.911338062491</v>
      </c>
      <c r="BB82" s="525"/>
    </row>
    <row r="83" spans="1:54">
      <c r="A83" s="527" t="s">
        <v>144</v>
      </c>
      <c r="D83" s="355"/>
      <c r="E83" s="355"/>
      <c r="F83" s="355"/>
      <c r="G83" s="355"/>
      <c r="H83" s="355"/>
      <c r="I83" s="355"/>
      <c r="J83" s="355"/>
      <c r="K83" s="355"/>
      <c r="L83" s="508"/>
      <c r="M83" s="355"/>
      <c r="N83" s="355"/>
      <c r="O83" s="355"/>
      <c r="P83" s="355"/>
      <c r="Q83" s="355"/>
      <c r="R83" s="355"/>
      <c r="S83" s="355"/>
      <c r="T83" s="355">
        <f t="shared" ref="T83:AA83" si="254">+T76-T98</f>
        <v>8039.0851862623986</v>
      </c>
      <c r="U83" s="355">
        <f t="shared" si="254"/>
        <v>12190.177703226578</v>
      </c>
      <c r="V83" s="355">
        <f t="shared" si="254"/>
        <v>11051.890257233641</v>
      </c>
      <c r="W83" s="355">
        <f t="shared" si="254"/>
        <v>13248.631071354785</v>
      </c>
      <c r="X83" s="355">
        <f t="shared" si="254"/>
        <v>14273.283665403607</v>
      </c>
      <c r="Y83" s="355">
        <f t="shared" si="254"/>
        <v>22321.255081602372</v>
      </c>
      <c r="Z83" s="355">
        <f t="shared" si="254"/>
        <v>21926.72847655318</v>
      </c>
      <c r="AA83" s="355">
        <f t="shared" si="254"/>
        <v>21799.653871870978</v>
      </c>
      <c r="AB83" s="355"/>
      <c r="AC83" s="355"/>
      <c r="AD83" s="355"/>
      <c r="AE83" s="355"/>
      <c r="AG83" s="355"/>
      <c r="AH83" s="528"/>
      <c r="AI83" s="355">
        <f>+'Historical - USD'!E65*1000</f>
        <v>5108.5574012177995</v>
      </c>
      <c r="AJ83" s="355">
        <f>+'Historical - USD'!F65*1000</f>
        <v>10585.227997863312</v>
      </c>
      <c r="AK83" s="355">
        <f>+'Historical - USD'!G65*1000</f>
        <v>26094.93135256624</v>
      </c>
      <c r="AL83" s="355">
        <f>+'Historical - USD'!H65*1000</f>
        <v>18284.692718209608</v>
      </c>
      <c r="AM83" s="355">
        <f>+'Historical - USD'!I65*1000</f>
        <v>20917.343392013987</v>
      </c>
      <c r="AN83" s="355">
        <f>+'Historical - USD'!J65*1000</f>
        <v>25235.151657695518</v>
      </c>
      <c r="AO83" s="355">
        <f>+'Historical - USD'!K65*1000</f>
        <v>37675.710001188701</v>
      </c>
      <c r="AP83" s="355">
        <f>+'Historical - USD'!L65*1000</f>
        <v>45934.577106570425</v>
      </c>
      <c r="AQ83" s="355">
        <f>+'Historical - USD'!M65*1000</f>
        <v>46834.35740995896</v>
      </c>
      <c r="AR83" s="355">
        <f>+'Historical - USD'!N65*1000</f>
        <v>49705.67550202593</v>
      </c>
      <c r="AS83" s="355"/>
      <c r="AT83" s="355"/>
      <c r="AU83" s="355">
        <f>+'Historical - USD'!R65*1000</f>
        <v>712.18085449612204</v>
      </c>
      <c r="AV83" s="355">
        <f>+'Historical - USD'!S65*1000</f>
        <v>2763.1133108286799</v>
      </c>
      <c r="AW83" s="355">
        <f>+'Historical - USD'!T65*1000</f>
        <v>15693.785399081113</v>
      </c>
      <c r="AX83" s="355">
        <f>+'Historical - USD'!U65*1000</f>
        <v>44379.624070775855</v>
      </c>
      <c r="AY83" s="355">
        <f>+'Historical - USD'!V65*1000</f>
        <v>46152.495049709498</v>
      </c>
      <c r="AZ83" s="355">
        <f>+'Historical - USD'!W65*1000</f>
        <v>83610.287107759126</v>
      </c>
      <c r="BA83" s="355">
        <f>+'Historical - USD'!X65*1000</f>
        <v>96540.03291198489</v>
      </c>
    </row>
    <row r="84" spans="1:54">
      <c r="D84" s="355"/>
      <c r="E84" s="355"/>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c r="AD84" s="355"/>
      <c r="AE84" s="355"/>
      <c r="AG84" s="355"/>
      <c r="AH84" s="355"/>
      <c r="AI84" s="355"/>
      <c r="AJ84" s="355"/>
      <c r="AK84" s="328"/>
      <c r="AL84" s="328"/>
      <c r="AM84" s="328"/>
      <c r="AN84" s="328"/>
      <c r="AO84" s="328"/>
      <c r="AP84" s="328"/>
      <c r="AQ84" s="328"/>
      <c r="AR84" s="328"/>
      <c r="AS84" s="355"/>
      <c r="AT84" s="355"/>
      <c r="AU84" s="355"/>
      <c r="AV84" s="355"/>
      <c r="AW84" s="355"/>
      <c r="AX84" s="355"/>
      <c r="AY84" s="355"/>
      <c r="AZ84" s="355"/>
      <c r="BA84" s="355"/>
      <c r="BB84" s="355"/>
    </row>
    <row r="85" spans="1:54">
      <c r="A85" s="336" t="s">
        <v>32</v>
      </c>
      <c r="D85" s="355"/>
      <c r="E85" s="355"/>
      <c r="F85" s="355"/>
      <c r="G85" s="355"/>
      <c r="H85" s="355"/>
      <c r="I85" s="355"/>
      <c r="J85" s="355"/>
      <c r="K85" s="355"/>
      <c r="L85" s="355"/>
      <c r="M85" s="355"/>
      <c r="N85" s="355"/>
      <c r="O85" s="355"/>
      <c r="P85" s="355"/>
      <c r="Q85" s="355"/>
      <c r="R85" s="355"/>
      <c r="S85" s="355"/>
      <c r="T85" s="355"/>
      <c r="U85" s="355"/>
      <c r="V85" s="355"/>
      <c r="W85" s="355"/>
      <c r="X85" s="355"/>
      <c r="Y85" s="355"/>
      <c r="Z85" s="355"/>
      <c r="AA85" s="355"/>
      <c r="AB85" s="559"/>
      <c r="AC85" s="355"/>
      <c r="AD85" s="355"/>
      <c r="AE85" s="355"/>
      <c r="AG85" s="355"/>
      <c r="AH85" s="355"/>
      <c r="AI85" s="355"/>
      <c r="AJ85" s="355"/>
      <c r="AK85" s="328"/>
      <c r="AL85" s="328"/>
      <c r="AM85" s="328"/>
      <c r="AN85" s="328"/>
      <c r="AO85" s="328"/>
      <c r="AP85" s="328"/>
      <c r="AQ85" s="328"/>
      <c r="AR85" s="328"/>
      <c r="AS85" s="355"/>
      <c r="AT85" s="355"/>
      <c r="AU85" s="355"/>
      <c r="AV85" s="355"/>
      <c r="AW85" s="355"/>
      <c r="AX85" s="355"/>
      <c r="AY85" s="355"/>
      <c r="AZ85" s="355"/>
      <c r="BA85" s="355"/>
      <c r="BB85" s="355"/>
    </row>
    <row r="86" spans="1:54">
      <c r="A86" s="338" t="str">
        <f>+A81</f>
        <v>Advertising and Marketing Expense</v>
      </c>
      <c r="D86" s="355"/>
      <c r="E86" s="355"/>
      <c r="F86" s="355"/>
      <c r="G86" s="355"/>
      <c r="H86" s="355"/>
      <c r="I86" s="355"/>
      <c r="J86" s="355"/>
      <c r="K86" s="355"/>
      <c r="L86" s="355"/>
      <c r="M86" s="355"/>
      <c r="N86" s="355"/>
      <c r="O86" s="355"/>
      <c r="P86" s="355"/>
      <c r="Q86" s="355"/>
      <c r="R86" s="355"/>
      <c r="S86" s="355"/>
      <c r="T86" s="339">
        <f>+T81/T$54</f>
        <v>0.10372444509626073</v>
      </c>
      <c r="U86" s="343">
        <v>7.9000000000000001E-2</v>
      </c>
      <c r="V86" s="343">
        <f>+Z86-1%</f>
        <v>9.1999999999999998E-2</v>
      </c>
      <c r="W86" s="339">
        <f>+W81/W$54</f>
        <v>8.5152141778031973E-2</v>
      </c>
      <c r="X86" s="343">
        <v>0.105</v>
      </c>
      <c r="Y86" s="339">
        <f>+Y81/Y$54</f>
        <v>9.1961882054628227E-2</v>
      </c>
      <c r="Z86" s="343">
        <v>0.10199999999999999</v>
      </c>
      <c r="AA86" s="339">
        <f>+AA81/AA$54</f>
        <v>0.11179497673841961</v>
      </c>
      <c r="AB86" s="339"/>
      <c r="AC86" s="339"/>
      <c r="AD86" s="339"/>
      <c r="AE86" s="339"/>
      <c r="AG86" s="355"/>
      <c r="AH86" s="355"/>
      <c r="AI86" s="339">
        <f>+AI81/AI$54</f>
        <v>0.10440774326851432</v>
      </c>
      <c r="AJ86" s="339">
        <f t="shared" ref="AJ86:AZ86" si="255">+AJ81/AJ$54</f>
        <v>0.15182367616219627</v>
      </c>
      <c r="AK86" s="339">
        <f t="shared" si="255"/>
        <v>0.22756733843760182</v>
      </c>
      <c r="AL86" s="339">
        <f t="shared" si="255"/>
        <v>0.17837173621720973</v>
      </c>
      <c r="AM86" s="339">
        <f t="shared" si="255"/>
        <v>8.797021848325462E-2</v>
      </c>
      <c r="AN86" s="339">
        <f t="shared" si="255"/>
        <v>8.8231990660471091E-2</v>
      </c>
      <c r="AO86" s="339">
        <f t="shared" si="255"/>
        <v>9.6655335374831466E-2</v>
      </c>
      <c r="AP86" s="339">
        <f t="shared" si="255"/>
        <v>0.10697818669809699</v>
      </c>
      <c r="AQ86" s="339">
        <f t="shared" ref="AQ86:AR86" si="256">+AQ81/AQ$54</f>
        <v>9.3855114479452217E-2</v>
      </c>
      <c r="AR86" s="339">
        <f t="shared" si="256"/>
        <v>9.6797881892275256E-2</v>
      </c>
      <c r="AS86" s="339"/>
      <c r="AT86" s="339">
        <f t="shared" si="255"/>
        <v>0</v>
      </c>
      <c r="AU86" s="339">
        <f t="shared" si="255"/>
        <v>7.1978984238178639E-2</v>
      </c>
      <c r="AV86" s="339">
        <f t="shared" si="255"/>
        <v>8.4647320938393306E-2</v>
      </c>
      <c r="AW86" s="339">
        <f t="shared" si="255"/>
        <v>0.13281480299314663</v>
      </c>
      <c r="AX86" s="339">
        <f t="shared" si="255"/>
        <v>0.20523270532245241</v>
      </c>
      <c r="AY86" s="339">
        <f t="shared" si="255"/>
        <v>8.8114750322005234E-2</v>
      </c>
      <c r="AZ86" s="339">
        <f t="shared" si="255"/>
        <v>0.1020741671496961</v>
      </c>
      <c r="BA86" s="339">
        <f t="shared" ref="BA86" si="257">+BA81/BA$54</f>
        <v>9.5357173454201846E-2</v>
      </c>
      <c r="BB86" s="355"/>
    </row>
    <row r="87" spans="1:54" s="513" customFormat="1" ht="18.5">
      <c r="A87" s="338" t="str">
        <f t="shared" ref="A87:A88" si="258">+A82</f>
        <v>Other Opex</v>
      </c>
      <c r="D87" s="514"/>
      <c r="E87" s="514"/>
      <c r="F87" s="514"/>
      <c r="G87" s="514"/>
      <c r="H87" s="514"/>
      <c r="I87" s="514"/>
      <c r="J87" s="514"/>
      <c r="K87" s="514"/>
      <c r="L87" s="514"/>
      <c r="M87" s="514"/>
      <c r="N87" s="514"/>
      <c r="O87" s="514"/>
      <c r="P87" s="514"/>
      <c r="Q87" s="514"/>
      <c r="R87" s="514"/>
      <c r="S87" s="514"/>
      <c r="T87" s="330">
        <f t="shared" ref="T87:AA88" si="259">+T82/T$54</f>
        <v>7.3434248722271611E-2</v>
      </c>
      <c r="U87" s="330">
        <f t="shared" si="259"/>
        <v>7.3957863366115748E-2</v>
      </c>
      <c r="V87" s="330">
        <f t="shared" si="259"/>
        <v>6.7370435221675046E-2</v>
      </c>
      <c r="W87" s="330">
        <f t="shared" si="259"/>
        <v>7.1004204396148005E-2</v>
      </c>
      <c r="X87" s="330">
        <f t="shared" si="259"/>
        <v>6.6549960660896912E-2</v>
      </c>
      <c r="Y87" s="330">
        <f t="shared" si="259"/>
        <v>5.8931068999679793E-2</v>
      </c>
      <c r="Z87" s="330">
        <f t="shared" si="259"/>
        <v>7.2586387434554991E-2</v>
      </c>
      <c r="AA87" s="330">
        <f t="shared" si="259"/>
        <v>5.6152187081960188E-2</v>
      </c>
      <c r="AB87" s="330"/>
      <c r="AC87" s="330"/>
      <c r="AD87" s="330"/>
      <c r="AE87" s="330"/>
      <c r="AH87" s="514"/>
      <c r="AI87" s="330">
        <f t="shared" ref="AI87:AZ87" si="260">+AI82/AI$54</f>
        <v>8.6534083878744741E-2</v>
      </c>
      <c r="AJ87" s="330">
        <f t="shared" si="260"/>
        <v>0.11292457618990874</v>
      </c>
      <c r="AK87" s="330">
        <f t="shared" si="260"/>
        <v>8.6164853408390418E-2</v>
      </c>
      <c r="AL87" s="330">
        <f t="shared" si="260"/>
        <v>8.601121471275007E-2</v>
      </c>
      <c r="AM87" s="330">
        <f t="shared" si="260"/>
        <v>7.9269270867737315E-2</v>
      </c>
      <c r="AN87" s="330">
        <f t="shared" si="260"/>
        <v>7.5431481830929126E-2</v>
      </c>
      <c r="AO87" s="330">
        <f t="shared" si="260"/>
        <v>6.6351482177550505E-2</v>
      </c>
      <c r="AP87" s="330">
        <f t="shared" si="260"/>
        <v>7.2880148672431297E-2</v>
      </c>
      <c r="AQ87" s="330">
        <f t="shared" ref="AQ87:AR87" si="261">+AQ82/AQ$54</f>
        <v>6.9999999999999993E-2</v>
      </c>
      <c r="AR87" s="330">
        <f t="shared" si="261"/>
        <v>6.9999999999999993E-2</v>
      </c>
      <c r="AS87" s="330"/>
      <c r="AT87" s="330">
        <f t="shared" si="260"/>
        <v>0</v>
      </c>
      <c r="AU87" s="330">
        <f t="shared" si="260"/>
        <v>0.1024627447502041</v>
      </c>
      <c r="AV87" s="330">
        <f t="shared" si="260"/>
        <v>9.7172684088064634E-2</v>
      </c>
      <c r="AW87" s="330">
        <f t="shared" si="260"/>
        <v>0.10234472484887269</v>
      </c>
      <c r="AX87" s="330">
        <f t="shared" si="260"/>
        <v>8.6095101972397364E-2</v>
      </c>
      <c r="AY87" s="330">
        <f t="shared" si="260"/>
        <v>7.7150318761653763E-2</v>
      </c>
      <c r="AZ87" s="330">
        <f t="shared" si="260"/>
        <v>6.97786114020333E-2</v>
      </c>
      <c r="BA87" s="330">
        <f t="shared" ref="BA87" si="262">+BA82/BA$54</f>
        <v>6.9999999999999979E-2</v>
      </c>
    </row>
    <row r="88" spans="1:54">
      <c r="A88" s="341" t="str">
        <f t="shared" si="258"/>
        <v>Total Adj. Opex</v>
      </c>
      <c r="D88" s="344"/>
      <c r="E88" s="344"/>
      <c r="F88" s="344"/>
      <c r="G88" s="344"/>
      <c r="H88" s="344"/>
      <c r="I88" s="344"/>
      <c r="J88" s="344"/>
      <c r="K88" s="344"/>
      <c r="L88" s="344"/>
      <c r="M88" s="344"/>
      <c r="N88" s="344"/>
      <c r="O88" s="344"/>
      <c r="P88" s="344"/>
      <c r="Q88" s="344"/>
      <c r="R88" s="344"/>
      <c r="S88" s="344"/>
      <c r="T88" s="339">
        <f t="shared" si="259"/>
        <v>0.17715869381853233</v>
      </c>
      <c r="U88" s="339">
        <f t="shared" si="259"/>
        <v>0.15295786336611575</v>
      </c>
      <c r="V88" s="339">
        <f t="shared" si="259"/>
        <v>0.15937043522167504</v>
      </c>
      <c r="W88" s="339">
        <f t="shared" si="259"/>
        <v>0.15615634617417998</v>
      </c>
      <c r="X88" s="339">
        <f t="shared" si="259"/>
        <v>0.17154996066089692</v>
      </c>
      <c r="Y88" s="339">
        <f t="shared" si="259"/>
        <v>0.15089295105430803</v>
      </c>
      <c r="Z88" s="339">
        <f t="shared" si="259"/>
        <v>0.17458638743455498</v>
      </c>
      <c r="AA88" s="339">
        <f t="shared" si="259"/>
        <v>0.1679471638203798</v>
      </c>
      <c r="AB88" s="339"/>
      <c r="AC88" s="339"/>
      <c r="AD88" s="339"/>
      <c r="AE88" s="339"/>
      <c r="AH88" s="344"/>
      <c r="AI88" s="339">
        <f t="shared" ref="AI88:AZ88" si="263">+AI83/AI$54</f>
        <v>0.19094182714725907</v>
      </c>
      <c r="AJ88" s="339">
        <f t="shared" si="263"/>
        <v>0.26474825235210503</v>
      </c>
      <c r="AK88" s="339">
        <f t="shared" si="263"/>
        <v>0.31373219184599227</v>
      </c>
      <c r="AL88" s="339">
        <f t="shared" si="263"/>
        <v>0.26438295092995978</v>
      </c>
      <c r="AM88" s="339">
        <f t="shared" si="263"/>
        <v>0.16723948935099192</v>
      </c>
      <c r="AN88" s="339">
        <f t="shared" si="263"/>
        <v>0.16366347249140023</v>
      </c>
      <c r="AO88" s="339">
        <f t="shared" si="263"/>
        <v>0.16300681755238197</v>
      </c>
      <c r="AP88" s="339">
        <f t="shared" si="263"/>
        <v>0.17985833537052828</v>
      </c>
      <c r="AQ88" s="339">
        <f t="shared" ref="AQ88:AR88" si="264">+AQ83/AQ$54</f>
        <v>0.16385511447945222</v>
      </c>
      <c r="AR88" s="339">
        <f t="shared" si="264"/>
        <v>0.16679788189227526</v>
      </c>
      <c r="AS88" s="339"/>
      <c r="AT88" s="339">
        <f t="shared" si="263"/>
        <v>0</v>
      </c>
      <c r="AU88" s="339">
        <f t="shared" si="263"/>
        <v>0.17444172898838273</v>
      </c>
      <c r="AV88" s="339">
        <f t="shared" si="263"/>
        <v>0.18182000502645793</v>
      </c>
      <c r="AW88" s="339">
        <f t="shared" si="263"/>
        <v>0.23515952784201932</v>
      </c>
      <c r="AX88" s="339">
        <f t="shared" si="263"/>
        <v>0.29132780729484975</v>
      </c>
      <c r="AY88" s="339">
        <f t="shared" si="263"/>
        <v>0.16526506908365901</v>
      </c>
      <c r="AZ88" s="339">
        <f t="shared" si="263"/>
        <v>0.1718527785517294</v>
      </c>
      <c r="BA88" s="339">
        <f t="shared" ref="BA88" si="265">+BA83/BA$54</f>
        <v>0.16535717345420184</v>
      </c>
    </row>
    <row r="89" spans="1:54">
      <c r="A89" s="539"/>
      <c r="D89" s="355"/>
      <c r="E89" s="355"/>
      <c r="F89" s="355"/>
      <c r="G89" s="355"/>
      <c r="H89" s="355"/>
      <c r="I89" s="355"/>
      <c r="J89" s="355"/>
      <c r="K89" s="344"/>
      <c r="L89" s="344"/>
      <c r="M89" s="344"/>
      <c r="N89" s="344"/>
      <c r="O89" s="344"/>
      <c r="P89" s="344"/>
      <c r="Q89" s="344"/>
      <c r="R89" s="344"/>
      <c r="S89" s="344"/>
      <c r="T89" s="344"/>
      <c r="U89" s="344"/>
      <c r="V89" s="344"/>
      <c r="W89" s="344"/>
      <c r="X89" s="344"/>
      <c r="Y89" s="344"/>
      <c r="Z89" s="344"/>
      <c r="AA89" s="344"/>
      <c r="AB89" s="344"/>
      <c r="AC89" s="344"/>
      <c r="AD89" s="344"/>
      <c r="AE89" s="344"/>
      <c r="AF89" s="344"/>
      <c r="AG89" s="344"/>
      <c r="AH89" s="344"/>
      <c r="AI89" s="344"/>
      <c r="AJ89" s="344"/>
      <c r="AK89" s="344"/>
      <c r="AL89" s="344"/>
      <c r="AM89" s="344"/>
      <c r="AN89" s="344"/>
      <c r="AO89" s="344"/>
      <c r="AP89" s="344"/>
      <c r="AQ89" s="344"/>
      <c r="AR89" s="344"/>
      <c r="AS89" s="344"/>
      <c r="AT89" s="344"/>
      <c r="AU89" s="344"/>
      <c r="AV89" s="344"/>
      <c r="AW89" s="344"/>
      <c r="AX89" s="344"/>
      <c r="AY89" s="344"/>
      <c r="AZ89" s="344"/>
      <c r="BA89" s="344"/>
      <c r="BB89" s="355"/>
    </row>
    <row r="90" spans="1:54" hidden="1" outlineLevel="1">
      <c r="A90" s="540" t="s">
        <v>148</v>
      </c>
    </row>
    <row r="91" spans="1:54" hidden="1" outlineLevel="1">
      <c r="A91" s="539" t="s">
        <v>240</v>
      </c>
      <c r="D91" s="519"/>
      <c r="E91" s="519"/>
      <c r="F91" s="519"/>
      <c r="G91" s="519"/>
      <c r="H91" s="519"/>
      <c r="I91" s="519"/>
      <c r="J91" s="519">
        <f>+J54/AG54</f>
        <v>1.0285945055656012</v>
      </c>
      <c r="K91" s="519"/>
      <c r="L91" s="519"/>
      <c r="M91" s="519"/>
      <c r="N91" s="519">
        <f>+N54/AI54</f>
        <v>0.53409030522470824</v>
      </c>
      <c r="O91" s="519"/>
      <c r="P91" s="519"/>
      <c r="Q91" s="519"/>
      <c r="R91" s="519">
        <f>+R54/AK54</f>
        <v>0.42485828697103878</v>
      </c>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c r="AS91" s="519"/>
      <c r="AT91" s="519"/>
      <c r="AU91" s="519"/>
      <c r="AV91" s="519"/>
      <c r="AW91" s="519"/>
      <c r="AX91" s="519"/>
      <c r="AY91" s="519"/>
      <c r="AZ91" s="519"/>
      <c r="BA91" s="519"/>
    </row>
    <row r="92" spans="1:54" hidden="1" outlineLevel="1">
      <c r="A92" s="539" t="s">
        <v>241</v>
      </c>
      <c r="D92" s="519"/>
      <c r="E92" s="519"/>
      <c r="F92" s="519"/>
      <c r="G92" s="519"/>
      <c r="H92" s="519"/>
      <c r="I92" s="519"/>
      <c r="J92" s="519">
        <f>+J54/SUM(J54,AG54)</f>
        <v>0.50704786133629709</v>
      </c>
      <c r="K92" s="519"/>
      <c r="L92" s="519"/>
      <c r="M92" s="519"/>
      <c r="N92" s="519">
        <f>+N54/SUM(N54,AI54)</f>
        <v>0.34814789155875442</v>
      </c>
      <c r="O92" s="519"/>
      <c r="P92" s="519"/>
      <c r="Q92" s="519"/>
      <c r="R92" s="519">
        <f>+R54/SUM(R54,AK54)</f>
        <v>0.29817581920669584</v>
      </c>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row>
    <row r="93" spans="1:54" hidden="1" outlineLevel="1"/>
    <row r="94" spans="1:54" s="337" customFormat="1" hidden="1" outlineLevel="1">
      <c r="A94" s="540" t="s">
        <v>148</v>
      </c>
    </row>
    <row r="95" spans="1:54" s="337" customFormat="1" hidden="1" outlineLevel="1">
      <c r="A95" s="539" t="s">
        <v>242</v>
      </c>
      <c r="K95" s="541">
        <f>+K54/J54</f>
        <v>2.6919226756347183</v>
      </c>
      <c r="O95" s="541">
        <f>+O54/N54</f>
        <v>1.7980483617454817</v>
      </c>
      <c r="P95" s="541"/>
      <c r="Q95" s="541"/>
      <c r="R95" s="541"/>
      <c r="S95" s="541">
        <f>+S54/R54</f>
        <v>0.95710015707226825</v>
      </c>
      <c r="T95" s="541"/>
      <c r="U95" s="541"/>
      <c r="V95" s="541"/>
      <c r="W95" s="541"/>
      <c r="X95" s="541"/>
      <c r="Y95" s="541"/>
      <c r="Z95" s="541"/>
      <c r="AA95" s="541"/>
      <c r="AB95" s="541"/>
      <c r="AC95" s="541"/>
      <c r="AD95" s="541"/>
      <c r="AE95" s="541"/>
    </row>
    <row r="96" spans="1:54" s="337" customFormat="1" hidden="1" outlineLevel="1">
      <c r="A96" s="539" t="s">
        <v>243</v>
      </c>
      <c r="D96" s="519"/>
      <c r="E96" s="519"/>
      <c r="F96" s="519"/>
      <c r="G96" s="519"/>
      <c r="H96" s="519"/>
      <c r="I96" s="519"/>
      <c r="J96" s="519"/>
      <c r="K96" s="519">
        <f>+K54/AG54</f>
        <v>2.768896873565323</v>
      </c>
      <c r="N96" s="542"/>
      <c r="O96" s="519">
        <f>+O54/AI54</f>
        <v>0.96032019833343085</v>
      </c>
      <c r="P96" s="519"/>
      <c r="Q96" s="519"/>
      <c r="R96" s="519"/>
      <c r="S96" s="519">
        <f>+S54/AK54</f>
        <v>0.40663193319343605</v>
      </c>
      <c r="T96" s="519"/>
      <c r="U96" s="519"/>
      <c r="V96" s="519"/>
      <c r="W96" s="519"/>
      <c r="X96" s="519"/>
      <c r="Y96" s="519"/>
      <c r="Z96" s="519"/>
      <c r="AA96" s="519"/>
      <c r="AB96" s="519"/>
      <c r="AC96" s="519"/>
      <c r="AD96" s="519"/>
      <c r="AE96" s="519"/>
    </row>
    <row r="97" spans="1:54" s="337" customFormat="1" hidden="1" outlineLevel="1">
      <c r="A97" s="539" t="s">
        <v>244</v>
      </c>
      <c r="D97" s="519"/>
      <c r="E97" s="519"/>
      <c r="F97" s="519"/>
      <c r="G97" s="519"/>
      <c r="H97" s="519"/>
      <c r="I97" s="519"/>
      <c r="J97" s="519"/>
      <c r="K97" s="519">
        <f>K54/SUM(J54:K54)</f>
        <v>0.72913842248115912</v>
      </c>
      <c r="N97" s="519"/>
      <c r="O97" s="519">
        <f>O54/SUM(N54:O54)</f>
        <v>0.64260803577527204</v>
      </c>
      <c r="P97" s="519"/>
      <c r="Q97" s="519"/>
      <c r="R97" s="519"/>
      <c r="S97" s="519">
        <f>S54/SUM(R54:S54)</f>
        <v>0.48903994699180142</v>
      </c>
      <c r="T97" s="519"/>
      <c r="U97" s="519"/>
      <c r="V97" s="519"/>
      <c r="W97" s="519"/>
      <c r="X97" s="519"/>
      <c r="Y97" s="519"/>
      <c r="Z97" s="519"/>
      <c r="AA97" s="519"/>
      <c r="AB97" s="519"/>
      <c r="AC97" s="519"/>
      <c r="AD97" s="519"/>
      <c r="AE97" s="519"/>
    </row>
    <row r="98" spans="1:54" collapsed="1">
      <c r="A98" s="319" t="s">
        <v>245</v>
      </c>
      <c r="D98" s="355"/>
      <c r="E98" s="355"/>
      <c r="F98" s="355"/>
      <c r="G98" s="355"/>
      <c r="H98" s="355"/>
      <c r="I98" s="355"/>
      <c r="J98" s="355"/>
      <c r="K98" s="355"/>
      <c r="L98" s="355"/>
      <c r="M98" s="355"/>
      <c r="N98" s="355"/>
      <c r="O98" s="355"/>
      <c r="P98" s="355"/>
      <c r="Q98" s="355"/>
      <c r="R98" s="355"/>
      <c r="S98" s="355"/>
      <c r="T98" s="355">
        <f>+'Detailed Disclosures - USD'!N67</f>
        <v>3759.1624942563117</v>
      </c>
      <c r="U98" s="355">
        <f>+'Detailed Disclosures - USD'!O67</f>
        <v>7349.078215960847</v>
      </c>
      <c r="V98" s="543">
        <f>+'Detailed Disclosures - USD'!P67</f>
        <v>2124.0739418576741</v>
      </c>
      <c r="W98" s="543">
        <f>+'Detailed Disclosures - USD'!Q67</f>
        <v>6363.1568917684217</v>
      </c>
      <c r="X98" s="355">
        <f>+'Detailed Disclosures - USD'!R67</f>
        <v>5695.1737245006143</v>
      </c>
      <c r="Y98" s="355">
        <f>+'Detailed Disclosures - USD'!S67</f>
        <v>11327.192586935153</v>
      </c>
      <c r="Z98" s="355">
        <f>+'Detailed Disclosures - USD'!T67</f>
        <v>3945.3119072548157</v>
      </c>
      <c r="AA98" s="355">
        <f>+'Detailed Disclosures - USD'!U67</f>
        <v>263.55765178820894</v>
      </c>
      <c r="AB98" s="355"/>
      <c r="AC98" s="355"/>
      <c r="AD98" s="355"/>
      <c r="AE98" s="355"/>
      <c r="AF98" s="355"/>
      <c r="AG98" s="355">
        <f>+'Detailed Disclosures - USD'!X67</f>
        <v>615.46658570380339</v>
      </c>
      <c r="AH98" s="355">
        <f>+'Detailed Disclosures - USD'!Y67</f>
        <v>1217.9131944081403</v>
      </c>
      <c r="AI98" s="355">
        <f>+'Detailed Disclosures - USD'!Z67</f>
        <v>3465.8495304812495</v>
      </c>
      <c r="AJ98" s="355">
        <f>+'Detailed Disclosures - USD'!AA67</f>
        <v>-1885.9290775549757</v>
      </c>
      <c r="AK98" s="355">
        <f>+'Detailed Disclosures - USD'!AB67</f>
        <v>-7271.0821268599266</v>
      </c>
      <c r="AL98" s="355">
        <f>+'Detailed Disclosures - USD'!AC67</f>
        <v>-8294.6477416156213</v>
      </c>
      <c r="AM98" s="355">
        <f>+'Detailed Disclosures - USD'!AD67</f>
        <v>11179.197286602601</v>
      </c>
      <c r="AN98" s="355">
        <f>+'Detailed Disclosures - USD'!AE67</f>
        <v>8534.7965877795741</v>
      </c>
      <c r="AO98" s="355">
        <f>+'Detailed Disclosures - USD'!AF67</f>
        <v>17037.05215071101</v>
      </c>
      <c r="AP98" s="355">
        <f>+SUM(Z98:AA98)</f>
        <v>4208.8695590430243</v>
      </c>
      <c r="AQ98" s="355">
        <f t="shared" ref="AQ98:AR98" si="266">+AQ103+AQ104</f>
        <v>17368.369619373363</v>
      </c>
      <c r="AR98" s="355">
        <f t="shared" si="266"/>
        <v>11285.879918817636</v>
      </c>
      <c r="AS98" s="355"/>
      <c r="AT98" s="355">
        <f>+'Detailed Disclosures - USD'!AJ67</f>
        <v>130.94759697307961</v>
      </c>
      <c r="AU98" s="355">
        <f>+'Detailed Disclosures - USD'!AK67</f>
        <v>433.28776696980663</v>
      </c>
      <c r="AV98" s="355">
        <f>+'Detailed Disclosures - USD'!AL67</f>
        <v>1833.3797801119435</v>
      </c>
      <c r="AW98" s="355">
        <f>+'Detailed Disclosures - USD'!AM67</f>
        <v>1579.9204529262738</v>
      </c>
      <c r="AX98" s="355">
        <f>+'Detailed Disclosures - USD'!AN67</f>
        <v>-15565.729868475548</v>
      </c>
      <c r="AY98" s="355">
        <f>+'Detailed Disclosures - USD'!AO67</f>
        <v>19713.993874382177</v>
      </c>
      <c r="AZ98" s="355">
        <f>+SUM(AO98:AP98)</f>
        <v>21245.921709754035</v>
      </c>
      <c r="BA98" s="355">
        <f>+SUM(AQ98:AR98)</f>
        <v>28654.249538190998</v>
      </c>
      <c r="BB98" s="355"/>
    </row>
    <row r="99" spans="1:54">
      <c r="A99" s="338" t="s">
        <v>237</v>
      </c>
      <c r="D99" s="344"/>
      <c r="E99" s="344"/>
      <c r="F99" s="344"/>
      <c r="G99" s="344"/>
      <c r="H99" s="344"/>
      <c r="I99" s="344"/>
      <c r="J99" s="344"/>
      <c r="K99" s="344"/>
      <c r="L99" s="344"/>
      <c r="M99" s="344"/>
      <c r="N99" s="344"/>
      <c r="O99" s="344"/>
      <c r="P99" s="344"/>
      <c r="Q99" s="344"/>
      <c r="R99" s="344"/>
      <c r="S99" s="344"/>
      <c r="T99" s="344"/>
      <c r="U99" s="344"/>
      <c r="V99" s="522"/>
      <c r="W99" s="343"/>
      <c r="X99" s="344">
        <f>+X98/T98-1</f>
        <v>0.5150113178673088</v>
      </c>
      <c r="Y99" s="344">
        <f t="shared" ref="Y99" si="267">+Y98/U98-1</f>
        <v>0.54130793741377969</v>
      </c>
      <c r="Z99" s="344">
        <f>+'Detailed Disclosures - USD'!T68</f>
        <v>0.85742681999305637</v>
      </c>
      <c r="AA99" s="344">
        <f>+'Detailed Disclosures - USD'!U68</f>
        <v>-0.95858067681324099</v>
      </c>
      <c r="AB99" s="344"/>
      <c r="AC99" s="344"/>
      <c r="AD99" s="344"/>
      <c r="AE99" s="344"/>
      <c r="AH99" s="344"/>
      <c r="AI99" s="344">
        <f t="shared" ref="AI99" si="268">+AI98/AG98-1</f>
        <v>4.6312553938536771</v>
      </c>
      <c r="AJ99" s="344">
        <f t="shared" ref="AJ99" si="269">+AJ98/AH98-1</f>
        <v>-2.5484921964996579</v>
      </c>
      <c r="AK99" s="344">
        <f t="shared" ref="AK99" si="270">+AK98/AI98-1</f>
        <v>-3.0979220427524741</v>
      </c>
      <c r="AL99" s="344">
        <f t="shared" ref="AL99" si="271">+AL98/AJ98-1</f>
        <v>3.3981758594916345</v>
      </c>
      <c r="AM99" s="344">
        <f t="shared" ref="AM99" si="272">+AM98/AK98-1</f>
        <v>-2.5374874181802736</v>
      </c>
      <c r="AN99" s="344">
        <f t="shared" ref="AN99:AP99" si="273">+AN98/AL98-1</f>
        <v>-2.0289522658037766</v>
      </c>
      <c r="AO99" s="344">
        <f t="shared" si="273"/>
        <v>0.52399601813348373</v>
      </c>
      <c r="AP99" s="344">
        <f t="shared" si="273"/>
        <v>-0.50685766019667844</v>
      </c>
      <c r="AQ99" s="344">
        <f t="shared" ref="AQ99" si="274">+AQ98/AO98-1</f>
        <v>1.9446877648286565E-2</v>
      </c>
      <c r="AR99" s="344">
        <f t="shared" ref="AR99" si="275">+AR98/AP98-1</f>
        <v>1.6814515775546441</v>
      </c>
      <c r="AS99" s="344"/>
      <c r="AT99" s="344"/>
      <c r="AU99" s="344">
        <f t="shared" ref="AU99" si="276">+AU98/AT98-1</f>
        <v>2.308863827863008</v>
      </c>
      <c r="AV99" s="344">
        <f t="shared" ref="AV99" si="277">+AV98/AU98-1</f>
        <v>3.2313213523974271</v>
      </c>
      <c r="AW99" s="344">
        <f t="shared" ref="AW99" si="278">+AW98/AV98-1</f>
        <v>-0.13824703966692264</v>
      </c>
      <c r="AX99" s="344">
        <f t="shared" ref="AX99" si="279">+AX98/AW98-1</f>
        <v>-10.852223787371853</v>
      </c>
      <c r="AY99" s="344">
        <f>+AY98/AX98-1</f>
        <v>-2.2664998070092359</v>
      </c>
      <c r="AZ99" s="344">
        <f t="shared" ref="AZ99" si="280">+AZ98/AY98-1</f>
        <v>7.7707634745821874E-2</v>
      </c>
      <c r="BA99" s="344">
        <f t="shared" ref="BA99" si="281">+BA98/AZ98-1</f>
        <v>0.34869411314058407</v>
      </c>
    </row>
    <row r="100" spans="1:54">
      <c r="A100" s="338" t="s">
        <v>239</v>
      </c>
      <c r="D100" s="344"/>
      <c r="E100" s="344"/>
      <c r="F100" s="344"/>
      <c r="G100" s="344"/>
      <c r="H100" s="344"/>
      <c r="I100" s="344"/>
      <c r="J100" s="344"/>
      <c r="K100" s="344"/>
      <c r="L100" s="344"/>
      <c r="M100" s="344"/>
      <c r="N100" s="344"/>
      <c r="O100" s="344"/>
      <c r="P100" s="344"/>
      <c r="Q100" s="344"/>
      <c r="R100" s="344"/>
      <c r="S100" s="344"/>
      <c r="T100" s="544">
        <f>+T98/T54</f>
        <v>8.284130618146765E-2</v>
      </c>
      <c r="U100" s="544">
        <f>+U98/U54</f>
        <v>9.2213528710603024E-2</v>
      </c>
      <c r="V100" s="343">
        <f>+'Detailed Disclosures - USD'!P69</f>
        <v>3.0629564778324965E-2</v>
      </c>
      <c r="W100" s="343">
        <f>+'Detailed Disclosures - USD'!Q69</f>
        <v>7.4999999999999997E-2</v>
      </c>
      <c r="X100" s="544">
        <f>+X98/X54</f>
        <v>6.8450039339103069E-2</v>
      </c>
      <c r="Y100" s="544">
        <f>+Y98/Y54</f>
        <v>7.6572464691372952E-2</v>
      </c>
      <c r="Z100" s="544">
        <f>+Z98/Z54</f>
        <v>3.1413612565445025E-2</v>
      </c>
      <c r="AA100" s="544">
        <f>+AA98/AA54</f>
        <v>2.0304799507896939E-3</v>
      </c>
      <c r="AB100" s="544"/>
      <c r="AC100" s="544"/>
      <c r="AD100" s="544"/>
      <c r="AE100" s="544"/>
      <c r="AH100" s="344"/>
      <c r="AI100" s="544">
        <f t="shared" ref="AI100:AP100" si="282">+AI98/AI54</f>
        <v>0.1295425674985668</v>
      </c>
      <c r="AJ100" s="544">
        <f t="shared" si="282"/>
        <v>-4.7169170795705401E-2</v>
      </c>
      <c r="AK100" s="544">
        <f t="shared" si="282"/>
        <v>-8.7418223176419577E-2</v>
      </c>
      <c r="AL100" s="544">
        <f t="shared" si="282"/>
        <v>-0.11993438887102031</v>
      </c>
      <c r="AM100" s="544">
        <f t="shared" si="282"/>
        <v>8.9380530334421324E-2</v>
      </c>
      <c r="AN100" s="544">
        <f t="shared" si="282"/>
        <v>5.5352726447268678E-2</v>
      </c>
      <c r="AO100" s="544">
        <f t="shared" si="282"/>
        <v>7.3712098629959324E-2</v>
      </c>
      <c r="AP100" s="544">
        <f t="shared" si="282"/>
        <v>1.6479966081431222E-2</v>
      </c>
      <c r="AQ100" s="544">
        <f t="shared" ref="AQ100:AR100" si="283">+AQ98/AQ54</f>
        <v>6.0765138024477409E-2</v>
      </c>
      <c r="AR100" s="544">
        <f t="shared" si="283"/>
        <v>3.7872151353674263E-2</v>
      </c>
      <c r="AU100" s="544">
        <f t="shared" ref="AU100:AZ100" si="284">+AU98/AU54</f>
        <v>0.10612959719789843</v>
      </c>
      <c r="AV100" s="544">
        <f t="shared" si="284"/>
        <v>0.12064113314824104</v>
      </c>
      <c r="AW100" s="544">
        <f t="shared" si="284"/>
        <v>2.3673915393276981E-2</v>
      </c>
      <c r="AX100" s="544">
        <f t="shared" si="284"/>
        <v>-0.10218044984551972</v>
      </c>
      <c r="AY100" s="544">
        <f t="shared" si="284"/>
        <v>7.0592815319203597E-2</v>
      </c>
      <c r="AZ100" s="544">
        <f t="shared" si="284"/>
        <v>4.3668916888277343E-2</v>
      </c>
      <c r="BA100" s="544">
        <f t="shared" ref="BA100" si="285">+BA98/BA54</f>
        <v>4.9080009278704241E-2</v>
      </c>
    </row>
    <row r="101" spans="1:54">
      <c r="A101" s="338" t="s">
        <v>246</v>
      </c>
      <c r="D101" s="344"/>
      <c r="E101" s="344"/>
      <c r="F101" s="344"/>
      <c r="G101" s="344"/>
      <c r="H101" s="344"/>
      <c r="I101" s="344"/>
      <c r="J101" s="344"/>
      <c r="K101" s="344"/>
      <c r="L101" s="344"/>
      <c r="M101" s="344"/>
      <c r="N101" s="344"/>
      <c r="O101" s="344"/>
      <c r="P101" s="344"/>
      <c r="Q101" s="344"/>
      <c r="R101" s="344"/>
      <c r="S101" s="344"/>
      <c r="T101" s="544"/>
      <c r="U101" s="544"/>
      <c r="V101" s="544"/>
      <c r="W101" s="344"/>
      <c r="X101" s="544"/>
      <c r="Y101" s="544"/>
      <c r="Z101" s="344"/>
      <c r="AA101" s="344"/>
      <c r="AB101" s="344"/>
      <c r="AC101" s="344"/>
      <c r="AD101" s="344"/>
      <c r="AE101" s="344"/>
      <c r="AH101" s="344"/>
      <c r="AI101" s="544">
        <f t="shared" ref="AI101:AP101" si="286">+AI98/AI76</f>
        <v>0.42263404043519248</v>
      </c>
      <c r="AJ101" s="544">
        <f t="shared" si="286"/>
        <v>-0.23010330754219546</v>
      </c>
      <c r="AK101" s="544">
        <f t="shared" si="286"/>
        <v>-0.40222735217214084</v>
      </c>
      <c r="AL101" s="544">
        <f t="shared" si="286"/>
        <v>-0.91212016738413326</v>
      </c>
      <c r="AM101" s="544">
        <f t="shared" si="286"/>
        <v>0.35673541292253519</v>
      </c>
      <c r="AN101" s="544">
        <f t="shared" si="286"/>
        <v>0.26030441323194153</v>
      </c>
      <c r="AO101" s="544">
        <f t="shared" si="286"/>
        <v>0.31775523283451063</v>
      </c>
      <c r="AP101" s="544">
        <f t="shared" si="286"/>
        <v>8.7803221878706386E-2</v>
      </c>
      <c r="AQ101" s="544">
        <f t="shared" ref="AQ101:AR101" si="287">+AQ98/AQ76</f>
        <v>0.27620517283853369</v>
      </c>
      <c r="AR101" s="544">
        <f t="shared" si="287"/>
        <v>0.18936075676837133</v>
      </c>
      <c r="AT101" s="319">
        <f t="shared" ref="AT101:AZ101" si="288">+AT98/AT76</f>
        <v>0.60142348754448416</v>
      </c>
      <c r="AU101" s="544">
        <f t="shared" si="288"/>
        <v>0.41421736158578265</v>
      </c>
      <c r="AV101" s="544">
        <f t="shared" si="288"/>
        <v>0.42913582398567307</v>
      </c>
      <c r="AW101" s="544">
        <f t="shared" si="288"/>
        <v>9.6356573087058209E-2</v>
      </c>
      <c r="AX101" s="544">
        <f t="shared" si="288"/>
        <v>-0.5728833140487033</v>
      </c>
      <c r="AY101" s="544">
        <f t="shared" si="288"/>
        <v>0.30742947751467509</v>
      </c>
      <c r="AZ101" s="544">
        <f t="shared" si="288"/>
        <v>0.20921191971221539</v>
      </c>
      <c r="BA101" s="544">
        <f t="shared" ref="BA101" si="289">+BA98/BA76</f>
        <v>0.23394658209932476</v>
      </c>
    </row>
    <row r="102" spans="1:54">
      <c r="K102" s="545"/>
      <c r="O102" s="545"/>
      <c r="P102" s="545"/>
      <c r="Q102" s="545"/>
      <c r="R102" s="545"/>
      <c r="S102" s="545"/>
      <c r="T102" s="545"/>
      <c r="U102" s="545"/>
      <c r="V102" s="545"/>
      <c r="W102" s="545"/>
      <c r="X102" s="545"/>
      <c r="Y102" s="545"/>
      <c r="Z102" s="544"/>
      <c r="AA102" s="544"/>
      <c r="AB102" s="544"/>
      <c r="AC102" s="544"/>
      <c r="AD102" s="544"/>
      <c r="AE102" s="544"/>
    </row>
    <row r="103" spans="1:54" s="524" customFormat="1" ht="18.5">
      <c r="A103" s="319" t="s">
        <v>247</v>
      </c>
      <c r="D103" s="525"/>
      <c r="E103" s="525"/>
      <c r="F103" s="525"/>
      <c r="G103" s="525"/>
      <c r="H103" s="525"/>
      <c r="I103" s="525"/>
      <c r="J103" s="525"/>
      <c r="K103" s="525"/>
      <c r="L103" s="525"/>
      <c r="M103" s="525"/>
      <c r="N103" s="525"/>
      <c r="O103" s="525"/>
      <c r="P103" s="525"/>
      <c r="Q103" s="525"/>
      <c r="R103" s="525"/>
      <c r="S103" s="525"/>
      <c r="T103" s="525"/>
      <c r="U103" s="525"/>
      <c r="V103" s="525"/>
      <c r="W103" s="525"/>
      <c r="X103" s="544"/>
      <c r="Y103" s="525"/>
      <c r="Z103" s="525"/>
      <c r="AA103" s="525"/>
      <c r="AB103" s="525"/>
      <c r="AC103" s="525"/>
      <c r="AD103" s="525"/>
      <c r="AE103" s="525"/>
      <c r="AF103" s="525"/>
      <c r="AG103" s="525">
        <f>+'Detailed Disclosures - USD'!X76</f>
        <v>0</v>
      </c>
      <c r="AH103" s="525">
        <f>+'Detailed Disclosures - USD'!Y76</f>
        <v>0</v>
      </c>
      <c r="AI103" s="525">
        <f>+'Detailed Disclosures - USD'!Z76</f>
        <v>0</v>
      </c>
      <c r="AJ103" s="525">
        <f>+'Detailed Disclosures - USD'!AA76</f>
        <v>49.34565043479904</v>
      </c>
      <c r="AK103" s="526">
        <f>+'Detailed Disclosures - USD'!AB76</f>
        <v>150.6884223473989</v>
      </c>
      <c r="AL103" s="526">
        <f>+'Detailed Disclosures - USD'!AC76</f>
        <v>148.85063567528681</v>
      </c>
      <c r="AM103" s="526">
        <f>+'Detailed Disclosures - USD'!AD76</f>
        <v>148.06440131482529</v>
      </c>
      <c r="AN103" s="526">
        <f>+'Detailed Disclosures - USD'!AE76</f>
        <v>149.93028532192923</v>
      </c>
      <c r="AO103" s="526">
        <f>+'Detailed Disclosures - USD'!AF76</f>
        <v>176.84608996080641</v>
      </c>
      <c r="AP103" s="526">
        <f>+AN103/AN54*AP54</f>
        <v>248.33867674471443</v>
      </c>
      <c r="AQ103" s="526">
        <f t="shared" ref="AQ103:AR103" si="290">+AO103/AO54*AQ54</f>
        <v>218.69776735482171</v>
      </c>
      <c r="AR103" s="526">
        <f t="shared" si="290"/>
        <v>289.76815710300332</v>
      </c>
      <c r="AS103" s="525"/>
      <c r="AT103" s="525">
        <f>+'Detailed Disclosures - USD'!AJ76</f>
        <v>0</v>
      </c>
      <c r="AU103" s="525">
        <f>+'Detailed Disclosures - USD'!AK76</f>
        <v>0</v>
      </c>
      <c r="AV103" s="525">
        <f>+'Detailed Disclosures - USD'!AL76</f>
        <v>0</v>
      </c>
      <c r="AW103" s="525">
        <f>+'Detailed Disclosures - USD'!AM76</f>
        <v>49.34565043479904</v>
      </c>
      <c r="AX103" s="525">
        <f>+'Detailed Disclosures - USD'!AN76</f>
        <v>299.53905802268571</v>
      </c>
      <c r="AY103" s="525">
        <f>+'Detailed Disclosures - USD'!AO76</f>
        <v>297.99468663675452</v>
      </c>
      <c r="AZ103" s="525">
        <f>+SUM(AO103:AP103)</f>
        <v>425.18476670552081</v>
      </c>
      <c r="BA103" s="525">
        <f>+SUM(AQ103:AR103)</f>
        <v>508.46592445782505</v>
      </c>
      <c r="BB103" s="525"/>
    </row>
    <row r="104" spans="1:54">
      <c r="A104" s="527" t="s">
        <v>28</v>
      </c>
      <c r="D104" s="355"/>
      <c r="E104" s="355"/>
      <c r="F104" s="355"/>
      <c r="G104" s="355"/>
      <c r="H104" s="355"/>
      <c r="I104" s="355"/>
      <c r="J104" s="355"/>
      <c r="K104" s="355"/>
      <c r="L104" s="508"/>
      <c r="M104" s="355"/>
      <c r="N104" s="355"/>
      <c r="O104" s="355"/>
      <c r="P104" s="355"/>
      <c r="Q104" s="355"/>
      <c r="R104" s="355"/>
      <c r="S104" s="355"/>
      <c r="T104" s="355"/>
      <c r="U104" s="355"/>
      <c r="V104" s="355"/>
      <c r="W104" s="355"/>
      <c r="X104" s="355"/>
      <c r="Y104" s="355"/>
      <c r="Z104" s="355"/>
      <c r="AA104" s="355"/>
      <c r="AB104" s="355"/>
      <c r="AC104" s="355"/>
      <c r="AD104" s="355"/>
      <c r="AE104" s="355"/>
      <c r="AF104" s="355"/>
      <c r="AG104" s="355">
        <f>+'Detailed Disclosures - USD'!X77</f>
        <v>615.46658570380339</v>
      </c>
      <c r="AH104" s="355">
        <f>+'Detailed Disclosures - USD'!Y77</f>
        <v>1217.9131944081403</v>
      </c>
      <c r="AI104" s="355">
        <f>+'Detailed Disclosures - USD'!Z77</f>
        <v>3465.8495304812495</v>
      </c>
      <c r="AJ104" s="355">
        <f>+'Detailed Disclosures - USD'!AA77</f>
        <v>-1935.2747279897746</v>
      </c>
      <c r="AK104" s="355">
        <f>+'Detailed Disclosures - USD'!AB77</f>
        <v>-7421.7705492073255</v>
      </c>
      <c r="AL104" s="355">
        <f>+'Detailed Disclosures - USD'!AC77</f>
        <v>-8443.4983772909072</v>
      </c>
      <c r="AM104" s="355">
        <f>+'Detailed Disclosures - USD'!AD77</f>
        <v>11031.132885287776</v>
      </c>
      <c r="AN104" s="355">
        <f>+'Detailed Disclosures - USD'!AE77</f>
        <v>8384.8663024576454</v>
      </c>
      <c r="AO104" s="355">
        <f>+'Detailed Disclosures - USD'!AF77</f>
        <v>16860.206060750203</v>
      </c>
      <c r="AP104" s="355">
        <f>+'Historical - USD'!L114*1000</f>
        <v>3102.5739388062893</v>
      </c>
      <c r="AQ104" s="355">
        <f>+'Historical - USD'!M114*1000</f>
        <v>17149.671852018542</v>
      </c>
      <c r="AR104" s="355">
        <f>+'Historical - USD'!N114*1000</f>
        <v>10996.111761714634</v>
      </c>
      <c r="AS104" s="355"/>
      <c r="AT104" s="355">
        <f>+'Detailed Disclosures - USD'!AJ77</f>
        <v>130.94759697307961</v>
      </c>
      <c r="AU104" s="355">
        <f>+'Detailed Disclosures - USD'!AK77</f>
        <v>433.28776696980663</v>
      </c>
      <c r="AV104" s="355">
        <f>+'Detailed Disclosures - USD'!AL77</f>
        <v>1833.3797801119435</v>
      </c>
      <c r="AW104" s="355">
        <f>+'Detailed Disclosures - USD'!AM77</f>
        <v>1530.5748024914749</v>
      </c>
      <c r="AX104" s="355">
        <f>+'Detailed Disclosures - USD'!AN77</f>
        <v>-15865.268926498233</v>
      </c>
      <c r="AY104" s="355">
        <f>+'Detailed Disclosures - USD'!AO77</f>
        <v>19415.999187745423</v>
      </c>
      <c r="AZ104" s="355">
        <f>+'Historical - USD'!W114*1000</f>
        <v>19962.779999556489</v>
      </c>
      <c r="BA104" s="355">
        <f>+'Historical - USD'!X114*1000</f>
        <v>28145.783613733176</v>
      </c>
    </row>
    <row r="105" spans="1:54">
      <c r="A105" s="341" t="s">
        <v>237</v>
      </c>
      <c r="D105" s="344"/>
      <c r="E105" s="344"/>
      <c r="F105" s="344"/>
      <c r="G105" s="344"/>
      <c r="H105" s="344"/>
      <c r="I105" s="344"/>
      <c r="J105" s="344"/>
      <c r="K105" s="344"/>
      <c r="L105" s="344"/>
      <c r="M105" s="344"/>
      <c r="N105" s="344"/>
      <c r="O105" s="344"/>
      <c r="P105" s="344"/>
      <c r="Q105" s="344"/>
      <c r="R105" s="344"/>
      <c r="S105" s="344"/>
      <c r="T105" s="344"/>
      <c r="U105" s="344"/>
      <c r="V105" s="344"/>
      <c r="W105" s="344"/>
      <c r="X105" s="344"/>
      <c r="Y105" s="344"/>
      <c r="Z105" s="344"/>
      <c r="AA105" s="344"/>
      <c r="AB105" s="344"/>
      <c r="AC105" s="344"/>
      <c r="AD105" s="344"/>
      <c r="AE105" s="344"/>
      <c r="AH105" s="344"/>
      <c r="AI105" s="344">
        <f t="shared" ref="AI105" si="291">+AI104/AG104-1</f>
        <v>4.6312553938536771</v>
      </c>
      <c r="AJ105" s="344">
        <f t="shared" ref="AJ105" si="292">+AJ104/AH104-1</f>
        <v>-2.58900875438027</v>
      </c>
      <c r="AK105" s="344">
        <f t="shared" ref="AK105" si="293">+AK104/AI104-1</f>
        <v>-3.1414001052079077</v>
      </c>
      <c r="AL105" s="344">
        <f t="shared" ref="AL105" si="294">+AL104/AJ104-1</f>
        <v>3.3629456093096461</v>
      </c>
      <c r="AM105" s="344">
        <f t="shared" ref="AM105" si="295">+AM104/AK104-1</f>
        <v>-2.4863209273514855</v>
      </c>
      <c r="AN105" s="344">
        <f t="shared" ref="AN105:AO105" si="296">+AN104/AL104-1</f>
        <v>-1.9930559500087126</v>
      </c>
      <c r="AO105" s="344">
        <f t="shared" si="296"/>
        <v>0.52842017552310172</v>
      </c>
      <c r="AP105" s="344">
        <f t="shared" ref="AP105" si="297">+AP104/AN104-1</f>
        <v>-0.62997931906237914</v>
      </c>
      <c r="AQ105" s="344">
        <f t="shared" ref="AQ105" si="298">+AQ104/AO104-1</f>
        <v>1.7168579685523655E-2</v>
      </c>
      <c r="AR105" s="344">
        <f t="shared" ref="AR105" si="299">+AR104/AP104-1</f>
        <v>2.5441900752719437</v>
      </c>
      <c r="AS105" s="344"/>
      <c r="AT105" s="344"/>
      <c r="AU105" s="344">
        <f t="shared" ref="AU105" si="300">+AU104/AT104-1</f>
        <v>2.308863827863008</v>
      </c>
      <c r="AV105" s="344">
        <f t="shared" ref="AV105" si="301">+AV104/AU104-1</f>
        <v>3.2313213523974271</v>
      </c>
      <c r="AW105" s="344">
        <f t="shared" ref="AW105" si="302">+AW104/AV104-1</f>
        <v>-0.16516216711083165</v>
      </c>
      <c r="AX105" s="344">
        <f t="shared" ref="AX105" si="303">+AX104/AW104-1</f>
        <v>-11.365562598229562</v>
      </c>
      <c r="AY105" s="344">
        <f>+AY104/AX104-1</f>
        <v>-2.2238052363119261</v>
      </c>
      <c r="AZ105" s="344">
        <f>+AZ104/AY104-1</f>
        <v>2.81613532491376E-2</v>
      </c>
      <c r="BA105" s="344">
        <f t="shared" ref="BA105" si="304">+BA104/AZ104-1</f>
        <v>0.40991302886464154</v>
      </c>
    </row>
    <row r="106" spans="1:54">
      <c r="A106" s="341" t="s">
        <v>239</v>
      </c>
      <c r="D106" s="344"/>
      <c r="E106" s="344"/>
      <c r="F106" s="344"/>
      <c r="G106" s="344"/>
      <c r="H106" s="344"/>
      <c r="I106" s="344"/>
      <c r="J106" s="344"/>
      <c r="K106" s="344"/>
      <c r="L106" s="344"/>
      <c r="M106" s="344"/>
      <c r="N106" s="344"/>
      <c r="O106" s="344"/>
      <c r="P106" s="344"/>
      <c r="Q106" s="344"/>
      <c r="R106" s="344"/>
      <c r="S106" s="344"/>
      <c r="T106" s="544"/>
      <c r="U106" s="544"/>
      <c r="V106" s="544"/>
      <c r="W106" s="344"/>
      <c r="X106" s="544"/>
      <c r="Y106" s="544"/>
      <c r="Z106" s="344"/>
      <c r="AA106" s="344"/>
      <c r="AB106" s="344"/>
      <c r="AC106" s="344"/>
      <c r="AD106" s="344"/>
      <c r="AE106" s="344"/>
      <c r="AF106" s="544"/>
      <c r="AG106" s="544">
        <f t="shared" ref="AG106:AP106" si="305">+AG104/AG54</f>
        <v>0.22464531528307807</v>
      </c>
      <c r="AH106" s="544">
        <f t="shared" si="305"/>
        <v>0.11706105276788864</v>
      </c>
      <c r="AI106" s="544">
        <f t="shared" si="305"/>
        <v>0.1295425674985668</v>
      </c>
      <c r="AJ106" s="544">
        <f t="shared" si="305"/>
        <v>-4.8403360056099985E-2</v>
      </c>
      <c r="AK106" s="544">
        <f t="shared" si="305"/>
        <v>-8.9229908686916798E-2</v>
      </c>
      <c r="AL106" s="544">
        <f t="shared" si="305"/>
        <v>-0.12208665748795149</v>
      </c>
      <c r="AM106" s="544">
        <f t="shared" si="305"/>
        <v>8.8196717724814036E-2</v>
      </c>
      <c r="AN106" s="544">
        <f t="shared" si="305"/>
        <v>5.438034825591629E-2</v>
      </c>
      <c r="AO106" s="544">
        <f t="shared" si="305"/>
        <v>7.2946960605481906E-2</v>
      </c>
      <c r="AP106" s="544">
        <f t="shared" si="305"/>
        <v>1.2148229485231582E-2</v>
      </c>
      <c r="AQ106" s="544">
        <f t="shared" ref="AQ106:AR106" si="306">+AQ104/AQ54</f>
        <v>0.06</v>
      </c>
      <c r="AR106" s="544">
        <f t="shared" si="306"/>
        <v>3.6899773162321875E-2</v>
      </c>
      <c r="AT106" s="319">
        <f t="shared" ref="AT106:AZ106" si="307">+AT104/AT54</f>
        <v>0.31066176470588241</v>
      </c>
      <c r="AU106" s="544">
        <f t="shared" si="307"/>
        <v>0.10612959719789843</v>
      </c>
      <c r="AV106" s="544">
        <f t="shared" si="307"/>
        <v>0.12064113314824104</v>
      </c>
      <c r="AW106" s="544">
        <f t="shared" si="307"/>
        <v>2.2934508069790568E-2</v>
      </c>
      <c r="AX106" s="544">
        <f t="shared" si="307"/>
        <v>-0.10414675890739339</v>
      </c>
      <c r="AY106" s="544">
        <f t="shared" si="307"/>
        <v>6.9525741644843347E-2</v>
      </c>
      <c r="AZ106" s="544">
        <f t="shared" si="307"/>
        <v>4.1031544433272317E-2</v>
      </c>
      <c r="BA106" s="544">
        <f t="shared" ref="BA106" si="308">+BA104/BA54</f>
        <v>4.820909090909091E-2</v>
      </c>
    </row>
    <row r="107" spans="1:54">
      <c r="A107" s="341" t="s">
        <v>246</v>
      </c>
      <c r="D107" s="344"/>
      <c r="E107" s="344"/>
      <c r="F107" s="344"/>
      <c r="G107" s="344"/>
      <c r="H107" s="344"/>
      <c r="I107" s="344"/>
      <c r="J107" s="344"/>
      <c r="K107" s="344"/>
      <c r="L107" s="344"/>
      <c r="M107" s="344"/>
      <c r="N107" s="344"/>
      <c r="O107" s="344"/>
      <c r="P107" s="344"/>
      <c r="Q107" s="344"/>
      <c r="R107" s="344"/>
      <c r="S107" s="344"/>
      <c r="T107" s="544"/>
      <c r="U107" s="544"/>
      <c r="V107" s="544"/>
      <c r="W107" s="344"/>
      <c r="X107" s="544"/>
      <c r="Y107" s="544"/>
      <c r="Z107" s="344"/>
      <c r="AA107" s="344"/>
      <c r="AB107" s="344"/>
      <c r="AC107" s="344"/>
      <c r="AD107" s="344"/>
      <c r="AE107" s="344"/>
      <c r="AF107" s="544"/>
      <c r="AG107" s="544"/>
      <c r="AH107" s="544"/>
      <c r="AI107" s="544">
        <f t="shared" ref="AI107:AP107" si="309">+AI104/AI76</f>
        <v>0.42263404043519248</v>
      </c>
      <c r="AJ107" s="544">
        <f t="shared" si="309"/>
        <v>-0.23612399915409263</v>
      </c>
      <c r="AK107" s="544">
        <f t="shared" si="309"/>
        <v>-0.41056325101997398</v>
      </c>
      <c r="AL107" s="544">
        <f t="shared" si="309"/>
        <v>-0.92848851369089658</v>
      </c>
      <c r="AM107" s="544">
        <f t="shared" si="309"/>
        <v>0.35201058215087749</v>
      </c>
      <c r="AN107" s="544">
        <f t="shared" si="309"/>
        <v>0.25573166043753948</v>
      </c>
      <c r="AO107" s="544">
        <f t="shared" si="309"/>
        <v>0.31445690575337742</v>
      </c>
      <c r="AP107" s="544">
        <f t="shared" si="309"/>
        <v>6.4724264822794877E-2</v>
      </c>
      <c r="AQ107" s="544">
        <f t="shared" ref="AQ107:AR107" si="310">+AQ104/AQ76</f>
        <v>0.27272727272727276</v>
      </c>
      <c r="AR107" s="544">
        <f t="shared" si="310"/>
        <v>0.18449886581160937</v>
      </c>
      <c r="AT107" s="319">
        <f t="shared" ref="AT107:AZ107" si="311">+AT104/AT76</f>
        <v>0.60142348754448416</v>
      </c>
      <c r="AU107" s="544">
        <f t="shared" si="311"/>
        <v>0.41421736158578265</v>
      </c>
      <c r="AV107" s="544">
        <f t="shared" si="311"/>
        <v>0.42913582398567307</v>
      </c>
      <c r="AW107" s="544">
        <f t="shared" si="311"/>
        <v>9.3347068549128775E-2</v>
      </c>
      <c r="AX107" s="544">
        <f t="shared" si="311"/>
        <v>-0.58390759172132289</v>
      </c>
      <c r="AY107" s="544">
        <f t="shared" si="311"/>
        <v>0.30278240541966267</v>
      </c>
      <c r="AZ107" s="544">
        <f t="shared" si="311"/>
        <v>0.19657662225981076</v>
      </c>
      <c r="BA107" s="544">
        <f t="shared" ref="BA107" si="312">+BA104/BA76</f>
        <v>0.22979523048279274</v>
      </c>
    </row>
    <row r="108" spans="1:54">
      <c r="K108" s="545"/>
      <c r="O108" s="545"/>
      <c r="P108" s="545"/>
      <c r="Q108" s="545"/>
      <c r="R108" s="545"/>
      <c r="S108" s="545"/>
      <c r="T108" s="545"/>
      <c r="U108" s="545"/>
      <c r="V108" s="545"/>
      <c r="W108" s="545"/>
      <c r="X108" s="545"/>
      <c r="Y108" s="545"/>
      <c r="Z108" s="545"/>
      <c r="AA108" s="545"/>
      <c r="AB108" s="545"/>
      <c r="AC108" s="545"/>
      <c r="AD108" s="545"/>
      <c r="AE108" s="545"/>
    </row>
    <row r="109" spans="1:54">
      <c r="A109" s="353" t="s">
        <v>248</v>
      </c>
      <c r="B109" s="354"/>
    </row>
    <row r="110" spans="1:54">
      <c r="AU110" s="334"/>
    </row>
    <row r="111" spans="1:54">
      <c r="A111" s="319" t="s">
        <v>249</v>
      </c>
      <c r="D111" s="355">
        <v>309974</v>
      </c>
      <c r="E111" s="355">
        <v>466490</v>
      </c>
      <c r="F111" s="355">
        <v>419273</v>
      </c>
      <c r="G111" s="355">
        <v>488475</v>
      </c>
      <c r="H111" s="355">
        <v>492014</v>
      </c>
      <c r="I111" s="355">
        <v>739937</v>
      </c>
      <c r="J111" s="355">
        <v>610873.99999999988</v>
      </c>
      <c r="K111" s="355">
        <v>721310</v>
      </c>
      <c r="L111" s="355">
        <v>797840</v>
      </c>
      <c r="M111" s="355">
        <v>1056990</v>
      </c>
      <c r="N111" s="355">
        <v>915604</v>
      </c>
      <c r="O111" s="355">
        <v>1007811</v>
      </c>
      <c r="P111" s="355">
        <v>1017314</v>
      </c>
      <c r="Q111" s="355">
        <v>1289145</v>
      </c>
      <c r="R111" s="355">
        <v>930752</v>
      </c>
      <c r="S111" s="355">
        <v>1020448</v>
      </c>
      <c r="T111" s="355">
        <v>967372</v>
      </c>
      <c r="U111" s="355">
        <v>1139929</v>
      </c>
      <c r="V111" s="355">
        <v>931658</v>
      </c>
      <c r="W111" s="355">
        <v>1032617</v>
      </c>
      <c r="X111" s="355"/>
      <c r="Y111" s="355"/>
      <c r="Z111" s="355"/>
      <c r="AA111" s="355"/>
      <c r="AB111" s="355"/>
      <c r="AC111" s="355"/>
      <c r="AD111" s="355"/>
      <c r="AE111" s="355"/>
      <c r="AG111" s="355">
        <f>SUM(H111:I111)</f>
        <v>1231951</v>
      </c>
      <c r="AH111" s="355">
        <f>SUM(J111:K111)</f>
        <v>1332184</v>
      </c>
      <c r="AI111" s="355">
        <f>SUM(L111:M111)</f>
        <v>1854830</v>
      </c>
      <c r="AJ111" s="355">
        <f>SUM(N111:O111)</f>
        <v>1923415</v>
      </c>
      <c r="AK111" s="355">
        <f>SUM(P111:Q111)</f>
        <v>2306459</v>
      </c>
      <c r="AL111" s="355">
        <f>+SUM(R111:S111)</f>
        <v>1951200</v>
      </c>
      <c r="AM111" s="355">
        <f>SUM(T111:U111)</f>
        <v>2107301</v>
      </c>
      <c r="AN111" s="355">
        <f>SUM(V111:W111)</f>
        <v>1964275</v>
      </c>
      <c r="AO111" s="355"/>
      <c r="AP111" s="355"/>
      <c r="AQ111" s="355"/>
      <c r="AR111" s="355"/>
      <c r="AT111" s="334">
        <f>SUM(AU134:BB134)*1000</f>
        <v>0</v>
      </c>
      <c r="AU111" s="334">
        <f>SUM(D111:G111)</f>
        <v>1684212</v>
      </c>
      <c r="AV111" s="334">
        <f>SUM(AG111:AH111)</f>
        <v>2564135</v>
      </c>
      <c r="AW111" s="334">
        <f>SUM(AI111:AJ111)</f>
        <v>3778245</v>
      </c>
      <c r="AX111" s="334">
        <f>SUM(AK111:AL111)</f>
        <v>4257659</v>
      </c>
      <c r="AY111" s="334">
        <f>SUM(AM111:AN111)</f>
        <v>4071576</v>
      </c>
      <c r="AZ111" s="334"/>
      <c r="BA111" s="334"/>
    </row>
    <row r="112" spans="1:54" s="337" customFormat="1">
      <c r="A112" s="546" t="s">
        <v>237</v>
      </c>
      <c r="D112" s="547"/>
      <c r="E112" s="344"/>
      <c r="F112" s="344"/>
      <c r="G112" s="344"/>
      <c r="H112" s="344">
        <f t="shared" ref="H112:M112" si="313">+H111/D111-1</f>
        <v>0.58727506177937494</v>
      </c>
      <c r="I112" s="344">
        <f t="shared" si="313"/>
        <v>0.58617976805504934</v>
      </c>
      <c r="J112" s="344">
        <f t="shared" si="313"/>
        <v>0.45698387446842492</v>
      </c>
      <c r="K112" s="344">
        <f t="shared" si="313"/>
        <v>0.47665694252520607</v>
      </c>
      <c r="L112" s="344">
        <f t="shared" si="313"/>
        <v>0.62157987374343016</v>
      </c>
      <c r="M112" s="344">
        <f t="shared" si="313"/>
        <v>0.42848647925431482</v>
      </c>
      <c r="N112" s="344">
        <f>+N111/J111-1</f>
        <v>0.49884264185413052</v>
      </c>
      <c r="O112" s="344">
        <f>+O111/K111-1</f>
        <v>0.39719538062691484</v>
      </c>
      <c r="P112" s="344">
        <f t="shared" ref="P112" si="314">+P111/L111-1</f>
        <v>0.27508523012132757</v>
      </c>
      <c r="Q112" s="344">
        <f t="shared" ref="Q112" si="315">+Q111/M111-1</f>
        <v>0.2196378395254448</v>
      </c>
      <c r="R112" s="344">
        <f t="shared" ref="R112" si="316">+R111/N111-1</f>
        <v>1.6544270230361535E-2</v>
      </c>
      <c r="S112" s="344">
        <f t="shared" ref="S112" si="317">+S111/O111-1</f>
        <v>1.2539057422473077E-2</v>
      </c>
      <c r="T112" s="344">
        <f t="shared" ref="T112" si="318">+T111/P111-1</f>
        <v>-4.9092020752687926E-2</v>
      </c>
      <c r="U112" s="344">
        <f t="shared" ref="U112:V112" si="319">+U111/Q111-1</f>
        <v>-0.11574803455003124</v>
      </c>
      <c r="V112" s="344">
        <f t="shared" si="319"/>
        <v>9.7340644983834324E-4</v>
      </c>
      <c r="W112" s="344">
        <f t="shared" ref="W112" si="320">+W111/S111-1</f>
        <v>1.1925154441970509E-2</v>
      </c>
      <c r="X112" s="344"/>
      <c r="Y112" s="344"/>
      <c r="Z112" s="344"/>
      <c r="AA112" s="344"/>
      <c r="AB112" s="344"/>
      <c r="AC112" s="344"/>
      <c r="AD112" s="344"/>
      <c r="AE112" s="344"/>
      <c r="AG112" s="547"/>
      <c r="AH112" s="547"/>
      <c r="AI112" s="519">
        <f>+AI111/AG111-1</f>
        <v>0.50560371313469443</v>
      </c>
      <c r="AJ112" s="519">
        <f>+AJ111/AH111-1</f>
        <v>0.4438058106087448</v>
      </c>
      <c r="AK112" s="519">
        <f>+AK111/AI111-1</f>
        <v>0.24348808246577858</v>
      </c>
      <c r="AL112" s="519">
        <f t="shared" ref="AL112:AN112" si="321">+AL111/AJ111-1</f>
        <v>1.4445660452892417E-2</v>
      </c>
      <c r="AM112" s="344">
        <f t="shared" si="321"/>
        <v>-8.6347947221259935E-2</v>
      </c>
      <c r="AN112" s="344">
        <f t="shared" si="321"/>
        <v>6.7010045100450721E-3</v>
      </c>
      <c r="AO112" s="344"/>
      <c r="AP112" s="344"/>
      <c r="AQ112" s="344"/>
      <c r="AR112" s="344"/>
      <c r="AS112" s="547"/>
      <c r="AT112" s="547"/>
      <c r="AU112" s="519"/>
      <c r="AV112" s="519">
        <f t="shared" ref="AV112" si="322">+AV111/AU111-1</f>
        <v>0.52245382410290397</v>
      </c>
      <c r="AW112" s="519">
        <f>+AW111/AV111-1</f>
        <v>0.47349691026408514</v>
      </c>
      <c r="AX112" s="519">
        <f t="shared" ref="AX112:AY112" si="323">+AX111/AW111-1</f>
        <v>0.12688801282076723</v>
      </c>
      <c r="AY112" s="344">
        <f t="shared" si="323"/>
        <v>-4.3705472890149255E-2</v>
      </c>
      <c r="AZ112" s="519"/>
      <c r="BA112" s="519"/>
      <c r="BB112" s="547"/>
    </row>
    <row r="113" spans="1:56" s="337" customFormat="1">
      <c r="A113" s="546" t="s">
        <v>250</v>
      </c>
      <c r="D113" s="547"/>
      <c r="E113" s="344" t="s">
        <v>251</v>
      </c>
      <c r="F113" s="344" t="s">
        <v>251</v>
      </c>
      <c r="G113" s="344" t="s">
        <v>251</v>
      </c>
      <c r="H113" s="344" t="s">
        <v>251</v>
      </c>
      <c r="I113" s="344" t="s">
        <v>251</v>
      </c>
      <c r="J113" s="344" t="s">
        <v>251</v>
      </c>
      <c r="K113" s="344" t="s">
        <v>251</v>
      </c>
      <c r="L113" s="344" t="s">
        <v>251</v>
      </c>
      <c r="M113" s="344" t="s">
        <v>251</v>
      </c>
      <c r="N113" s="344" t="s">
        <v>251</v>
      </c>
      <c r="O113" s="344" t="s">
        <v>251</v>
      </c>
      <c r="P113" s="344" t="s">
        <v>251</v>
      </c>
      <c r="Q113" s="344" t="s">
        <v>251</v>
      </c>
      <c r="R113" s="344" t="s">
        <v>251</v>
      </c>
      <c r="S113" s="344">
        <v>7.5999999999999998E-2</v>
      </c>
      <c r="T113" s="344">
        <v>4.2000000000000003E-2</v>
      </c>
      <c r="U113" s="344">
        <v>-0.05</v>
      </c>
      <c r="V113" s="344">
        <v>0.04</v>
      </c>
      <c r="W113" s="344">
        <v>0.01</v>
      </c>
      <c r="X113" s="344"/>
      <c r="Y113" s="344"/>
      <c r="Z113" s="344"/>
      <c r="AA113" s="344"/>
      <c r="AB113" s="344"/>
      <c r="AC113" s="344"/>
      <c r="AD113" s="344"/>
      <c r="AE113" s="344"/>
      <c r="AG113" s="547"/>
      <c r="AH113" s="547"/>
      <c r="AI113" s="344" t="s">
        <v>251</v>
      </c>
      <c r="AJ113" s="344" t="s">
        <v>251</v>
      </c>
      <c r="AK113" s="344" t="s">
        <v>251</v>
      </c>
      <c r="AL113" s="344" t="s">
        <v>251</v>
      </c>
      <c r="AM113" s="344">
        <f>+SUMPRODUCT(T113:U113,P111:Q111)/SUM(P111:Q111)</f>
        <v>-9.4213953076989435E-3</v>
      </c>
      <c r="AN113" s="344">
        <f>+SUMPRODUCT(V113:W113,R111:S111)/SUM(R111:S111)</f>
        <v>2.4310455104551043E-2</v>
      </c>
      <c r="AO113" s="344"/>
      <c r="AP113" s="344"/>
      <c r="AQ113" s="344"/>
      <c r="AR113" s="344"/>
      <c r="AS113" s="547"/>
      <c r="AT113" s="547"/>
      <c r="AU113" s="344" t="s">
        <v>251</v>
      </c>
      <c r="AV113" s="344" t="s">
        <v>251</v>
      </c>
      <c r="AW113" s="344" t="s">
        <v>251</v>
      </c>
      <c r="AX113" s="344" t="s">
        <v>251</v>
      </c>
      <c r="AY113" s="344">
        <f>+SUMPRODUCT(AM113:AN113,AK111:AL111)/SUM(AK111:AL111)</f>
        <v>6.0372373644765817E-3</v>
      </c>
      <c r="AZ113" s="344"/>
      <c r="BA113" s="344"/>
      <c r="BB113" s="547"/>
      <c r="BD113" s="363"/>
    </row>
    <row r="114" spans="1:56" s="337" customFormat="1">
      <c r="A114" s="546" t="s">
        <v>224</v>
      </c>
      <c r="D114" s="547"/>
      <c r="E114" s="344">
        <f>+E111/D111-1</f>
        <v>0.50493267177247114</v>
      </c>
      <c r="F114" s="344">
        <f t="shared" ref="F114:O114" si="324">+F111/E111-1</f>
        <v>-0.10121760380715561</v>
      </c>
      <c r="G114" s="344">
        <f t="shared" si="324"/>
        <v>0.16505236444989313</v>
      </c>
      <c r="H114" s="344">
        <f t="shared" si="324"/>
        <v>7.2449971851169526E-3</v>
      </c>
      <c r="I114" s="344">
        <f t="shared" si="324"/>
        <v>0.50389419813257352</v>
      </c>
      <c r="J114" s="344">
        <f t="shared" si="324"/>
        <v>-0.17442430909658546</v>
      </c>
      <c r="K114" s="344">
        <f t="shared" si="324"/>
        <v>0.18078359858170456</v>
      </c>
      <c r="L114" s="344">
        <f t="shared" si="324"/>
        <v>0.1060986261108261</v>
      </c>
      <c r="M114" s="344">
        <f t="shared" si="324"/>
        <v>0.32481449914769889</v>
      </c>
      <c r="N114" s="344">
        <f t="shared" si="324"/>
        <v>-0.13376285489928952</v>
      </c>
      <c r="O114" s="344">
        <f t="shared" si="324"/>
        <v>0.10070620049715817</v>
      </c>
      <c r="P114" s="344">
        <f t="shared" ref="P114" si="325">+P111/O111-1</f>
        <v>9.4293473677107276E-3</v>
      </c>
      <c r="Q114" s="344">
        <f t="shared" ref="Q114" si="326">+Q111/P111-1</f>
        <v>0.26720461922277683</v>
      </c>
      <c r="R114" s="344">
        <f t="shared" ref="R114" si="327">+R111/Q111-1</f>
        <v>-0.27800829231777646</v>
      </c>
      <c r="S114" s="344">
        <f t="shared" ref="S114" si="328">+S111/R111-1</f>
        <v>9.6369387334112711E-2</v>
      </c>
      <c r="T114" s="344">
        <f t="shared" ref="T114" si="329">+T111/S111-1</f>
        <v>-5.2012449433974095E-2</v>
      </c>
      <c r="U114" s="344">
        <f t="shared" ref="U114:V114" si="330">+U111/T111-1</f>
        <v>0.17837708761469218</v>
      </c>
      <c r="V114" s="344">
        <f t="shared" si="330"/>
        <v>-0.18270523865960075</v>
      </c>
      <c r="W114" s="344">
        <f t="shared" ref="W114" si="331">+W111/V111-1</f>
        <v>0.10836487208825551</v>
      </c>
      <c r="X114" s="344"/>
      <c r="Y114" s="344"/>
      <c r="Z114" s="344"/>
      <c r="AA114" s="344"/>
      <c r="AB114" s="344"/>
      <c r="AC114" s="344"/>
      <c r="AD114" s="344"/>
      <c r="AE114" s="344"/>
      <c r="AG114" s="547"/>
      <c r="AH114" s="344">
        <f t="shared" ref="AH114:AK114" si="332">+AH111/AG111-1</f>
        <v>8.1361190501894942E-2</v>
      </c>
      <c r="AI114" s="344">
        <f t="shared" si="332"/>
        <v>0.39232268215201493</v>
      </c>
      <c r="AJ114" s="344">
        <f t="shared" si="332"/>
        <v>3.6976434498040334E-2</v>
      </c>
      <c r="AK114" s="344">
        <f t="shared" si="332"/>
        <v>0.1991478698044884</v>
      </c>
      <c r="AL114" s="344">
        <f t="shared" ref="AL114:AN114" si="333">+AL111/AK111-1</f>
        <v>-0.15402788430230063</v>
      </c>
      <c r="AM114" s="344">
        <f t="shared" si="333"/>
        <v>8.000256252562532E-2</v>
      </c>
      <c r="AN114" s="344">
        <f t="shared" si="333"/>
        <v>-6.7871651937715605E-2</v>
      </c>
      <c r="AO114" s="344"/>
      <c r="AP114" s="344"/>
      <c r="AQ114" s="344"/>
      <c r="AR114" s="344"/>
      <c r="AS114" s="547"/>
      <c r="AT114" s="547"/>
      <c r="AU114" s="344"/>
      <c r="AV114" s="344">
        <f t="shared" ref="AV114:AW114" si="334">+AV111/AU111-1</f>
        <v>0.52245382410290397</v>
      </c>
      <c r="AW114" s="344">
        <f t="shared" si="334"/>
        <v>0.47349691026408514</v>
      </c>
      <c r="AX114" s="344">
        <f t="shared" ref="AX114:AY114" si="335">+AX111/AW111-1</f>
        <v>0.12688801282076723</v>
      </c>
      <c r="AY114" s="344">
        <f t="shared" si="335"/>
        <v>-4.3705472890149255E-2</v>
      </c>
      <c r="AZ114" s="344"/>
      <c r="BA114" s="344"/>
      <c r="BB114" s="547"/>
    </row>
    <row r="115" spans="1:56" hidden="1" outlineLevel="1"/>
    <row r="116" spans="1:56" hidden="1" outlineLevel="1">
      <c r="A116" s="540" t="s">
        <v>148</v>
      </c>
    </row>
    <row r="117" spans="1:56" hidden="1" outlineLevel="1">
      <c r="A117" s="539" t="s">
        <v>252</v>
      </c>
      <c r="D117" s="519"/>
      <c r="E117" s="519"/>
      <c r="F117" s="519">
        <f>+F111/SUM(D111:E111)</f>
        <v>0.53997738465659706</v>
      </c>
      <c r="G117" s="519"/>
      <c r="H117" s="519"/>
      <c r="I117" s="519"/>
      <c r="J117" s="519">
        <f>+J111/SUM(H111:I111)</f>
        <v>0.49585900737935185</v>
      </c>
      <c r="K117" s="519"/>
      <c r="L117" s="519"/>
      <c r="M117" s="519"/>
      <c r="N117" s="519">
        <f>+N111/SUM(L111:M111)</f>
        <v>0.49363230053428075</v>
      </c>
      <c r="O117" s="519"/>
      <c r="P117" s="519"/>
      <c r="Q117" s="519"/>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row>
    <row r="118" spans="1:56" hidden="1" outlineLevel="1">
      <c r="A118" s="539" t="s">
        <v>253</v>
      </c>
      <c r="D118" s="519"/>
      <c r="E118" s="519"/>
      <c r="F118" s="519">
        <f>+F111/SUM(D111:F111)</f>
        <v>0.35063981460806182</v>
      </c>
      <c r="G118" s="519"/>
      <c r="H118" s="519"/>
      <c r="I118" s="519"/>
      <c r="J118" s="519">
        <f>+J111/SUM(H111:J111)</f>
        <v>0.33148779726778171</v>
      </c>
      <c r="K118" s="519"/>
      <c r="L118" s="519"/>
      <c r="M118" s="519"/>
      <c r="N118" s="519">
        <f>+N111/SUM(L111:N111)</f>
        <v>0.33049117936034572</v>
      </c>
      <c r="O118" s="519"/>
      <c r="P118" s="519"/>
      <c r="Q118" s="519"/>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c r="AS118" s="519"/>
      <c r="AT118" s="519"/>
      <c r="AU118" s="519"/>
      <c r="AV118" s="519"/>
      <c r="AW118" s="519"/>
      <c r="AX118" s="519"/>
      <c r="AY118" s="519"/>
      <c r="AZ118" s="519"/>
      <c r="BA118" s="519"/>
    </row>
    <row r="119" spans="1:56" hidden="1" outlineLevel="1"/>
    <row r="120" spans="1:56" s="337" customFormat="1" hidden="1" outlineLevel="1">
      <c r="A120" s="540" t="s">
        <v>148</v>
      </c>
    </row>
    <row r="121" spans="1:56" s="337" customFormat="1" hidden="1" outlineLevel="1">
      <c r="A121" s="539" t="s">
        <v>254</v>
      </c>
      <c r="G121" s="541">
        <f>+G111/F111</f>
        <v>1.1650523644498931</v>
      </c>
      <c r="K121" s="541">
        <f>+K111/J111</f>
        <v>1.1807835985817046</v>
      </c>
      <c r="O121" s="541">
        <f>+O111/N111</f>
        <v>1.1007062004971582</v>
      </c>
      <c r="P121" s="541"/>
      <c r="Q121" s="541"/>
      <c r="R121" s="541"/>
      <c r="S121" s="541"/>
      <c r="T121" s="541"/>
      <c r="U121" s="541"/>
      <c r="V121" s="541"/>
      <c r="W121" s="541"/>
      <c r="X121" s="541"/>
      <c r="Y121" s="541"/>
      <c r="Z121" s="541"/>
      <c r="AA121" s="541"/>
      <c r="AB121" s="541"/>
      <c r="AC121" s="541"/>
      <c r="AD121" s="541"/>
      <c r="AE121" s="541"/>
    </row>
    <row r="122" spans="1:56" s="337" customFormat="1" hidden="1" outlineLevel="1">
      <c r="A122" s="539" t="s">
        <v>255</v>
      </c>
      <c r="D122" s="519"/>
      <c r="E122" s="519"/>
      <c r="F122" s="519"/>
      <c r="G122" s="519">
        <f>+G111/SUM(D111:E111)</f>
        <v>0.62910192874363779</v>
      </c>
      <c r="H122" s="519"/>
      <c r="I122" s="519"/>
      <c r="J122" s="519"/>
      <c r="K122" s="519">
        <f>+K111/SUM(H111:I111)</f>
        <v>0.58550218312254299</v>
      </c>
      <c r="N122" s="542"/>
      <c r="O122" s="519">
        <f>+O111/SUM(L111:M111)</f>
        <v>0.54334413396375947</v>
      </c>
      <c r="P122" s="519"/>
      <c r="Q122" s="519"/>
      <c r="R122" s="519"/>
      <c r="S122" s="519"/>
      <c r="T122" s="519"/>
      <c r="U122" s="519"/>
      <c r="V122" s="519"/>
      <c r="W122" s="519"/>
      <c r="X122" s="519"/>
      <c r="Y122" s="519"/>
      <c r="Z122" s="519"/>
      <c r="AA122" s="519"/>
      <c r="AB122" s="519"/>
      <c r="AC122" s="519"/>
      <c r="AD122" s="519"/>
      <c r="AE122" s="519"/>
    </row>
    <row r="123" spans="1:56" s="337" customFormat="1" hidden="1" outlineLevel="1">
      <c r="A123" s="539" t="s">
        <v>256</v>
      </c>
      <c r="D123" s="519"/>
      <c r="E123" s="519"/>
      <c r="F123" s="519"/>
      <c r="G123" s="519">
        <f>G111/SUM(F111:G111)</f>
        <v>0.53811740703367017</v>
      </c>
      <c r="H123" s="519"/>
      <c r="I123" s="519"/>
      <c r="J123" s="519"/>
      <c r="K123" s="519">
        <f>K111/SUM(J111:K111)</f>
        <v>0.54144922923560113</v>
      </c>
      <c r="N123" s="519"/>
      <c r="O123" s="519">
        <f>O111/SUM(N111:O111)</f>
        <v>0.52396960614324006</v>
      </c>
      <c r="P123" s="519"/>
      <c r="Q123" s="519"/>
      <c r="R123" s="519"/>
      <c r="S123" s="519"/>
      <c r="T123" s="519"/>
      <c r="U123" s="519"/>
      <c r="V123" s="519"/>
      <c r="W123" s="519"/>
      <c r="X123" s="519"/>
      <c r="Y123" s="519"/>
      <c r="Z123" s="519"/>
      <c r="AA123" s="519"/>
      <c r="AB123" s="519"/>
      <c r="AC123" s="519"/>
      <c r="AD123" s="519"/>
      <c r="AE123" s="519"/>
    </row>
    <row r="124" spans="1:56" s="337" customFormat="1" collapsed="1">
      <c r="A124" s="539"/>
      <c r="D124" s="519"/>
      <c r="E124" s="519"/>
      <c r="F124" s="519"/>
      <c r="G124" s="519"/>
      <c r="H124" s="519"/>
      <c r="I124" s="519"/>
      <c r="J124" s="519"/>
      <c r="K124" s="519"/>
      <c r="N124" s="519"/>
      <c r="O124" s="519"/>
      <c r="P124" s="519"/>
      <c r="Q124" s="519"/>
      <c r="R124" s="519"/>
      <c r="S124" s="519"/>
      <c r="T124" s="519"/>
      <c r="U124" s="519"/>
      <c r="V124" s="519"/>
      <c r="W124" s="519"/>
      <c r="X124" s="519"/>
      <c r="Y124" s="519"/>
      <c r="Z124" s="519"/>
      <c r="AA124" s="519"/>
      <c r="AB124" s="519"/>
      <c r="AC124" s="519"/>
      <c r="AD124" s="519"/>
      <c r="AE124" s="519"/>
    </row>
    <row r="125" spans="1:56" s="337" customFormat="1">
      <c r="A125" s="530" t="s">
        <v>148</v>
      </c>
      <c r="D125" s="519"/>
      <c r="E125" s="519"/>
      <c r="F125" s="519"/>
      <c r="G125" s="519"/>
      <c r="H125" s="519"/>
      <c r="I125" s="519"/>
      <c r="J125" s="519"/>
      <c r="K125" s="519"/>
      <c r="N125" s="519"/>
      <c r="O125" s="519"/>
      <c r="P125" s="519"/>
      <c r="Q125" s="519"/>
      <c r="R125" s="519"/>
      <c r="S125" s="519"/>
      <c r="T125" s="519"/>
      <c r="U125" s="519"/>
      <c r="V125" s="519"/>
      <c r="W125" s="519"/>
      <c r="X125" s="519"/>
      <c r="Y125" s="519"/>
      <c r="Z125" s="519"/>
      <c r="AA125" s="519"/>
      <c r="AB125" s="519"/>
      <c r="AC125" s="519"/>
      <c r="AD125" s="519"/>
      <c r="AE125" s="519"/>
    </row>
    <row r="126" spans="1:56" s="337" customFormat="1">
      <c r="A126" s="546" t="s">
        <v>257</v>
      </c>
      <c r="D126" s="547"/>
      <c r="E126" s="344"/>
      <c r="F126" s="344">
        <v>0.5</v>
      </c>
      <c r="G126" s="344">
        <v>0.49</v>
      </c>
      <c r="H126" s="344">
        <v>0.39700000000000002</v>
      </c>
      <c r="I126" s="344">
        <v>0.372</v>
      </c>
      <c r="J126" s="344">
        <v>0.20100000000000001</v>
      </c>
      <c r="K126" s="344">
        <v>0.39200000000000002</v>
      </c>
      <c r="L126" s="344">
        <v>0.61</v>
      </c>
      <c r="M126" s="344">
        <v>0.48799999999999999</v>
      </c>
      <c r="N126" s="344">
        <v>0.54300000000000004</v>
      </c>
      <c r="O126" s="344">
        <v>0.33300000000000002</v>
      </c>
      <c r="P126" s="344">
        <v>0.20799999999999999</v>
      </c>
      <c r="Q126" s="344">
        <v>0.22500000000000001</v>
      </c>
      <c r="R126" s="344">
        <v>-7.0000000000000001E-3</v>
      </c>
      <c r="S126" s="344">
        <v>1.6E-2</v>
      </c>
      <c r="T126" s="344">
        <v>2.5999999999999999E-2</v>
      </c>
      <c r="U126" s="344">
        <v>-0.06</v>
      </c>
      <c r="V126" s="344">
        <v>0.02</v>
      </c>
      <c r="W126" s="344">
        <v>0.01</v>
      </c>
      <c r="X126" s="344"/>
      <c r="Y126" s="344"/>
      <c r="Z126" s="344"/>
      <c r="AA126" s="344"/>
      <c r="AB126" s="344"/>
      <c r="AC126" s="344"/>
      <c r="AD126" s="344"/>
      <c r="AE126" s="344"/>
      <c r="AG126" s="547"/>
      <c r="AH126" s="344"/>
      <c r="AI126" s="344">
        <f>SUMPRODUCT(L126:M126,H111:I111)/AG111</f>
        <v>0.53672410347489463</v>
      </c>
      <c r="AJ126" s="344">
        <f>SUMPRODUCT(N126:O126,J111:K111)/AH111</f>
        <v>0.4292956618605237</v>
      </c>
      <c r="AK126" s="344">
        <f>SUMPRODUCT(P126:Q126,L111:M111)/AI111</f>
        <v>0.21768758861998133</v>
      </c>
      <c r="AL126" s="344">
        <f>SUMPRODUCT(R126:S126,N111:O111)/AJ111</f>
        <v>5.0513009412945205E-3</v>
      </c>
      <c r="AM126" s="344">
        <f>+SUMPRODUCT(T126:U126,P111:Q111)/SUM(P111:Q111)</f>
        <v>-2.2067826048501188E-2</v>
      </c>
      <c r="AN126" s="344">
        <f>+SUMPRODUCT(V126:W126,R111:S111)/SUM(R111:S111)</f>
        <v>1.4770151701517015E-2</v>
      </c>
      <c r="AO126" s="344"/>
      <c r="AP126" s="344"/>
      <c r="AQ126" s="344"/>
      <c r="AR126" s="344"/>
      <c r="AS126" s="547"/>
      <c r="AT126" s="547"/>
      <c r="AU126" s="344"/>
      <c r="AV126" s="344">
        <f>SUMPRODUCT(H126:K126,D111:G111)/AU111</f>
        <v>0.33983253355278309</v>
      </c>
      <c r="AW126" s="344">
        <f>SUMPRODUCT(L126:O126,H111:K111)/AV111</f>
        <v>0.48091017360630389</v>
      </c>
      <c r="AX126" s="344">
        <f>SUMPRODUCT(P126:S126,L111:O111)/AW111</f>
        <v>0.10943949320385522</v>
      </c>
      <c r="AY126" s="344">
        <f>SUMPRODUCT(T126:W126,P111:S111)/AX111</f>
        <v>-5.1857173155482857E-3</v>
      </c>
      <c r="AZ126" s="344"/>
      <c r="BA126" s="344"/>
      <c r="BB126" s="547"/>
    </row>
    <row r="129" spans="1:54">
      <c r="A129" s="319" t="s">
        <v>223</v>
      </c>
      <c r="D129" s="355">
        <v>585</v>
      </c>
      <c r="E129" s="355">
        <v>637.29999999999995</v>
      </c>
      <c r="F129" s="355">
        <v>601</v>
      </c>
      <c r="G129" s="355">
        <v>600.4</v>
      </c>
      <c r="H129" s="355">
        <v>582</v>
      </c>
      <c r="I129" s="355">
        <v>636</v>
      </c>
      <c r="J129" s="355">
        <v>571</v>
      </c>
      <c r="K129" s="355">
        <v>493</v>
      </c>
      <c r="L129" s="355">
        <v>574</v>
      </c>
      <c r="M129" s="355">
        <v>626</v>
      </c>
      <c r="N129" s="355">
        <v>618</v>
      </c>
      <c r="O129" s="355">
        <v>599</v>
      </c>
      <c r="P129" s="355">
        <v>593</v>
      </c>
      <c r="Q129" s="355">
        <v>635</v>
      </c>
      <c r="R129" s="355">
        <v>632</v>
      </c>
      <c r="S129" s="355">
        <v>596</v>
      </c>
      <c r="T129" s="355">
        <v>530</v>
      </c>
      <c r="U129" s="355">
        <v>549</v>
      </c>
      <c r="V129" s="355">
        <v>566</v>
      </c>
      <c r="W129" s="355">
        <v>561</v>
      </c>
      <c r="X129" s="355"/>
      <c r="Y129" s="355"/>
      <c r="Z129" s="355"/>
      <c r="AA129" s="355"/>
      <c r="AB129" s="355"/>
      <c r="AC129" s="355"/>
      <c r="AD129" s="355"/>
      <c r="AE129" s="355"/>
      <c r="AG129" s="355">
        <f>SUMPRODUCT(H129:I129,H111:I111)/AG111</f>
        <v>614.43359354389906</v>
      </c>
      <c r="AH129" s="355">
        <f>SUMPRODUCT(J129:K129,J111:K111)/AH111</f>
        <v>528.76696011962315</v>
      </c>
      <c r="AI129" s="355">
        <f>SUMPRODUCT(L129:M129,L111:M111)/AI111</f>
        <v>603.63262401406064</v>
      </c>
      <c r="AJ129" s="355">
        <f>SUMPRODUCT(N129:O129,N111:O111)/AJ111</f>
        <v>608.04457748327843</v>
      </c>
      <c r="AK129" s="355">
        <f>SUMPRODUCT(P129:Q129,P111:Q111)/AK111</f>
        <v>616.47498481438436</v>
      </c>
      <c r="AL129" s="355">
        <f>SUMPRODUCT(R129:S129,R111:S111)/AL111</f>
        <v>613.17254612546128</v>
      </c>
      <c r="AM129" s="355">
        <f>SUMPRODUCT(T129:U129,T111:U111)/AM111</f>
        <v>540.277910464618</v>
      </c>
      <c r="AN129" s="355">
        <f>SUMPRODUCT(V129:W129,V111:W111)/AN111</f>
        <v>563.37150602639656</v>
      </c>
      <c r="AO129" s="355"/>
      <c r="AP129" s="355"/>
      <c r="AQ129" s="355"/>
      <c r="AR129" s="355"/>
      <c r="AT129" s="334">
        <v>631</v>
      </c>
      <c r="AU129" s="334">
        <v>606</v>
      </c>
      <c r="AV129" s="334">
        <f>+SUMPRODUCT(AG129:AH129,AG111:AH111)/AV111</f>
        <v>569.92590639728405</v>
      </c>
      <c r="AW129" s="334">
        <f>+SUMPRODUCT(AI129:AJ129,AI111:AJ111)/AW111</f>
        <v>605.87864497934891</v>
      </c>
      <c r="AX129" s="334">
        <f>+SUMPRODUCT(AK129:AL129,AK111:AL111)/AX111</f>
        <v>614.96154318605602</v>
      </c>
      <c r="AY129" s="334">
        <f>+SUMPRODUCT(AM129:AN129,AM111:AN111)/AY111</f>
        <v>551.41909324546566</v>
      </c>
      <c r="AZ129" s="334"/>
      <c r="BA129" s="334"/>
    </row>
    <row r="130" spans="1:54" s="337" customFormat="1">
      <c r="A130" s="546" t="s">
        <v>237</v>
      </c>
      <c r="D130" s="547"/>
      <c r="E130" s="344"/>
      <c r="F130" s="344"/>
      <c r="G130" s="344"/>
      <c r="H130" s="344">
        <f t="shared" ref="H130" si="336">+H129/D129-1</f>
        <v>-5.12820512820511E-3</v>
      </c>
      <c r="I130" s="344">
        <f t="shared" ref="I130" si="337">+I129/E129-1</f>
        <v>-2.0398556409852997E-3</v>
      </c>
      <c r="J130" s="344">
        <f t="shared" ref="J130" si="338">+J129/F129-1</f>
        <v>-4.991680532445919E-2</v>
      </c>
      <c r="K130" s="344">
        <f t="shared" ref="K130" si="339">+K129/G129-1</f>
        <v>-0.17888074616922045</v>
      </c>
      <c r="L130" s="344">
        <f t="shared" ref="L130" si="340">+L129/H129-1</f>
        <v>-1.3745704467353903E-2</v>
      </c>
      <c r="M130" s="344">
        <f t="shared" ref="M130" si="341">+M129/I129-1</f>
        <v>-1.5723270440251569E-2</v>
      </c>
      <c r="N130" s="344">
        <f>+N129/J129-1</f>
        <v>8.2311733800350284E-2</v>
      </c>
      <c r="O130" s="344">
        <f>+O129/K129-1</f>
        <v>0.21501014198782964</v>
      </c>
      <c r="P130" s="344">
        <f>+P129/L129-1</f>
        <v>3.3101045296167309E-2</v>
      </c>
      <c r="Q130" s="344">
        <f>+Q129/M129-1</f>
        <v>1.437699680511173E-2</v>
      </c>
      <c r="R130" s="344">
        <f t="shared" ref="R130:S130" si="342">+R129/N129-1</f>
        <v>2.265372168284796E-2</v>
      </c>
      <c r="S130" s="344">
        <f t="shared" si="342"/>
        <v>-5.008347245408995E-3</v>
      </c>
      <c r="T130" s="344">
        <f t="shared" ref="T130" si="343">+T129/P129-1</f>
        <v>-0.10623946037099496</v>
      </c>
      <c r="U130" s="344">
        <f t="shared" ref="U130" si="344">+U129/Q129-1</f>
        <v>-0.13543307086614176</v>
      </c>
      <c r="V130" s="344">
        <f t="shared" ref="V130" si="345">+V129/R129-1</f>
        <v>-0.10443037974683544</v>
      </c>
      <c r="W130" s="344">
        <f t="shared" ref="W130" si="346">+W129/S129-1</f>
        <v>-5.8724832214765099E-2</v>
      </c>
      <c r="X130" s="344"/>
      <c r="Y130" s="344"/>
      <c r="Z130" s="344"/>
      <c r="AA130" s="344"/>
      <c r="AB130" s="344"/>
      <c r="AC130" s="344"/>
      <c r="AD130" s="344"/>
      <c r="AE130" s="344"/>
      <c r="AG130" s="547"/>
      <c r="AH130" s="547"/>
      <c r="AI130" s="344">
        <f>+AI129/AG129-1</f>
        <v>-1.7578741858076397E-2</v>
      </c>
      <c r="AJ130" s="344">
        <f>+AJ129/AH129-1</f>
        <v>0.14992921899984113</v>
      </c>
      <c r="AK130" s="344">
        <f>+AK129/AI129-1</f>
        <v>2.1275127104502856E-2</v>
      </c>
      <c r="AL130" s="344">
        <f>+AL129/AJ129-1</f>
        <v>8.4335406186957229E-3</v>
      </c>
      <c r="AM130" s="344">
        <f t="shared" ref="AM130" si="347">+AM129/AK129-1</f>
        <v>-0.12360124291613983</v>
      </c>
      <c r="AN130" s="344">
        <f t="shared" ref="AN130" si="348">+AN129/AL129-1</f>
        <v>-8.1218639702233086E-2</v>
      </c>
      <c r="AO130" s="344"/>
      <c r="AP130" s="344"/>
      <c r="AQ130" s="344"/>
      <c r="AR130" s="344"/>
      <c r="AS130" s="547"/>
      <c r="AT130" s="547"/>
      <c r="AU130" s="344">
        <f t="shared" ref="AU130" si="349">+AU129/AT129-1</f>
        <v>-3.961965134706813E-2</v>
      </c>
      <c r="AV130" s="344">
        <f t="shared" ref="AV130" si="350">+AV129/AU129-1</f>
        <v>-5.95282072652078E-2</v>
      </c>
      <c r="AW130" s="344">
        <f>+AW129/AV129-1</f>
        <v>6.3083180073942646E-2</v>
      </c>
      <c r="AX130" s="344">
        <f t="shared" ref="AX130" si="351">+AX129/AW129-1</f>
        <v>1.4991282960660657E-2</v>
      </c>
      <c r="AY130" s="344">
        <f t="shared" ref="AY130" si="352">+AY129/AX129-1</f>
        <v>-0.10332751802882356</v>
      </c>
      <c r="AZ130" s="344"/>
      <c r="BA130" s="344"/>
      <c r="BB130" s="547"/>
    </row>
    <row r="131" spans="1:54" s="337" customFormat="1">
      <c r="A131" s="546" t="s">
        <v>224</v>
      </c>
      <c r="D131" s="547"/>
      <c r="E131" s="344">
        <f>+E129/D129-1</f>
        <v>8.9401709401709217E-2</v>
      </c>
      <c r="F131" s="344">
        <f t="shared" ref="F131:Q131" si="353">+F129/E129-1</f>
        <v>-5.6959045975207845E-2</v>
      </c>
      <c r="G131" s="344">
        <f t="shared" si="353"/>
        <v>-9.9833610648925042E-4</v>
      </c>
      <c r="H131" s="344">
        <f t="shared" si="353"/>
        <v>-3.0646235842771485E-2</v>
      </c>
      <c r="I131" s="344">
        <f t="shared" si="353"/>
        <v>9.2783505154639068E-2</v>
      </c>
      <c r="J131" s="344">
        <f t="shared" si="353"/>
        <v>-0.10220125786163525</v>
      </c>
      <c r="K131" s="344">
        <f t="shared" si="353"/>
        <v>-0.1366024518388792</v>
      </c>
      <c r="L131" s="344">
        <f t="shared" si="353"/>
        <v>0.16430020283975666</v>
      </c>
      <c r="M131" s="344">
        <f t="shared" si="353"/>
        <v>9.0592334494773441E-2</v>
      </c>
      <c r="N131" s="344">
        <f t="shared" si="353"/>
        <v>-1.2779552715655007E-2</v>
      </c>
      <c r="O131" s="344">
        <f t="shared" si="353"/>
        <v>-3.0744336569579311E-2</v>
      </c>
      <c r="P131" s="344">
        <f t="shared" si="353"/>
        <v>-1.001669449081799E-2</v>
      </c>
      <c r="Q131" s="344">
        <f t="shared" si="353"/>
        <v>7.0826306913996717E-2</v>
      </c>
      <c r="R131" s="344">
        <f t="shared" ref="R131" si="354">+R129/Q129-1</f>
        <v>-4.7244094488189115E-3</v>
      </c>
      <c r="S131" s="344">
        <f t="shared" ref="S131" si="355">+S129/R129-1</f>
        <v>-5.6962025316455667E-2</v>
      </c>
      <c r="T131" s="344">
        <f t="shared" ref="T131" si="356">+T129/S129-1</f>
        <v>-0.11073825503355705</v>
      </c>
      <c r="U131" s="344">
        <f t="shared" ref="U131" si="357">+U129/T129-1</f>
        <v>3.5849056603773688E-2</v>
      </c>
      <c r="V131" s="344">
        <f t="shared" ref="V131" si="358">+V129/U129-1</f>
        <v>3.0965391621129434E-2</v>
      </c>
      <c r="W131" s="344">
        <f t="shared" ref="W131" si="359">+W129/V129-1</f>
        <v>-8.8339222614840507E-3</v>
      </c>
      <c r="X131" s="344"/>
      <c r="Y131" s="344"/>
      <c r="Z131" s="344"/>
      <c r="AA131" s="344"/>
      <c r="AB131" s="344"/>
      <c r="AC131" s="344"/>
      <c r="AD131" s="344"/>
      <c r="AE131" s="344"/>
      <c r="AG131" s="547"/>
      <c r="AH131" s="344">
        <f t="shared" ref="AH131:AL131" si="360">+AH129/AG129-1</f>
        <v>-0.13942374623459675</v>
      </c>
      <c r="AI131" s="344">
        <f t="shared" si="360"/>
        <v>0.14158536659987342</v>
      </c>
      <c r="AJ131" s="344">
        <f t="shared" si="360"/>
        <v>7.3090043408836625E-3</v>
      </c>
      <c r="AK131" s="344">
        <f t="shared" si="360"/>
        <v>1.3864784989942258E-2</v>
      </c>
      <c r="AL131" s="344">
        <f t="shared" si="360"/>
        <v>-5.356971118491427E-3</v>
      </c>
      <c r="AM131" s="344">
        <f t="shared" ref="AM131" si="361">+AM129/AL129-1</f>
        <v>-0.11888111449452976</v>
      </c>
      <c r="AN131" s="344">
        <f t="shared" ref="AN131" si="362">+AN129/AM129-1</f>
        <v>4.2743919591158086E-2</v>
      </c>
      <c r="AO131" s="344"/>
      <c r="AP131" s="344"/>
      <c r="AQ131" s="344"/>
      <c r="AR131" s="344"/>
      <c r="AS131" s="547"/>
      <c r="AT131" s="547"/>
      <c r="AU131" s="344">
        <f t="shared" ref="AU131:AW131" si="363">+AU129/AT129-1</f>
        <v>-3.961965134706813E-2</v>
      </c>
      <c r="AV131" s="344">
        <f t="shared" si="363"/>
        <v>-5.95282072652078E-2</v>
      </c>
      <c r="AW131" s="344">
        <f t="shared" si="363"/>
        <v>6.3083180073942646E-2</v>
      </c>
      <c r="AX131" s="344">
        <f t="shared" ref="AX131" si="364">+AX129/AW129-1</f>
        <v>1.4991282960660657E-2</v>
      </c>
      <c r="AY131" s="344">
        <f t="shared" ref="AY131" si="365">+AY129/AX129-1</f>
        <v>-0.10332751802882356</v>
      </c>
      <c r="AZ131" s="344"/>
      <c r="BA131" s="344"/>
      <c r="BB131" s="547"/>
    </row>
    <row r="132" spans="1:54">
      <c r="K132" s="319">
        <v>292.69200000000001</v>
      </c>
    </row>
  </sheetData>
  <printOptions horizontalCentered="1"/>
  <pageMargins left="0.3" right="0.3" top="0.3" bottom="0.3" header="0.3" footer="0.3"/>
  <pageSetup scale="31" fitToHeight="0" orientation="landscape" r:id="rId1"/>
  <headerFooter>
    <oddFooter>Page &amp;P of &amp;N</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8A853-B32B-4345-BB40-A87A200E10BD}">
  <sheetPr>
    <pageSetUpPr fitToPage="1"/>
  </sheetPr>
  <dimension ref="A1:BA340"/>
  <sheetViews>
    <sheetView view="pageBreakPreview" zoomScale="55" zoomScaleNormal="55" zoomScaleSheetLayoutView="55" workbookViewId="0">
      <pane xSplit="2" ySplit="5" topLeftCell="C209" activePane="bottomRight" state="frozen"/>
      <selection activeCell="D86" sqref="D86"/>
      <selection pane="topRight" activeCell="D86" sqref="D86"/>
      <selection pane="bottomLeft" activeCell="D86" sqref="D86"/>
      <selection pane="bottomRight" activeCell="C209" sqref="C209"/>
    </sheetView>
  </sheetViews>
  <sheetFormatPr defaultColWidth="8.7265625" defaultRowHeight="15.5" outlineLevelRow="1" outlineLevelCol="1"/>
  <cols>
    <col min="1" max="1" width="31.54296875" style="319" customWidth="1"/>
    <col min="2" max="3" width="3.453125" style="319" customWidth="1"/>
    <col min="4" max="5" width="11.54296875" style="319" hidden="1" customWidth="1" outlineLevel="1"/>
    <col min="6" max="6" width="11.54296875" style="319" customWidth="1" collapsed="1"/>
    <col min="7" max="22" width="11.54296875" style="319" customWidth="1"/>
    <col min="23" max="23" width="7.1796875" style="319" customWidth="1"/>
    <col min="24" max="25" width="11.54296875" style="319" hidden="1" customWidth="1" outlineLevel="1"/>
    <col min="26" max="26" width="11.54296875" style="319" customWidth="1" collapsed="1"/>
    <col min="27" max="33" width="11.54296875" style="319" customWidth="1"/>
    <col min="34" max="34" width="3.81640625" style="319" customWidth="1"/>
    <col min="35" max="35" width="3.7265625" style="319" customWidth="1"/>
    <col min="36" max="42" width="11.54296875" style="319" customWidth="1"/>
    <col min="43" max="43" width="8.7265625" style="319"/>
    <col min="44" max="44" width="10.453125" style="319" bestFit="1" customWidth="1"/>
    <col min="45" max="45" width="9.54296875" style="319" bestFit="1" customWidth="1"/>
    <col min="46" max="16384" width="8.7265625" style="319"/>
  </cols>
  <sheetData>
    <row r="1" spans="1:47">
      <c r="A1" s="318" t="s">
        <v>0</v>
      </c>
      <c r="B1" s="318"/>
      <c r="C1" s="318"/>
      <c r="D1" s="318"/>
      <c r="E1" s="318"/>
      <c r="F1" s="318"/>
      <c r="G1" s="318"/>
      <c r="H1" s="318"/>
      <c r="I1" s="318"/>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20"/>
      <c r="AK1" s="320"/>
      <c r="AL1" s="320"/>
      <c r="AM1" s="320"/>
      <c r="AN1" s="320"/>
      <c r="AO1" s="320"/>
      <c r="AP1" s="320">
        <f>+'Q4 FY21e analysis'!BA1</f>
        <v>45565</v>
      </c>
    </row>
    <row r="2" spans="1:47">
      <c r="A2" s="321" t="s">
        <v>258</v>
      </c>
      <c r="B2" s="318"/>
      <c r="C2" s="318"/>
      <c r="D2" s="318"/>
      <c r="E2" s="318"/>
      <c r="F2" s="318"/>
      <c r="G2" s="318"/>
      <c r="H2" s="318"/>
      <c r="I2" s="318"/>
      <c r="J2" s="318"/>
      <c r="K2" s="318"/>
      <c r="L2" s="318"/>
      <c r="M2" s="318"/>
      <c r="N2" s="318"/>
      <c r="O2" s="318"/>
      <c r="P2" s="318"/>
      <c r="Q2" s="318"/>
      <c r="R2" s="318"/>
      <c r="S2" s="318"/>
      <c r="T2" s="318"/>
      <c r="U2" s="318"/>
      <c r="V2" s="318"/>
      <c r="W2" s="318"/>
      <c r="X2" s="318"/>
      <c r="Y2" s="322"/>
      <c r="Z2" s="322"/>
      <c r="AA2" s="322"/>
      <c r="AB2" s="322"/>
      <c r="AC2" s="322"/>
      <c r="AD2" s="322"/>
      <c r="AE2" s="322"/>
      <c r="AF2" s="322"/>
      <c r="AG2" s="322"/>
      <c r="AH2" s="322"/>
      <c r="AI2" s="322"/>
      <c r="AJ2" s="322"/>
      <c r="AK2" s="322"/>
      <c r="AL2" s="322"/>
      <c r="AM2" s="322"/>
      <c r="AN2" s="322"/>
      <c r="AO2" s="322"/>
      <c r="AP2" s="322"/>
    </row>
    <row r="3" spans="1:47">
      <c r="A3" s="323" t="s">
        <v>192</v>
      </c>
      <c r="B3" s="324"/>
      <c r="C3" s="324"/>
      <c r="D3" s="324"/>
      <c r="E3" s="324"/>
      <c r="F3" s="324"/>
      <c r="G3" s="324"/>
      <c r="H3" s="324"/>
      <c r="I3" s="324"/>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row>
    <row r="4" spans="1:47" ht="18.5">
      <c r="D4" s="325" t="s">
        <v>105</v>
      </c>
      <c r="E4" s="325"/>
      <c r="F4" s="325" t="s">
        <v>105</v>
      </c>
      <c r="G4" s="325"/>
      <c r="H4" s="325"/>
      <c r="I4" s="325"/>
      <c r="J4" s="325"/>
      <c r="K4" s="325"/>
      <c r="L4" s="325"/>
      <c r="M4" s="325"/>
      <c r="N4" s="325"/>
      <c r="O4" s="325"/>
      <c r="P4" s="325"/>
      <c r="Q4" s="325"/>
      <c r="R4" s="325"/>
      <c r="S4" s="325"/>
      <c r="T4" s="325"/>
      <c r="U4" s="325"/>
      <c r="V4" s="325"/>
      <c r="X4" s="325" t="s">
        <v>105</v>
      </c>
      <c r="Y4" s="325"/>
      <c r="Z4" s="325" t="s">
        <v>105</v>
      </c>
      <c r="AA4" s="325"/>
      <c r="AB4" s="325"/>
      <c r="AC4" s="325"/>
      <c r="AD4" s="325"/>
      <c r="AE4" s="325"/>
      <c r="AF4" s="325"/>
      <c r="AG4" s="325"/>
      <c r="AJ4" s="325" t="s">
        <v>105</v>
      </c>
      <c r="AK4" s="325"/>
      <c r="AL4" s="325"/>
      <c r="AM4" s="325"/>
      <c r="AN4" s="325"/>
      <c r="AO4" s="325"/>
      <c r="AP4" s="325"/>
    </row>
    <row r="5" spans="1:47" s="505" customFormat="1" ht="18.5">
      <c r="D5" s="326" t="s">
        <v>199</v>
      </c>
      <c r="E5" s="326" t="s">
        <v>200</v>
      </c>
      <c r="F5" s="326" t="s">
        <v>201</v>
      </c>
      <c r="G5" s="326" t="s">
        <v>202</v>
      </c>
      <c r="H5" s="326" t="s">
        <v>203</v>
      </c>
      <c r="I5" s="326" t="s">
        <v>204</v>
      </c>
      <c r="J5" s="326" t="s">
        <v>205</v>
      </c>
      <c r="K5" s="326" t="s">
        <v>206</v>
      </c>
      <c r="L5" s="326" t="s">
        <v>207</v>
      </c>
      <c r="M5" s="326" t="s">
        <v>208</v>
      </c>
      <c r="N5" s="326" t="s">
        <v>209</v>
      </c>
      <c r="O5" s="326" t="s">
        <v>210</v>
      </c>
      <c r="P5" s="326" t="s">
        <v>259</v>
      </c>
      <c r="Q5" s="326" t="s">
        <v>260</v>
      </c>
      <c r="R5" s="326" t="s">
        <v>213</v>
      </c>
      <c r="S5" s="326" t="s">
        <v>214</v>
      </c>
      <c r="T5" s="326" t="s">
        <v>1604</v>
      </c>
      <c r="U5" s="326" t="s">
        <v>4193</v>
      </c>
      <c r="V5" s="326" t="s">
        <v>4183</v>
      </c>
      <c r="X5" s="326" t="s">
        <v>106</v>
      </c>
      <c r="Y5" s="326" t="s">
        <v>107</v>
      </c>
      <c r="Z5" s="326" t="s">
        <v>108</v>
      </c>
      <c r="AA5" s="326" t="s">
        <v>109</v>
      </c>
      <c r="AB5" s="326" t="s">
        <v>110</v>
      </c>
      <c r="AC5" s="326" t="s">
        <v>111</v>
      </c>
      <c r="AD5" s="326" t="s">
        <v>112</v>
      </c>
      <c r="AE5" s="326" t="s">
        <v>113</v>
      </c>
      <c r="AF5" s="326" t="s">
        <v>114</v>
      </c>
      <c r="AG5" s="326" t="s">
        <v>4191</v>
      </c>
      <c r="AH5" s="326"/>
      <c r="AI5" s="326"/>
      <c r="AJ5" s="326" t="s">
        <v>261</v>
      </c>
      <c r="AK5" s="326" t="s">
        <v>217</v>
      </c>
      <c r="AL5" s="326" t="s">
        <v>218</v>
      </c>
      <c r="AM5" s="326" t="s">
        <v>219</v>
      </c>
      <c r="AN5" s="326" t="s">
        <v>220</v>
      </c>
      <c r="AO5" s="326" t="s">
        <v>221</v>
      </c>
      <c r="AP5" s="326" t="s">
        <v>455</v>
      </c>
    </row>
    <row r="6" spans="1:47">
      <c r="A6" s="353" t="s">
        <v>262</v>
      </c>
      <c r="B6" s="354"/>
      <c r="C6" s="352"/>
      <c r="D6" s="355"/>
      <c r="E6" s="355"/>
      <c r="F6" s="355"/>
      <c r="G6" s="355"/>
      <c r="H6" s="355"/>
      <c r="I6" s="355"/>
      <c r="J6" s="355"/>
      <c r="K6" s="355"/>
      <c r="L6" s="355"/>
      <c r="M6" s="355"/>
      <c r="N6" s="355"/>
      <c r="O6" s="355"/>
      <c r="P6" s="355"/>
      <c r="Q6" s="355"/>
      <c r="R6" s="355"/>
      <c r="S6" s="355"/>
      <c r="T6" s="355"/>
      <c r="U6" s="355"/>
      <c r="V6" s="355"/>
      <c r="W6" s="352"/>
      <c r="X6" s="355"/>
      <c r="Y6" s="355"/>
      <c r="Z6" s="355"/>
      <c r="AA6" s="355"/>
      <c r="AB6" s="355"/>
      <c r="AC6" s="355"/>
      <c r="AD6" s="355"/>
      <c r="AE6" s="355"/>
      <c r="AF6" s="355"/>
      <c r="AG6" s="355"/>
      <c r="AH6" s="355"/>
      <c r="AI6" s="355"/>
      <c r="AJ6" s="355"/>
      <c r="AK6" s="355"/>
      <c r="AL6" s="355"/>
      <c r="AM6" s="355"/>
      <c r="AN6" s="355"/>
      <c r="AO6" s="355"/>
      <c r="AP6" s="355"/>
      <c r="AQ6" s="355"/>
    </row>
    <row r="7" spans="1:47">
      <c r="D7" s="355"/>
      <c r="E7" s="506"/>
      <c r="F7" s="506"/>
      <c r="G7" s="506"/>
      <c r="H7" s="506"/>
      <c r="I7" s="506"/>
      <c r="J7" s="506"/>
      <c r="K7" s="506"/>
      <c r="L7" s="506"/>
      <c r="M7" s="506"/>
      <c r="N7" s="506"/>
      <c r="O7" s="506"/>
      <c r="P7" s="506"/>
      <c r="Q7" s="506"/>
      <c r="R7" s="506"/>
      <c r="S7" s="506"/>
      <c r="T7" s="506"/>
      <c r="U7" s="506"/>
      <c r="V7" s="506"/>
      <c r="X7" s="355"/>
      <c r="Y7" s="355"/>
      <c r="Z7" s="355"/>
      <c r="AA7" s="355"/>
      <c r="AB7" s="355"/>
      <c r="AC7" s="355"/>
      <c r="AD7" s="355"/>
      <c r="AE7" s="355"/>
      <c r="AF7" s="355"/>
      <c r="AG7" s="355"/>
      <c r="AH7" s="355"/>
      <c r="AI7" s="355"/>
      <c r="AJ7" s="355"/>
      <c r="AK7" s="355"/>
      <c r="AL7" s="355"/>
      <c r="AM7" s="355"/>
      <c r="AN7" s="355"/>
      <c r="AO7" s="355"/>
      <c r="AP7" s="355"/>
      <c r="AQ7" s="355"/>
    </row>
    <row r="8" spans="1:47">
      <c r="A8" s="319" t="s">
        <v>131</v>
      </c>
      <c r="D8" s="355">
        <f>+'Detailed Disclosure'!D8/'Detailed Disclosures - USD'!D$313</f>
        <v>3556.8086029861183</v>
      </c>
      <c r="E8" s="355">
        <f>+'Detailed Disclosure'!E8/'Detailed Disclosures - USD'!E$313</f>
        <v>9283.520651200206</v>
      </c>
      <c r="F8" s="508">
        <f>+'Q4 FY21e analysis'!L14</f>
        <v>13149.585074972403</v>
      </c>
      <c r="G8" s="508">
        <f>+'Q4 FY21e analysis'!M14</f>
        <v>24966.086101433793</v>
      </c>
      <c r="H8" s="355">
        <f>+'Detailed Disclosure'!H8/'Detailed Disclosures - USD'!H$313</f>
        <v>19541.625722512381</v>
      </c>
      <c r="I8" s="355">
        <f>+'Detailed Disclosure'!I8/'Detailed Disclosures - USD'!I$313</f>
        <v>35729.859250945403</v>
      </c>
      <c r="J8" s="355">
        <f>+'Detailed Disclosure'!J8/'Detailed Disclosures - USD'!J$313</f>
        <v>38279.819957385189</v>
      </c>
      <c r="K8" s="355">
        <f>+AB8-J8</f>
        <v>74443.89792481951</v>
      </c>
      <c r="L8" s="355">
        <f>+'Detailed Disclosure'!L8/'Detailed Disclosures - USD'!L$313</f>
        <v>51268.971410226688</v>
      </c>
      <c r="M8" s="355">
        <f>+AC8-L8</f>
        <v>44872.719361685624</v>
      </c>
      <c r="N8" s="355">
        <f>+'Detailed Disclosure'!N8/'Detailed Disclosures - USD'!N$313</f>
        <v>57687.424152767489</v>
      </c>
      <c r="O8" s="355">
        <f>+'Detailed Disclosure'!O8/'Detailed Disclosures - USD'!O$313</f>
        <v>103967.18483098266</v>
      </c>
      <c r="P8" s="355">
        <f>+'Detailed Disclosure'!P8/'Detailed Disclosures - USD'!P$313</f>
        <v>90048.850476548367</v>
      </c>
      <c r="Q8" s="355">
        <f>+'Detailed Disclosure'!Q8/'Detailed Disclosures - USD'!Q$313</f>
        <v>110035.26618446327</v>
      </c>
      <c r="R8" s="355">
        <f>+'Detailed Disclosure'!R8/'Detailed Disclosures - USD'!R$313</f>
        <v>109582.99787142561</v>
      </c>
      <c r="S8" s="355">
        <f>+'Detailed Disclosure'!S8/'Detailed Disclosures - USD'!S$313</f>
        <v>190870.42355011459</v>
      </c>
      <c r="T8" s="355">
        <f>+'Detailed Disclosure'!T8/'Detailed Disclosures - USD'!T$313</f>
        <v>168793.59443205188</v>
      </c>
      <c r="U8" s="355">
        <f>+'Detailed Disclosure'!U8/'Detailed Disclosures - USD'!U$313</f>
        <v>172037.25720475338</v>
      </c>
      <c r="V8" s="355"/>
      <c r="X8" s="355">
        <f>+'Detailed Disclosure'!X8/'Detailed Disclosures - USD'!X$313</f>
        <v>6268.9961349162713</v>
      </c>
      <c r="Y8" s="355">
        <f>SUM(D8:E8)</f>
        <v>12840.329254186325</v>
      </c>
      <c r="Z8" s="355">
        <f>+'Detailed Disclosure'!Z8/'Detailed Disclosures - USD'!Z$313</f>
        <v>38115.671176406198</v>
      </c>
      <c r="AA8" s="355">
        <f>+'Detailed Disclosure'!AA8/'Detailed Disclosures - USD'!AA$313</f>
        <v>55299.511570072755</v>
      </c>
      <c r="AB8" s="355">
        <f>+'Detailed Disclosure'!AB8/'Detailed Disclosures - USD'!AB$313</f>
        <v>112723.7178822047</v>
      </c>
      <c r="AC8" s="355">
        <f>+'Detailed Disclosure'!AC8/'Detailed Disclosures - USD'!AC$313</f>
        <v>96141.690771912312</v>
      </c>
      <c r="AD8" s="355">
        <f>SUM(N8:O8)</f>
        <v>161654.60898375016</v>
      </c>
      <c r="AE8" s="355">
        <f>SUM(P8:Q8)</f>
        <v>200084.11666101165</v>
      </c>
      <c r="AF8" s="355">
        <f>+SUM(R8:S8)</f>
        <v>300453.4214215402</v>
      </c>
      <c r="AG8" s="355">
        <f>SUM(T8:U8)</f>
        <v>340830.85163680522</v>
      </c>
      <c r="AH8" s="355"/>
      <c r="AI8" s="355"/>
      <c r="AJ8" s="355">
        <f>+'Detailed Disclosure'!AJ8/'Detailed Disclosures - USD'!AJ$313</f>
        <v>449.40595410879388</v>
      </c>
      <c r="AK8" s="355">
        <f>+'Detailed Disclosure'!AK8/'Detailed Disclosures - USD'!AK$313</f>
        <v>5199.4532036376795</v>
      </c>
      <c r="AL8" s="355">
        <f>SUM(X8:Y8)</f>
        <v>19109.325389102596</v>
      </c>
      <c r="AM8" s="355">
        <f t="shared" ref="AM8" si="0">SUM(Z8:AA8)</f>
        <v>93415.182746478953</v>
      </c>
      <c r="AN8" s="355">
        <f>SUM(AB8:AC8)</f>
        <v>208865.40865411703</v>
      </c>
      <c r="AO8" s="355">
        <f>SUM(AD8:AE8)</f>
        <v>361738.72564476181</v>
      </c>
      <c r="AP8" s="355">
        <f>SUM(AF8:AG8)</f>
        <v>641284.27305834542</v>
      </c>
      <c r="AQ8" s="355"/>
    </row>
    <row r="9" spans="1:47" s="337" customFormat="1">
      <c r="A9" s="546" t="s">
        <v>237</v>
      </c>
      <c r="D9" s="547"/>
      <c r="E9" s="547"/>
      <c r="F9" s="547"/>
      <c r="G9" s="547"/>
      <c r="H9" s="554">
        <f>+H8/D8-1</f>
        <v>4.4941459897803355</v>
      </c>
      <c r="I9" s="554">
        <f t="shared" ref="I9:J9" si="1">+I8/E8-1</f>
        <v>2.8487402132644712</v>
      </c>
      <c r="J9" s="554">
        <f t="shared" si="1"/>
        <v>1.9111047792863931</v>
      </c>
      <c r="K9" s="554">
        <f t="shared" ref="K9:O9" si="2">+K8/G8-1</f>
        <v>1.9818008967190184</v>
      </c>
      <c r="L9" s="554">
        <f t="shared" si="2"/>
        <v>1.6235775947322391</v>
      </c>
      <c r="M9" s="554">
        <f t="shared" ref="M9" si="3">+M8/I8-1</f>
        <v>0.25588850061026491</v>
      </c>
      <c r="N9" s="554">
        <f t="shared" si="2"/>
        <v>0.50699308975297463</v>
      </c>
      <c r="O9" s="554">
        <f t="shared" si="2"/>
        <v>0.39658437735190266</v>
      </c>
      <c r="P9" s="554">
        <f t="shared" ref="P9" si="4">+P8/L8-1</f>
        <v>0.75640056743143869</v>
      </c>
      <c r="Q9" s="554">
        <f t="shared" ref="Q9:S9" si="5">+Q8/M8-1</f>
        <v>1.4521639818070931</v>
      </c>
      <c r="R9" s="554">
        <f t="shared" si="5"/>
        <v>0.89959942709919893</v>
      </c>
      <c r="S9" s="554">
        <f t="shared" si="5"/>
        <v>0.8358718076324636</v>
      </c>
      <c r="T9" s="554">
        <f t="shared" ref="T9" si="6">+T8/P8-1</f>
        <v>0.87446695364546811</v>
      </c>
      <c r="U9" s="554">
        <f t="shared" ref="U9" si="7">+U8/Q8-1</f>
        <v>0.56347381317140521</v>
      </c>
      <c r="V9" s="554"/>
      <c r="W9" s="555"/>
      <c r="X9" s="554"/>
      <c r="Y9" s="554"/>
      <c r="Z9" s="554">
        <f>+Z8/X8-1</f>
        <v>5.0800278634906624</v>
      </c>
      <c r="AA9" s="554">
        <f t="shared" ref="AA9" si="8">+AA8/Y8-1</f>
        <v>3.3067051066500879</v>
      </c>
      <c r="AB9" s="554">
        <f t="shared" ref="AB9" si="9">+AB8/Z8-1</f>
        <v>1.9574113324805174</v>
      </c>
      <c r="AC9" s="554">
        <f t="shared" ref="AC9" si="10">+AC8/AA8-1</f>
        <v>0.73856310918924484</v>
      </c>
      <c r="AD9" s="554">
        <f t="shared" ref="AD9" si="11">+AD8/AB8-1</f>
        <v>0.43407804516062742</v>
      </c>
      <c r="AE9" s="554">
        <f t="shared" ref="AE9" si="12">+AE8/AC8-1</f>
        <v>1.0811379023455454</v>
      </c>
      <c r="AF9" s="554">
        <f t="shared" ref="AF9" si="13">+AF8/AD8-1</f>
        <v>0.85861339376808221</v>
      </c>
      <c r="AG9" s="554">
        <f t="shared" ref="AG9" si="14">+AG8/AE8-1</f>
        <v>0.70343782067544525</v>
      </c>
      <c r="AH9" s="556"/>
      <c r="AI9" s="556"/>
      <c r="AJ9" s="554"/>
      <c r="AK9" s="554">
        <f>+AK8/AJ8-1</f>
        <v>10.569613522252036</v>
      </c>
      <c r="AL9" s="554">
        <f>+AL8/AK8-1</f>
        <v>2.675256731945042</v>
      </c>
      <c r="AM9" s="554">
        <f>+AM8/AL8-1</f>
        <v>3.8884605209428527</v>
      </c>
      <c r="AN9" s="554">
        <f>+AN8/AM8-1</f>
        <v>1.2358828887693813</v>
      </c>
      <c r="AO9" s="554">
        <f t="shared" ref="AO9" si="15">+AO8/AN8-1</f>
        <v>0.73192261933523106</v>
      </c>
      <c r="AP9" s="554">
        <f t="shared" ref="AP9" si="16">+AP8/AO8-1</f>
        <v>0.77278302707381585</v>
      </c>
      <c r="AQ9" s="547"/>
      <c r="AT9" s="337">
        <f>3055/67</f>
        <v>45.597014925373138</v>
      </c>
      <c r="AU9" s="337" t="s">
        <v>263</v>
      </c>
    </row>
    <row r="10" spans="1:47" s="337" customFormat="1">
      <c r="A10" s="546" t="s">
        <v>226</v>
      </c>
      <c r="D10" s="547"/>
      <c r="E10" s="547"/>
      <c r="F10" s="547"/>
      <c r="G10" s="547"/>
      <c r="H10" s="554"/>
      <c r="I10" s="554"/>
      <c r="J10" s="554"/>
      <c r="K10" s="554"/>
      <c r="L10" s="554">
        <f>+L9+H9</f>
        <v>6.117723584512575</v>
      </c>
      <c r="M10" s="554">
        <f t="shared" ref="M10:P10" si="17">+M9+I9</f>
        <v>3.1046287138747362</v>
      </c>
      <c r="N10" s="554">
        <f t="shared" si="17"/>
        <v>2.418097869039368</v>
      </c>
      <c r="O10" s="554">
        <f t="shared" si="17"/>
        <v>2.3783852740709213</v>
      </c>
      <c r="P10" s="554">
        <f t="shared" si="17"/>
        <v>2.3799781621636775</v>
      </c>
      <c r="Q10" s="554">
        <f t="shared" ref="Q10:S10" si="18">+Q9+M9</f>
        <v>1.708052482417358</v>
      </c>
      <c r="R10" s="554">
        <f t="shared" si="18"/>
        <v>1.4065925168521736</v>
      </c>
      <c r="S10" s="554">
        <f t="shared" si="18"/>
        <v>1.2324561849843663</v>
      </c>
      <c r="T10" s="554">
        <f t="shared" ref="T10" si="19">+T9+P9</f>
        <v>1.6308675210769068</v>
      </c>
      <c r="U10" s="554">
        <f t="shared" ref="U10" si="20">+U9+Q9</f>
        <v>2.015637794978498</v>
      </c>
      <c r="V10" s="554"/>
      <c r="W10" s="555"/>
      <c r="X10" s="554"/>
      <c r="Y10" s="554"/>
      <c r="Z10" s="554"/>
      <c r="AA10" s="554"/>
      <c r="AB10" s="554">
        <f>+AB9+Z9</f>
        <v>7.0374391959711797</v>
      </c>
      <c r="AC10" s="554">
        <f t="shared" ref="AC10:AD10" si="21">+AC9+AA9</f>
        <v>4.0452682158393323</v>
      </c>
      <c r="AD10" s="554">
        <f t="shared" si="21"/>
        <v>2.391489377641145</v>
      </c>
      <c r="AE10" s="554">
        <f t="shared" ref="AE10" si="22">+AE9+AC9</f>
        <v>1.8197010115347902</v>
      </c>
      <c r="AF10" s="554">
        <f t="shared" ref="AF10" si="23">+AF9+AD9</f>
        <v>1.2926914389287096</v>
      </c>
      <c r="AG10" s="554">
        <f t="shared" ref="AG10" si="24">+AG9+AE9</f>
        <v>1.7845757230209907</v>
      </c>
      <c r="AH10" s="556"/>
      <c r="AI10" s="556"/>
      <c r="AJ10" s="554"/>
      <c r="AK10" s="554"/>
      <c r="AL10" s="554">
        <f>+AL9+AK9</f>
        <v>13.244870254197078</v>
      </c>
      <c r="AM10" s="554">
        <f t="shared" ref="AM10:AN10" si="25">+AM9+AL9</f>
        <v>6.5637172528878942</v>
      </c>
      <c r="AN10" s="554">
        <f t="shared" si="25"/>
        <v>5.1243434097122336</v>
      </c>
      <c r="AO10" s="554">
        <f t="shared" ref="AO10" si="26">+AO9+AN9</f>
        <v>1.9678055081046124</v>
      </c>
      <c r="AP10" s="554">
        <f t="shared" ref="AP10" si="27">+AP9+AO9</f>
        <v>1.5047056464090469</v>
      </c>
      <c r="AQ10" s="547"/>
    </row>
    <row r="11" spans="1:47" hidden="1" outlineLevel="1">
      <c r="A11" s="546" t="s">
        <v>264</v>
      </c>
      <c r="D11" s="355"/>
      <c r="E11" s="355"/>
      <c r="F11" s="355"/>
      <c r="G11" s="355"/>
      <c r="H11" s="554"/>
      <c r="I11" s="554"/>
      <c r="J11" s="557"/>
      <c r="K11" s="554"/>
      <c r="L11" s="554"/>
      <c r="M11" s="554"/>
      <c r="N11" s="554"/>
      <c r="O11" s="554"/>
      <c r="P11" s="554"/>
      <c r="Q11" s="554"/>
      <c r="R11" s="554"/>
      <c r="S11" s="554"/>
      <c r="T11" s="554"/>
      <c r="U11" s="554"/>
      <c r="V11" s="554"/>
      <c r="W11" s="555"/>
      <c r="X11" s="554"/>
      <c r="Y11" s="554"/>
      <c r="Z11" s="554"/>
      <c r="AA11" s="554"/>
      <c r="AB11" s="554"/>
      <c r="AC11" s="554"/>
      <c r="AD11" s="554"/>
      <c r="AE11" s="554"/>
      <c r="AF11" s="554"/>
      <c r="AG11" s="554"/>
      <c r="AH11" s="556"/>
      <c r="AI11" s="556"/>
      <c r="AJ11" s="554"/>
      <c r="AK11" s="554"/>
      <c r="AL11" s="554"/>
      <c r="AM11" s="554">
        <f>+'Detailed Disclosure'!AM11</f>
        <v>3.84</v>
      </c>
      <c r="AN11" s="554"/>
      <c r="AO11" s="554"/>
      <c r="AP11" s="554"/>
      <c r="AQ11" s="355"/>
    </row>
    <row r="12" spans="1:47" collapsed="1">
      <c r="D12" s="355"/>
      <c r="E12" s="355"/>
      <c r="F12" s="355"/>
      <c r="G12" s="355"/>
      <c r="H12" s="355"/>
      <c r="I12" s="355"/>
      <c r="J12" s="509"/>
      <c r="K12" s="355"/>
      <c r="L12" s="355"/>
      <c r="M12" s="355"/>
      <c r="N12" s="355"/>
      <c r="O12" s="355"/>
      <c r="P12" s="355"/>
      <c r="Q12" s="355"/>
      <c r="R12" s="355"/>
      <c r="S12" s="355"/>
      <c r="T12" s="355"/>
      <c r="U12" s="355"/>
      <c r="V12" s="355"/>
      <c r="X12" s="355"/>
      <c r="Y12" s="355"/>
      <c r="Z12" s="519"/>
      <c r="AA12" s="355"/>
      <c r="AB12" s="355"/>
      <c r="AC12" s="355"/>
      <c r="AD12" s="355"/>
      <c r="AE12" s="355"/>
      <c r="AF12" s="355"/>
      <c r="AG12" s="355"/>
      <c r="AH12" s="355"/>
      <c r="AI12" s="355"/>
      <c r="AJ12" s="355"/>
      <c r="AK12" s="355"/>
      <c r="AL12" s="355"/>
      <c r="AM12" s="355"/>
      <c r="AN12" s="355"/>
      <c r="AO12" s="355"/>
      <c r="AP12" s="355"/>
      <c r="AQ12" s="355"/>
    </row>
    <row r="13" spans="1:47">
      <c r="A13" s="513" t="s">
        <v>23</v>
      </c>
      <c r="D13" s="355"/>
      <c r="E13" s="355"/>
      <c r="F13" s="355"/>
      <c r="G13" s="355"/>
      <c r="H13" s="355"/>
      <c r="I13" s="355"/>
      <c r="J13" s="509"/>
      <c r="K13" s="355"/>
      <c r="L13" s="355"/>
      <c r="M13" s="355"/>
      <c r="N13" s="554"/>
      <c r="O13" s="554"/>
      <c r="P13" s="554"/>
      <c r="Q13" s="554"/>
      <c r="R13" s="554"/>
      <c r="S13" s="554"/>
      <c r="T13" s="554"/>
      <c r="U13" s="355"/>
      <c r="V13" s="355"/>
      <c r="X13" s="355"/>
      <c r="Y13" s="528"/>
      <c r="Z13" s="519"/>
      <c r="AA13" s="355"/>
      <c r="AB13" s="359"/>
      <c r="AC13" s="355"/>
      <c r="AD13" s="554"/>
      <c r="AE13" s="554"/>
      <c r="AF13" s="554"/>
      <c r="AG13" s="554"/>
      <c r="AH13" s="355"/>
      <c r="AI13" s="355"/>
      <c r="AJ13" s="355"/>
      <c r="AK13" s="355"/>
      <c r="AL13" s="355"/>
      <c r="AM13" s="554"/>
      <c r="AN13" s="554"/>
      <c r="AO13" s="554"/>
      <c r="AP13" s="554"/>
      <c r="AQ13" s="355"/>
      <c r="AT13" s="319">
        <f>23000/580</f>
        <v>39.655172413793103</v>
      </c>
      <c r="AU13" s="337" t="s">
        <v>265</v>
      </c>
    </row>
    <row r="14" spans="1:47">
      <c r="A14" s="319" t="s">
        <v>238</v>
      </c>
      <c r="D14" s="355"/>
      <c r="E14" s="355"/>
      <c r="F14" s="355"/>
      <c r="G14" s="355"/>
      <c r="H14" s="355"/>
      <c r="I14" s="355"/>
      <c r="J14" s="509"/>
      <c r="K14" s="355"/>
      <c r="L14" s="355"/>
      <c r="M14" s="355"/>
      <c r="N14" s="558"/>
      <c r="O14" s="355"/>
      <c r="P14" s="355"/>
      <c r="Q14" s="559"/>
      <c r="R14" s="355"/>
      <c r="S14" s="355"/>
      <c r="T14" s="355"/>
      <c r="U14" s="355"/>
      <c r="V14" s="355"/>
      <c r="X14" s="355">
        <f>+'Detailed Disclosure'!X14/'Detailed Disclosures - USD'!X$313</f>
        <v>2739.7258871312188</v>
      </c>
      <c r="Y14" s="355">
        <f>+'Detailed Disclosure'!Y14/'Detailed Disclosures - USD'!Y$313</f>
        <v>7271.1898154374421</v>
      </c>
      <c r="Z14" s="355">
        <f>+'Detailed Disclosure'!Z14/'Detailed Disclosures - USD'!Z$313</f>
        <v>19299.483002005178</v>
      </c>
      <c r="AA14" s="355">
        <f>+'Detailed Disclosure'!AA14/'Detailed Disclosures - USD'!AA$313</f>
        <v>27465.9339848573</v>
      </c>
      <c r="AB14" s="355">
        <f>+'Detailed Disclosure'!AB14/'Detailed Disclosures - USD'!AB$313</f>
        <v>49969.626805237858</v>
      </c>
      <c r="AC14" s="355">
        <f>+'Detailed Disclosure'!AC14/'Detailed Disclosures - USD'!AC$313</f>
        <v>38300.565069860582</v>
      </c>
      <c r="AD14" s="355">
        <f>+'Detailed Disclosure'!AD14/'Detailed Disclosures - USD'!AD$313</f>
        <v>77428.035592404165</v>
      </c>
      <c r="AE14" s="355">
        <f>+'Detailed Disclosure'!AE14/'Detailed Disclosures - USD'!AE$313</f>
        <v>88944.352219211927</v>
      </c>
      <c r="AF14" s="355">
        <f>+'Detailed Disclosure'!AF14/'Detailed Disclosures - USD'!AF$313</f>
        <v>125485.83174881288</v>
      </c>
      <c r="AG14" s="355">
        <f>+'Detailed Disclosure'!AG14/'Detailed Disclosures - USD'!AG$313</f>
        <v>146310.18968739107</v>
      </c>
      <c r="AH14" s="359"/>
      <c r="AI14" s="355"/>
      <c r="AJ14" s="355"/>
      <c r="AK14" s="355"/>
      <c r="AL14" s="355">
        <f>+'Detailed Disclosure'!AL14/'Detailed Disclosures - USD'!AL$313</f>
        <v>10107.051574623465</v>
      </c>
      <c r="AM14" s="355">
        <f t="shared" ref="AM14:AM16" si="28">SUM(Z14:AA14)</f>
        <v>46765.416986862474</v>
      </c>
      <c r="AN14" s="355">
        <f t="shared" ref="AN14:AN16" si="29">SUM(AB14:AC14)</f>
        <v>88270.191875098448</v>
      </c>
      <c r="AO14" s="355">
        <f t="shared" ref="AO14:AO16" si="30">SUM(AD14:AE14)</f>
        <v>166372.38781161609</v>
      </c>
      <c r="AP14" s="355">
        <f t="shared" ref="AP14:AP16" si="31">SUM(AF14:AG14)</f>
        <v>271796.02143620397</v>
      </c>
      <c r="AQ14" s="355"/>
      <c r="AR14" s="511"/>
      <c r="AT14" s="560"/>
    </row>
    <row r="15" spans="1:47">
      <c r="A15" s="319" t="s">
        <v>266</v>
      </c>
      <c r="D15" s="355"/>
      <c r="E15" s="355"/>
      <c r="F15" s="355"/>
      <c r="G15" s="355"/>
      <c r="H15" s="355"/>
      <c r="I15" s="355"/>
      <c r="J15" s="509"/>
      <c r="K15" s="355"/>
      <c r="L15" s="355"/>
      <c r="M15" s="355"/>
      <c r="N15" s="355"/>
      <c r="O15" s="355"/>
      <c r="P15" s="355"/>
      <c r="Q15" s="355"/>
      <c r="R15" s="355"/>
      <c r="S15" s="355"/>
      <c r="T15" s="355"/>
      <c r="U15" s="355"/>
      <c r="V15" s="355"/>
      <c r="X15" s="356" t="s">
        <v>251</v>
      </c>
      <c r="Y15" s="356" t="s">
        <v>251</v>
      </c>
      <c r="Z15" s="355">
        <f>+'Detailed Disclosure'!Z15/'Detailed Disclosures - USD'!Z$313</f>
        <v>2538.9555979766942</v>
      </c>
      <c r="AA15" s="355">
        <f>+'Detailed Disclosure'!AA15/'Detailed Disclosures - USD'!AA$313</f>
        <v>3706.2932061978645</v>
      </c>
      <c r="AB15" s="355">
        <f>+'Detailed Disclosure'!AB15/'Detailed Disclosures - USD'!AB$313</f>
        <v>8293.3275131600221</v>
      </c>
      <c r="AC15" s="355">
        <f>+'Detailed Disclosure'!AC15/'Detailed Disclosures - USD'!AC$313</f>
        <v>8483.9979746429271</v>
      </c>
      <c r="AD15" s="355">
        <f>+'Detailed Disclosure'!AD15/'Detailed Disclosures - USD'!AD$313</f>
        <v>10701.538848062308</v>
      </c>
      <c r="AE15" s="355">
        <f>+'Detailed Disclosure'!AE15/'Detailed Disclosures - USD'!AE$313</f>
        <v>12380.678816917794</v>
      </c>
      <c r="AF15" s="355">
        <f>+'Detailed Disclosure'!AF15/'Detailed Disclosures - USD'!AF$313</f>
        <v>14842.608797013832</v>
      </c>
      <c r="AG15" s="355">
        <f>+'Detailed Disclosure'!AG15/'Detailed Disclosures - USD'!AG$313</f>
        <v>13275.925972405988</v>
      </c>
      <c r="AH15" s="355"/>
      <c r="AI15" s="355"/>
      <c r="AJ15" s="355"/>
      <c r="AK15" s="355"/>
      <c r="AL15" s="355">
        <f>+'Detailed Disclosure'!AL15/'Detailed Disclosures - USD'!AL$313</f>
        <v>945.79366038129433</v>
      </c>
      <c r="AM15" s="355">
        <f t="shared" ref="AM15" si="32">SUM(Z15:AA15)</f>
        <v>6245.2488041745582</v>
      </c>
      <c r="AN15" s="355">
        <f t="shared" ref="AN15" si="33">SUM(AB15:AC15)</f>
        <v>16777.325487802947</v>
      </c>
      <c r="AO15" s="355">
        <f t="shared" ref="AO15" si="34">SUM(AD15:AE15)</f>
        <v>23082.217664980104</v>
      </c>
      <c r="AP15" s="355">
        <f t="shared" si="31"/>
        <v>28118.534769419821</v>
      </c>
      <c r="AQ15" s="359"/>
      <c r="AR15" s="511"/>
    </row>
    <row r="16" spans="1:47" s="513" customFormat="1" ht="18.5">
      <c r="A16" s="319" t="s">
        <v>41</v>
      </c>
      <c r="D16" s="533"/>
      <c r="E16" s="534"/>
      <c r="F16" s="535"/>
      <c r="G16" s="535"/>
      <c r="H16" s="533"/>
      <c r="I16" s="534"/>
      <c r="J16" s="561"/>
      <c r="K16" s="534"/>
      <c r="L16" s="534"/>
      <c r="M16" s="534"/>
      <c r="N16" s="534"/>
      <c r="O16" s="534"/>
      <c r="P16" s="534"/>
      <c r="Q16" s="534"/>
      <c r="R16" s="534"/>
      <c r="S16" s="534"/>
      <c r="T16" s="534"/>
      <c r="U16" s="534"/>
      <c r="V16" s="534"/>
      <c r="X16" s="562" t="s">
        <v>251</v>
      </c>
      <c r="Y16" s="562" t="s">
        <v>251</v>
      </c>
      <c r="Z16" s="535">
        <f>+'Detailed Disclosure'!Z16/'Detailed Disclosures - USD'!Z$313</f>
        <v>7455.0394488455377</v>
      </c>
      <c r="AA16" s="535">
        <f>+'Detailed Disclosure'!AA16/'Detailed Disclosures - USD'!AA$313</f>
        <v>8829.7449182585115</v>
      </c>
      <c r="AB16" s="535">
        <f>+'Detailed Disclosure'!AB16/'Detailed Disclosures - USD'!AB$313</f>
        <v>24912.862606936826</v>
      </c>
      <c r="AC16" s="535">
        <f>+'Detailed Disclosure'!AC16/'Detailed Disclosures - USD'!AC$313</f>
        <v>22375.315283103104</v>
      </c>
      <c r="AD16" s="535">
        <f>+'Detailed Disclosure'!AD16/'Detailed Disclosures - USD'!AD$313</f>
        <v>37622.935912735797</v>
      </c>
      <c r="AE16" s="535">
        <f>+'Detailed Disclosure'!AE16/'Detailed Disclosures - USD'!AE$313</f>
        <v>53030.384740538342</v>
      </c>
      <c r="AF16" s="535">
        <f>+'Detailed Disclosure'!AF16/'Detailed Disclosures - USD'!AF$313</f>
        <v>90969.994175256084</v>
      </c>
      <c r="AG16" s="535">
        <f>+'Detailed Disclosure'!AG16/'Detailed Disclosures - USD'!AG$313</f>
        <v>95802.689923374754</v>
      </c>
      <c r="AH16" s="535"/>
      <c r="AI16" s="535"/>
      <c r="AJ16" s="535"/>
      <c r="AK16" s="535"/>
      <c r="AL16" s="535">
        <f>+AL17-AL15-AL14</f>
        <v>4144.1255847166431</v>
      </c>
      <c r="AM16" s="535">
        <f t="shared" si="28"/>
        <v>16284.78436710405</v>
      </c>
      <c r="AN16" s="535">
        <f t="shared" si="29"/>
        <v>47288.177890039929</v>
      </c>
      <c r="AO16" s="535">
        <f t="shared" si="30"/>
        <v>90653.320653274131</v>
      </c>
      <c r="AP16" s="535">
        <f t="shared" si="31"/>
        <v>186772.68409863085</v>
      </c>
      <c r="AQ16" s="535"/>
    </row>
    <row r="17" spans="1:46">
      <c r="A17" s="527" t="s">
        <v>236</v>
      </c>
      <c r="D17" s="355">
        <f>+'Detailed Disclosure'!D17/'Detailed Disclosures - USD'!D$313</f>
        <v>2818.0669942590139</v>
      </c>
      <c r="E17" s="355">
        <f>+'Detailed Disclosure'!E17/'Detailed Disclosures - USD'!E$313</f>
        <v>7586.0184433036129</v>
      </c>
      <c r="F17" s="508">
        <f>+'Q4 FY21e analysis'!L54</f>
        <v>10433.909896445495</v>
      </c>
      <c r="G17" s="508">
        <f>+'Q4 FY21e analysis'!M54</f>
        <v>16320.612554405221</v>
      </c>
      <c r="H17" s="355">
        <f>+'Detailed Disclosure'!H17/'Detailed Disclosures - USD'!H$313</f>
        <v>14289.331061916168</v>
      </c>
      <c r="I17" s="355">
        <f>+'Detailed Disclosure'!I17/'Detailed Disclosures - USD'!I$313</f>
        <v>25692.908306317189</v>
      </c>
      <c r="J17" s="355">
        <f>+'Detailed Disclosure'!J17/'Detailed Disclosures - USD'!J$313</f>
        <v>28360.864690116476</v>
      </c>
      <c r="K17" s="355">
        <f>+AB17-J17</f>
        <v>54814.952235218239</v>
      </c>
      <c r="L17" s="355">
        <f>+'Detailed Disclosure'!L17/'Detailed Disclosures - USD'!L$313</f>
        <v>35337.935096314439</v>
      </c>
      <c r="M17" s="355">
        <f>+AC17-L17</f>
        <v>33821.943231292171</v>
      </c>
      <c r="N17" s="355">
        <f>+'Detailed Disclosure'!N17/'Detailed Disclosures - USD'!N$313</f>
        <v>45377.875694302733</v>
      </c>
      <c r="O17" s="355">
        <f>+'Detailed Disclosure'!O17/'Detailed Disclosures - USD'!O$313</f>
        <v>79696.312663890334</v>
      </c>
      <c r="P17" s="355">
        <f>+'Detailed Disclosure'!P17/'Detailed Disclosures - USD'!P$313</f>
        <v>69347.179995217448</v>
      </c>
      <c r="Q17" s="355">
        <f>+'Detailed Disclosure'!Q17/'Detailed Disclosures - USD'!Q$313</f>
        <v>84842.091890245632</v>
      </c>
      <c r="R17" s="355">
        <f>+'Detailed Disclosure'!R17/'Detailed Disclosures - USD'!R$313</f>
        <v>83201.905791267593</v>
      </c>
      <c r="S17" s="355">
        <f>+'Detailed Disclosure'!S17/'Detailed Disclosures - USD'!S$313</f>
        <v>147927.75226172566</v>
      </c>
      <c r="T17" s="355">
        <f>+'Detailed Disclosure'!T17/'Detailed Disclosures - USD'!T$313</f>
        <v>125592.42904761163</v>
      </c>
      <c r="U17" s="355">
        <f>+'Detailed Disclosure'!U17/'Detailed Disclosures - USD'!U$313</f>
        <v>129800.66692394877</v>
      </c>
      <c r="V17" s="355"/>
      <c r="X17" s="355">
        <f>+X37</f>
        <v>4790.4872505815447</v>
      </c>
      <c r="Y17" s="355">
        <f>+Y37</f>
        <v>10406.483569139857</v>
      </c>
      <c r="Z17" s="355">
        <f>+SUM(Z14:Z16)</f>
        <v>29293.478048827412</v>
      </c>
      <c r="AA17" s="355">
        <f t="shared" ref="AA17:AB17" si="35">+SUM(AA14:AA16)</f>
        <v>40001.972109313676</v>
      </c>
      <c r="AB17" s="355">
        <f t="shared" si="35"/>
        <v>83175.816925334715</v>
      </c>
      <c r="AC17" s="355">
        <f t="shared" ref="AC17" si="36">+SUM(AC14:AC16)</f>
        <v>69159.87832760661</v>
      </c>
      <c r="AD17" s="355">
        <f>SUM(N17:O17)</f>
        <v>125074.18835819306</v>
      </c>
      <c r="AE17" s="355">
        <f>SUM(P17:Q17)</f>
        <v>154189.27188546309</v>
      </c>
      <c r="AF17" s="355">
        <f>SUM(R17:S17)</f>
        <v>231129.65805299324</v>
      </c>
      <c r="AG17" s="355">
        <f>SUM(T17:U17)</f>
        <v>255393.0959715604</v>
      </c>
      <c r="AH17" s="355"/>
      <c r="AI17" s="355"/>
      <c r="AJ17" s="355">
        <f t="shared" ref="AJ17:AK17" si="37">+AJ37</f>
        <v>421.51179143997217</v>
      </c>
      <c r="AK17" s="355">
        <f t="shared" si="37"/>
        <v>4082.6289594019731</v>
      </c>
      <c r="AL17" s="355">
        <f>SUM(X17:Y17)</f>
        <v>15196.970819721402</v>
      </c>
      <c r="AM17" s="355">
        <f>SUM(Z17:AA17)</f>
        <v>69295.450158141088</v>
      </c>
      <c r="AN17" s="355">
        <f>SUM(AB17:AC17)</f>
        <v>152335.69525294134</v>
      </c>
      <c r="AO17" s="355">
        <f>SUM(AD17:AE17)</f>
        <v>279263.46024365618</v>
      </c>
      <c r="AP17" s="355">
        <f>SUM(AF17:AG17)</f>
        <v>486522.75402455364</v>
      </c>
      <c r="AQ17" s="355"/>
    </row>
    <row r="18" spans="1:46">
      <c r="A18" s="539" t="s">
        <v>237</v>
      </c>
      <c r="D18" s="355"/>
      <c r="E18" s="355"/>
      <c r="F18" s="355"/>
      <c r="G18" s="355"/>
      <c r="H18" s="554">
        <f>+H17/D17-1</f>
        <v>4.070614393137741</v>
      </c>
      <c r="I18" s="554">
        <f t="shared" ref="I18:J18" si="38">+I17/E17-1</f>
        <v>2.386876593873434</v>
      </c>
      <c r="J18" s="554">
        <f t="shared" si="38"/>
        <v>1.7181435311970761</v>
      </c>
      <c r="K18" s="554">
        <f t="shared" ref="K18:O18" si="39">+K17/G17-1</f>
        <v>2.3586332652951016</v>
      </c>
      <c r="L18" s="554">
        <f t="shared" si="39"/>
        <v>1.4730293491832431</v>
      </c>
      <c r="M18" s="554">
        <f t="shared" ref="M18" si="40">+M17/I17-1</f>
        <v>0.31639216658770675</v>
      </c>
      <c r="N18" s="554">
        <f t="shared" si="39"/>
        <v>0.6000173545525409</v>
      </c>
      <c r="O18" s="554">
        <f t="shared" si="39"/>
        <v>0.45391557255952497</v>
      </c>
      <c r="P18" s="554">
        <f t="shared" ref="P18" si="41">+P17/L17-1</f>
        <v>0.96240045736147151</v>
      </c>
      <c r="Q18" s="554">
        <f t="shared" ref="Q18:R18" si="42">+Q17/M17-1</f>
        <v>1.5084925283580235</v>
      </c>
      <c r="R18" s="554">
        <f t="shared" si="42"/>
        <v>0.83353461391128381</v>
      </c>
      <c r="S18" s="554">
        <f t="shared" ref="S18" si="43">+S17/O17-1</f>
        <v>0.85614299228112678</v>
      </c>
      <c r="T18" s="554">
        <f t="shared" ref="T18" si="44">+T17/P17-1</f>
        <v>0.81106757414321895</v>
      </c>
      <c r="U18" s="554">
        <f t="shared" ref="U18" si="45">+U17/Q17-1</f>
        <v>0.529908846329048</v>
      </c>
      <c r="V18" s="554"/>
      <c r="W18" s="555"/>
      <c r="X18" s="554"/>
      <c r="Y18" s="554"/>
      <c r="Z18" s="554">
        <f>+Z17/X17-1</f>
        <v>5.1149266278229444</v>
      </c>
      <c r="AA18" s="554">
        <f t="shared" ref="AA18" si="46">+AA17/Y17-1</f>
        <v>2.8439470781406349</v>
      </c>
      <c r="AB18" s="554">
        <f t="shared" ref="AB18" si="47">+AB17/Z17-1</f>
        <v>1.8393971103975533</v>
      </c>
      <c r="AC18" s="554">
        <f t="shared" ref="AC18" si="48">+AC17/AA17-1</f>
        <v>0.72891171811761968</v>
      </c>
      <c r="AD18" s="554">
        <f t="shared" ref="AD18" si="49">+AD17/AB17-1</f>
        <v>0.50373261101204081</v>
      </c>
      <c r="AE18" s="554">
        <f t="shared" ref="AE18:AG18" si="50">+AE17/AC17-1</f>
        <v>1.2294612948142682</v>
      </c>
      <c r="AF18" s="554">
        <f t="shared" si="50"/>
        <v>0.84794049905064162</v>
      </c>
      <c r="AG18" s="554">
        <f t="shared" si="50"/>
        <v>0.65636099612218723</v>
      </c>
      <c r="AH18" s="556"/>
      <c r="AI18" s="556"/>
      <c r="AJ18" s="554"/>
      <c r="AK18" s="554">
        <f>+AK17/AJ17-1</f>
        <v>8.6856814976749792</v>
      </c>
      <c r="AL18" s="554">
        <f>+AL17/AK17-1</f>
        <v>2.7223492437939956</v>
      </c>
      <c r="AM18" s="554">
        <f>+AM17/AL17-1</f>
        <v>3.5598199128088766</v>
      </c>
      <c r="AN18" s="554">
        <f>+AN17/AM17-1</f>
        <v>1.1983506118409184</v>
      </c>
      <c r="AO18" s="554">
        <f t="shared" ref="AO18:AP18" si="51">+AO17/AN17-1</f>
        <v>0.83321092131401864</v>
      </c>
      <c r="AP18" s="554">
        <f t="shared" si="51"/>
        <v>0.74216402532599357</v>
      </c>
      <c r="AQ18" s="355"/>
    </row>
    <row r="19" spans="1:46">
      <c r="A19" s="539" t="s">
        <v>226</v>
      </c>
      <c r="D19" s="355"/>
      <c r="E19" s="355"/>
      <c r="F19" s="355"/>
      <c r="G19" s="355"/>
      <c r="H19" s="554"/>
      <c r="I19" s="554"/>
      <c r="J19" s="554"/>
      <c r="K19" s="554"/>
      <c r="L19" s="554">
        <f>+L18+H18</f>
        <v>5.5436437423209846</v>
      </c>
      <c r="M19" s="554">
        <f t="shared" ref="M19" si="52">+M18+I18</f>
        <v>2.7032687604611407</v>
      </c>
      <c r="N19" s="554">
        <f t="shared" ref="N19" si="53">+N18+J18</f>
        <v>2.318160885749617</v>
      </c>
      <c r="O19" s="554">
        <f t="shared" ref="O19" si="54">+O18+K18</f>
        <v>2.8125488378546266</v>
      </c>
      <c r="P19" s="554">
        <f t="shared" ref="P19" si="55">+P18+L18</f>
        <v>2.4354298065447146</v>
      </c>
      <c r="Q19" s="554">
        <f t="shared" ref="Q19:R19" si="56">+Q18+M18</f>
        <v>1.8248846949457302</v>
      </c>
      <c r="R19" s="554">
        <f t="shared" si="56"/>
        <v>1.4335519684638247</v>
      </c>
      <c r="S19" s="554">
        <f t="shared" ref="S19" si="57">+S18+O18</f>
        <v>1.3100585648406518</v>
      </c>
      <c r="T19" s="554">
        <f t="shared" ref="T19" si="58">+T18+P18</f>
        <v>1.7734680315046905</v>
      </c>
      <c r="U19" s="554">
        <f t="shared" ref="U19" si="59">+U18+Q18</f>
        <v>2.0384013746870715</v>
      </c>
      <c r="V19" s="554"/>
      <c r="W19" s="555"/>
      <c r="X19" s="554"/>
      <c r="Y19" s="554"/>
      <c r="Z19" s="554"/>
      <c r="AA19" s="554"/>
      <c r="AB19" s="554">
        <f>+AB18+Z18</f>
        <v>6.9543237382204977</v>
      </c>
      <c r="AC19" s="554">
        <f t="shared" ref="AC19" si="60">+AC18+AA18</f>
        <v>3.5728587962582545</v>
      </c>
      <c r="AD19" s="554">
        <f t="shared" ref="AD19" si="61">+AD18+AB18</f>
        <v>2.3431297214095941</v>
      </c>
      <c r="AE19" s="554">
        <f t="shared" ref="AE19:AG19" si="62">+AE18+AC18</f>
        <v>1.9583730129318879</v>
      </c>
      <c r="AF19" s="554">
        <f t="shared" si="62"/>
        <v>1.3516731100626824</v>
      </c>
      <c r="AG19" s="554">
        <f t="shared" si="62"/>
        <v>1.8858222909364555</v>
      </c>
      <c r="AH19" s="556"/>
      <c r="AI19" s="556"/>
      <c r="AJ19" s="554"/>
      <c r="AK19" s="554"/>
      <c r="AL19" s="554">
        <f>+AL18+AK18</f>
        <v>11.408030741468975</v>
      </c>
      <c r="AM19" s="554">
        <f t="shared" ref="AM19" si="63">+AM18+AL18</f>
        <v>6.2821691566028726</v>
      </c>
      <c r="AN19" s="554">
        <f t="shared" ref="AN19" si="64">+AN18+AM18</f>
        <v>4.7581705246497954</v>
      </c>
      <c r="AO19" s="554">
        <f t="shared" ref="AO19:AP19" si="65">+AO18+AN18</f>
        <v>2.031561533154937</v>
      </c>
      <c r="AP19" s="554">
        <f t="shared" si="65"/>
        <v>1.5753749466400122</v>
      </c>
      <c r="AQ19" s="355"/>
    </row>
    <row r="20" spans="1:46" hidden="1" outlineLevel="1">
      <c r="A20" s="539" t="s">
        <v>264</v>
      </c>
      <c r="D20" s="355"/>
      <c r="E20" s="355"/>
      <c r="F20" s="355"/>
      <c r="G20" s="355"/>
      <c r="H20" s="554"/>
      <c r="I20" s="554"/>
      <c r="J20" s="557"/>
      <c r="K20" s="554"/>
      <c r="L20" s="554"/>
      <c r="M20" s="554"/>
      <c r="N20" s="554"/>
      <c r="O20" s="554"/>
      <c r="P20" s="554"/>
      <c r="Q20" s="554"/>
      <c r="R20" s="554"/>
      <c r="S20" s="554"/>
      <c r="T20" s="554"/>
      <c r="U20" s="554"/>
      <c r="V20" s="554"/>
      <c r="W20" s="555"/>
      <c r="X20" s="554"/>
      <c r="Y20" s="554"/>
      <c r="Z20" s="554"/>
      <c r="AA20" s="554"/>
      <c r="AB20" s="554"/>
      <c r="AC20" s="554"/>
      <c r="AD20" s="554"/>
      <c r="AE20" s="554"/>
      <c r="AF20" s="554"/>
      <c r="AG20" s="554"/>
      <c r="AH20" s="556"/>
      <c r="AI20" s="556"/>
      <c r="AJ20" s="554"/>
      <c r="AK20" s="554"/>
      <c r="AL20" s="554"/>
      <c r="AM20" s="554">
        <f>+'Detailed Disclosure'!AM20</f>
        <v>3.52</v>
      </c>
      <c r="AN20" s="554"/>
      <c r="AO20" s="554"/>
      <c r="AP20" s="554"/>
      <c r="AQ20" s="355"/>
    </row>
    <row r="21" spans="1:46" s="555" customFormat="1" collapsed="1">
      <c r="A21" s="563" t="s">
        <v>137</v>
      </c>
      <c r="D21" s="554">
        <f t="shared" ref="D21:P21" si="66">+D17/D8</f>
        <v>0.79230211934741335</v>
      </c>
      <c r="E21" s="554">
        <f t="shared" si="66"/>
        <v>0.81714887361432931</v>
      </c>
      <c r="F21" s="554">
        <f t="shared" si="66"/>
        <v>0.7934782608695653</v>
      </c>
      <c r="G21" s="554">
        <f t="shared" si="66"/>
        <v>0.65371129812245321</v>
      </c>
      <c r="H21" s="554">
        <f t="shared" si="66"/>
        <v>0.73122529644268774</v>
      </c>
      <c r="I21" s="554">
        <f t="shared" si="66"/>
        <v>0.71908786782129186</v>
      </c>
      <c r="J21" s="554">
        <f t="shared" si="66"/>
        <v>0.74088291746641077</v>
      </c>
      <c r="K21" s="554">
        <f t="shared" si="66"/>
        <v>0.73632565949966189</v>
      </c>
      <c r="L21" s="554">
        <f t="shared" si="66"/>
        <v>0.68926553672316382</v>
      </c>
      <c r="M21" s="554">
        <f t="shared" si="66"/>
        <v>0.75373063439009869</v>
      </c>
      <c r="N21" s="554">
        <f t="shared" si="66"/>
        <v>0.78661643089026323</v>
      </c>
      <c r="O21" s="554">
        <f t="shared" si="66"/>
        <v>0.76655256938476324</v>
      </c>
      <c r="P21" s="554">
        <f t="shared" si="66"/>
        <v>0.77010622154779973</v>
      </c>
      <c r="Q21" s="554">
        <f t="shared" ref="Q21:R21" si="67">+Q17/Q8</f>
        <v>0.77104454628224584</v>
      </c>
      <c r="R21" s="554">
        <f t="shared" si="67"/>
        <v>0.75925925925925919</v>
      </c>
      <c r="S21" s="554">
        <f t="shared" ref="S21:T21" si="68">+S17/S8</f>
        <v>0.77501662913681346</v>
      </c>
      <c r="T21" s="554">
        <f t="shared" si="68"/>
        <v>0.74405921308920908</v>
      </c>
      <c r="U21" s="554">
        <f t="shared" ref="U21" si="69">+U17/U8</f>
        <v>0.75449160857908859</v>
      </c>
      <c r="V21" s="554"/>
      <c r="X21" s="554">
        <f t="shared" ref="X21:AD21" si="70">+X17/X8</f>
        <v>0.76415540024025341</v>
      </c>
      <c r="Y21" s="554">
        <f t="shared" si="70"/>
        <v>0.81045301589498087</v>
      </c>
      <c r="Z21" s="554">
        <f t="shared" si="70"/>
        <v>0.76854157738038809</v>
      </c>
      <c r="AA21" s="554">
        <f t="shared" si="70"/>
        <v>0.72336935668274738</v>
      </c>
      <c r="AB21" s="554">
        <f t="shared" si="70"/>
        <v>0.73787325762491895</v>
      </c>
      <c r="AC21" s="554">
        <f t="shared" si="70"/>
        <v>0.71935367240089765</v>
      </c>
      <c r="AD21" s="554">
        <f t="shared" si="70"/>
        <v>0.77371247961612877</v>
      </c>
      <c r="AE21" s="554">
        <f t="shared" ref="AE21:AF21" si="71">+AE17/AE8</f>
        <v>0.77062224857505834</v>
      </c>
      <c r="AF21" s="554">
        <f t="shared" si="71"/>
        <v>0.76926951591845982</v>
      </c>
      <c r="AG21" s="554">
        <f t="shared" ref="AG21" si="72">+AG17/AG8</f>
        <v>0.74932505301401331</v>
      </c>
      <c r="AH21" s="556"/>
      <c r="AI21" s="556"/>
      <c r="AJ21" s="554">
        <f>+AJ17/AJ8</f>
        <v>0.93793103448275861</v>
      </c>
      <c r="AK21" s="554">
        <f>+AK17/AK8</f>
        <v>0.78520352035203522</v>
      </c>
      <c r="AL21" s="554">
        <f>+AL17/AL8</f>
        <v>0.79526464227710114</v>
      </c>
      <c r="AM21" s="554">
        <f>+AM17/AM8</f>
        <v>0.7418007236168791</v>
      </c>
      <c r="AN21" s="554">
        <f>+AN17/AN8</f>
        <v>0.72934860891786346</v>
      </c>
      <c r="AO21" s="554">
        <f t="shared" ref="AO21:AP21" si="73">+AO17/AO8</f>
        <v>0.77200321791894966</v>
      </c>
      <c r="AP21" s="554">
        <f t="shared" si="73"/>
        <v>0.75866939899255681</v>
      </c>
      <c r="AQ21" s="556"/>
    </row>
    <row r="22" spans="1:46">
      <c r="D22" s="355"/>
      <c r="E22" s="355"/>
      <c r="F22" s="355"/>
      <c r="G22" s="355"/>
      <c r="H22" s="355"/>
      <c r="I22" s="519"/>
      <c r="J22" s="532"/>
      <c r="K22" s="519"/>
      <c r="L22" s="519"/>
      <c r="M22" s="519"/>
      <c r="N22" s="519"/>
      <c r="O22" s="519"/>
      <c r="P22" s="519"/>
      <c r="Q22" s="519"/>
      <c r="R22" s="519"/>
      <c r="S22" s="519"/>
      <c r="T22" s="519"/>
      <c r="U22" s="519"/>
      <c r="V22" s="519"/>
      <c r="X22" s="355"/>
      <c r="Y22" s="355"/>
      <c r="Z22" s="355"/>
      <c r="AA22" s="355"/>
      <c r="AB22" s="355"/>
      <c r="AC22" s="355"/>
      <c r="AD22" s="355"/>
      <c r="AE22" s="355"/>
      <c r="AF22" s="355"/>
      <c r="AG22" s="355"/>
      <c r="AH22" s="355"/>
      <c r="AI22" s="355"/>
      <c r="AJ22" s="355"/>
      <c r="AK22" s="355"/>
      <c r="AL22" s="355"/>
      <c r="AM22" s="355"/>
      <c r="AN22" s="355"/>
      <c r="AO22" s="355"/>
      <c r="AP22" s="355"/>
      <c r="AQ22" s="355"/>
    </row>
    <row r="23" spans="1:46">
      <c r="A23" s="540" t="s">
        <v>237</v>
      </c>
      <c r="D23" s="355"/>
      <c r="E23" s="355"/>
      <c r="F23" s="355"/>
      <c r="G23" s="355"/>
      <c r="H23" s="355"/>
      <c r="I23" s="519"/>
      <c r="J23" s="532"/>
      <c r="K23" s="519"/>
      <c r="L23" s="519"/>
      <c r="M23" s="519"/>
      <c r="N23" s="519"/>
      <c r="O23" s="519"/>
      <c r="P23" s="519"/>
      <c r="Q23" s="519"/>
      <c r="R23" s="519"/>
      <c r="S23" s="519"/>
      <c r="T23" s="519"/>
      <c r="U23" s="519"/>
      <c r="V23" s="519"/>
      <c r="X23" s="355"/>
      <c r="Y23" s="355"/>
      <c r="Z23" s="355"/>
      <c r="AA23" s="355"/>
      <c r="AB23" s="355"/>
      <c r="AC23" s="355"/>
      <c r="AD23" s="554"/>
      <c r="AE23" s="554"/>
      <c r="AF23" s="554"/>
      <c r="AG23" s="554"/>
      <c r="AH23" s="556"/>
      <c r="AI23" s="355"/>
      <c r="AJ23" s="355"/>
      <c r="AK23" s="355"/>
      <c r="AL23" s="355"/>
      <c r="AM23" s="355"/>
      <c r="AN23" s="355"/>
      <c r="AO23" s="355"/>
      <c r="AP23" s="355"/>
      <c r="AQ23" s="355"/>
    </row>
    <row r="24" spans="1:46">
      <c r="A24" s="539" t="str">
        <f>+A14</f>
        <v>United States</v>
      </c>
      <c r="D24" s="355"/>
      <c r="E24" s="355"/>
      <c r="F24" s="355"/>
      <c r="G24" s="355"/>
      <c r="H24" s="554"/>
      <c r="I24" s="554"/>
      <c r="J24" s="554"/>
      <c r="K24" s="554"/>
      <c r="L24" s="554"/>
      <c r="M24" s="554"/>
      <c r="N24" s="554"/>
      <c r="O24" s="554"/>
      <c r="P24" s="554"/>
      <c r="Q24" s="554"/>
      <c r="R24" s="554"/>
      <c r="S24" s="554"/>
      <c r="T24" s="554"/>
      <c r="U24" s="554"/>
      <c r="V24" s="554"/>
      <c r="W24" s="555"/>
      <c r="X24" s="554"/>
      <c r="Y24" s="554"/>
      <c r="Z24" s="554">
        <f>+Z14/X14-1</f>
        <v>6.0443116563802546</v>
      </c>
      <c r="AA24" s="554">
        <f t="shared" ref="AA24:AE24" si="74">+AA14/Y14-1</f>
        <v>2.7773644591899465</v>
      </c>
      <c r="AB24" s="554">
        <f t="shared" si="74"/>
        <v>1.5891691917366964</v>
      </c>
      <c r="AC24" s="554">
        <f t="shared" si="74"/>
        <v>0.39447524671750478</v>
      </c>
      <c r="AD24" s="554">
        <f t="shared" si="74"/>
        <v>0.54950197835554171</v>
      </c>
      <c r="AE24" s="554">
        <f t="shared" si="74"/>
        <v>1.3222725841505629</v>
      </c>
      <c r="AF24" s="554">
        <f t="shared" ref="AF24:AF27" si="75">+AF14/AD14-1</f>
        <v>0.62067693941499491</v>
      </c>
      <c r="AG24" s="554">
        <f t="shared" ref="AG24:AG27" si="76">+AG14/AE14-1</f>
        <v>0.6449632386640527</v>
      </c>
      <c r="AH24" s="556"/>
      <c r="AI24" s="556"/>
      <c r="AJ24" s="554"/>
      <c r="AK24" s="554"/>
      <c r="AL24" s="554"/>
      <c r="AM24" s="554">
        <f>+AM14/AL14-1</f>
        <v>3.6270088404693537</v>
      </c>
      <c r="AN24" s="554">
        <f t="shared" ref="AN24:AP24" si="77">+AN14/AM14-1</f>
        <v>0.88750999269172892</v>
      </c>
      <c r="AO24" s="554">
        <f t="shared" si="77"/>
        <v>0.88480827193659639</v>
      </c>
      <c r="AP24" s="554">
        <f t="shared" si="77"/>
        <v>0.6336606393120916</v>
      </c>
      <c r="AQ24" s="355"/>
    </row>
    <row r="25" spans="1:46">
      <c r="A25" s="539" t="str">
        <f t="shared" ref="A25:A27" si="78">+A15</f>
        <v>Australia</v>
      </c>
      <c r="D25" s="355"/>
      <c r="E25" s="355"/>
      <c r="F25" s="355"/>
      <c r="G25" s="355"/>
      <c r="H25" s="554"/>
      <c r="I25" s="554"/>
      <c r="J25" s="554"/>
      <c r="K25" s="554"/>
      <c r="L25" s="554"/>
      <c r="M25" s="554"/>
      <c r="N25" s="554"/>
      <c r="O25" s="554"/>
      <c r="P25" s="554"/>
      <c r="Q25" s="554"/>
      <c r="R25" s="554"/>
      <c r="S25" s="554"/>
      <c r="T25" s="554"/>
      <c r="U25" s="554"/>
      <c r="V25" s="554"/>
      <c r="W25" s="555"/>
      <c r="X25" s="554"/>
      <c r="Y25" s="554"/>
      <c r="Z25" s="564" t="s">
        <v>251</v>
      </c>
      <c r="AA25" s="564" t="s">
        <v>251</v>
      </c>
      <c r="AB25" s="554">
        <f t="shared" ref="AB25:AB27" si="79">+AB15/Z15-1</f>
        <v>2.2664326700982933</v>
      </c>
      <c r="AC25" s="554">
        <f t="shared" ref="AC25:AC27" si="80">+AC15/AA15-1</f>
        <v>1.2890790076876608</v>
      </c>
      <c r="AD25" s="554">
        <f t="shared" ref="AD25:AD27" si="81">+AD15/AB15-1</f>
        <v>0.29037938403866081</v>
      </c>
      <c r="AE25" s="554">
        <f t="shared" ref="AE25:AE27" si="82">+AE15/AC15-1</f>
        <v>0.45929771010333953</v>
      </c>
      <c r="AF25" s="554">
        <f t="shared" si="75"/>
        <v>0.3869602313971261</v>
      </c>
      <c r="AG25" s="554">
        <f t="shared" si="76"/>
        <v>7.2310021827306281E-2</v>
      </c>
      <c r="AH25" s="556"/>
      <c r="AI25" s="556"/>
      <c r="AJ25" s="554"/>
      <c r="AK25" s="554"/>
      <c r="AL25" s="554"/>
      <c r="AM25" s="554">
        <f t="shared" ref="AK25:AM27" si="83">+AM15/AL15-1</f>
        <v>5.6031831950076745</v>
      </c>
      <c r="AN25" s="554">
        <f t="shared" ref="AN25:AN27" si="84">+AN15/AM15-1</f>
        <v>1.6864142668885114</v>
      </c>
      <c r="AO25" s="554">
        <f t="shared" ref="AO25:AP27" si="85">+AO15/AN15-1</f>
        <v>0.37579840611429938</v>
      </c>
      <c r="AP25" s="554">
        <f t="shared" si="85"/>
        <v>0.21819034797859649</v>
      </c>
      <c r="AQ25" s="355"/>
    </row>
    <row r="26" spans="1:46" s="513" customFormat="1" ht="18.5">
      <c r="A26" s="539" t="str">
        <f t="shared" si="78"/>
        <v>Other</v>
      </c>
      <c r="D26" s="535"/>
      <c r="E26" s="535"/>
      <c r="F26" s="535"/>
      <c r="G26" s="535"/>
      <c r="H26" s="565"/>
      <c r="I26" s="565"/>
      <c r="J26" s="565"/>
      <c r="K26" s="565"/>
      <c r="L26" s="565"/>
      <c r="M26" s="565"/>
      <c r="N26" s="565"/>
      <c r="O26" s="565"/>
      <c r="P26" s="565"/>
      <c r="Q26" s="565"/>
      <c r="R26" s="565"/>
      <c r="S26" s="565"/>
      <c r="T26" s="565"/>
      <c r="U26" s="565"/>
      <c r="V26" s="565"/>
      <c r="W26" s="566"/>
      <c r="X26" s="565"/>
      <c r="Y26" s="565"/>
      <c r="Z26" s="567" t="s">
        <v>251</v>
      </c>
      <c r="AA26" s="567" t="s">
        <v>251</v>
      </c>
      <c r="AB26" s="565">
        <f t="shared" si="79"/>
        <v>2.3417479247269104</v>
      </c>
      <c r="AC26" s="565">
        <f t="shared" si="80"/>
        <v>1.5340839956581873</v>
      </c>
      <c r="AD26" s="565">
        <f t="shared" si="81"/>
        <v>0.51018116650552758</v>
      </c>
      <c r="AE26" s="565">
        <f t="shared" si="82"/>
        <v>1.3700396651208155</v>
      </c>
      <c r="AF26" s="565">
        <f t="shared" si="75"/>
        <v>1.4179398010366779</v>
      </c>
      <c r="AG26" s="565">
        <f t="shared" si="76"/>
        <v>0.80656222639357389</v>
      </c>
      <c r="AH26" s="568"/>
      <c r="AI26" s="568"/>
      <c r="AJ26" s="565"/>
      <c r="AK26" s="565"/>
      <c r="AL26" s="565"/>
      <c r="AM26" s="565">
        <f t="shared" si="83"/>
        <v>2.9296068698211353</v>
      </c>
      <c r="AN26" s="565">
        <f t="shared" si="84"/>
        <v>1.9038258551070557</v>
      </c>
      <c r="AO26" s="565">
        <f t="shared" si="85"/>
        <v>0.9170398331708185</v>
      </c>
      <c r="AP26" s="565">
        <f t="shared" si="85"/>
        <v>1.0602961121853309</v>
      </c>
      <c r="AQ26" s="535"/>
    </row>
    <row r="27" spans="1:46">
      <c r="A27" s="531" t="str">
        <f t="shared" si="78"/>
        <v>Total Net Revenue</v>
      </c>
      <c r="D27" s="355"/>
      <c r="E27" s="355"/>
      <c r="F27" s="355"/>
      <c r="G27" s="355"/>
      <c r="H27" s="554">
        <f>+H18</f>
        <v>4.070614393137741</v>
      </c>
      <c r="I27" s="554">
        <f t="shared" ref="I27:S27" si="86">+I18</f>
        <v>2.386876593873434</v>
      </c>
      <c r="J27" s="554">
        <f t="shared" si="86"/>
        <v>1.7181435311970761</v>
      </c>
      <c r="K27" s="554">
        <f t="shared" si="86"/>
        <v>2.3586332652951016</v>
      </c>
      <c r="L27" s="554">
        <f t="shared" si="86"/>
        <v>1.4730293491832431</v>
      </c>
      <c r="M27" s="554">
        <f t="shared" si="86"/>
        <v>0.31639216658770675</v>
      </c>
      <c r="N27" s="554">
        <f t="shared" si="86"/>
        <v>0.6000173545525409</v>
      </c>
      <c r="O27" s="554">
        <f t="shared" si="86"/>
        <v>0.45391557255952497</v>
      </c>
      <c r="P27" s="554">
        <f t="shared" si="86"/>
        <v>0.96240045736147151</v>
      </c>
      <c r="Q27" s="554">
        <f t="shared" si="86"/>
        <v>1.5084925283580235</v>
      </c>
      <c r="R27" s="554">
        <f t="shared" si="86"/>
        <v>0.83353461391128381</v>
      </c>
      <c r="S27" s="554">
        <f t="shared" si="86"/>
        <v>0.85614299228112678</v>
      </c>
      <c r="T27" s="554">
        <f t="shared" ref="T27:U27" si="87">+T18</f>
        <v>0.81106757414321895</v>
      </c>
      <c r="U27" s="554">
        <f t="shared" si="87"/>
        <v>0.529908846329048</v>
      </c>
      <c r="V27" s="554"/>
      <c r="W27" s="555"/>
      <c r="X27" s="554"/>
      <c r="Y27" s="554"/>
      <c r="Z27" s="554">
        <f t="shared" ref="Z27" si="88">+Z17/X17-1</f>
        <v>5.1149266278229444</v>
      </c>
      <c r="AA27" s="554">
        <f t="shared" ref="AA27" si="89">+AA17/Y17-1</f>
        <v>2.8439470781406349</v>
      </c>
      <c r="AB27" s="554">
        <f t="shared" si="79"/>
        <v>1.8393971103975533</v>
      </c>
      <c r="AC27" s="554">
        <f t="shared" si="80"/>
        <v>0.72891171811761968</v>
      </c>
      <c r="AD27" s="554">
        <f t="shared" si="81"/>
        <v>0.50373261101204081</v>
      </c>
      <c r="AE27" s="554">
        <f t="shared" si="82"/>
        <v>1.2294612948142682</v>
      </c>
      <c r="AF27" s="554">
        <f t="shared" si="75"/>
        <v>0.84794049905064162</v>
      </c>
      <c r="AG27" s="554">
        <f t="shared" si="76"/>
        <v>0.65636099612218723</v>
      </c>
      <c r="AH27" s="556"/>
      <c r="AI27" s="556"/>
      <c r="AJ27" s="554"/>
      <c r="AK27" s="554">
        <f t="shared" si="83"/>
        <v>8.6856814976749792</v>
      </c>
      <c r="AL27" s="554">
        <f t="shared" si="83"/>
        <v>2.7223492437939956</v>
      </c>
      <c r="AM27" s="554">
        <f t="shared" si="83"/>
        <v>3.5598199128088766</v>
      </c>
      <c r="AN27" s="554">
        <f t="shared" si="84"/>
        <v>1.1983506118409184</v>
      </c>
      <c r="AO27" s="554">
        <f t="shared" si="85"/>
        <v>0.83321092131401864</v>
      </c>
      <c r="AP27" s="554">
        <f t="shared" si="85"/>
        <v>0.74216402532599357</v>
      </c>
      <c r="AQ27" s="355"/>
    </row>
    <row r="28" spans="1:46">
      <c r="D28" s="355"/>
      <c r="E28" s="355"/>
      <c r="F28" s="355"/>
      <c r="G28" s="355"/>
      <c r="H28" s="355"/>
      <c r="I28" s="519"/>
      <c r="J28" s="532"/>
      <c r="K28" s="519"/>
      <c r="L28" s="519"/>
      <c r="M28" s="519"/>
      <c r="N28" s="519"/>
      <c r="O28" s="519"/>
      <c r="P28" s="519"/>
      <c r="Q28" s="519"/>
      <c r="R28" s="519"/>
      <c r="S28" s="519"/>
      <c r="T28" s="519"/>
      <c r="U28" s="519"/>
      <c r="V28" s="519"/>
      <c r="X28" s="355"/>
      <c r="Y28" s="355"/>
      <c r="Z28" s="355"/>
      <c r="AA28" s="355"/>
      <c r="AB28" s="355"/>
      <c r="AC28" s="554"/>
      <c r="AD28" s="355"/>
      <c r="AE28" s="355"/>
      <c r="AF28" s="554"/>
      <c r="AG28" s="554"/>
      <c r="AH28" s="355"/>
      <c r="AI28" s="355"/>
      <c r="AJ28" s="355"/>
      <c r="AK28" s="355"/>
      <c r="AL28" s="355"/>
      <c r="AM28" s="355"/>
      <c r="AN28" s="355"/>
      <c r="AO28" s="554"/>
      <c r="AP28" s="554"/>
      <c r="AQ28" s="355"/>
    </row>
    <row r="29" spans="1:46">
      <c r="A29" s="513" t="s">
        <v>267</v>
      </c>
      <c r="D29" s="355"/>
      <c r="E29" s="355"/>
      <c r="F29" s="355"/>
      <c r="G29" s="355"/>
      <c r="H29" s="355"/>
      <c r="I29" s="519"/>
      <c r="J29" s="532"/>
      <c r="K29" s="519"/>
      <c r="L29" s="519"/>
      <c r="M29" s="519"/>
      <c r="N29" s="519"/>
      <c r="O29" s="519"/>
      <c r="P29" s="519"/>
      <c r="Q29" s="519"/>
      <c r="R29" s="519"/>
      <c r="S29" s="519"/>
      <c r="T29" s="519"/>
      <c r="U29" s="519"/>
      <c r="V29" s="519"/>
      <c r="X29" s="355"/>
      <c r="Y29" s="355"/>
      <c r="Z29" s="355"/>
      <c r="AA29" s="355"/>
      <c r="AB29" s="355"/>
      <c r="AC29" s="554"/>
      <c r="AD29" s="355"/>
      <c r="AE29" s="355"/>
      <c r="AF29" s="355"/>
      <c r="AG29" s="355"/>
      <c r="AH29" s="355"/>
      <c r="AI29" s="355"/>
      <c r="AJ29" s="355"/>
      <c r="AK29" s="355"/>
      <c r="AL29" s="355"/>
      <c r="AM29" s="355"/>
      <c r="AN29" s="355"/>
      <c r="AO29" s="355"/>
      <c r="AP29" s="355"/>
      <c r="AQ29" s="355"/>
    </row>
    <row r="30" spans="1:46" s="337" customFormat="1" hidden="1" outlineLevel="1">
      <c r="A30" s="337" t="s">
        <v>268</v>
      </c>
      <c r="D30" s="547"/>
      <c r="E30" s="547"/>
      <c r="F30" s="547"/>
      <c r="G30" s="547"/>
      <c r="H30" s="547"/>
      <c r="I30" s="519"/>
      <c r="J30" s="532"/>
      <c r="K30" s="519"/>
      <c r="L30" s="519"/>
      <c r="M30" s="519"/>
      <c r="N30" s="519"/>
      <c r="O30" s="519"/>
      <c r="P30" s="519"/>
      <c r="Q30" s="519"/>
      <c r="R30" s="519"/>
      <c r="S30" s="519"/>
      <c r="T30" s="519"/>
      <c r="U30" s="519"/>
      <c r="V30" s="519"/>
      <c r="X30" s="547"/>
      <c r="Y30" s="547"/>
      <c r="Z30" s="554"/>
      <c r="AA30" s="554"/>
      <c r="AB30" s="554">
        <f>+'Detailed Disclosure'!AB30</f>
        <v>0.16</v>
      </c>
      <c r="AC30" s="554">
        <f>+'Detailed Disclosure'!AC30</f>
        <v>0.26911266529396982</v>
      </c>
      <c r="AD30" s="554">
        <f>+'Detailed Disclosure'!AD30</f>
        <v>0.25</v>
      </c>
      <c r="AE30" s="554">
        <f>+'Detailed Disclosure'!AE30</f>
        <v>0.28642653030807319</v>
      </c>
      <c r="AF30" s="554">
        <f>+'Detailed Disclosure'!AF30</f>
        <v>0.31</v>
      </c>
      <c r="AG30" s="554">
        <f>+'Detailed Disclosure'!AG30</f>
        <v>0.31000000000000005</v>
      </c>
      <c r="AH30" s="547"/>
      <c r="AI30" s="547"/>
      <c r="AJ30" s="547"/>
      <c r="AK30" s="547"/>
      <c r="AL30" s="547"/>
      <c r="AM30" s="547"/>
      <c r="AN30" s="554">
        <f>+'Detailed Disclosure'!AN30</f>
        <v>0.21</v>
      </c>
      <c r="AO30" s="554">
        <f>+'Detailed Disclosure'!AO30</f>
        <v>0.27</v>
      </c>
      <c r="AP30" s="554">
        <f>+'Detailed Disclosure'!AP30</f>
        <v>0.31</v>
      </c>
      <c r="AQ30" s="547"/>
    </row>
    <row r="31" spans="1:46" s="337" customFormat="1" hidden="1" outlineLevel="1">
      <c r="A31" s="337" t="s">
        <v>269</v>
      </c>
      <c r="D31" s="547"/>
      <c r="E31" s="547"/>
      <c r="F31" s="547"/>
      <c r="G31" s="547"/>
      <c r="H31" s="547"/>
      <c r="I31" s="519"/>
      <c r="J31" s="532"/>
      <c r="K31" s="519"/>
      <c r="L31" s="519"/>
      <c r="M31" s="519"/>
      <c r="N31" s="519"/>
      <c r="O31" s="519"/>
      <c r="P31" s="519"/>
      <c r="Q31" s="519"/>
      <c r="R31" s="519"/>
      <c r="S31" s="519"/>
      <c r="T31" s="519"/>
      <c r="U31" s="519"/>
      <c r="V31" s="519"/>
      <c r="X31" s="547"/>
      <c r="Y31" s="547"/>
      <c r="Z31" s="554"/>
      <c r="AA31" s="554"/>
      <c r="AB31" s="554">
        <f>+'Detailed Disclosure'!AB31</f>
        <v>0.84</v>
      </c>
      <c r="AC31" s="554">
        <f>+'Detailed Disclosure'!AC31</f>
        <v>0.73088733470603018</v>
      </c>
      <c r="AD31" s="554">
        <f>+'Detailed Disclosure'!AD31</f>
        <v>0.75</v>
      </c>
      <c r="AE31" s="554">
        <f>+'Detailed Disclosure'!AE31</f>
        <v>0.71357346969192681</v>
      </c>
      <c r="AF31" s="554">
        <f>+'Detailed Disclosure'!AF31</f>
        <v>0.69</v>
      </c>
      <c r="AG31" s="554">
        <f>+'Detailed Disclosure'!AG31</f>
        <v>0.69</v>
      </c>
      <c r="AH31" s="547"/>
      <c r="AI31" s="547"/>
      <c r="AJ31" s="547"/>
      <c r="AK31" s="547"/>
      <c r="AL31" s="547"/>
      <c r="AM31" s="547"/>
      <c r="AN31" s="554">
        <f>+'Detailed Disclosure'!AN31</f>
        <v>0.79</v>
      </c>
      <c r="AO31" s="554">
        <f>+'Detailed Disclosure'!AO31</f>
        <v>0.73</v>
      </c>
      <c r="AP31" s="554">
        <f>+'Detailed Disclosure'!AP31</f>
        <v>0.69</v>
      </c>
      <c r="AQ31" s="547"/>
      <c r="AS31" s="516"/>
      <c r="AT31" s="363"/>
    </row>
    <row r="32" spans="1:46" s="337" customFormat="1" hidden="1" outlineLevel="1">
      <c r="A32" s="337" t="s">
        <v>270</v>
      </c>
      <c r="D32" s="547"/>
      <c r="E32" s="547"/>
      <c r="F32" s="547"/>
      <c r="G32" s="547"/>
      <c r="H32" s="547"/>
      <c r="I32" s="519"/>
      <c r="J32" s="532"/>
      <c r="K32" s="519"/>
      <c r="L32" s="519"/>
      <c r="M32" s="519"/>
      <c r="N32" s="519"/>
      <c r="O32" s="519"/>
      <c r="P32" s="519"/>
      <c r="Q32" s="519"/>
      <c r="R32" s="519"/>
      <c r="S32" s="519"/>
      <c r="T32" s="519"/>
      <c r="U32" s="519"/>
      <c r="V32" s="519"/>
      <c r="X32" s="547"/>
      <c r="Y32" s="547"/>
      <c r="Z32" s="554"/>
      <c r="AA32" s="554"/>
      <c r="AB32" s="554">
        <f>+'Detailed Disclosure'!AB32</f>
        <v>0.13952050401020541</v>
      </c>
      <c r="AC32" s="554">
        <f>+'Detailed Disclosure'!AC32</f>
        <v>5.4417621689943824E-2</v>
      </c>
      <c r="AD32" s="554">
        <f>+'Detailed Disclosure'!AD32</f>
        <v>4.9182384566828108E-2</v>
      </c>
      <c r="AE32" s="554">
        <f>+'Detailed Disclosure'!AE32</f>
        <v>5.7133716500929688E-2</v>
      </c>
      <c r="AF32" s="554">
        <f>+'Detailed Disclosure'!AF32</f>
        <v>8.3301382626971079E-2</v>
      </c>
      <c r="AG32" s="554">
        <f>+'Detailed Disclosure'!AG32</f>
        <v>6.512485993508009E-2</v>
      </c>
      <c r="AH32" s="547"/>
      <c r="AI32" s="547"/>
      <c r="AJ32" s="547"/>
      <c r="AK32" s="547"/>
      <c r="AL32" s="547"/>
      <c r="AM32" s="547"/>
      <c r="AN32" s="554">
        <f>+'Detailed Disclosure'!AN32</f>
        <v>0.10052279366604941</v>
      </c>
      <c r="AO32" s="554">
        <f>+'Detailed Disclosure'!AO32</f>
        <v>5.3548066319580354E-2</v>
      </c>
      <c r="AP32" s="554">
        <f>+'Detailed Disclosure'!AP32</f>
        <v>7.3799999938834987E-2</v>
      </c>
      <c r="AQ32" s="547"/>
      <c r="AS32" s="516"/>
      <c r="AT32" s="363"/>
    </row>
    <row r="33" spans="1:46" collapsed="1">
      <c r="A33" s="319" t="s">
        <v>271</v>
      </c>
      <c r="D33" s="355"/>
      <c r="E33" s="355"/>
      <c r="F33" s="355"/>
      <c r="G33" s="355"/>
      <c r="H33" s="355"/>
      <c r="I33" s="355"/>
      <c r="J33" s="355"/>
      <c r="K33" s="355"/>
      <c r="L33" s="355"/>
      <c r="M33" s="355"/>
      <c r="N33" s="355"/>
      <c r="O33" s="355"/>
      <c r="P33" s="355"/>
      <c r="Q33" s="355"/>
      <c r="R33" s="355"/>
      <c r="S33" s="355"/>
      <c r="T33" s="355"/>
      <c r="U33" s="355"/>
      <c r="V33" s="355"/>
      <c r="X33" s="355"/>
      <c r="Y33" s="355"/>
      <c r="Z33" s="355"/>
      <c r="AA33" s="355"/>
      <c r="AB33" s="355">
        <f t="shared" ref="AB33:AD33" si="90">+AB32*AB17</f>
        <v>11604.731898883274</v>
      </c>
      <c r="AC33" s="355">
        <f>+AN33-AB33</f>
        <v>3708.4777630023309</v>
      </c>
      <c r="AD33" s="355">
        <f t="shared" si="90"/>
        <v>6151.4468312165463</v>
      </c>
      <c r="AE33" s="355">
        <f>+AO33-AD33</f>
        <v>8802.5714585462465</v>
      </c>
      <c r="AF33" s="355">
        <f>+AF32*AF17</f>
        <v>19253.420081913377</v>
      </c>
      <c r="AG33" s="355">
        <f t="shared" ref="AG33" si="91">+AG32*AG17</f>
        <v>16632.439603534338</v>
      </c>
      <c r="AH33" s="355"/>
      <c r="AI33" s="355"/>
      <c r="AJ33" s="355"/>
      <c r="AK33" s="355"/>
      <c r="AL33" s="355"/>
      <c r="AM33" s="355"/>
      <c r="AN33" s="355">
        <f>+AN32*AN17</f>
        <v>15313.209661885605</v>
      </c>
      <c r="AO33" s="355">
        <f>+AO32*AO17</f>
        <v>14954.018289762793</v>
      </c>
      <c r="AP33" s="355">
        <f t="shared" ref="AP33" si="92">+AP32*AP17</f>
        <v>35905.379217253889</v>
      </c>
      <c r="AQ33" s="355"/>
      <c r="AS33" s="516"/>
      <c r="AT33" s="363"/>
    </row>
    <row r="34" spans="1:46" s="569" customFormat="1">
      <c r="A34" s="563" t="s">
        <v>237</v>
      </c>
      <c r="D34" s="570"/>
      <c r="E34" s="570"/>
      <c r="F34" s="570"/>
      <c r="G34" s="570"/>
      <c r="H34" s="554"/>
      <c r="I34" s="554"/>
      <c r="J34" s="571"/>
      <c r="K34" s="571"/>
      <c r="L34" s="554"/>
      <c r="M34" s="554"/>
      <c r="N34" s="572"/>
      <c r="O34" s="572"/>
      <c r="P34" s="572"/>
      <c r="Q34" s="572"/>
      <c r="R34" s="572"/>
      <c r="S34" s="572"/>
      <c r="T34" s="572"/>
      <c r="U34" s="572"/>
      <c r="V34" s="572"/>
      <c r="X34" s="554"/>
      <c r="Y34" s="554"/>
      <c r="Z34" s="554"/>
      <c r="AA34" s="554"/>
      <c r="AB34" s="554"/>
      <c r="AC34" s="554"/>
      <c r="AD34" s="339">
        <f>+AD33/AB33-1</f>
        <v>-0.46991909121067232</v>
      </c>
      <c r="AE34" s="339">
        <f t="shared" ref="AE34:AF34" si="93">+AE33/AC33-1</f>
        <v>1.3736346881637522</v>
      </c>
      <c r="AF34" s="339">
        <f t="shared" si="93"/>
        <v>2.1299010802155802</v>
      </c>
      <c r="AG34" s="339">
        <f t="shared" ref="AG34" si="94">+AG33/AE33-1</f>
        <v>0.88949782252391985</v>
      </c>
      <c r="AH34" s="339"/>
      <c r="AI34" s="339"/>
      <c r="AJ34" s="339"/>
      <c r="AK34" s="339"/>
      <c r="AL34" s="339"/>
      <c r="AM34" s="339"/>
      <c r="AN34" s="339"/>
      <c r="AO34" s="339">
        <f>+AO33/AN33-1</f>
        <v>-2.3456308641605972E-2</v>
      </c>
      <c r="AP34" s="339">
        <f t="shared" ref="AP34" si="95">+AP33/AO33-1</f>
        <v>1.4010522470628484</v>
      </c>
      <c r="AQ34" s="570"/>
      <c r="AS34" s="516"/>
      <c r="AT34" s="363"/>
    </row>
    <row r="35" spans="1:46">
      <c r="D35" s="355"/>
      <c r="E35" s="355"/>
      <c r="F35" s="355"/>
      <c r="G35" s="355"/>
      <c r="H35" s="355"/>
      <c r="I35" s="519"/>
      <c r="J35" s="532"/>
      <c r="K35" s="519"/>
      <c r="L35" s="519"/>
      <c r="M35" s="519"/>
      <c r="N35" s="519"/>
      <c r="O35" s="519"/>
      <c r="P35" s="519"/>
      <c r="Q35" s="519"/>
      <c r="R35" s="519"/>
      <c r="S35" s="519"/>
      <c r="T35" s="519"/>
      <c r="U35" s="519"/>
      <c r="V35" s="519"/>
      <c r="X35" s="355"/>
      <c r="Y35" s="355"/>
      <c r="Z35" s="355"/>
      <c r="AA35" s="355"/>
      <c r="AB35" s="355"/>
      <c r="AC35" s="355"/>
      <c r="AD35" s="355"/>
      <c r="AE35" s="355"/>
      <c r="AF35" s="339"/>
      <c r="AG35" s="339"/>
      <c r="AH35" s="355"/>
      <c r="AI35" s="355"/>
      <c r="AJ35" s="355"/>
      <c r="AK35" s="355"/>
      <c r="AL35" s="355"/>
      <c r="AM35" s="355"/>
      <c r="AN35" s="355"/>
      <c r="AO35" s="355"/>
      <c r="AP35" s="355"/>
      <c r="AQ35" s="355"/>
    </row>
    <row r="36" spans="1:46">
      <c r="A36" s="513" t="s">
        <v>26</v>
      </c>
      <c r="D36" s="355"/>
      <c r="E36" s="355"/>
      <c r="F36" s="355"/>
      <c r="G36" s="355"/>
      <c r="H36" s="355"/>
      <c r="I36" s="355"/>
      <c r="J36" s="509"/>
      <c r="K36" s="355"/>
      <c r="L36" s="355"/>
      <c r="M36" s="355"/>
      <c r="N36" s="355"/>
      <c r="O36" s="355"/>
      <c r="P36" s="355"/>
      <c r="Q36" s="355"/>
      <c r="R36" s="355"/>
      <c r="S36" s="355"/>
      <c r="T36" s="355"/>
      <c r="U36" s="355"/>
      <c r="V36" s="355"/>
      <c r="X36" s="355"/>
      <c r="Y36" s="355"/>
      <c r="Z36" s="355"/>
      <c r="AA36" s="355"/>
      <c r="AB36" s="355"/>
      <c r="AC36" s="355"/>
      <c r="AD36" s="355"/>
      <c r="AE36" s="355"/>
      <c r="AF36" s="355"/>
      <c r="AG36" s="355"/>
      <c r="AH36" s="355"/>
      <c r="AI36" s="355"/>
      <c r="AJ36" s="355"/>
      <c r="AK36" s="355"/>
      <c r="AL36" s="355"/>
      <c r="AM36" s="355"/>
      <c r="AN36" s="355"/>
      <c r="AO36" s="355"/>
      <c r="AP36" s="355"/>
      <c r="AQ36" s="355"/>
      <c r="AS36" s="334"/>
      <c r="AT36" s="363"/>
    </row>
    <row r="37" spans="1:46">
      <c r="A37" s="319" t="s">
        <v>272</v>
      </c>
      <c r="D37" s="355">
        <f t="shared" ref="D37:R37" si="96">+D17</f>
        <v>2818.0669942590139</v>
      </c>
      <c r="E37" s="355">
        <f t="shared" si="96"/>
        <v>7586.0184433036129</v>
      </c>
      <c r="F37" s="355">
        <f t="shared" si="96"/>
        <v>10433.909896445495</v>
      </c>
      <c r="G37" s="355">
        <f t="shared" si="96"/>
        <v>16320.612554405221</v>
      </c>
      <c r="H37" s="355">
        <f t="shared" si="96"/>
        <v>14289.331061916168</v>
      </c>
      <c r="I37" s="355">
        <f t="shared" si="96"/>
        <v>25692.908306317189</v>
      </c>
      <c r="J37" s="355">
        <f t="shared" si="96"/>
        <v>28360.864690116476</v>
      </c>
      <c r="K37" s="355">
        <f t="shared" si="96"/>
        <v>54814.952235218239</v>
      </c>
      <c r="L37" s="355">
        <f t="shared" si="96"/>
        <v>35337.935096314439</v>
      </c>
      <c r="M37" s="355">
        <f t="shared" si="96"/>
        <v>33821.943231292171</v>
      </c>
      <c r="N37" s="355">
        <f t="shared" si="96"/>
        <v>45377.875694302733</v>
      </c>
      <c r="O37" s="355">
        <f t="shared" si="96"/>
        <v>79696.312663890334</v>
      </c>
      <c r="P37" s="355">
        <f t="shared" si="96"/>
        <v>69347.179995217448</v>
      </c>
      <c r="Q37" s="355">
        <f t="shared" si="96"/>
        <v>84842.091890245632</v>
      </c>
      <c r="R37" s="355">
        <f t="shared" si="96"/>
        <v>83201.905791267593</v>
      </c>
      <c r="S37" s="355">
        <f>+S17</f>
        <v>147927.75226172566</v>
      </c>
      <c r="T37" s="355">
        <f t="shared" ref="T37:U37" si="97">+T17</f>
        <v>125592.42904761163</v>
      </c>
      <c r="U37" s="355">
        <f t="shared" si="97"/>
        <v>129800.66692394877</v>
      </c>
      <c r="V37" s="355"/>
      <c r="X37" s="355">
        <f>+'Detailed Disclosure'!X37/'Detailed Disclosures - USD'!X$313</f>
        <v>4790.4872505815447</v>
      </c>
      <c r="Y37" s="355">
        <f>+'Detailed Disclosure'!Y37/'Detailed Disclosures - USD'!Y$313</f>
        <v>10406.483569139857</v>
      </c>
      <c r="Z37" s="355">
        <f>+'Detailed Disclosure'!Z37/'Detailed Disclosures - USD'!Z$313</f>
        <v>29293.478048827408</v>
      </c>
      <c r="AA37" s="355">
        <f>+'Detailed Disclosure'!AA37/'Detailed Disclosures - USD'!AA$313</f>
        <v>40001.972109313676</v>
      </c>
      <c r="AB37" s="355">
        <f>+'Detailed Disclosure'!AB37/'Detailed Disclosures - USD'!AB$313</f>
        <v>83175.8169253347</v>
      </c>
      <c r="AC37" s="355">
        <f>+'Detailed Disclosure'!AC37/'Detailed Disclosures - USD'!AC$313</f>
        <v>69159.87832760661</v>
      </c>
      <c r="AD37" s="355">
        <f>SUM(N37:O37)</f>
        <v>125074.18835819306</v>
      </c>
      <c r="AE37" s="355">
        <f>SUM(P37:Q37)</f>
        <v>154189.27188546309</v>
      </c>
      <c r="AF37" s="355">
        <f>SUM(R37:S37)</f>
        <v>231129.65805299324</v>
      </c>
      <c r="AG37" s="355">
        <f>SUM(T37:U37)</f>
        <v>255393.0959715604</v>
      </c>
      <c r="AH37" s="355"/>
      <c r="AI37" s="355"/>
      <c r="AJ37" s="355">
        <f>+'Detailed Disclosure'!AJ37/'Detailed Disclosures - USD'!AJ$313</f>
        <v>421.51179143997217</v>
      </c>
      <c r="AK37" s="355">
        <f>+'Detailed Disclosure'!AK37/'Detailed Disclosures - USD'!AK$313</f>
        <v>4082.6289594019731</v>
      </c>
      <c r="AL37" s="355">
        <f>+AL17</f>
        <v>15196.970819721402</v>
      </c>
      <c r="AM37" s="355">
        <f>SUM(Z37:AA37)</f>
        <v>69295.450158141088</v>
      </c>
      <c r="AN37" s="355">
        <f t="shared" ref="AN37:AN39" si="98">SUM(AB37:AC37)</f>
        <v>152335.69525294131</v>
      </c>
      <c r="AO37" s="355">
        <f t="shared" ref="AO37:AO39" si="99">SUM(AD37:AE37)</f>
        <v>279263.46024365618</v>
      </c>
      <c r="AP37" s="355">
        <f>SUM(AF37:AG37)</f>
        <v>486522.75402455364</v>
      </c>
      <c r="AQ37" s="355"/>
    </row>
    <row r="38" spans="1:46" s="513" customFormat="1">
      <c r="A38" s="319" t="s">
        <v>273</v>
      </c>
      <c r="D38" s="535"/>
      <c r="E38" s="535"/>
      <c r="F38" s="535"/>
      <c r="G38" s="535"/>
      <c r="H38" s="535"/>
      <c r="I38" s="535"/>
      <c r="J38" s="573"/>
      <c r="K38" s="535"/>
      <c r="L38" s="535"/>
      <c r="M38" s="535"/>
      <c r="N38" s="535"/>
      <c r="O38" s="535"/>
      <c r="P38" s="535"/>
      <c r="Q38" s="535"/>
      <c r="R38" s="535"/>
      <c r="S38" s="535"/>
      <c r="T38" s="535"/>
      <c r="U38" s="535"/>
      <c r="V38" s="535"/>
      <c r="X38" s="535">
        <f>+'Detailed Disclosure'!X38/'Detailed Disclosures - USD'!X$313</f>
        <v>-3263.3229599665401</v>
      </c>
      <c r="Y38" s="535">
        <f>+'Detailed Disclosure'!Y38/'Detailed Disclosures - USD'!Y$313</f>
        <v>-7661.3879419411669</v>
      </c>
      <c r="Z38" s="535">
        <f>+'Detailed Disclosure'!Z38/'Detailed Disclosures - USD'!Z$313</f>
        <v>-21092.885576644112</v>
      </c>
      <c r="AA38" s="535">
        <f>+'Detailed Disclosure'!AA38/'Detailed Disclosures - USD'!AA$313</f>
        <v>-31805.961814202466</v>
      </c>
      <c r="AB38" s="535">
        <f>+'Detailed Disclosure'!AB38/'Detailed Disclosures - USD'!AB$313</f>
        <v>-65098.771474312947</v>
      </c>
      <c r="AC38" s="535">
        <f>+'Detailed Disclosure'!AC38/'Detailed Disclosures - USD'!AC$313</f>
        <v>-60066.068062009886</v>
      </c>
      <c r="AD38" s="535">
        <f>AD39-AD37</f>
        <v>-93736.68475848691</v>
      </c>
      <c r="AE38" s="535">
        <f t="shared" ref="AE38" si="100">AE39-AE37</f>
        <v>-121401.51972324858</v>
      </c>
      <c r="AF38" s="535">
        <f>AF39-AF37</f>
        <v>-177512.75299455147</v>
      </c>
      <c r="AG38" s="535">
        <f>AG39-AG37</f>
        <v>-207457.84406409319</v>
      </c>
      <c r="AH38" s="535"/>
      <c r="AI38" s="535"/>
      <c r="AJ38" s="535">
        <f>+'Detailed Disclosure'!AJ38/'Detailed Disclosures - USD'!AJ$313</f>
        <v>-203.78235505278067</v>
      </c>
      <c r="AK38" s="535">
        <f>+'Detailed Disclosure'!AK38/'Detailed Disclosures - USD'!AK$313</f>
        <v>-3036.5893503643047</v>
      </c>
      <c r="AL38" s="535">
        <f t="shared" ref="AL38:AL39" si="101">SUM(X38:Y38)</f>
        <v>-10924.710901907707</v>
      </c>
      <c r="AM38" s="535">
        <f t="shared" ref="AM38:AM39" si="102">SUM(Z38:AA38)</f>
        <v>-52898.847390846582</v>
      </c>
      <c r="AN38" s="535">
        <f t="shared" si="98"/>
        <v>-125164.83953632283</v>
      </c>
      <c r="AO38" s="535">
        <f t="shared" si="99"/>
        <v>-215138.20448173548</v>
      </c>
      <c r="AP38" s="535">
        <f t="shared" ref="AP38:AP39" si="103">SUM(AF38:AG38)</f>
        <v>-384970.59705864463</v>
      </c>
      <c r="AQ38" s="535"/>
      <c r="AT38" s="560"/>
    </row>
    <row r="39" spans="1:46">
      <c r="A39" s="527" t="s">
        <v>26</v>
      </c>
      <c r="D39" s="355"/>
      <c r="E39" s="355"/>
      <c r="F39" s="355"/>
      <c r="G39" s="355"/>
      <c r="H39" s="355"/>
      <c r="I39" s="355"/>
      <c r="J39" s="509"/>
      <c r="K39" s="355"/>
      <c r="L39" s="355"/>
      <c r="M39" s="355"/>
      <c r="N39" s="355"/>
      <c r="O39" s="355"/>
      <c r="P39" s="355"/>
      <c r="Q39" s="355"/>
      <c r="R39" s="355"/>
      <c r="S39" s="355"/>
      <c r="T39" s="355"/>
      <c r="U39" s="355"/>
      <c r="V39" s="355"/>
      <c r="X39" s="355">
        <f t="shared" ref="X39" si="104">+SUM(X37:X38)</f>
        <v>1527.1642906150046</v>
      </c>
      <c r="Y39" s="355">
        <f>+SUM(Y37:Y38)</f>
        <v>2745.0956271986897</v>
      </c>
      <c r="Z39" s="355">
        <f>+SUM(Z37:Z38)</f>
        <v>8200.5924721832962</v>
      </c>
      <c r="AA39" s="355">
        <f t="shared" ref="AA39:AB39" si="105">+SUM(AA37:AA38)</f>
        <v>8196.0102951112094</v>
      </c>
      <c r="AB39" s="355">
        <f t="shared" si="105"/>
        <v>18077.045451021753</v>
      </c>
      <c r="AC39" s="355">
        <f t="shared" ref="AC39" si="106">+SUM(AC37:AC38)</f>
        <v>9093.8102655967232</v>
      </c>
      <c r="AD39" s="355">
        <f>AD40*AD17</f>
        <v>31337.503599706146</v>
      </c>
      <c r="AE39" s="355">
        <f t="shared" ref="AE39" si="107">AE40*AE17</f>
        <v>32787.752162214521</v>
      </c>
      <c r="AF39" s="355">
        <f>AF40*AF17</f>
        <v>53616.905058441764</v>
      </c>
      <c r="AG39" s="355">
        <f>AG40*AG17</f>
        <v>47935.251907467187</v>
      </c>
      <c r="AH39" s="559"/>
      <c r="AI39" s="355"/>
      <c r="AJ39" s="355">
        <f t="shared" ref="AJ39:AK39" si="108">+SUM(AJ37:AJ38)</f>
        <v>217.7294363871915</v>
      </c>
      <c r="AK39" s="355">
        <f t="shared" si="108"/>
        <v>1046.0396090376685</v>
      </c>
      <c r="AL39" s="355">
        <f t="shared" si="101"/>
        <v>4272.2599178136943</v>
      </c>
      <c r="AM39" s="355">
        <f t="shared" si="102"/>
        <v>16396.602767294506</v>
      </c>
      <c r="AN39" s="355">
        <f t="shared" si="98"/>
        <v>27170.855716618476</v>
      </c>
      <c r="AO39" s="355">
        <f t="shared" si="99"/>
        <v>64125.255761920664</v>
      </c>
      <c r="AP39" s="355">
        <f t="shared" si="103"/>
        <v>101552.15696590894</v>
      </c>
      <c r="AQ39" s="355"/>
    </row>
    <row r="40" spans="1:46" s="569" customFormat="1">
      <c r="A40" s="563" t="s">
        <v>239</v>
      </c>
      <c r="D40" s="570"/>
      <c r="E40" s="570"/>
      <c r="F40" s="570"/>
      <c r="G40" s="570"/>
      <c r="H40" s="554"/>
      <c r="I40" s="554"/>
      <c r="J40" s="571"/>
      <c r="K40" s="571"/>
      <c r="L40" s="554"/>
      <c r="M40" s="554"/>
      <c r="N40" s="572" t="str">
        <f>+'Detailed Disclosure'!N40</f>
        <v>&gt;20%</v>
      </c>
      <c r="O40" s="572"/>
      <c r="P40" s="572" t="str">
        <f>+'Detailed Disclosure'!P40</f>
        <v>&gt;20%</v>
      </c>
      <c r="Q40" s="572"/>
      <c r="R40" s="572" t="str">
        <f>+'Detailed Disclosure'!R40</f>
        <v>&gt;20%</v>
      </c>
      <c r="S40" s="572"/>
      <c r="T40" s="572" t="str">
        <f>+'Detailed Disclosure'!T40</f>
        <v>&gt;20%</v>
      </c>
      <c r="U40" s="572"/>
      <c r="V40" s="572"/>
      <c r="X40" s="554">
        <f t="shared" ref="X40:AC40" si="109">+X39/X17</f>
        <v>0.31879101451102149</v>
      </c>
      <c r="Y40" s="554">
        <f t="shared" si="109"/>
        <v>0.26378705246210121</v>
      </c>
      <c r="Z40" s="554">
        <f t="shared" si="109"/>
        <v>0.27994601591911539</v>
      </c>
      <c r="AA40" s="554">
        <f t="shared" si="109"/>
        <v>0.20489015573317018</v>
      </c>
      <c r="AB40" s="554">
        <f t="shared" si="109"/>
        <v>0.21733535202003679</v>
      </c>
      <c r="AC40" s="554">
        <f t="shared" si="109"/>
        <v>0.1314896799343665</v>
      </c>
      <c r="AD40" s="554">
        <f>'Detailed Disclosure'!AD40</f>
        <v>0.25055132486616982</v>
      </c>
      <c r="AE40" s="554">
        <f>'Detailed Disclosure'!AE40</f>
        <v>0.21264613135063218</v>
      </c>
      <c r="AF40" s="554">
        <f>'Detailed Disclosure'!AF40</f>
        <v>0.23197760733132966</v>
      </c>
      <c r="AG40" s="554">
        <f>'Detailed Disclosure'!AG40</f>
        <v>0.18769204282955665</v>
      </c>
      <c r="AH40" s="570"/>
      <c r="AI40" s="570"/>
      <c r="AJ40" s="554">
        <f t="shared" ref="AJ40:AP40" si="110">+AJ39/AJ17</f>
        <v>0.51654411764705876</v>
      </c>
      <c r="AK40" s="554">
        <f t="shared" si="110"/>
        <v>0.25621716287215412</v>
      </c>
      <c r="AL40" s="554">
        <f t="shared" si="110"/>
        <v>0.28112575647440874</v>
      </c>
      <c r="AM40" s="554">
        <f t="shared" si="110"/>
        <v>0.23661874956978213</v>
      </c>
      <c r="AN40" s="554">
        <f t="shared" si="110"/>
        <v>0.17836171405200485</v>
      </c>
      <c r="AO40" s="554">
        <f t="shared" si="110"/>
        <v>0.22962279313581394</v>
      </c>
      <c r="AP40" s="554">
        <f t="shared" si="110"/>
        <v>0.20873053958085555</v>
      </c>
      <c r="AQ40" s="570"/>
    </row>
    <row r="41" spans="1:46">
      <c r="D41" s="355"/>
      <c r="E41" s="355"/>
      <c r="F41" s="355"/>
      <c r="G41" s="355"/>
      <c r="H41" s="355"/>
      <c r="I41" s="355"/>
      <c r="J41" s="355"/>
      <c r="K41" s="558"/>
      <c r="L41" s="355"/>
      <c r="M41" s="355"/>
      <c r="N41" s="355"/>
      <c r="O41" s="355"/>
      <c r="P41" s="355"/>
      <c r="Q41" s="355"/>
      <c r="R41" s="355"/>
      <c r="S41" s="355"/>
      <c r="T41" s="355"/>
      <c r="U41" s="355"/>
      <c r="V41" s="355"/>
      <c r="X41" s="355"/>
      <c r="Y41" s="355"/>
      <c r="Z41" s="355"/>
      <c r="AA41" s="355"/>
      <c r="AB41" s="355"/>
      <c r="AC41" s="355"/>
      <c r="AD41" s="554"/>
      <c r="AE41" s="554"/>
      <c r="AF41" s="554"/>
      <c r="AG41" s="554"/>
      <c r="AH41" s="355"/>
      <c r="AI41" s="355"/>
      <c r="AJ41" s="355"/>
      <c r="AK41" s="355"/>
      <c r="AL41" s="355"/>
      <c r="AM41" s="355"/>
      <c r="AN41" s="355"/>
      <c r="AO41" s="355"/>
      <c r="AP41" s="355"/>
      <c r="AQ41" s="355"/>
    </row>
    <row r="42" spans="1:46">
      <c r="A42" s="319" t="s">
        <v>274</v>
      </c>
      <c r="D42" s="355"/>
      <c r="E42" s="355"/>
      <c r="F42" s="355"/>
      <c r="G42" s="355"/>
      <c r="H42" s="355"/>
      <c r="I42" s="355"/>
      <c r="J42" s="355"/>
      <c r="K42" s="355"/>
      <c r="L42" s="359"/>
      <c r="M42" s="355"/>
      <c r="N42" s="355"/>
      <c r="O42" s="355"/>
      <c r="P42" s="355"/>
      <c r="Q42" s="355"/>
      <c r="R42" s="355"/>
      <c r="S42" s="355"/>
      <c r="T42" s="355"/>
      <c r="U42" s="355"/>
      <c r="V42" s="355"/>
      <c r="X42" s="355">
        <f>+'Detailed Disclosure'!X42/'Detailed Disclosures - USD'!X$313</f>
        <v>128.1642415015038</v>
      </c>
      <c r="Y42" s="355">
        <f>+'Detailed Disclosure'!Y42/'Detailed Disclosures - USD'!Y$313</f>
        <v>196.06893162542644</v>
      </c>
      <c r="Z42" s="355">
        <f>+'Detailed Disclosure'!Z42/'Detailed Disclosures - USD'!Z$313</f>
        <v>373.81445951575574</v>
      </c>
      <c r="AA42" s="355">
        <f>+'Detailed Disclosure'!AA42/'Detailed Disclosures - USD'!AA$313</f>
        <v>453.94297476232498</v>
      </c>
      <c r="AB42" s="355">
        <f>+'Detailed Disclosure'!AB42/'Detailed Disclosures - USD'!AB$313</f>
        <v>596.11535233715551</v>
      </c>
      <c r="AC42" s="355">
        <f>+'Detailed Disclosure'!AC42/'Detailed Disclosures - USD'!AC$313</f>
        <v>747.38407532199062</v>
      </c>
      <c r="AD42" s="355">
        <f>+'Detailed Disclosure'!AD42/'Detailed Disclosures - USD'!AD$313</f>
        <v>610.9726775956284</v>
      </c>
      <c r="AE42" s="355">
        <f>+'Detailed Disclosure'!AE42/'Detailed Disclosures - USD'!AE$313</f>
        <v>832.26579793863573</v>
      </c>
      <c r="AF42" s="355">
        <f>+'Detailed Disclosure'!AF42/'Detailed Disclosures - USD'!AF$313</f>
        <v>919.01100349715591</v>
      </c>
      <c r="AG42" s="355">
        <f>+'Detailed Disclosure'!AG42/'Detailed Disclosures - USD'!AG$313</f>
        <v>1101.8991379095194</v>
      </c>
      <c r="AH42" s="355"/>
      <c r="AI42" s="355"/>
      <c r="AJ42" s="355">
        <f>+'Detailed Disclosure'!AJ42/'Detailed Disclosures - USD'!AJ$313</f>
        <v>6.9735406672054223</v>
      </c>
      <c r="AK42" s="355">
        <f>+'Detailed Disclosure'!AK42/'Detailed Disclosures - USD'!AK$313</f>
        <v>99.384487803305475</v>
      </c>
      <c r="AL42" s="355">
        <f t="shared" ref="AL42:AL43" si="111">SUM(X42:Y42)</f>
        <v>324.23317312693024</v>
      </c>
      <c r="AM42" s="355">
        <f t="shared" ref="AM42:AM43" si="112">SUM(Z42:AA42)</f>
        <v>827.75743427808072</v>
      </c>
      <c r="AN42" s="355">
        <f>+SUM(AB42:AC42)</f>
        <v>1343.499427659146</v>
      </c>
      <c r="AO42" s="355">
        <f t="shared" ref="AO42:AO43" si="113">SUM(AD42:AE42)</f>
        <v>1443.2384755342641</v>
      </c>
      <c r="AP42" s="355">
        <f>+SUM(AF42:AG42)</f>
        <v>2020.9101414066754</v>
      </c>
      <c r="AQ42" s="355"/>
    </row>
    <row r="43" spans="1:46">
      <c r="A43" s="319" t="s">
        <v>275</v>
      </c>
      <c r="D43" s="355"/>
      <c r="E43" s="355"/>
      <c r="F43" s="355"/>
      <c r="G43" s="355"/>
      <c r="H43" s="355"/>
      <c r="I43" s="355"/>
      <c r="J43" s="574"/>
      <c r="K43" s="574"/>
      <c r="L43" s="355"/>
      <c r="M43" s="355"/>
      <c r="N43" s="355"/>
      <c r="O43" s="355"/>
      <c r="P43" s="355"/>
      <c r="Q43" s="355"/>
      <c r="R43" s="355"/>
      <c r="S43" s="355"/>
      <c r="T43" s="355"/>
      <c r="U43" s="355"/>
      <c r="V43" s="355"/>
      <c r="X43" s="355">
        <f>+'Detailed Disclosure'!X43/'Detailed Disclosures - USD'!X$313</f>
        <v>0</v>
      </c>
      <c r="Y43" s="355">
        <f>+'Detailed Disclosure'!Y43/'Detailed Disclosures - USD'!Y$313</f>
        <v>0</v>
      </c>
      <c r="Z43" s="355">
        <f>+'Detailed Disclosure'!Z43/'Detailed Disclosures - USD'!Z$313</f>
        <v>0.62450343990319068</v>
      </c>
      <c r="AA43" s="355">
        <f>+'Detailed Disclosure'!AA43/'Detailed Disclosures - USD'!AA$313</f>
        <v>6.4504017427738862</v>
      </c>
      <c r="AB43" s="355">
        <f>+'Detailed Disclosure'!AB43/'Detailed Disclosures - USD'!AB$313</f>
        <v>11.769058384210197</v>
      </c>
      <c r="AC43" s="355">
        <f>+'Detailed Disclosure'!AC43/'Detailed Disclosures - USD'!AC$313</f>
        <v>14.047329313607385</v>
      </c>
      <c r="AD43" s="355">
        <f>+'Detailed Disclosure'!AD43/'Detailed Disclosures - USD'!AD$313</f>
        <v>44.769047170403873</v>
      </c>
      <c r="AE43" s="355">
        <f>+'Detailed Disclosure'!AE43/'Detailed Disclosures - USD'!AE$313</f>
        <v>121.8587981102925</v>
      </c>
      <c r="AF43" s="355">
        <f>+'Detailed Disclosure'!AF43/'Detailed Disclosures - USD'!AF$313</f>
        <v>442.35549604448028</v>
      </c>
      <c r="AG43" s="355">
        <f>+'Detailed Disclosure'!AG43/'Detailed Disclosures - USD'!AG$313</f>
        <v>929.01703168472545</v>
      </c>
      <c r="AH43" s="355"/>
      <c r="AI43" s="355"/>
      <c r="AJ43" s="355">
        <f>+'Detailed Disclosure'!AJ43/'Detailed Disclosures - USD'!AJ$313</f>
        <v>0</v>
      </c>
      <c r="AK43" s="355">
        <f>+'Detailed Disclosure'!AK43/'Detailed Disclosures - USD'!AK$313</f>
        <v>0</v>
      </c>
      <c r="AL43" s="355">
        <f t="shared" si="111"/>
        <v>0</v>
      </c>
      <c r="AM43" s="355">
        <f t="shared" si="112"/>
        <v>7.0749051826770772</v>
      </c>
      <c r="AN43" s="355">
        <f>+SUM(AB43:AC43)</f>
        <v>25.816387697817582</v>
      </c>
      <c r="AO43" s="355">
        <f t="shared" si="113"/>
        <v>166.62784528069636</v>
      </c>
      <c r="AP43" s="355">
        <f>+SUM(AF43:AG43)</f>
        <v>1371.3725277292058</v>
      </c>
      <c r="AQ43" s="355"/>
    </row>
    <row r="44" spans="1:46">
      <c r="D44" s="355"/>
      <c r="E44" s="355"/>
      <c r="F44" s="355"/>
      <c r="G44" s="355"/>
      <c r="H44" s="355"/>
      <c r="I44" s="355"/>
      <c r="J44" s="355"/>
      <c r="K44" s="355"/>
      <c r="L44" s="355"/>
      <c r="M44" s="355"/>
      <c r="N44" s="355"/>
      <c r="O44" s="355"/>
      <c r="P44" s="355"/>
      <c r="Q44" s="355"/>
      <c r="R44" s="355"/>
      <c r="S44" s="355"/>
      <c r="T44" s="355"/>
      <c r="U44" s="355"/>
      <c r="V44" s="355"/>
      <c r="X44" s="355"/>
      <c r="Y44" s="355"/>
      <c r="Z44" s="355"/>
      <c r="AA44" s="355"/>
      <c r="AB44" s="355"/>
      <c r="AC44" s="355"/>
      <c r="AD44" s="355"/>
      <c r="AE44" s="355"/>
      <c r="AF44" s="355"/>
      <c r="AG44" s="355"/>
      <c r="AH44" s="355"/>
      <c r="AI44" s="355"/>
      <c r="AJ44" s="355"/>
      <c r="AK44" s="355"/>
      <c r="AL44" s="355"/>
      <c r="AM44" s="355"/>
      <c r="AN44" s="355"/>
      <c r="AO44" s="355"/>
      <c r="AP44" s="355"/>
      <c r="AQ44" s="355"/>
    </row>
    <row r="45" spans="1:46">
      <c r="A45" s="319" t="s">
        <v>276</v>
      </c>
      <c r="D45" s="355"/>
      <c r="E45" s="355"/>
      <c r="F45" s="355"/>
      <c r="G45" s="355"/>
      <c r="H45" s="355"/>
      <c r="I45" s="355"/>
      <c r="J45" s="355"/>
      <c r="K45" s="355"/>
      <c r="L45" s="355"/>
      <c r="M45" s="355"/>
      <c r="N45" s="355"/>
      <c r="O45" s="355"/>
      <c r="P45" s="355"/>
      <c r="Q45" s="355"/>
      <c r="R45" s="355"/>
      <c r="S45" s="355"/>
      <c r="T45" s="355"/>
      <c r="U45" s="355"/>
      <c r="V45" s="355"/>
      <c r="X45" s="355">
        <f>+'Detailed Disclosure'!X45/'Detailed Disclosures - USD'!X$313</f>
        <v>-400.74473927428073</v>
      </c>
      <c r="Y45" s="355">
        <f>+'Detailed Disclosure'!Y45/'Detailed Disclosures - USD'!Y$313</f>
        <v>-885.63812699407458</v>
      </c>
      <c r="Z45" s="355">
        <f>+'Detailed Disclosure'!Z45/'Detailed Disclosures - USD'!Z$313</f>
        <v>-2793.3793113201241</v>
      </c>
      <c r="AA45" s="355">
        <f>+'Detailed Disclosure'!AA45/'Detailed Disclosures - USD'!AA$313</f>
        <v>-6070.2505620820757</v>
      </c>
      <c r="AB45" s="355">
        <f>+'Detailed Disclosure'!AB45/'Detailed Disclosures - USD'!AB$313</f>
        <v>-18928.099280071656</v>
      </c>
      <c r="AC45" s="355">
        <f>+'Detailed Disclosure'!AC45/'Detailed Disclosures - USD'!AC$313</f>
        <v>-12336.167573866165</v>
      </c>
      <c r="AD45" s="355">
        <f>+'Detailed Disclosure'!AD45/'Detailed Disclosures - USD'!AD$313</f>
        <v>-11002.803676485984</v>
      </c>
      <c r="AE45" s="355">
        <f>+'Detailed Disclosure'!AE45/'Detailed Disclosures - USD'!AE$313</f>
        <v>-13604.426396943018</v>
      </c>
      <c r="AF45" s="355">
        <f>+'Detailed Disclosure'!AF45/'Detailed Disclosures - USD'!AF$313</f>
        <v>-22339.914614182177</v>
      </c>
      <c r="AG45" s="355">
        <f>+'Detailed Disclosure'!AG45/'Detailed Disclosures - USD'!AG$313</f>
        <v>-27321.49030225059</v>
      </c>
      <c r="AH45" s="355"/>
      <c r="AI45" s="355"/>
      <c r="AJ45" s="355">
        <f>+'Detailed Disclosure'!AJ45/'Detailed Disclosures - USD'!AJ$313</f>
        <v>-31.768351928380259</v>
      </c>
      <c r="AK45" s="355">
        <f>+'Detailed Disclosure'!AK45/'Detailed Disclosures - USD'!AK$313</f>
        <v>-293.8634855191263</v>
      </c>
      <c r="AL45" s="355">
        <f t="shared" ref="AL45:AL52" si="114">SUM(X45:Y45)</f>
        <v>-1286.3828662683554</v>
      </c>
      <c r="AM45" s="355">
        <f t="shared" ref="AM45:AM52" si="115">SUM(Z45:AA45)</f>
        <v>-8863.6298734022002</v>
      </c>
      <c r="AN45" s="355">
        <f t="shared" ref="AN45:AN55" si="116">+SUM(AB45:AC45)</f>
        <v>-31264.266853937821</v>
      </c>
      <c r="AO45" s="355">
        <f t="shared" ref="AO45:AO55" si="117">SUM(AD45:AE45)</f>
        <v>-24607.230073429004</v>
      </c>
      <c r="AP45" s="355">
        <f>+SUM(AF45:AG45)</f>
        <v>-49661.404916432766</v>
      </c>
      <c r="AQ45" s="355"/>
    </row>
    <row r="46" spans="1:46">
      <c r="A46" s="319" t="s">
        <v>277</v>
      </c>
      <c r="D46" s="355"/>
      <c r="E46" s="355"/>
      <c r="F46" s="355"/>
      <c r="G46" s="355"/>
      <c r="H46" s="355"/>
      <c r="I46" s="355"/>
      <c r="J46" s="355"/>
      <c r="K46" s="355"/>
      <c r="L46" s="355"/>
      <c r="M46" s="355"/>
      <c r="N46" s="355"/>
      <c r="O46" s="355"/>
      <c r="P46" s="355"/>
      <c r="Q46" s="355"/>
      <c r="R46" s="355"/>
      <c r="S46" s="355"/>
      <c r="T46" s="355"/>
      <c r="U46" s="355"/>
      <c r="V46" s="355"/>
      <c r="X46" s="355">
        <f>+'Detailed Disclosure'!X46/'Detailed Disclosures - USD'!X$313</f>
        <v>-399.94921961622975</v>
      </c>
      <c r="Y46" s="355">
        <f>+'Detailed Disclosure'!Y46/'Detailed Disclosures - USD'!Y$313</f>
        <v>-181.31026478521446</v>
      </c>
      <c r="Z46" s="355">
        <f>+'Detailed Disclosure'!Z46/'Detailed Disclosures - USD'!Z$313</f>
        <v>-1284.9447397971069</v>
      </c>
      <c r="AA46" s="355">
        <f>+'Detailed Disclosure'!AA46/'Detailed Disclosures - USD'!AA$313</f>
        <v>-2068.3414425935143</v>
      </c>
      <c r="AB46" s="355">
        <f>+'Detailed Disclosure'!AB46/'Detailed Disclosures - USD'!AB$313</f>
        <v>-3935.9252664299779</v>
      </c>
      <c r="AC46" s="355">
        <f>+'Detailed Disclosure'!AC46/'Detailed Disclosures - USD'!AC$313</f>
        <v>-3370.6608035399713</v>
      </c>
      <c r="AD46" s="355">
        <f>+'Detailed Disclosure'!AD46/'Detailed Disclosures - USD'!AD$313</f>
        <v>-5141.1403806293574</v>
      </c>
      <c r="AE46" s="355">
        <f>+'Detailed Disclosure'!AE46/'Detailed Disclosures - USD'!AE$313</f>
        <v>-6219.521300255984</v>
      </c>
      <c r="AF46" s="355">
        <f>+'Detailed Disclosure'!AF46/'Detailed Disclosures - USD'!AF$313</f>
        <v>-8370.9023101861967</v>
      </c>
      <c r="AG46" s="355">
        <f>+'Detailed Disclosure'!AG46/'Detailed Disclosures - USD'!AG$313</f>
        <v>-10062.510677126353</v>
      </c>
      <c r="AH46" s="355"/>
      <c r="AI46" s="355"/>
      <c r="AJ46" s="355">
        <f>+'Detailed Disclosure'!AJ46/'Detailed Disclosures - USD'!AJ$313</f>
        <v>-11.622567778675704</v>
      </c>
      <c r="AK46" s="355">
        <f>+'Detailed Disclosure'!AK46/'Detailed Disclosures - USD'!AK$313</f>
        <v>-180.1790714131869</v>
      </c>
      <c r="AL46" s="355">
        <f t="shared" si="114"/>
        <v>-581.25948440144418</v>
      </c>
      <c r="AM46" s="355">
        <f t="shared" si="115"/>
        <v>-3353.2861823906214</v>
      </c>
      <c r="AN46" s="355">
        <f t="shared" si="116"/>
        <v>-7306.5860699699497</v>
      </c>
      <c r="AO46" s="355">
        <f t="shared" si="117"/>
        <v>-11360.661680885341</v>
      </c>
      <c r="AP46" s="355">
        <f t="shared" ref="AP46:AP55" si="118">+SUM(AF46:AG46)</f>
        <v>-18433.412987312549</v>
      </c>
      <c r="AQ46" s="355"/>
    </row>
    <row r="47" spans="1:46">
      <c r="A47" s="319" t="s">
        <v>278</v>
      </c>
      <c r="D47" s="355"/>
      <c r="E47" s="355"/>
      <c r="F47" s="355"/>
      <c r="G47" s="355"/>
      <c r="H47" s="355"/>
      <c r="I47" s="355"/>
      <c r="J47" s="355"/>
      <c r="K47" s="355"/>
      <c r="L47" s="355"/>
      <c r="M47" s="355"/>
      <c r="N47" s="355"/>
      <c r="O47" s="355"/>
      <c r="P47" s="355"/>
      <c r="Q47" s="355"/>
      <c r="R47" s="355"/>
      <c r="S47" s="355"/>
      <c r="T47" s="355"/>
      <c r="U47" s="355"/>
      <c r="V47" s="355"/>
      <c r="X47" s="355">
        <f>+'Detailed Disclosure'!X47/'Detailed Disclosures - USD'!X$313</f>
        <v>-92.496617865705758</v>
      </c>
      <c r="Y47" s="355">
        <f>+'Detailed Disclosure'!Y47/'Detailed Disclosures - USD'!Y$313</f>
        <v>-141.34092606139987</v>
      </c>
      <c r="Z47" s="355">
        <f>+'Detailed Disclosure'!Z47/'Detailed Disclosures - USD'!Z$313</f>
        <v>-389.77832869828109</v>
      </c>
      <c r="AA47" s="355">
        <f>+'Detailed Disclosure'!AA47/'Detailed Disclosures - USD'!AA$313</f>
        <v>-1022.3655454560197</v>
      </c>
      <c r="AB47" s="355">
        <f>+'Detailed Disclosure'!AB47/'Detailed Disclosures - USD'!AB$313</f>
        <v>-1009.905028605917</v>
      </c>
      <c r="AC47" s="355">
        <f>+'Detailed Disclosure'!AC47/'Detailed Disclosures - USD'!AC$313</f>
        <v>-1118.4392275674243</v>
      </c>
      <c r="AD47" s="355">
        <f>+'Detailed Disclosure'!AD47/'Detailed Disclosures - USD'!AD$313</f>
        <v>-1441.3493289784979</v>
      </c>
      <c r="AE47" s="355">
        <f>+'Detailed Disclosure'!AE47/'Detailed Disclosures - USD'!AE$313</f>
        <v>-1047.7869526602922</v>
      </c>
      <c r="AF47" s="355">
        <f>+'Detailed Disclosure'!AF47/'Detailed Disclosures - USD'!AF$313</f>
        <v>-2142.4566439786176</v>
      </c>
      <c r="AG47" s="355">
        <f>+'Detailed Disclosure'!AG47/'Detailed Disclosures - USD'!AG$313</f>
        <v>-2944.9856294142874</v>
      </c>
      <c r="AH47" s="355"/>
      <c r="AI47" s="355"/>
      <c r="AJ47" s="355">
        <f>+'Detailed Disclosure'!AJ47/'Detailed Disclosures - USD'!AJ$313</f>
        <v>-8.52321637102885</v>
      </c>
      <c r="AK47" s="355">
        <f>+'Detailed Disclosure'!AK47/'Detailed Disclosures - USD'!AK$313</f>
        <v>-109.3944362151492</v>
      </c>
      <c r="AL47" s="355">
        <f t="shared" si="114"/>
        <v>-233.83754392710563</v>
      </c>
      <c r="AM47" s="355">
        <f t="shared" si="115"/>
        <v>-1412.1438741543009</v>
      </c>
      <c r="AN47" s="355">
        <f t="shared" si="116"/>
        <v>-2128.3442561733414</v>
      </c>
      <c r="AO47" s="355">
        <f t="shared" si="117"/>
        <v>-2489.13628163879</v>
      </c>
      <c r="AP47" s="355">
        <f t="shared" si="118"/>
        <v>-5087.442273392905</v>
      </c>
      <c r="AQ47" s="355"/>
    </row>
    <row r="48" spans="1:46">
      <c r="A48" s="319" t="s">
        <v>279</v>
      </c>
      <c r="D48" s="355"/>
      <c r="E48" s="355"/>
      <c r="F48" s="355"/>
      <c r="G48" s="355"/>
      <c r="H48" s="355"/>
      <c r="I48" s="355"/>
      <c r="J48" s="355"/>
      <c r="K48" s="355"/>
      <c r="L48" s="355"/>
      <c r="M48" s="355"/>
      <c r="N48" s="355"/>
      <c r="O48" s="355"/>
      <c r="P48" s="355"/>
      <c r="Q48" s="355"/>
      <c r="R48" s="355"/>
      <c r="S48" s="355"/>
      <c r="T48" s="355"/>
      <c r="U48" s="355"/>
      <c r="V48" s="355"/>
      <c r="X48" s="355">
        <f>+'Detailed Disclosure'!X48/'Detailed Disclosures - USD'!X$313</f>
        <v>-146.62755446017553</v>
      </c>
      <c r="Y48" s="355">
        <f>+'Detailed Disclosure'!Y48/'Detailed Disclosures - USD'!Y$313</f>
        <v>-647.55709599063516</v>
      </c>
      <c r="Z48" s="355">
        <f>+'Detailed Disclosure'!Z48/'Detailed Disclosures - USD'!Z$313</f>
        <v>-894.43348692282825</v>
      </c>
      <c r="AA48" s="355">
        <f>+'Detailed Disclosure'!AA48/'Detailed Disclosures - USD'!AA$313</f>
        <v>-1647.8432534391627</v>
      </c>
      <c r="AB48" s="355">
        <f>+'Detailed Disclosure'!AB48/'Detailed Disclosures - USD'!AB$313</f>
        <v>-2853.8748638878624</v>
      </c>
      <c r="AC48" s="355">
        <f>+'Detailed Disclosure'!AC48/'Detailed Disclosures - USD'!AC$313</f>
        <v>-2438.1662215092329</v>
      </c>
      <c r="AD48" s="355">
        <f>+'Detailed Disclosure'!AD48/'Detailed Disclosures - USD'!AD$313</f>
        <v>-5213.2035257416828</v>
      </c>
      <c r="AE48" s="355">
        <f>+'Detailed Disclosure'!AE48/'Detailed Disclosures - USD'!AE$313</f>
        <v>-4739.753867854819</v>
      </c>
      <c r="AF48" s="355">
        <f>+'Detailed Disclosure'!AF48/'Detailed Disclosures - USD'!AF$313</f>
        <v>-7099.7615421041583</v>
      </c>
      <c r="AG48" s="355">
        <f>+'Detailed Disclosure'!AG48/'Detailed Disclosures - USD'!AG$313</f>
        <v>-7461.4284655136507</v>
      </c>
      <c r="AH48" s="355"/>
      <c r="AI48" s="355"/>
      <c r="AJ48" s="355">
        <f>+'Detailed Disclosure'!AJ48/'Detailed Disclosures - USD'!AJ$313</f>
        <v>-24.794811261174836</v>
      </c>
      <c r="AK48" s="355">
        <f>+'Detailed Disclosure'!AK48/'Detailed Disclosures - USD'!AK$313</f>
        <v>-128.69933672370493</v>
      </c>
      <c r="AL48" s="355">
        <f t="shared" si="114"/>
        <v>-794.18465045081075</v>
      </c>
      <c r="AM48" s="355">
        <f t="shared" si="115"/>
        <v>-2542.276740361991</v>
      </c>
      <c r="AN48" s="355">
        <f t="shared" si="116"/>
        <v>-5292.0410853970952</v>
      </c>
      <c r="AO48" s="355">
        <f t="shared" si="117"/>
        <v>-9952.9573935965018</v>
      </c>
      <c r="AP48" s="355">
        <f t="shared" si="118"/>
        <v>-14561.19000761781</v>
      </c>
      <c r="AQ48" s="355"/>
    </row>
    <row r="49" spans="1:53">
      <c r="A49" s="319" t="s">
        <v>280</v>
      </c>
      <c r="D49" s="355"/>
      <c r="E49" s="355"/>
      <c r="F49" s="355"/>
      <c r="G49" s="355"/>
      <c r="H49" s="355"/>
      <c r="I49" s="355"/>
      <c r="J49" s="355"/>
      <c r="K49" s="355"/>
      <c r="L49" s="355"/>
      <c r="M49" s="355"/>
      <c r="N49" s="355"/>
      <c r="O49" s="355"/>
      <c r="P49" s="355"/>
      <c r="Q49" s="355"/>
      <c r="R49" s="355"/>
      <c r="S49" s="355"/>
      <c r="T49" s="355"/>
      <c r="U49" s="355"/>
      <c r="V49" s="355"/>
      <c r="X49" s="355">
        <f>+'Detailed Disclosure'!X49/'Detailed Disclosures - USD'!X$313</f>
        <v>0</v>
      </c>
      <c r="Y49" s="355">
        <f>+'Detailed Disclosure'!Y49/'Detailed Disclosures - USD'!Y$313</f>
        <v>0</v>
      </c>
      <c r="Z49" s="355">
        <f>+'Detailed Disclosure'!Z49/'Detailed Disclosures - USD'!Z$313</f>
        <v>-612.08276037622727</v>
      </c>
      <c r="AA49" s="355">
        <f>+'Detailed Disclosure'!AA49/'Detailed Disclosures - USD'!AA$313</f>
        <v>0</v>
      </c>
      <c r="AB49" s="355">
        <f>+'Detailed Disclosure'!AB49/'Detailed Disclosures - USD'!AB$313</f>
        <v>0</v>
      </c>
      <c r="AC49" s="355">
        <f>+'Detailed Disclosure'!AC49/'Detailed Disclosures - USD'!AC$313</f>
        <v>0</v>
      </c>
      <c r="AD49" s="355">
        <f>+'Detailed Disclosure'!AD49/'Detailed Disclosures - USD'!AD$313</f>
        <v>0</v>
      </c>
      <c r="AE49" s="355">
        <f>+'Detailed Disclosure'!AE49/'Detailed Disclosures - USD'!AE$313</f>
        <v>0</v>
      </c>
      <c r="AF49" s="355">
        <f>+'Detailed Disclosure'!AF49/'Detailed Disclosures - USD'!AF$313</f>
        <v>0</v>
      </c>
      <c r="AG49" s="355">
        <f>+'Detailed Disclosure'!AG49/'Detailed Disclosures - USD'!AG$313</f>
        <v>0</v>
      </c>
      <c r="AH49" s="355"/>
      <c r="AI49" s="355"/>
      <c r="AJ49" s="355">
        <f>+'Detailed Disclosure'!AJ49/'Detailed Disclosures - USD'!AJ$313</f>
        <v>0</v>
      </c>
      <c r="AK49" s="355">
        <f>+'Detailed Disclosure'!AK49/'Detailed Disclosures - USD'!AK$313</f>
        <v>0</v>
      </c>
      <c r="AL49" s="355">
        <f t="shared" si="114"/>
        <v>0</v>
      </c>
      <c r="AM49" s="355">
        <f t="shared" si="115"/>
        <v>-612.08276037622727</v>
      </c>
      <c r="AN49" s="355">
        <f t="shared" si="116"/>
        <v>0</v>
      </c>
      <c r="AO49" s="355">
        <f t="shared" si="117"/>
        <v>0</v>
      </c>
      <c r="AP49" s="355">
        <f t="shared" si="118"/>
        <v>0</v>
      </c>
      <c r="AQ49" s="355"/>
    </row>
    <row r="50" spans="1:53">
      <c r="A50" s="319" t="s">
        <v>281</v>
      </c>
      <c r="D50" s="355"/>
      <c r="E50" s="355"/>
      <c r="F50" s="355"/>
      <c r="G50" s="355"/>
      <c r="H50" s="355"/>
      <c r="I50" s="355"/>
      <c r="J50" s="355"/>
      <c r="K50" s="355"/>
      <c r="L50" s="355"/>
      <c r="M50" s="355"/>
      <c r="N50" s="355"/>
      <c r="O50" s="355"/>
      <c r="P50" s="355"/>
      <c r="Q50" s="355"/>
      <c r="R50" s="355"/>
      <c r="S50" s="355"/>
      <c r="T50" s="355"/>
      <c r="U50" s="355"/>
      <c r="V50" s="355"/>
      <c r="X50" s="355">
        <f>+'Detailed Disclosure'!X50/'Detailed Disclosures - USD'!X$313</f>
        <v>0</v>
      </c>
      <c r="Y50" s="355">
        <f>+'Detailed Disclosure'!Y50/'Detailed Disclosures - USD'!Y$313</f>
        <v>0</v>
      </c>
      <c r="Z50" s="355">
        <f>+'Detailed Disclosure'!Z50/'Detailed Disclosures - USD'!Z$313</f>
        <v>0</v>
      </c>
      <c r="AA50" s="355">
        <f>+'Detailed Disclosure'!AA50/'Detailed Disclosures - USD'!AA$313</f>
        <v>0</v>
      </c>
      <c r="AB50" s="355">
        <f>+'Detailed Disclosure'!AB50/'Detailed Disclosures - USD'!AB$313</f>
        <v>0</v>
      </c>
      <c r="AC50" s="355">
        <f>+'Detailed Disclosure'!AC50/'Detailed Disclosures - USD'!AC$313</f>
        <v>0</v>
      </c>
      <c r="AD50" s="355">
        <f>+'Detailed Disclosure'!AD50/'Detailed Disclosures - USD'!AD$313</f>
        <v>0</v>
      </c>
      <c r="AE50" s="355">
        <f>+'Detailed Disclosure'!AE50/'Detailed Disclosures - USD'!AE$313</f>
        <v>0</v>
      </c>
      <c r="AF50" s="355">
        <f>+'Detailed Disclosure'!AF50/'Detailed Disclosures - USD'!AF$313</f>
        <v>0</v>
      </c>
      <c r="AG50" s="355">
        <f>+'Detailed Disclosure'!AG50/'Detailed Disclosures - USD'!AG$313</f>
        <v>0</v>
      </c>
      <c r="AH50" s="355"/>
      <c r="AI50" s="355"/>
      <c r="AJ50" s="355">
        <f>+'Detailed Disclosure'!AJ50/'Detailed Disclosures - USD'!AJ$313</f>
        <v>-17.433851668013556</v>
      </c>
      <c r="AK50" s="355">
        <f>+'Detailed Disclosure'!AK50/'Detailed Disclosures - USD'!AK$313</f>
        <v>0</v>
      </c>
      <c r="AL50" s="355">
        <f t="shared" ref="AL50" si="119">SUM(X50:Y50)</f>
        <v>0</v>
      </c>
      <c r="AM50" s="355">
        <f t="shared" ref="AM50" si="120">SUM(Z50:AA50)</f>
        <v>0</v>
      </c>
      <c r="AN50" s="355">
        <f t="shared" ref="AN50" si="121">+SUM(AB50:AC50)</f>
        <v>0</v>
      </c>
      <c r="AO50" s="355">
        <f t="shared" si="117"/>
        <v>0</v>
      </c>
      <c r="AP50" s="355">
        <f t="shared" si="118"/>
        <v>0</v>
      </c>
      <c r="AQ50" s="355"/>
    </row>
    <row r="51" spans="1:53" s="513" customFormat="1">
      <c r="A51" s="319" t="s">
        <v>282</v>
      </c>
      <c r="D51" s="535"/>
      <c r="E51" s="535"/>
      <c r="F51" s="535"/>
      <c r="G51" s="535"/>
      <c r="H51" s="535"/>
      <c r="I51" s="535"/>
      <c r="J51" s="535"/>
      <c r="K51" s="535"/>
      <c r="L51" s="535"/>
      <c r="M51" s="535"/>
      <c r="N51" s="535"/>
      <c r="O51" s="535"/>
      <c r="P51" s="535"/>
      <c r="Q51" s="535"/>
      <c r="R51" s="535"/>
      <c r="S51" s="535"/>
      <c r="T51" s="535"/>
      <c r="U51" s="535"/>
      <c r="V51" s="535"/>
      <c r="X51" s="535">
        <f>+'Detailed Disclosure'!X51/'Detailed Disclosures - USD'!X$313</f>
        <v>-113.97359479575472</v>
      </c>
      <c r="Y51" s="535">
        <f>+'Detailed Disclosure'!Y51/'Detailed Disclosures - USD'!Y$313</f>
        <v>-130.92632460210481</v>
      </c>
      <c r="Z51" s="535">
        <f>+'Detailed Disclosure'!Z51/'Detailed Disclosures - USD'!Z$313</f>
        <v>-189.30694205009846</v>
      </c>
      <c r="AA51" s="535">
        <f>+'Detailed Disclosure'!AA51/'Detailed Disclosures - USD'!AA$313</f>
        <v>-309.57379313165194</v>
      </c>
      <c r="AB51" s="535">
        <f>+'Detailed Disclosure'!AB51/'Detailed Disclosures - USD'!AB$313</f>
        <v>-345.46637518093746</v>
      </c>
      <c r="AC51" s="535">
        <f>+'Detailed Disclosure'!AC51/'Detailed Disclosures - USD'!AC$313</f>
        <v>-938.56941377076123</v>
      </c>
      <c r="AD51" s="535">
        <f>+'Detailed Disclosure'!AD51/'Detailed Disclosures - USD'!AD$313</f>
        <v>-1171.3173795615853</v>
      </c>
      <c r="AE51" s="535">
        <f>+'Detailed Disclosure'!AE51/'Detailed Disclosures - USD'!AE$313</f>
        <v>-1567.8973535140926</v>
      </c>
      <c r="AF51" s="535">
        <f>+'Detailed Disclosure'!AF51/'Detailed Disclosures - USD'!AF$313</f>
        <v>-1924.4138467458938</v>
      </c>
      <c r="AG51" s="535">
        <f>+'Detailed Disclosure'!AG51/'Detailed Disclosures - USD'!AG$313</f>
        <v>-2333.415425477468</v>
      </c>
      <c r="AH51" s="535"/>
      <c r="AI51" s="535"/>
      <c r="AJ51" s="535">
        <f>+'Detailed Disclosure'!AJ51/'Detailed Disclosures - USD'!AJ$313</f>
        <v>0</v>
      </c>
      <c r="AK51" s="535">
        <f>+'Detailed Disclosure'!AK51/'Detailed Disclosures - USD'!AK$313</f>
        <v>-170.88411931647488</v>
      </c>
      <c r="AL51" s="535">
        <f t="shared" si="114"/>
        <v>-244.89991939785955</v>
      </c>
      <c r="AM51" s="535">
        <f t="shared" si="115"/>
        <v>-498.88073518175042</v>
      </c>
      <c r="AN51" s="535">
        <f t="shared" si="116"/>
        <v>-1284.0357889516986</v>
      </c>
      <c r="AO51" s="535">
        <f t="shared" si="117"/>
        <v>-2739.2147330756779</v>
      </c>
      <c r="AP51" s="535">
        <f t="shared" si="118"/>
        <v>-4257.8292722233618</v>
      </c>
      <c r="AQ51" s="535"/>
    </row>
    <row r="52" spans="1:53">
      <c r="A52" s="527" t="s">
        <v>283</v>
      </c>
      <c r="D52" s="355"/>
      <c r="E52" s="355"/>
      <c r="F52" s="355"/>
      <c r="G52" s="355"/>
      <c r="H52" s="355"/>
      <c r="I52" s="355"/>
      <c r="J52" s="355"/>
      <c r="K52" s="355"/>
      <c r="L52" s="355"/>
      <c r="M52" s="355"/>
      <c r="N52" s="355"/>
      <c r="O52" s="355"/>
      <c r="P52" s="355"/>
      <c r="Q52" s="355"/>
      <c r="R52" s="355"/>
      <c r="S52" s="355"/>
      <c r="T52" s="355"/>
      <c r="U52" s="355"/>
      <c r="V52" s="355"/>
      <c r="X52" s="355">
        <f>+SUM(X45:X51,X42:X43,X39)</f>
        <v>501.53680610436186</v>
      </c>
      <c r="Y52" s="355">
        <f>+SUM(Y45:Y51,Y42:Y43,Y39)</f>
        <v>954.39182039068737</v>
      </c>
      <c r="Z52" s="355">
        <f>+SUM(Z45:Z51,Z42:Z43,Z39)</f>
        <v>2411.1058659742885</v>
      </c>
      <c r="AA52" s="355">
        <f t="shared" ref="AA52:AB52" si="122">+SUM(AA45:AA51,AA42:AA43,AA39)</f>
        <v>-2461.9709250861179</v>
      </c>
      <c r="AB52" s="355">
        <f t="shared" si="122"/>
        <v>-8388.3409524332383</v>
      </c>
      <c r="AC52" s="355">
        <f t="shared" ref="AC52:AD52" si="123">+SUM(AC45:AC51,AC42:AC43,AC39)</f>
        <v>-10346.761570021234</v>
      </c>
      <c r="AD52" s="355">
        <f t="shared" si="123"/>
        <v>8023.4310330750741</v>
      </c>
      <c r="AE52" s="355">
        <f t="shared" ref="AE52:AF52" si="124">+SUM(AE45:AE51,AE42:AE43,AE39)</f>
        <v>6562.4908870352447</v>
      </c>
      <c r="AF52" s="355">
        <f t="shared" si="124"/>
        <v>13100.822600786363</v>
      </c>
      <c r="AG52" s="355">
        <f t="shared" ref="AG52" si="125">+SUM(AG45:AG51,AG42:AG43,AG39)</f>
        <v>-157.66242272091768</v>
      </c>
      <c r="AH52" s="355"/>
      <c r="AI52" s="355"/>
      <c r="AJ52" s="355">
        <f>+SUM(AJ45:AJ51,AJ42:AJ43,AJ39)</f>
        <v>130.56017804712371</v>
      </c>
      <c r="AK52" s="355">
        <f>+SUM(AK45:AK51,AK42:AK43,AK39)</f>
        <v>262.40364765333163</v>
      </c>
      <c r="AL52" s="355">
        <f t="shared" si="114"/>
        <v>1455.9286264950492</v>
      </c>
      <c r="AM52" s="355">
        <f t="shared" si="115"/>
        <v>-50.865059111829396</v>
      </c>
      <c r="AN52" s="355">
        <f t="shared" si="116"/>
        <v>-18735.102522454472</v>
      </c>
      <c r="AO52" s="355">
        <f t="shared" si="117"/>
        <v>14585.921920110319</v>
      </c>
      <c r="AP52" s="355">
        <f t="shared" si="118"/>
        <v>12943.160178065446</v>
      </c>
      <c r="AQ52" s="355"/>
      <c r="BA52" s="319">
        <v>334</v>
      </c>
    </row>
    <row r="53" spans="1:53">
      <c r="D53" s="355"/>
      <c r="E53" s="355"/>
      <c r="F53" s="355"/>
      <c r="G53" s="355"/>
      <c r="H53" s="355"/>
      <c r="I53" s="355"/>
      <c r="J53" s="355"/>
      <c r="K53" s="355"/>
      <c r="L53" s="355"/>
      <c r="M53" s="355"/>
      <c r="N53" s="355"/>
      <c r="O53" s="355"/>
      <c r="P53" s="355"/>
      <c r="Q53" s="355"/>
      <c r="R53" s="355"/>
      <c r="S53" s="355"/>
      <c r="T53" s="355"/>
      <c r="U53" s="355"/>
      <c r="V53" s="355"/>
      <c r="X53" s="355"/>
      <c r="Y53" s="355"/>
      <c r="Z53" s="355"/>
      <c r="AA53" s="355"/>
      <c r="AB53" s="355"/>
      <c r="AC53" s="355"/>
      <c r="AD53" s="355"/>
      <c r="AE53" s="355"/>
      <c r="AF53" s="355"/>
      <c r="AG53" s="355"/>
      <c r="AH53" s="355"/>
      <c r="AI53" s="355"/>
      <c r="AJ53" s="355"/>
      <c r="AK53" s="355"/>
      <c r="AL53" s="355"/>
      <c r="AM53" s="355"/>
      <c r="AN53" s="355"/>
      <c r="AO53" s="355"/>
      <c r="AP53" s="355"/>
      <c r="AQ53" s="355"/>
      <c r="AZ53" s="319">
        <f>438+540</f>
        <v>978</v>
      </c>
      <c r="BA53" s="319">
        <v>485</v>
      </c>
    </row>
    <row r="54" spans="1:53" s="513" customFormat="1">
      <c r="A54" s="319" t="s">
        <v>284</v>
      </c>
      <c r="D54" s="535"/>
      <c r="E54" s="535"/>
      <c r="F54" s="535"/>
      <c r="G54" s="535"/>
      <c r="H54" s="535"/>
      <c r="I54" s="535"/>
      <c r="J54" s="535"/>
      <c r="K54" s="535"/>
      <c r="L54" s="535"/>
      <c r="M54" s="535"/>
      <c r="N54" s="535"/>
      <c r="O54" s="535"/>
      <c r="P54" s="535"/>
      <c r="Q54" s="535"/>
      <c r="R54" s="535"/>
      <c r="S54" s="535"/>
      <c r="T54" s="535"/>
      <c r="U54" s="535"/>
      <c r="V54" s="535"/>
      <c r="X54" s="535">
        <f>+'Detailed Disclosure'!X54/'Detailed Disclosures - USD'!X$313</f>
        <v>-154.48074378676989</v>
      </c>
      <c r="Y54" s="535">
        <f>+'Detailed Disclosure'!Y54/'Detailed Disclosures - USD'!Y$313</f>
        <v>-281.74282530103358</v>
      </c>
      <c r="Z54" s="535">
        <f>+'Detailed Disclosure'!Z54/'Detailed Disclosures - USD'!Z$313</f>
        <v>-746.51652227918396</v>
      </c>
      <c r="AA54" s="535">
        <f>+'Detailed Disclosure'!AA54/'Detailed Disclosures - USD'!AA$313</f>
        <v>492.54977802125097</v>
      </c>
      <c r="AB54" s="535">
        <f>+'Detailed Disclosure'!AB54/'Detailed Disclosures - USD'!AB$313</f>
        <v>2317.5096655030375</v>
      </c>
      <c r="AC54" s="535">
        <f>+'Detailed Disclosure'!AC54/'Detailed Disclosures - USD'!AC$313</f>
        <v>-27178.104006734826</v>
      </c>
      <c r="AD54" s="535">
        <f>+'Detailed Disclosure'!AD54/'Detailed Disclosures - USD'!AD$313</f>
        <v>-2816.9888826078763</v>
      </c>
      <c r="AE54" s="535">
        <f>+'Detailed Disclosure'!AE54/'Detailed Disclosures - USD'!AE$313</f>
        <v>-1234.419351588562</v>
      </c>
      <c r="AF54" s="535">
        <f>+'Detailed Disclosure'!AF54/'Detailed Disclosures - USD'!AF$313</f>
        <v>-4773.965611121781</v>
      </c>
      <c r="AG54" s="535">
        <f>+'Detailed Disclosure'!AG54/'Detailed Disclosures - USD'!AG$313</f>
        <v>-1381.0472968940921</v>
      </c>
      <c r="AH54" s="535"/>
      <c r="AI54" s="535"/>
      <c r="AJ54" s="535">
        <f>+'Detailed Disclosure'!AJ54/'Detailed Disclosures - USD'!AJ$313</f>
        <v>-44.165757558967677</v>
      </c>
      <c r="AK54" s="535">
        <f>+'Detailed Disclosure'!AK54/'Detailed Disclosures - USD'!AK$313</f>
        <v>-90.089535706593452</v>
      </c>
      <c r="AL54" s="535">
        <f t="shared" ref="AL54:AL55" si="126">SUM(X54:Y54)</f>
        <v>-436.22356908780347</v>
      </c>
      <c r="AM54" s="535">
        <f t="shared" ref="AM54:AM55" si="127">SUM(Z54:AA54)</f>
        <v>-253.96674425793299</v>
      </c>
      <c r="AN54" s="535">
        <f t="shared" si="116"/>
        <v>-24860.594341231787</v>
      </c>
      <c r="AO54" s="535">
        <f t="shared" si="117"/>
        <v>-4051.4082341964386</v>
      </c>
      <c r="AP54" s="535">
        <f t="shared" si="118"/>
        <v>-6155.0129080158731</v>
      </c>
      <c r="AQ54" s="535"/>
      <c r="BA54" s="513">
        <f>+BA53/AZ53</f>
        <v>0.49591002044989774</v>
      </c>
    </row>
    <row r="55" spans="1:53">
      <c r="A55" s="527" t="s">
        <v>285</v>
      </c>
      <c r="D55" s="355"/>
      <c r="E55" s="355"/>
      <c r="F55" s="355"/>
      <c r="G55" s="355"/>
      <c r="H55" s="355"/>
      <c r="I55" s="355"/>
      <c r="J55" s="355"/>
      <c r="K55" s="355"/>
      <c r="L55" s="355"/>
      <c r="M55" s="355"/>
      <c r="N55" s="355"/>
      <c r="O55" s="355"/>
      <c r="P55" s="355"/>
      <c r="Q55" s="355"/>
      <c r="R55" s="355"/>
      <c r="S55" s="355"/>
      <c r="T55" s="355"/>
      <c r="U55" s="355"/>
      <c r="V55" s="355"/>
      <c r="X55" s="355">
        <f>+X54+X52</f>
        <v>347.05606231759197</v>
      </c>
      <c r="Y55" s="355">
        <f t="shared" ref="Y55:Z55" si="128">+Y54+Y52</f>
        <v>672.64899508965379</v>
      </c>
      <c r="Z55" s="355">
        <f t="shared" si="128"/>
        <v>1664.5893436951046</v>
      </c>
      <c r="AA55" s="355">
        <f t="shared" ref="AA55:AB55" si="129">+AA54+AA52</f>
        <v>-1969.421147064867</v>
      </c>
      <c r="AB55" s="355">
        <f t="shared" si="129"/>
        <v>-6070.8312869302008</v>
      </c>
      <c r="AC55" s="355">
        <f t="shared" ref="AC55:AD55" si="130">+AC54+AC52</f>
        <v>-37524.865576756056</v>
      </c>
      <c r="AD55" s="355">
        <f t="shared" si="130"/>
        <v>5206.4421504671973</v>
      </c>
      <c r="AE55" s="355">
        <f t="shared" ref="AE55:AF55" si="131">+AE54+AE52</f>
        <v>5328.0715354466829</v>
      </c>
      <c r="AF55" s="355">
        <f t="shared" si="131"/>
        <v>8326.8569896645822</v>
      </c>
      <c r="AG55" s="355">
        <f t="shared" ref="AG55" si="132">+AG54+AG52</f>
        <v>-1538.7097196150098</v>
      </c>
      <c r="AH55" s="355"/>
      <c r="AI55" s="355"/>
      <c r="AJ55" s="355">
        <f t="shared" ref="AJ55:AK55" si="133">+AJ54+AJ52</f>
        <v>86.394420488156044</v>
      </c>
      <c r="AK55" s="355">
        <f t="shared" si="133"/>
        <v>172.31411194673819</v>
      </c>
      <c r="AL55" s="355">
        <f t="shared" si="126"/>
        <v>1019.7050574072457</v>
      </c>
      <c r="AM55" s="355">
        <f t="shared" si="127"/>
        <v>-304.83180336976238</v>
      </c>
      <c r="AN55" s="355">
        <f t="shared" si="116"/>
        <v>-43595.696863686258</v>
      </c>
      <c r="AO55" s="355">
        <f t="shared" si="117"/>
        <v>10534.51368591388</v>
      </c>
      <c r="AP55" s="355">
        <f t="shared" si="118"/>
        <v>6788.1472700495724</v>
      </c>
      <c r="AQ55" s="355"/>
    </row>
    <row r="56" spans="1:53">
      <c r="A56" s="527"/>
      <c r="D56" s="355"/>
      <c r="E56" s="355"/>
      <c r="F56" s="355"/>
      <c r="G56" s="355"/>
      <c r="H56" s="355"/>
      <c r="I56" s="355"/>
      <c r="J56" s="355"/>
      <c r="K56" s="355"/>
      <c r="L56" s="355"/>
      <c r="M56" s="355"/>
      <c r="N56" s="355"/>
      <c r="O56" s="355"/>
      <c r="P56" s="355"/>
      <c r="Q56" s="355"/>
      <c r="R56" s="355"/>
      <c r="S56" s="355"/>
      <c r="T56" s="355"/>
      <c r="U56" s="355"/>
      <c r="V56" s="355"/>
      <c r="X56" s="355"/>
      <c r="Y56" s="355"/>
      <c r="Z56" s="355"/>
      <c r="AA56" s="355"/>
      <c r="AB56" s="355"/>
      <c r="AC56" s="355"/>
      <c r="AD56" s="355"/>
      <c r="AE56" s="355"/>
      <c r="AF56" s="355"/>
      <c r="AG56" s="355"/>
      <c r="AH56" s="355"/>
      <c r="AI56" s="355"/>
      <c r="AJ56" s="355"/>
      <c r="AK56" s="355"/>
      <c r="AL56" s="355"/>
      <c r="AM56" s="355"/>
      <c r="AN56" s="355"/>
      <c r="AO56" s="355"/>
      <c r="AP56" s="355"/>
      <c r="AQ56" s="355"/>
    </row>
    <row r="57" spans="1:53">
      <c r="A57" s="513" t="s">
        <v>28</v>
      </c>
      <c r="D57" s="355"/>
      <c r="E57" s="355"/>
      <c r="F57" s="355"/>
      <c r="G57" s="355"/>
      <c r="H57" s="355"/>
      <c r="I57" s="355"/>
      <c r="J57" s="509"/>
      <c r="K57" s="355"/>
      <c r="L57" s="355"/>
      <c r="M57" s="355"/>
      <c r="N57" s="355"/>
      <c r="O57" s="355"/>
      <c r="P57" s="355"/>
      <c r="Q57" s="355"/>
      <c r="R57" s="355"/>
      <c r="S57" s="355"/>
      <c r="T57" s="355"/>
      <c r="U57" s="355"/>
      <c r="V57" s="355"/>
      <c r="W57" s="355"/>
      <c r="Y57" s="355"/>
      <c r="Z57" s="355"/>
      <c r="AA57" s="355"/>
      <c r="AB57" s="355"/>
      <c r="AC57" s="355"/>
      <c r="AD57" s="355"/>
      <c r="AE57" s="355"/>
      <c r="AF57" s="355"/>
      <c r="AG57" s="355"/>
      <c r="AH57" s="355"/>
      <c r="AI57" s="355"/>
      <c r="AJ57" s="355"/>
      <c r="AK57" s="355"/>
      <c r="AL57" s="355"/>
      <c r="AM57" s="355"/>
      <c r="AN57" s="355"/>
      <c r="AO57" s="355"/>
      <c r="AP57" s="355"/>
      <c r="AQ57" s="355"/>
      <c r="AR57" s="328"/>
      <c r="AS57" s="328"/>
      <c r="AT57" s="355"/>
    </row>
    <row r="58" spans="1:53" ht="18.5">
      <c r="A58" s="319" t="str">
        <f>+A52</f>
        <v>Profit Before Income Tax Expense</v>
      </c>
      <c r="D58" s="355"/>
      <c r="E58" s="355"/>
      <c r="F58" s="355"/>
      <c r="G58" s="355"/>
      <c r="H58" s="355"/>
      <c r="I58" s="355"/>
      <c r="J58" s="509"/>
      <c r="K58" s="355"/>
      <c r="L58" s="355"/>
      <c r="M58" s="355"/>
      <c r="N58" s="355"/>
      <c r="O58" s="355"/>
      <c r="P58" s="356"/>
      <c r="Q58" s="356"/>
      <c r="R58" s="356"/>
      <c r="S58" s="356"/>
      <c r="T58" s="356"/>
      <c r="U58" s="356"/>
      <c r="V58" s="356"/>
      <c r="W58" s="356"/>
      <c r="X58" s="355">
        <f>+'Detailed Disclosure'!X58/'Detailed Disclosures - USD'!X$313</f>
        <v>501.53680610436163</v>
      </c>
      <c r="Y58" s="355">
        <f>+'Detailed Disclosure'!Y58/'Detailed Disclosures - USD'!Y$313</f>
        <v>954.39182039068658</v>
      </c>
      <c r="Z58" s="355">
        <f>+'Detailed Disclosure'!Z58/'Detailed Disclosures - USD'!Z$313</f>
        <v>2411.1058659742862</v>
      </c>
      <c r="AA58" s="355">
        <f>+'Detailed Disclosure'!AA58/'Detailed Disclosures - USD'!AA$313</f>
        <v>-2461.9709250861106</v>
      </c>
      <c r="AB58" s="355">
        <f>+'Detailed Disclosure'!AB58/'Detailed Disclosures - USD'!AB$313</f>
        <v>-8388.3409524332237</v>
      </c>
      <c r="AC58" s="355">
        <f>+'Detailed Disclosure'!AC58/'Detailed Disclosures - USD'!AC$313</f>
        <v>-10346.761570021245</v>
      </c>
      <c r="AD58" s="355">
        <f>+AD52</f>
        <v>8023.4310330750741</v>
      </c>
      <c r="AE58" s="355">
        <f t="shared" ref="AE58" si="134">+AE52</f>
        <v>6562.4908870352447</v>
      </c>
      <c r="AF58" s="355">
        <f>+AF52</f>
        <v>13100.822600786363</v>
      </c>
      <c r="AG58" s="355">
        <f t="shared" ref="AG58" si="135">+AG52</f>
        <v>-157.66242272091768</v>
      </c>
      <c r="AH58" s="355"/>
      <c r="AI58" s="525"/>
      <c r="AJ58" s="355">
        <f>+'Detailed Disclosure'!AJ58/'Detailed Disclosures - USD'!AJ$313</f>
        <v>130.56017804712374</v>
      </c>
      <c r="AK58" s="355">
        <f>+'Detailed Disclosure'!AK58/'Detailed Disclosures - USD'!AK$313</f>
        <v>262.40364765333175</v>
      </c>
      <c r="AL58" s="355">
        <f t="shared" ref="AL58:AL66" si="136">SUM(X58:Y58)</f>
        <v>1455.9286264950483</v>
      </c>
      <c r="AM58" s="355">
        <f t="shared" ref="AM58:AM66" si="137">SUM(Z58:AA58)</f>
        <v>-50.865059111824394</v>
      </c>
      <c r="AN58" s="355">
        <f t="shared" ref="AN58:AN66" si="138">+SUM(AB58:AC58)</f>
        <v>-18735.102522454468</v>
      </c>
      <c r="AO58" s="355">
        <f>+SUM(AD58:AE58)</f>
        <v>14585.921920110319</v>
      </c>
      <c r="AP58" s="355">
        <f>+SUM(AF58:AG58)</f>
        <v>12943.160178065446</v>
      </c>
      <c r="AQ58" s="355"/>
      <c r="AR58" s="328"/>
      <c r="AS58" s="328"/>
      <c r="AT58" s="355"/>
    </row>
    <row r="59" spans="1:53" ht="18.5">
      <c r="A59" s="319" t="str">
        <f>+A51</f>
        <v>Depreciation and Amortization Expense</v>
      </c>
      <c r="D59" s="355"/>
      <c r="E59" s="355"/>
      <c r="F59" s="355"/>
      <c r="G59" s="355"/>
      <c r="H59" s="355"/>
      <c r="I59" s="355"/>
      <c r="J59" s="509"/>
      <c r="K59" s="355"/>
      <c r="L59" s="355"/>
      <c r="M59" s="355"/>
      <c r="N59" s="355"/>
      <c r="O59" s="355"/>
      <c r="P59" s="356"/>
      <c r="Q59" s="356"/>
      <c r="R59" s="356"/>
      <c r="S59" s="356"/>
      <c r="T59" s="356"/>
      <c r="U59" s="356"/>
      <c r="V59" s="356"/>
      <c r="W59" s="356"/>
      <c r="X59" s="355">
        <f>+'Detailed Disclosure'!X59/'Detailed Disclosures - USD'!X$313</f>
        <v>113.97359479575472</v>
      </c>
      <c r="Y59" s="355">
        <f>+'Detailed Disclosure'!Y59/'Detailed Disclosures - USD'!Y$313</f>
        <v>130.92632460210481</v>
      </c>
      <c r="Z59" s="355">
        <f>+'Detailed Disclosure'!Z59/'Detailed Disclosures - USD'!Z$313</f>
        <v>189.30694205009846</v>
      </c>
      <c r="AA59" s="355">
        <f>+'Detailed Disclosure'!AA59/'Detailed Disclosures - USD'!AA$313</f>
        <v>309.57379313165194</v>
      </c>
      <c r="AB59" s="355">
        <f>+'Detailed Disclosure'!AB59/'Detailed Disclosures - USD'!AB$313</f>
        <v>345.46637518093746</v>
      </c>
      <c r="AC59" s="355">
        <f>+'Detailed Disclosure'!AC59/'Detailed Disclosures - USD'!AC$313</f>
        <v>938.56941377076123</v>
      </c>
      <c r="AD59" s="355">
        <f>+'Detailed Disclosure'!AD59/'Detailed Disclosures - USD'!AD$313</f>
        <v>1171.3173795615853</v>
      </c>
      <c r="AE59" s="355">
        <f>+'Detailed Disclosure'!AE59/'Detailed Disclosures - USD'!AE$313</f>
        <v>1567.8973535140926</v>
      </c>
      <c r="AF59" s="355">
        <f>+'Detailed Disclosure'!AF59/'Detailed Disclosures - USD'!AF$313</f>
        <v>1924.4138467458938</v>
      </c>
      <c r="AG59" s="355">
        <f>+'Detailed Disclosure'!AG59/'Detailed Disclosures - USD'!AG$313</f>
        <v>2333.415425477468</v>
      </c>
      <c r="AH59" s="355"/>
      <c r="AI59" s="525"/>
      <c r="AJ59" s="355">
        <f>+'Detailed Disclosure'!AJ59/'Detailed Disclosures - USD'!AJ$313</f>
        <v>0</v>
      </c>
      <c r="AK59" s="355">
        <f>+'Detailed Disclosure'!AK59/'Detailed Disclosures - USD'!AK$313</f>
        <v>170.88411931647488</v>
      </c>
      <c r="AL59" s="355">
        <f t="shared" si="136"/>
        <v>244.89991939785955</v>
      </c>
      <c r="AM59" s="355">
        <f t="shared" si="137"/>
        <v>498.88073518175042</v>
      </c>
      <c r="AN59" s="355">
        <f t="shared" si="138"/>
        <v>1284.0357889516986</v>
      </c>
      <c r="AO59" s="355">
        <f t="shared" ref="AO59:AO66" si="139">+SUM(AD59:AE59)</f>
        <v>2739.2147330756779</v>
      </c>
      <c r="AP59" s="355">
        <f t="shared" ref="AP59:AP67" si="140">+SUM(AF59:AG59)</f>
        <v>4257.8292722233618</v>
      </c>
      <c r="AQ59" s="355"/>
      <c r="AR59" s="328"/>
      <c r="AS59" s="328"/>
      <c r="AT59" s="355"/>
    </row>
    <row r="60" spans="1:53" s="524" customFormat="1" ht="18.5">
      <c r="A60" s="319" t="str">
        <f>+A43</f>
        <v>Interest Revenue, calculated using effective interest method</v>
      </c>
      <c r="D60" s="525"/>
      <c r="E60" s="525"/>
      <c r="F60" s="525"/>
      <c r="G60" s="525"/>
      <c r="H60" s="525"/>
      <c r="I60" s="525"/>
      <c r="J60" s="575"/>
      <c r="K60" s="525"/>
      <c r="L60" s="525"/>
      <c r="M60" s="525"/>
      <c r="N60" s="525"/>
      <c r="O60" s="525"/>
      <c r="P60" s="562"/>
      <c r="Q60" s="562"/>
      <c r="R60" s="562"/>
      <c r="S60" s="562"/>
      <c r="T60" s="562"/>
      <c r="U60" s="562"/>
      <c r="V60" s="562"/>
      <c r="W60" s="562"/>
      <c r="X60" s="525">
        <f>+'Detailed Disclosure'!X60/'Detailed Disclosures - USD'!X$313</f>
        <v>0</v>
      </c>
      <c r="Y60" s="525">
        <f>+'Detailed Disclosure'!Y60/'Detailed Disclosures - USD'!Y$313</f>
        <v>0</v>
      </c>
      <c r="Z60" s="525">
        <f>+'Detailed Disclosure'!Z60/'Detailed Disclosures - USD'!Z$313</f>
        <v>-0.62450343990319068</v>
      </c>
      <c r="AA60" s="525">
        <f>+'Detailed Disclosure'!AA60/'Detailed Disclosures - USD'!AA$313</f>
        <v>-6.4504017427738862</v>
      </c>
      <c r="AB60" s="525">
        <f>+'Detailed Disclosure'!AB60/'Detailed Disclosures - USD'!AB$313</f>
        <v>-11.769058384210197</v>
      </c>
      <c r="AC60" s="525">
        <f>+'Detailed Disclosure'!AC60/'Detailed Disclosures - USD'!AC$313</f>
        <v>-14.047329313607385</v>
      </c>
      <c r="AD60" s="525">
        <f>+'Detailed Disclosure'!AD60/'Detailed Disclosures - USD'!AD$313</f>
        <v>-44.769047170403873</v>
      </c>
      <c r="AE60" s="525">
        <f>+'Detailed Disclosure'!AE60/'Detailed Disclosures - USD'!AE$313</f>
        <v>-121.8587981102925</v>
      </c>
      <c r="AF60" s="525">
        <f>+'Detailed Disclosure'!AF60/'Detailed Disclosures - USD'!AF$313</f>
        <v>-442.35549604448028</v>
      </c>
      <c r="AG60" s="525">
        <f>+'Detailed Disclosure'!AG60/'Detailed Disclosures - USD'!AG$313</f>
        <v>-929.01703168472545</v>
      </c>
      <c r="AH60" s="525"/>
      <c r="AI60" s="525"/>
      <c r="AJ60" s="525">
        <f>+'Detailed Disclosure'!AJ60/'Detailed Disclosures - USD'!AJ$313</f>
        <v>0</v>
      </c>
      <c r="AK60" s="525">
        <f>+'Detailed Disclosure'!AK60/'Detailed Disclosures - USD'!AK$313</f>
        <v>0</v>
      </c>
      <c r="AL60" s="525">
        <f t="shared" si="136"/>
        <v>0</v>
      </c>
      <c r="AM60" s="525">
        <f t="shared" si="137"/>
        <v>-7.0749051826770772</v>
      </c>
      <c r="AN60" s="525">
        <f t="shared" si="138"/>
        <v>-25.816387697817582</v>
      </c>
      <c r="AO60" s="525">
        <f t="shared" si="139"/>
        <v>-166.62784528069636</v>
      </c>
      <c r="AP60" s="525">
        <f t="shared" si="140"/>
        <v>-1371.3725277292058</v>
      </c>
      <c r="AQ60" s="525"/>
      <c r="AR60" s="526"/>
      <c r="AS60" s="526"/>
      <c r="AT60" s="525"/>
    </row>
    <row r="61" spans="1:53" ht="18.5">
      <c r="A61" s="527" t="s">
        <v>286</v>
      </c>
      <c r="D61" s="355"/>
      <c r="E61" s="355"/>
      <c r="F61" s="355"/>
      <c r="G61" s="355"/>
      <c r="H61" s="355"/>
      <c r="I61" s="355"/>
      <c r="J61" s="509"/>
      <c r="K61" s="355"/>
      <c r="L61" s="355"/>
      <c r="M61" s="355"/>
      <c r="N61" s="355"/>
      <c r="O61" s="355"/>
      <c r="P61" s="356"/>
      <c r="Q61" s="356"/>
      <c r="R61" s="356"/>
      <c r="S61" s="356"/>
      <c r="T61" s="356"/>
      <c r="U61" s="356"/>
      <c r="V61" s="356"/>
      <c r="W61" s="356"/>
      <c r="X61" s="355">
        <f>+'Detailed Disclosure'!X61/'Detailed Disclosures - USD'!X$313</f>
        <v>615.51040090011634</v>
      </c>
      <c r="Y61" s="355">
        <f>+'Detailed Disclosure'!Y61/'Detailed Disclosures - USD'!Y$313</f>
        <v>1085.3181449927913</v>
      </c>
      <c r="Z61" s="355">
        <f>+'Detailed Disclosure'!Z61/'Detailed Disclosures - USD'!Z$313</f>
        <v>2599.7883045844815</v>
      </c>
      <c r="AA61" s="355">
        <f>+'Detailed Disclosure'!AA61/'Detailed Disclosures - USD'!AA$313</f>
        <v>-2158.8475336972328</v>
      </c>
      <c r="AB61" s="355">
        <f>+'Detailed Disclosure'!AB61/'Detailed Disclosures - USD'!AB$313</f>
        <v>-8054.6436356364975</v>
      </c>
      <c r="AC61" s="355">
        <f>+'Detailed Disclosure'!AC61/'Detailed Disclosures - USD'!AC$313</f>
        <v>-9422.2394855640923</v>
      </c>
      <c r="AD61" s="355">
        <f>+'Detailed Disclosure'!AD61/'Detailed Disclosures - USD'!AD$313</f>
        <v>9319.9338400016695</v>
      </c>
      <c r="AE61" s="355">
        <f>+'Detailed Disclosure'!AE61/'Detailed Disclosures - USD'!AE$313</f>
        <v>8043.8592981513229</v>
      </c>
      <c r="AF61" s="355">
        <f>+'Detailed Disclosure'!AF61/'Detailed Disclosures - USD'!AF$313</f>
        <v>14622.033359124533</v>
      </c>
      <c r="AG61" s="355">
        <f>+'Detailed Disclosure'!AG61/'Detailed Disclosures - USD'!AG$313</f>
        <v>1245.9306993106306</v>
      </c>
      <c r="AH61" s="355"/>
      <c r="AI61" s="525"/>
      <c r="AJ61" s="355">
        <f>+'Detailed Disclosure'!AJ61/'Detailed Disclosures - USD'!AJ$313</f>
        <v>130.56017804712374</v>
      </c>
      <c r="AK61" s="355">
        <f>+'Detailed Disclosure'!AK61/'Detailed Disclosures - USD'!AK$313</f>
        <v>433.28776696980663</v>
      </c>
      <c r="AL61" s="355">
        <f t="shared" si="136"/>
        <v>1700.8285458929076</v>
      </c>
      <c r="AM61" s="355">
        <f t="shared" si="137"/>
        <v>440.94077088724862</v>
      </c>
      <c r="AN61" s="355">
        <f t="shared" si="138"/>
        <v>-17476.88312120059</v>
      </c>
      <c r="AO61" s="355">
        <f t="shared" si="139"/>
        <v>17363.793138152992</v>
      </c>
      <c r="AP61" s="355">
        <f t="shared" si="140"/>
        <v>15867.964058435164</v>
      </c>
      <c r="AQ61" s="355"/>
      <c r="AR61" s="328"/>
      <c r="AS61" s="328"/>
      <c r="AT61" s="355"/>
    </row>
    <row r="62" spans="1:53" ht="18.5">
      <c r="A62" s="319" t="s">
        <v>247</v>
      </c>
      <c r="D62" s="355"/>
      <c r="E62" s="355"/>
      <c r="F62" s="355"/>
      <c r="G62" s="355"/>
      <c r="H62" s="355"/>
      <c r="I62" s="355"/>
      <c r="J62" s="509"/>
      <c r="K62" s="355"/>
      <c r="L62" s="355"/>
      <c r="M62" s="355"/>
      <c r="N62" s="355"/>
      <c r="O62" s="355"/>
      <c r="P62" s="356"/>
      <c r="Q62" s="356"/>
      <c r="R62" s="356"/>
      <c r="S62" s="356"/>
      <c r="T62" s="356"/>
      <c r="U62" s="356"/>
      <c r="V62" s="356"/>
      <c r="W62" s="356"/>
      <c r="X62" s="355">
        <f>+'Detailed Disclosure'!X62/'Detailed Disclosures - USD'!X$313</f>
        <v>0</v>
      </c>
      <c r="Y62" s="355">
        <f>+'Detailed Disclosure'!Y62/'Detailed Disclosures - USD'!Y$313</f>
        <v>0</v>
      </c>
      <c r="Z62" s="355">
        <f>+'Detailed Disclosure'!Z62/'Detailed Disclosures - USD'!Z$313</f>
        <v>0</v>
      </c>
      <c r="AA62" s="355">
        <f>+'Detailed Disclosure'!AA62/'Detailed Disclosures - USD'!AA$313</f>
        <v>49.34565043479904</v>
      </c>
      <c r="AB62" s="355">
        <f>+'Detailed Disclosure'!AB62/'Detailed Disclosures - USD'!AB$313</f>
        <v>150.6884223473989</v>
      </c>
      <c r="AC62" s="355">
        <f>+'Detailed Disclosure'!AC62/'Detailed Disclosures - USD'!AC$313</f>
        <v>148.85063567528681</v>
      </c>
      <c r="AD62" s="355">
        <f>+'Detailed Disclosure'!AD62/'Detailed Disclosures - USD'!AD$313</f>
        <v>148.06440131482529</v>
      </c>
      <c r="AE62" s="355">
        <f>+'Detailed Disclosure'!AE62/'Detailed Disclosures - USD'!AE$313</f>
        <v>149.93028532192923</v>
      </c>
      <c r="AF62" s="355">
        <f>+'Detailed Disclosure'!AF62/'Detailed Disclosures - USD'!AF$313</f>
        <v>176.84608996080641</v>
      </c>
      <c r="AG62" s="355">
        <f>+'Detailed Disclosure'!AG62/'Detailed Disclosures - USD'!AG$313</f>
        <v>1110.0492473299473</v>
      </c>
      <c r="AH62" s="355"/>
      <c r="AI62" s="525"/>
      <c r="AJ62" s="355">
        <f>+'Detailed Disclosure'!AJ62/'Detailed Disclosures - USD'!AJ$313</f>
        <v>0</v>
      </c>
      <c r="AK62" s="355">
        <f>+'Detailed Disclosure'!AK62/'Detailed Disclosures - USD'!AK$313</f>
        <v>0</v>
      </c>
      <c r="AL62" s="355">
        <f t="shared" si="136"/>
        <v>0</v>
      </c>
      <c r="AM62" s="355">
        <f t="shared" si="137"/>
        <v>49.34565043479904</v>
      </c>
      <c r="AN62" s="355">
        <f t="shared" si="138"/>
        <v>299.53905802268571</v>
      </c>
      <c r="AO62" s="355">
        <f t="shared" si="139"/>
        <v>297.99468663675452</v>
      </c>
      <c r="AP62" s="355">
        <f t="shared" si="140"/>
        <v>1286.8953372907538</v>
      </c>
      <c r="AQ62" s="355"/>
      <c r="AR62" s="328"/>
      <c r="AS62" s="328"/>
      <c r="AT62" s="355"/>
    </row>
    <row r="63" spans="1:53" ht="18.5">
      <c r="A63" s="319" t="s">
        <v>287</v>
      </c>
      <c r="D63" s="355"/>
      <c r="E63" s="355"/>
      <c r="F63" s="355"/>
      <c r="G63" s="355"/>
      <c r="H63" s="355"/>
      <c r="I63" s="355"/>
      <c r="J63" s="509"/>
      <c r="K63" s="355"/>
      <c r="L63" s="355"/>
      <c r="M63" s="355"/>
      <c r="N63" s="355"/>
      <c r="O63" s="355"/>
      <c r="P63" s="356"/>
      <c r="Q63" s="356"/>
      <c r="R63" s="356"/>
      <c r="S63" s="356"/>
      <c r="T63" s="356"/>
      <c r="U63" s="356"/>
      <c r="V63" s="356"/>
      <c r="W63" s="356"/>
      <c r="X63" s="355">
        <f>+'Detailed Disclosure'!X63/'Detailed Disclosures - USD'!X$313</f>
        <v>0</v>
      </c>
      <c r="Y63" s="355">
        <f>+'Detailed Disclosure'!Y63/'Detailed Disclosures - USD'!Y$313</f>
        <v>0</v>
      </c>
      <c r="Z63" s="355">
        <f>+'Detailed Disclosure'!Z63/'Detailed Disclosures - USD'!Z$313</f>
        <v>612.08276037622727</v>
      </c>
      <c r="AA63" s="355">
        <f>+'Detailed Disclosure'!AA63/'Detailed Disclosures - USD'!AA$313</f>
        <v>0</v>
      </c>
      <c r="AB63" s="355">
        <f>+'Detailed Disclosure'!AB63/'Detailed Disclosures - USD'!AB$313</f>
        <v>0</v>
      </c>
      <c r="AC63" s="355">
        <f>+'Detailed Disclosure'!AC63/'Detailed Disclosures - USD'!AC$313</f>
        <v>0</v>
      </c>
      <c r="AD63" s="355">
        <f>+'Detailed Disclosure'!AD63/'Detailed Disclosures - USD'!AD$313</f>
        <v>0</v>
      </c>
      <c r="AE63" s="355">
        <f>+'Detailed Disclosure'!AE63/'Detailed Disclosures - USD'!AE$313</f>
        <v>0</v>
      </c>
      <c r="AF63" s="355">
        <f>+'Detailed Disclosure'!AF63/'Detailed Disclosures - USD'!AF$313</f>
        <v>0</v>
      </c>
      <c r="AG63" s="355">
        <f>+'Detailed Disclosure'!AG63/'Detailed Disclosures - USD'!AG$313</f>
        <v>0</v>
      </c>
      <c r="AH63" s="355"/>
      <c r="AI63" s="525"/>
      <c r="AJ63" s="355">
        <f>+'Detailed Disclosure'!AJ63/'Detailed Disclosures - USD'!AJ$313</f>
        <v>0</v>
      </c>
      <c r="AK63" s="355">
        <f>+'Detailed Disclosure'!AK63/'Detailed Disclosures - USD'!AK$313</f>
        <v>0</v>
      </c>
      <c r="AL63" s="355">
        <f t="shared" si="136"/>
        <v>0</v>
      </c>
      <c r="AM63" s="355">
        <f t="shared" si="137"/>
        <v>612.08276037622727</v>
      </c>
      <c r="AN63" s="355">
        <f t="shared" si="138"/>
        <v>0</v>
      </c>
      <c r="AO63" s="355">
        <f t="shared" si="139"/>
        <v>0</v>
      </c>
      <c r="AP63" s="355">
        <f t="shared" si="140"/>
        <v>0</v>
      </c>
      <c r="AQ63" s="355"/>
      <c r="AR63" s="328"/>
      <c r="AS63" s="328"/>
      <c r="AT63" s="355"/>
    </row>
    <row r="64" spans="1:53" ht="18.5">
      <c r="A64" s="319" t="s">
        <v>288</v>
      </c>
      <c r="D64" s="355"/>
      <c r="E64" s="355"/>
      <c r="F64" s="355"/>
      <c r="G64" s="355"/>
      <c r="H64" s="355"/>
      <c r="I64" s="355"/>
      <c r="J64" s="509"/>
      <c r="K64" s="355"/>
      <c r="L64" s="355"/>
      <c r="M64" s="355"/>
      <c r="N64" s="355"/>
      <c r="O64" s="355"/>
      <c r="P64" s="356"/>
      <c r="Q64" s="356"/>
      <c r="R64" s="356"/>
      <c r="S64" s="356"/>
      <c r="T64" s="356"/>
      <c r="U64" s="356"/>
      <c r="V64" s="356"/>
      <c r="W64" s="356"/>
      <c r="X64" s="355">
        <f>+'Detailed Disclosure'!X64/'Detailed Disclosures - USD'!X$313</f>
        <v>-4.3815196312982689E-2</v>
      </c>
      <c r="Y64" s="355">
        <f>+'Detailed Disclosure'!Y64/'Detailed Disclosures - USD'!Y$313</f>
        <v>132.59504941534897</v>
      </c>
      <c r="Z64" s="355">
        <f>+'Detailed Disclosure'!Z64/'Detailed Disclosures - USD'!Z$313</f>
        <v>253.97846552054105</v>
      </c>
      <c r="AA64" s="355">
        <f>+'Detailed Disclosure'!AA64/'Detailed Disclosures - USD'!AA$313</f>
        <v>223.57280570745792</v>
      </c>
      <c r="AB64" s="355">
        <f>+'Detailed Disclosure'!AB64/'Detailed Disclosures - USD'!AB$313</f>
        <v>632.74507441990306</v>
      </c>
      <c r="AC64" s="355">
        <f>+'Detailed Disclosure'!AC64/'Detailed Disclosures - USD'!AC$313</f>
        <v>860.02589501276827</v>
      </c>
      <c r="AD64" s="355">
        <f>+'Detailed Disclosure'!AD64/'Detailed Disclosures - USD'!AD$313</f>
        <v>1569.7506438037813</v>
      </c>
      <c r="AE64" s="355">
        <f>+'Detailed Disclosure'!AE64/'Detailed Disclosures - USD'!AE$313</f>
        <v>341.76686145877608</v>
      </c>
      <c r="AF64" s="355">
        <f>+'Detailed Disclosure'!AF64/'Detailed Disclosures - USD'!AF$313</f>
        <v>2010.312085998283</v>
      </c>
      <c r="AG64" s="355">
        <f>+'Detailed Disclosure'!AG64/'Detailed Disclosures - USD'!AG$313</f>
        <v>1059.0797978895632</v>
      </c>
      <c r="AH64" s="355"/>
      <c r="AI64" s="525"/>
      <c r="AJ64" s="355">
        <f>+'Detailed Disclosure'!AJ64/'Detailed Disclosures - USD'!AJ$313</f>
        <v>0</v>
      </c>
      <c r="AK64" s="355">
        <f>+'Detailed Disclosure'!AK64/'Detailed Disclosures - USD'!AK$313</f>
        <v>0</v>
      </c>
      <c r="AL64" s="355">
        <f t="shared" si="136"/>
        <v>132.55123421903599</v>
      </c>
      <c r="AM64" s="355">
        <f t="shared" si="137"/>
        <v>477.551271227999</v>
      </c>
      <c r="AN64" s="355">
        <f t="shared" si="138"/>
        <v>1492.7709694326713</v>
      </c>
      <c r="AO64" s="355">
        <f t="shared" si="139"/>
        <v>1911.5175052625573</v>
      </c>
      <c r="AP64" s="355">
        <f t="shared" si="140"/>
        <v>3069.3918838878462</v>
      </c>
      <c r="AQ64" s="355"/>
      <c r="AR64" s="328"/>
      <c r="AS64" s="328"/>
      <c r="AT64" s="355"/>
    </row>
    <row r="65" spans="1:46" ht="18.5">
      <c r="A65" s="319" t="s">
        <v>4198</v>
      </c>
      <c r="D65" s="355"/>
      <c r="E65" s="355"/>
      <c r="F65" s="355"/>
      <c r="G65" s="355"/>
      <c r="H65" s="355"/>
      <c r="I65" s="355"/>
      <c r="J65" s="509"/>
      <c r="K65" s="355"/>
      <c r="L65" s="355"/>
      <c r="M65" s="355"/>
      <c r="N65" s="355"/>
      <c r="O65" s="355"/>
      <c r="P65" s="356"/>
      <c r="Q65" s="356"/>
      <c r="R65" s="356"/>
      <c r="S65" s="356"/>
      <c r="T65" s="356"/>
      <c r="U65" s="356"/>
      <c r="V65" s="356"/>
      <c r="W65" s="356"/>
      <c r="X65" s="355">
        <v>0</v>
      </c>
      <c r="Y65" s="355">
        <v>0</v>
      </c>
      <c r="Z65" s="355">
        <v>0</v>
      </c>
      <c r="AA65" s="355">
        <v>0</v>
      </c>
      <c r="AB65" s="355">
        <v>0</v>
      </c>
      <c r="AC65" s="355">
        <v>0</v>
      </c>
      <c r="AD65" s="355">
        <v>0</v>
      </c>
      <c r="AE65" s="355">
        <v>0</v>
      </c>
      <c r="AF65" s="355">
        <v>0</v>
      </c>
      <c r="AG65" s="355">
        <f>+'Detailed Disclosure'!AG65/'Detailed Disclosures - USD'!AG$313</f>
        <v>600.2988040244137</v>
      </c>
      <c r="AH65" s="355"/>
      <c r="AI65" s="525"/>
      <c r="AJ65" s="355">
        <v>0</v>
      </c>
      <c r="AK65" s="355">
        <v>0</v>
      </c>
      <c r="AL65" s="355">
        <v>0</v>
      </c>
      <c r="AM65" s="355">
        <v>0</v>
      </c>
      <c r="AN65" s="355">
        <v>0</v>
      </c>
      <c r="AO65" s="355">
        <v>0</v>
      </c>
      <c r="AP65" s="355"/>
      <c r="AQ65" s="355"/>
      <c r="AR65" s="328"/>
      <c r="AS65" s="328"/>
      <c r="AT65" s="355"/>
    </row>
    <row r="66" spans="1:46" s="513" customFormat="1">
      <c r="A66" s="319" t="s">
        <v>289</v>
      </c>
      <c r="D66" s="535"/>
      <c r="E66" s="535"/>
      <c r="F66" s="535"/>
      <c r="G66" s="535"/>
      <c r="H66" s="535"/>
      <c r="I66" s="535"/>
      <c r="J66" s="573"/>
      <c r="K66" s="535"/>
      <c r="L66" s="535"/>
      <c r="M66" s="535"/>
      <c r="N66" s="535"/>
      <c r="O66" s="535"/>
      <c r="P66" s="576"/>
      <c r="Q66" s="576"/>
      <c r="R66" s="576"/>
      <c r="S66" s="576"/>
      <c r="T66" s="576"/>
      <c r="U66" s="576"/>
      <c r="V66" s="576"/>
      <c r="W66" s="576"/>
      <c r="X66" s="535">
        <f>+'Detailed Disclosure'!X66/'Detailed Disclosures - USD'!X$313</f>
        <v>0</v>
      </c>
      <c r="Y66" s="535">
        <f>+'Detailed Disclosure'!Y66/'Detailed Disclosures - USD'!Y$313</f>
        <v>0</v>
      </c>
      <c r="Z66" s="535">
        <f>+'Detailed Disclosure'!Z66/'Detailed Disclosures - USD'!Z$313</f>
        <v>0</v>
      </c>
      <c r="AA66" s="535">
        <f>+'Detailed Disclosure'!AA66/'Detailed Disclosures - USD'!AA$313</f>
        <v>0</v>
      </c>
      <c r="AB66" s="535">
        <f>+'Detailed Disclosure'!AB66/'Detailed Disclosures - USD'!AB$313</f>
        <v>0.12801200926851777</v>
      </c>
      <c r="AC66" s="535">
        <f>+'Detailed Disclosure'!AC66/'Detailed Disclosures - USD'!AC$313</f>
        <v>118.7152132604123</v>
      </c>
      <c r="AD66" s="535">
        <f>+'Detailed Disclosure'!AD66/'Detailed Disclosures - USD'!AD$313</f>
        <v>141.44840148232382</v>
      </c>
      <c r="AE66" s="535">
        <f>+'Detailed Disclosure'!AE66/'Detailed Disclosures - USD'!AE$313</f>
        <v>-0.75985715245772678</v>
      </c>
      <c r="AF66" s="535">
        <f>+'Detailed Disclosure'!AF66/'Detailed Disclosures - USD'!AF$313</f>
        <v>227.86061562738684</v>
      </c>
      <c r="AG66" s="535">
        <f>+'Detailed Disclosure'!AG66/'Detailed Disclosures - USD'!AG$313</f>
        <v>198.13020000194882</v>
      </c>
      <c r="AH66" s="535"/>
      <c r="AI66" s="535"/>
      <c r="AJ66" s="535">
        <f>+'Detailed Disclosure'!AJ66/'Detailed Disclosures - USD'!AJ$313</f>
        <v>0</v>
      </c>
      <c r="AK66" s="535">
        <f>+'Detailed Disclosure'!AK66/'Detailed Disclosures - USD'!AK$313</f>
        <v>0</v>
      </c>
      <c r="AL66" s="577">
        <f t="shared" si="136"/>
        <v>0</v>
      </c>
      <c r="AM66" s="577">
        <f t="shared" si="137"/>
        <v>0</v>
      </c>
      <c r="AN66" s="577">
        <f t="shared" si="138"/>
        <v>118.84322526968081</v>
      </c>
      <c r="AO66" s="577">
        <f t="shared" si="139"/>
        <v>140.68854432986609</v>
      </c>
      <c r="AP66" s="577">
        <f t="shared" si="140"/>
        <v>425.99081562933566</v>
      </c>
      <c r="AQ66" s="577"/>
      <c r="AR66" s="577"/>
      <c r="AS66" s="577"/>
      <c r="AT66" s="535"/>
    </row>
    <row r="67" spans="1:46" ht="18.5">
      <c r="A67" s="527" t="s">
        <v>245</v>
      </c>
      <c r="D67" s="355"/>
      <c r="E67" s="355"/>
      <c r="F67" s="355"/>
      <c r="G67" s="355"/>
      <c r="H67" s="355"/>
      <c r="I67" s="355"/>
      <c r="J67" s="509"/>
      <c r="K67" s="355"/>
      <c r="L67" s="355"/>
      <c r="M67" s="355"/>
      <c r="N67" s="355">
        <f>+'Detailed Disclosure'!N67/'Detailed Disclosures - USD'!N$313</f>
        <v>3759.1624942563117</v>
      </c>
      <c r="O67" s="355">
        <f>+'Detailed Disclosure'!O67/'Detailed Disclosures - USD'!O$313</f>
        <v>7349.078215960847</v>
      </c>
      <c r="P67" s="543">
        <f>+'Detailed Disclosure'!P67/'Detailed Disclosures - USD'!P$313</f>
        <v>2124.0739418576741</v>
      </c>
      <c r="Q67" s="543">
        <f>+'Detailed Disclosure'!Q67/'Detailed Disclosures - USD'!Q$313</f>
        <v>6363.1568917684217</v>
      </c>
      <c r="R67" s="355">
        <f>+'Detailed Disclosure'!R67/'Detailed Disclosures - USD'!R$313</f>
        <v>5695.1737245006143</v>
      </c>
      <c r="S67" s="356">
        <f>+'Detailed Disclosure'!S67/'Detailed Disclosures - USD'!S$313</f>
        <v>11327.192586935153</v>
      </c>
      <c r="T67" s="356">
        <f>+'Detailed Disclosure'!T67/'Detailed Disclosures - USD'!T$313</f>
        <v>3945.3119072548157</v>
      </c>
      <c r="U67" s="356">
        <f>+'Detailed Disclosure'!U67/'Detailed Disclosures - USD'!U$313</f>
        <v>263.55765178820894</v>
      </c>
      <c r="V67" s="356"/>
      <c r="W67" s="356"/>
      <c r="X67" s="355">
        <f>+'Detailed Disclosure'!X67/'Detailed Disclosures - USD'!X$313</f>
        <v>615.46658570380339</v>
      </c>
      <c r="Y67" s="355">
        <f>+'Detailed Disclosure'!Y67/'Detailed Disclosures - USD'!Y$313</f>
        <v>1217.9131944081403</v>
      </c>
      <c r="Z67" s="355">
        <f>+'Detailed Disclosure'!Z67/'Detailed Disclosures - USD'!Z$313</f>
        <v>3465.8495304812495</v>
      </c>
      <c r="AA67" s="355">
        <f>+'Detailed Disclosure'!AA67/'Detailed Disclosures - USD'!AA$313</f>
        <v>-1885.9290775549757</v>
      </c>
      <c r="AB67" s="355">
        <f>+'Detailed Disclosure'!AB67/'Detailed Disclosures - USD'!AB$313</f>
        <v>-7271.0821268599266</v>
      </c>
      <c r="AC67" s="355">
        <f>+'Detailed Disclosure'!AC67/'Detailed Disclosures - USD'!AC$313</f>
        <v>-8294.6477416156213</v>
      </c>
      <c r="AD67" s="355">
        <f>+'Detailed Disclosure'!AD67/'Detailed Disclosures - USD'!AD$313</f>
        <v>11179.197286602601</v>
      </c>
      <c r="AE67" s="355">
        <f>+'Detailed Disclosure'!AE67/'Detailed Disclosures - USD'!AE$313</f>
        <v>8534.7965877795741</v>
      </c>
      <c r="AF67" s="355">
        <f>+'Detailed Disclosure'!AF67/'Detailed Disclosures - USD'!AF$313</f>
        <v>17037.05215071101</v>
      </c>
      <c r="AG67" s="355">
        <f>+SUM(T67:U67)</f>
        <v>4208.8695590430243</v>
      </c>
      <c r="AH67" s="355"/>
      <c r="AI67" s="525"/>
      <c r="AJ67" s="355">
        <f>+'Detailed Disclosure'!AJ67/'Detailed Disclosures - USD'!AJ$313</f>
        <v>130.94759697307961</v>
      </c>
      <c r="AK67" s="355">
        <f>+'Detailed Disclosure'!AK67/'Detailed Disclosures - USD'!AK$313</f>
        <v>433.28776696980663</v>
      </c>
      <c r="AL67" s="355">
        <f t="shared" ref="AL67:AL77" si="141">SUM(X67:Y67)</f>
        <v>1833.3797801119435</v>
      </c>
      <c r="AM67" s="355">
        <f t="shared" ref="AM67:AM76" si="142">SUM(Z67:AA67)</f>
        <v>1579.9204529262738</v>
      </c>
      <c r="AN67" s="355">
        <f t="shared" ref="AN67:AN77" si="143">+SUM(AB67:AC67)</f>
        <v>-15565.729868475548</v>
      </c>
      <c r="AO67" s="355">
        <f t="shared" ref="AO67" si="144">SUM(AD67:AE67)</f>
        <v>19713.993874382177</v>
      </c>
      <c r="AP67" s="355">
        <f t="shared" si="140"/>
        <v>21245.921709754035</v>
      </c>
      <c r="AQ67" s="355"/>
      <c r="AR67" s="328"/>
      <c r="AS67" s="328"/>
      <c r="AT67" s="355"/>
    </row>
    <row r="68" spans="1:46" s="544" customFormat="1">
      <c r="A68" s="539" t="s">
        <v>237</v>
      </c>
      <c r="H68" s="578"/>
      <c r="P68" s="343"/>
      <c r="Q68" s="343"/>
      <c r="R68" s="544">
        <f t="shared" ref="R68" si="145">+R67/N67-1</f>
        <v>0.5150113178673088</v>
      </c>
      <c r="S68" s="544">
        <f t="shared" ref="S68:U68" si="146">+S67/O67-1</f>
        <v>0.54130793741377969</v>
      </c>
      <c r="T68" s="544">
        <f t="shared" si="146"/>
        <v>0.85742681999305637</v>
      </c>
      <c r="U68" s="544">
        <f t="shared" si="146"/>
        <v>-0.95858067681324099</v>
      </c>
      <c r="Z68" s="544">
        <f>+Z67/X67-1</f>
        <v>4.6312553938536771</v>
      </c>
      <c r="AA68" s="544">
        <f>+AA67/Y67-1</f>
        <v>-2.5484921964996579</v>
      </c>
      <c r="AB68" s="544">
        <f t="shared" ref="AB68:AF68" si="147">+AB67/Z67-1</f>
        <v>-3.0979220427524741</v>
      </c>
      <c r="AC68" s="544">
        <f t="shared" si="147"/>
        <v>3.3981758594916345</v>
      </c>
      <c r="AD68" s="544">
        <f t="shared" si="147"/>
        <v>-2.5374874181802736</v>
      </c>
      <c r="AE68" s="544">
        <f t="shared" si="147"/>
        <v>-2.0289522658037766</v>
      </c>
      <c r="AF68" s="544">
        <f t="shared" si="147"/>
        <v>0.52399601813348373</v>
      </c>
      <c r="AG68" s="544">
        <f t="shared" ref="AG68" si="148">+AG67/AE67-1</f>
        <v>-0.50685766019667844</v>
      </c>
      <c r="AI68" s="339"/>
      <c r="AJ68" s="339"/>
      <c r="AK68" s="544">
        <f>+AK67/AJ67-1</f>
        <v>2.308863827863008</v>
      </c>
      <c r="AL68" s="544">
        <f>+AL67/AK67-1</f>
        <v>3.2313213523974271</v>
      </c>
      <c r="AM68" s="544">
        <f>+AM67/AL67-1</f>
        <v>-0.13824703966692264</v>
      </c>
      <c r="AN68" s="544">
        <f>+AN67/AM67-1</f>
        <v>-10.852223787371853</v>
      </c>
      <c r="AO68" s="544">
        <f>+AO67/AN67-1</f>
        <v>-2.2664998070092359</v>
      </c>
      <c r="AP68" s="544">
        <f t="shared" ref="AP68" si="149">+AP67/AO67-1</f>
        <v>7.7707634745821874E-2</v>
      </c>
    </row>
    <row r="69" spans="1:46" s="544" customFormat="1">
      <c r="A69" s="539" t="s">
        <v>239</v>
      </c>
      <c r="H69" s="578"/>
      <c r="N69" s="544">
        <f>N67/N17</f>
        <v>8.284130618146765E-2</v>
      </c>
      <c r="O69" s="544">
        <f>O67/O17</f>
        <v>9.2213528710603024E-2</v>
      </c>
      <c r="P69" s="343">
        <f t="shared" ref="P69:Q69" si="150">P67/P17</f>
        <v>3.0629564778324965E-2</v>
      </c>
      <c r="Q69" s="343">
        <f t="shared" si="150"/>
        <v>7.4999999999999997E-2</v>
      </c>
      <c r="R69" s="544">
        <f>R67/R17</f>
        <v>6.8450039339103069E-2</v>
      </c>
      <c r="S69" s="544">
        <f t="shared" ref="S69:T69" si="151">S67/S17</f>
        <v>7.6572464691372952E-2</v>
      </c>
      <c r="T69" s="544">
        <f t="shared" si="151"/>
        <v>3.1413612565445025E-2</v>
      </c>
      <c r="U69" s="544">
        <f t="shared" ref="U69" si="152">U67/U17</f>
        <v>2.0304799507896939E-3</v>
      </c>
      <c r="X69" s="544">
        <f t="shared" ref="X69:AD69" si="153">X67/X17</f>
        <v>0.12847682365276902</v>
      </c>
      <c r="Y69" s="544">
        <f t="shared" si="153"/>
        <v>0.11703407652704403</v>
      </c>
      <c r="Z69" s="544">
        <f t="shared" si="153"/>
        <v>0.11831471581163043</v>
      </c>
      <c r="AA69" s="544">
        <f t="shared" si="153"/>
        <v>-4.7145902517038006E-2</v>
      </c>
      <c r="AB69" s="544">
        <f t="shared" si="153"/>
        <v>-8.7418223176419577E-2</v>
      </c>
      <c r="AC69" s="544">
        <f t="shared" si="153"/>
        <v>-0.11993438887102031</v>
      </c>
      <c r="AD69" s="544">
        <f t="shared" si="153"/>
        <v>8.9380530334421324E-2</v>
      </c>
      <c r="AE69" s="544">
        <f t="shared" ref="AE69:AF69" si="154">AE67/AE17</f>
        <v>5.5352726447268678E-2</v>
      </c>
      <c r="AF69" s="544">
        <f t="shared" si="154"/>
        <v>7.3712098629959324E-2</v>
      </c>
      <c r="AG69" s="544">
        <f t="shared" ref="AG69" si="155">AG67/AG17</f>
        <v>1.6479966081431222E-2</v>
      </c>
      <c r="AJ69" s="339">
        <f t="shared" ref="AJ69:AO69" si="156">AJ67/AJ17</f>
        <v>0.31066176470588241</v>
      </c>
      <c r="AK69" s="339">
        <f t="shared" si="156"/>
        <v>0.10612959719789843</v>
      </c>
      <c r="AL69" s="544">
        <f t="shared" si="156"/>
        <v>0.12064113314824104</v>
      </c>
      <c r="AM69" s="544">
        <f t="shared" si="156"/>
        <v>2.2799771836689034E-2</v>
      </c>
      <c r="AN69" s="544">
        <f t="shared" si="156"/>
        <v>-0.10218044984551972</v>
      </c>
      <c r="AO69" s="544">
        <f t="shared" si="156"/>
        <v>7.0592815319203597E-2</v>
      </c>
      <c r="AP69" s="544">
        <f t="shared" ref="AP69" si="157">AP67/AP17</f>
        <v>4.3668916888277343E-2</v>
      </c>
    </row>
    <row r="70" spans="1:46">
      <c r="D70" s="355"/>
      <c r="E70" s="355"/>
      <c r="F70" s="355"/>
      <c r="G70" s="355"/>
      <c r="H70" s="355"/>
      <c r="I70" s="355"/>
      <c r="J70" s="509"/>
      <c r="K70" s="355"/>
      <c r="L70" s="355"/>
      <c r="M70" s="355"/>
      <c r="N70" s="355"/>
      <c r="O70" s="355"/>
      <c r="P70" s="544"/>
      <c r="Q70" s="544"/>
      <c r="R70" s="355"/>
      <c r="S70" s="355"/>
      <c r="T70" s="355"/>
      <c r="U70" s="355"/>
      <c r="V70" s="355"/>
      <c r="W70" s="355"/>
      <c r="Y70" s="355"/>
      <c r="Z70" s="355"/>
      <c r="AA70" s="355"/>
      <c r="AB70" s="355"/>
      <c r="AC70" s="355"/>
      <c r="AD70" s="355"/>
      <c r="AE70" s="544"/>
      <c r="AF70" s="544"/>
      <c r="AG70" s="544"/>
      <c r="AH70" s="355"/>
      <c r="AI70" s="355"/>
      <c r="AJ70" s="355"/>
      <c r="AK70" s="355"/>
      <c r="AL70" s="355"/>
      <c r="AM70" s="355"/>
      <c r="AN70" s="355"/>
      <c r="AO70" s="355"/>
      <c r="AP70" s="355"/>
      <c r="AQ70" s="355"/>
      <c r="AR70" s="328"/>
      <c r="AS70" s="328"/>
      <c r="AT70" s="355"/>
    </row>
    <row r="71" spans="1:46" ht="18.5">
      <c r="A71" s="513" t="s">
        <v>1612</v>
      </c>
      <c r="D71" s="355"/>
      <c r="E71" s="355"/>
      <c r="F71" s="355"/>
      <c r="G71" s="355"/>
      <c r="H71" s="355"/>
      <c r="I71" s="355"/>
      <c r="J71" s="509"/>
      <c r="K71" s="355"/>
      <c r="L71" s="525" t="s">
        <v>1606</v>
      </c>
      <c r="M71" s="355"/>
      <c r="N71" s="355"/>
      <c r="O71" s="355"/>
      <c r="P71" s="525" t="s">
        <v>1606</v>
      </c>
      <c r="Q71" s="525" t="s">
        <v>1609</v>
      </c>
      <c r="R71" s="355"/>
      <c r="S71" s="355"/>
      <c r="T71" s="355"/>
      <c r="U71" s="355"/>
      <c r="V71" s="355"/>
      <c r="W71" s="355"/>
      <c r="Y71" s="355"/>
      <c r="Z71" s="355"/>
      <c r="AA71" s="355"/>
      <c r="AB71" s="355"/>
      <c r="AC71" s="355"/>
      <c r="AD71" s="355"/>
      <c r="AE71" s="544"/>
      <c r="AF71" s="544"/>
      <c r="AG71" s="544"/>
      <c r="AH71" s="355"/>
      <c r="AI71" s="355"/>
      <c r="AJ71" s="355"/>
      <c r="AK71" s="355"/>
      <c r="AL71" s="355"/>
      <c r="AM71" s="355"/>
      <c r="AN71" s="355"/>
      <c r="AO71" s="355"/>
      <c r="AP71" s="355"/>
      <c r="AQ71" s="355"/>
      <c r="AR71" s="328"/>
      <c r="AS71" s="328"/>
      <c r="AT71" s="355"/>
    </row>
    <row r="72" spans="1:46">
      <c r="A72" s="319" t="s">
        <v>499</v>
      </c>
      <c r="D72" s="355"/>
      <c r="E72" s="355"/>
      <c r="F72" s="355"/>
      <c r="G72" s="355"/>
      <c r="H72" s="355"/>
      <c r="I72" s="355"/>
      <c r="J72" s="509"/>
      <c r="K72" s="355"/>
      <c r="L72" s="355">
        <f>+'Detailed Disclosure'!L72/'Detailed Disclosures - USD'!L$313</f>
        <v>46090.406043321062</v>
      </c>
      <c r="M72" s="355"/>
      <c r="N72" s="355"/>
      <c r="O72" s="355"/>
      <c r="P72" s="355">
        <f>+'Detailed Disclosure'!P72/'Detailed Disclosures - USD'!P$313</f>
        <v>96539.473234721416</v>
      </c>
      <c r="Q72" s="334">
        <f>+'Detailed Disclosure'!Q72/'Detailed Disclosures - USD'!Q$313</f>
        <v>58259.975992572559</v>
      </c>
      <c r="R72" s="355"/>
      <c r="S72" s="355"/>
      <c r="T72" s="355"/>
      <c r="U72" s="355"/>
      <c r="V72" s="355"/>
      <c r="W72" s="355"/>
      <c r="Y72" s="355"/>
      <c r="Z72" s="355"/>
      <c r="AA72" s="355"/>
      <c r="AB72" s="355"/>
      <c r="AC72" s="355"/>
      <c r="AD72" s="355"/>
      <c r="AE72" s="544"/>
      <c r="AF72" s="544"/>
      <c r="AG72" s="544"/>
      <c r="AH72" s="355"/>
      <c r="AI72" s="355"/>
      <c r="AJ72" s="355"/>
      <c r="AK72" s="355"/>
      <c r="AL72" s="355"/>
      <c r="AM72" s="355"/>
      <c r="AN72" s="355"/>
      <c r="AO72" s="355"/>
      <c r="AP72" s="355"/>
      <c r="AQ72" s="355"/>
      <c r="AR72" s="328"/>
      <c r="AS72" s="328"/>
      <c r="AT72" s="355"/>
    </row>
    <row r="73" spans="1:46">
      <c r="A73" s="319" t="s">
        <v>245</v>
      </c>
      <c r="D73" s="355"/>
      <c r="E73" s="355"/>
      <c r="F73" s="355"/>
      <c r="G73" s="355"/>
      <c r="H73" s="355"/>
      <c r="I73" s="355"/>
      <c r="J73" s="509"/>
      <c r="K73" s="355"/>
      <c r="L73" s="355"/>
      <c r="M73" s="355"/>
      <c r="N73" s="355"/>
      <c r="O73" s="355"/>
      <c r="P73" s="356" t="s">
        <v>1613</v>
      </c>
      <c r="Q73" s="356" t="s">
        <v>1614</v>
      </c>
      <c r="R73" s="355"/>
      <c r="S73" s="355"/>
      <c r="T73" s="355"/>
      <c r="U73" s="355"/>
      <c r="V73" s="355"/>
      <c r="W73" s="355"/>
      <c r="Y73" s="355"/>
      <c r="Z73" s="355"/>
      <c r="AA73" s="355"/>
      <c r="AB73" s="355"/>
      <c r="AC73" s="355"/>
      <c r="AD73" s="355"/>
      <c r="AE73" s="544"/>
      <c r="AF73" s="544"/>
      <c r="AG73" s="544"/>
      <c r="AH73" s="355"/>
      <c r="AI73" s="355"/>
      <c r="AJ73" s="355"/>
      <c r="AK73" s="355"/>
      <c r="AL73" s="355"/>
      <c r="AM73" s="355"/>
      <c r="AN73" s="355"/>
      <c r="AO73" s="355"/>
      <c r="AP73" s="355"/>
      <c r="AQ73" s="355"/>
      <c r="AR73" s="328"/>
      <c r="AS73" s="328"/>
      <c r="AT73" s="355"/>
    </row>
    <row r="74" spans="1:46">
      <c r="A74" s="546" t="s">
        <v>32</v>
      </c>
      <c r="B74" s="337"/>
      <c r="C74" s="337"/>
      <c r="D74" s="547"/>
      <c r="E74" s="547"/>
      <c r="F74" s="547"/>
      <c r="G74" s="547"/>
      <c r="H74" s="547"/>
      <c r="I74" s="547"/>
      <c r="J74" s="571"/>
      <c r="K74" s="547"/>
      <c r="L74" s="547"/>
      <c r="M74" s="547"/>
      <c r="N74" s="547"/>
      <c r="O74" s="547"/>
      <c r="P74" s="544" t="s">
        <v>1608</v>
      </c>
      <c r="Q74" s="564" t="s">
        <v>1611</v>
      </c>
      <c r="R74" s="355"/>
      <c r="S74" s="355"/>
      <c r="T74" s="355"/>
      <c r="U74" s="355"/>
      <c r="V74" s="355"/>
      <c r="W74" s="355"/>
      <c r="Y74" s="355"/>
      <c r="Z74" s="355"/>
      <c r="AA74" s="355"/>
      <c r="AB74" s="355"/>
      <c r="AC74" s="355"/>
      <c r="AD74" s="355"/>
      <c r="AE74" s="544"/>
      <c r="AF74" s="544"/>
      <c r="AG74" s="544"/>
      <c r="AH74" s="355"/>
      <c r="AI74" s="355"/>
      <c r="AJ74" s="355"/>
      <c r="AK74" s="355"/>
      <c r="AL74" s="355"/>
      <c r="AM74" s="355"/>
      <c r="AN74" s="355"/>
      <c r="AO74" s="355"/>
      <c r="AP74" s="355"/>
      <c r="AQ74" s="355"/>
      <c r="AR74" s="328"/>
      <c r="AS74" s="328"/>
      <c r="AT74" s="355"/>
    </row>
    <row r="75" spans="1:46">
      <c r="D75" s="355"/>
      <c r="E75" s="355"/>
      <c r="F75" s="355"/>
      <c r="G75" s="355"/>
      <c r="H75" s="355"/>
      <c r="I75" s="355"/>
      <c r="J75" s="509"/>
      <c r="K75" s="355"/>
      <c r="L75" s="355"/>
      <c r="M75" s="355"/>
      <c r="N75" s="355"/>
      <c r="O75" s="355"/>
      <c r="P75" s="544"/>
      <c r="Q75" s="355"/>
      <c r="R75" s="355"/>
      <c r="S75" s="355"/>
      <c r="T75" s="355"/>
      <c r="U75" s="355"/>
      <c r="V75" s="355"/>
      <c r="W75" s="355"/>
      <c r="Y75" s="355"/>
      <c r="Z75" s="355"/>
      <c r="AA75" s="355"/>
      <c r="AB75" s="355"/>
      <c r="AC75" s="355"/>
      <c r="AD75" s="355"/>
      <c r="AE75" s="544"/>
      <c r="AF75" s="544"/>
      <c r="AG75" s="544"/>
      <c r="AH75" s="355"/>
      <c r="AI75" s="355"/>
      <c r="AJ75" s="355"/>
      <c r="AK75" s="355"/>
      <c r="AL75" s="355"/>
      <c r="AM75" s="355"/>
      <c r="AN75" s="355"/>
      <c r="AO75" s="355"/>
      <c r="AP75" s="355"/>
      <c r="AQ75" s="355"/>
      <c r="AR75" s="328"/>
      <c r="AS75" s="328"/>
      <c r="AT75" s="355"/>
    </row>
    <row r="76" spans="1:46" s="524" customFormat="1" ht="18.5">
      <c r="A76" s="319" t="s">
        <v>247</v>
      </c>
      <c r="D76" s="525"/>
      <c r="E76" s="525"/>
      <c r="F76" s="525"/>
      <c r="G76" s="525"/>
      <c r="H76" s="525"/>
      <c r="I76" s="525"/>
      <c r="J76" s="575"/>
      <c r="K76" s="525"/>
      <c r="L76" s="525"/>
      <c r="M76" s="525"/>
      <c r="N76" s="525"/>
      <c r="O76" s="525"/>
      <c r="P76" s="355"/>
      <c r="Q76" s="525"/>
      <c r="R76" s="525"/>
      <c r="S76" s="525"/>
      <c r="T76" s="525"/>
      <c r="U76" s="525"/>
      <c r="V76" s="525"/>
      <c r="W76" s="525"/>
      <c r="X76" s="525">
        <f>+'Detailed Disclosure'!X76/'Detailed Disclosures - USD'!X$313</f>
        <v>0</v>
      </c>
      <c r="Y76" s="525">
        <f>+'Detailed Disclosure'!Y76/'Detailed Disclosures - USD'!Y$313</f>
        <v>0</v>
      </c>
      <c r="Z76" s="525">
        <f>+'Detailed Disclosure'!Z76/'Detailed Disclosures - USD'!Z$313</f>
        <v>0</v>
      </c>
      <c r="AA76" s="525">
        <f>+'Detailed Disclosure'!AA76/'Detailed Disclosures - USD'!AA$313</f>
        <v>49.34565043479904</v>
      </c>
      <c r="AB76" s="525">
        <f>+'Detailed Disclosure'!AB76/'Detailed Disclosures - USD'!AB$313</f>
        <v>150.6884223473989</v>
      </c>
      <c r="AC76" s="525">
        <f>+'Detailed Disclosure'!AC76/'Detailed Disclosures - USD'!AC$313</f>
        <v>148.85063567528681</v>
      </c>
      <c r="AD76" s="525">
        <f>+'Detailed Disclosure'!AD76/'Detailed Disclosures - USD'!AD$313</f>
        <v>148.06440131482529</v>
      </c>
      <c r="AE76" s="525">
        <f>+'Detailed Disclosure'!AE76/'Detailed Disclosures - USD'!AE$313</f>
        <v>149.93028532192923</v>
      </c>
      <c r="AF76" s="525">
        <f>+'Detailed Disclosure'!AF76/'Detailed Disclosures - USD'!AF$313</f>
        <v>176.84608996080641</v>
      </c>
      <c r="AG76" s="525">
        <f>+'Detailed Disclosure'!AG76/'Detailed Disclosures - USD'!AG$313</f>
        <v>1110.0492473299473</v>
      </c>
      <c r="AH76" s="525"/>
      <c r="AI76" s="525"/>
      <c r="AJ76" s="525">
        <f>+'Detailed Disclosure'!AJ76/'Detailed Disclosures - USD'!AJ$313</f>
        <v>0</v>
      </c>
      <c r="AK76" s="525">
        <f>+'Detailed Disclosure'!AK76/'Detailed Disclosures - USD'!AK$313</f>
        <v>0</v>
      </c>
      <c r="AL76" s="525">
        <f t="shared" si="141"/>
        <v>0</v>
      </c>
      <c r="AM76" s="525">
        <f t="shared" si="142"/>
        <v>49.34565043479904</v>
      </c>
      <c r="AN76" s="525">
        <f t="shared" si="143"/>
        <v>299.53905802268571</v>
      </c>
      <c r="AO76" s="525">
        <f t="shared" ref="AO76:AO77" si="158">SUM(AD76:AE76)</f>
        <v>297.99468663675452</v>
      </c>
      <c r="AP76" s="525">
        <f t="shared" ref="AP76:AP77" si="159">+SUM(AF76:AG76)</f>
        <v>1286.8953372907538</v>
      </c>
      <c r="AQ76" s="525"/>
      <c r="AR76" s="526"/>
      <c r="AS76" s="526"/>
      <c r="AT76" s="525"/>
    </row>
    <row r="77" spans="1:46">
      <c r="A77" s="527" t="s">
        <v>28</v>
      </c>
      <c r="D77" s="355"/>
      <c r="E77" s="355"/>
      <c r="F77" s="355"/>
      <c r="G77" s="355"/>
      <c r="H77" s="355"/>
      <c r="I77" s="355"/>
      <c r="J77" s="509"/>
      <c r="K77" s="355"/>
      <c r="L77" s="355"/>
      <c r="M77" s="355"/>
      <c r="N77" s="355"/>
      <c r="O77" s="355"/>
      <c r="P77" s="355"/>
      <c r="Q77" s="355"/>
      <c r="R77" s="355"/>
      <c r="S77" s="355"/>
      <c r="T77" s="355"/>
      <c r="U77" s="355"/>
      <c r="V77" s="355"/>
      <c r="W77" s="355"/>
      <c r="X77" s="355">
        <f>+'Detailed Disclosure'!X77/'Detailed Disclosures - USD'!X$313</f>
        <v>615.46658570380339</v>
      </c>
      <c r="Y77" s="355">
        <f>+'Detailed Disclosure'!Y77/'Detailed Disclosures - USD'!Y$313</f>
        <v>1217.9131944081403</v>
      </c>
      <c r="Z77" s="355">
        <f>+'Detailed Disclosure'!Z77/'Detailed Disclosures - USD'!Z$313</f>
        <v>3465.8495304812495</v>
      </c>
      <c r="AA77" s="355">
        <f>+'Detailed Disclosure'!AA77/'Detailed Disclosures - USD'!AA$313</f>
        <v>-1935.2747279897746</v>
      </c>
      <c r="AB77" s="355">
        <f>+'Detailed Disclosure'!AB77/'Detailed Disclosures - USD'!AB$313</f>
        <v>-7421.7705492073255</v>
      </c>
      <c r="AC77" s="355">
        <f>+'Detailed Disclosure'!AC77/'Detailed Disclosures - USD'!AC$313</f>
        <v>-8443.4983772909072</v>
      </c>
      <c r="AD77" s="355">
        <f>+'Detailed Disclosure'!AD77/'Detailed Disclosures - USD'!AD$313</f>
        <v>11031.132885287776</v>
      </c>
      <c r="AE77" s="355">
        <f>+'Detailed Disclosure'!AE77/'Detailed Disclosures - USD'!AE$313</f>
        <v>8384.8663024576454</v>
      </c>
      <c r="AF77" s="355">
        <f>+'Detailed Disclosure'!AF77/'Detailed Disclosures - USD'!AF$313</f>
        <v>16860.206060750203</v>
      </c>
      <c r="AG77" s="355">
        <f>+'Detailed Disclosure'!AG77/'Detailed Disclosures - USD'!AG$313</f>
        <v>3102.5739388062893</v>
      </c>
      <c r="AH77" s="355"/>
      <c r="AI77" s="355"/>
      <c r="AJ77" s="355">
        <f>+'Detailed Disclosure'!AJ77/'Detailed Disclosures - USD'!AJ$313</f>
        <v>130.94759697307961</v>
      </c>
      <c r="AK77" s="355">
        <f>+'Detailed Disclosure'!AK77/'Detailed Disclosures - USD'!AK$313</f>
        <v>433.28776696980663</v>
      </c>
      <c r="AL77" s="355">
        <f t="shared" si="141"/>
        <v>1833.3797801119435</v>
      </c>
      <c r="AM77" s="355">
        <f t="shared" ref="AM77" si="160">SUM(Z77:AA77)</f>
        <v>1530.5748024914749</v>
      </c>
      <c r="AN77" s="355">
        <f t="shared" si="143"/>
        <v>-15865.268926498233</v>
      </c>
      <c r="AO77" s="355">
        <f t="shared" si="158"/>
        <v>19415.999187745423</v>
      </c>
      <c r="AP77" s="355">
        <f t="shared" si="159"/>
        <v>19962.779999556493</v>
      </c>
      <c r="AQ77" s="355"/>
      <c r="AR77" s="328"/>
      <c r="AS77" s="328"/>
      <c r="AT77" s="355"/>
    </row>
    <row r="78" spans="1:46" s="579" customFormat="1">
      <c r="A78" s="539" t="s">
        <v>239</v>
      </c>
      <c r="D78" s="580"/>
      <c r="E78" s="580"/>
      <c r="F78" s="580"/>
      <c r="G78" s="580"/>
      <c r="H78" s="578"/>
      <c r="I78" s="578"/>
      <c r="J78" s="581"/>
      <c r="K78" s="578"/>
      <c r="L78" s="578"/>
      <c r="M78" s="578"/>
      <c r="N78" s="578"/>
      <c r="O78" s="578"/>
      <c r="P78" s="578"/>
      <c r="Q78" s="578"/>
      <c r="R78" s="578"/>
      <c r="S78" s="578"/>
      <c r="T78" s="578"/>
      <c r="U78" s="578"/>
      <c r="V78" s="578"/>
      <c r="W78" s="578"/>
      <c r="X78" s="339">
        <f t="shared" ref="X78:AE78" si="161">+X77/X17</f>
        <v>0.12847682365276902</v>
      </c>
      <c r="Y78" s="339">
        <f t="shared" si="161"/>
        <v>0.11703407652704403</v>
      </c>
      <c r="Z78" s="339">
        <f t="shared" si="161"/>
        <v>0.11831471581163043</v>
      </c>
      <c r="AA78" s="339">
        <f t="shared" si="161"/>
        <v>-4.837948295902101E-2</v>
      </c>
      <c r="AB78" s="339">
        <f t="shared" si="161"/>
        <v>-8.9229908686916798E-2</v>
      </c>
      <c r="AC78" s="339">
        <f t="shared" si="161"/>
        <v>-0.12208665748795149</v>
      </c>
      <c r="AD78" s="339">
        <f t="shared" si="161"/>
        <v>8.8196717724814036E-2</v>
      </c>
      <c r="AE78" s="339">
        <f t="shared" si="161"/>
        <v>5.438034825591629E-2</v>
      </c>
      <c r="AF78" s="339">
        <f t="shared" ref="AF78:AG78" si="162">+AF77/AF17</f>
        <v>7.2946960605481906E-2</v>
      </c>
      <c r="AG78" s="339">
        <f t="shared" si="162"/>
        <v>1.2148229485231582E-2</v>
      </c>
      <c r="AH78" s="339"/>
      <c r="AI78" s="339"/>
      <c r="AJ78" s="339">
        <f t="shared" ref="AJ78:AO78" si="163">+AJ77/AJ17</f>
        <v>0.31066176470588241</v>
      </c>
      <c r="AK78" s="339">
        <f t="shared" si="163"/>
        <v>0.10612959719789843</v>
      </c>
      <c r="AL78" s="339">
        <f t="shared" si="163"/>
        <v>0.12064113314824104</v>
      </c>
      <c r="AM78" s="339">
        <f t="shared" si="163"/>
        <v>2.2087666636099589E-2</v>
      </c>
      <c r="AN78" s="339">
        <f t="shared" si="163"/>
        <v>-0.10414675890739339</v>
      </c>
      <c r="AO78" s="339">
        <f t="shared" si="163"/>
        <v>6.9525741644843347E-2</v>
      </c>
      <c r="AP78" s="339">
        <f t="shared" ref="AP78" si="164">+AP77/AP17</f>
        <v>4.1031544433272324E-2</v>
      </c>
      <c r="AQ78" s="339"/>
      <c r="AR78" s="339"/>
      <c r="AS78" s="339"/>
      <c r="AT78" s="580"/>
    </row>
    <row r="79" spans="1:46">
      <c r="P79" s="511"/>
      <c r="T79" s="511"/>
      <c r="U79" s="511"/>
      <c r="V79" s="511"/>
      <c r="AE79" s="582"/>
      <c r="AF79" s="582"/>
      <c r="AG79" s="582"/>
    </row>
    <row r="80" spans="1:46">
      <c r="A80" s="319" t="s">
        <v>290</v>
      </c>
      <c r="D80" s="558"/>
      <c r="E80" s="558"/>
      <c r="F80" s="558"/>
      <c r="G80" s="558"/>
      <c r="H80" s="558"/>
      <c r="I80" s="558"/>
      <c r="J80" s="558"/>
      <c r="K80" s="558"/>
      <c r="L80" s="558"/>
      <c r="M80" s="558"/>
      <c r="N80" s="558"/>
      <c r="O80" s="558"/>
      <c r="P80" s="558"/>
      <c r="Q80" s="558"/>
      <c r="R80" s="558"/>
      <c r="S80" s="558"/>
      <c r="T80" s="558"/>
      <c r="U80" s="558"/>
      <c r="V80" s="558"/>
      <c r="X80" s="558">
        <f>+'Detailed Disclosure'!X80</f>
        <v>0.38</v>
      </c>
      <c r="Y80" s="558">
        <f>+'Detailed Disclosure'!Y80</f>
        <v>0.35608368289591735</v>
      </c>
      <c r="Z80" s="558">
        <f>+'Detailed Disclosure'!Z80</f>
        <v>0.35699999999999998</v>
      </c>
      <c r="AA80" s="558">
        <f>+'Detailed Disclosure'!AA80</f>
        <v>0.38015501805971408</v>
      </c>
      <c r="AB80" s="558">
        <f>+'Detailed Disclosure'!AB80</f>
        <v>0.376</v>
      </c>
      <c r="AC80" s="583" t="str">
        <f>+'Detailed Disclosure'!AC80</f>
        <v>NA</v>
      </c>
      <c r="AD80" s="583" t="str">
        <f>+'Detailed Disclosure'!AD80</f>
        <v>NA</v>
      </c>
      <c r="AE80" s="583" t="str">
        <f>+'Detailed Disclosure'!AE80</f>
        <v>NA</v>
      </c>
      <c r="AF80" s="583" t="str">
        <f>+'Detailed Disclosure'!AF80</f>
        <v>NA</v>
      </c>
      <c r="AG80" s="583" t="str">
        <f>+'Detailed Disclosure'!AG80</f>
        <v>NA</v>
      </c>
      <c r="AH80" s="558"/>
      <c r="AI80" s="558"/>
      <c r="AJ80" s="558">
        <f>+'Detailed Disclosure'!AJ80</f>
        <v>0.65073529411764708</v>
      </c>
      <c r="AK80" s="558">
        <f>+'Detailed Disclosure'!AK80</f>
        <v>0.35989492119089317</v>
      </c>
      <c r="AL80" s="558">
        <f>+'Detailed Disclosure'!AL80</f>
        <v>0.36340567028351417</v>
      </c>
      <c r="AM80" s="558">
        <f>+'Detailed Disclosure'!AM80</f>
        <v>0.37</v>
      </c>
      <c r="AN80" s="583" t="str">
        <f>+'Detailed Disclosure'!AN80</f>
        <v>NA</v>
      </c>
      <c r="AO80" s="583" t="str">
        <f>+'Detailed Disclosure'!AO80</f>
        <v>NA</v>
      </c>
      <c r="AP80" s="583" t="str">
        <f>+'Detailed Disclosure'!AP80</f>
        <v>NA</v>
      </c>
      <c r="AQ80" s="558"/>
      <c r="AR80" s="355"/>
    </row>
    <row r="81" spans="1:48" hidden="1" outlineLevel="1">
      <c r="A81" s="319" t="s">
        <v>291</v>
      </c>
      <c r="D81" s="558"/>
      <c r="E81" s="558"/>
      <c r="F81" s="558"/>
      <c r="G81" s="558"/>
      <c r="H81" s="558"/>
      <c r="I81" s="558"/>
      <c r="J81" s="558"/>
      <c r="K81" s="558"/>
      <c r="L81" s="558"/>
      <c r="M81" s="558"/>
      <c r="N81" s="583" t="str">
        <f>+'Detailed Disclosure'!N81</f>
        <v>&gt;20%</v>
      </c>
      <c r="O81" s="583"/>
      <c r="P81" s="583"/>
      <c r="Q81" s="583"/>
      <c r="R81" s="583"/>
      <c r="S81" s="583"/>
      <c r="T81" s="583"/>
      <c r="U81" s="583"/>
      <c r="V81" s="583"/>
      <c r="X81" s="558">
        <f>+'Detailed Disclosure'!X81</f>
        <v>0.28000000000000003</v>
      </c>
      <c r="Y81" s="558">
        <f>+'Detailed Disclosure'!Y81</f>
        <v>0.28096603558857447</v>
      </c>
      <c r="Z81" s="558">
        <f>+'Detailed Disclosure'!Z81</f>
        <v>0.31900000000000001</v>
      </c>
      <c r="AA81" s="558">
        <f>+'Detailed Disclosure'!AA81</f>
        <v>0.17828873640635309</v>
      </c>
      <c r="AB81" s="558">
        <f>+'Detailed Disclosure'!AB81</f>
        <v>0.217</v>
      </c>
      <c r="AC81" s="558">
        <f>+'Detailed Disclosure'!AC81</f>
        <v>0.13148967993436633</v>
      </c>
      <c r="AD81" s="558">
        <f>+'Detailed Disclosure'!AD81</f>
        <v>0</v>
      </c>
      <c r="AE81" s="558"/>
      <c r="AF81" s="558"/>
      <c r="AG81" s="558"/>
      <c r="AH81" s="558"/>
      <c r="AI81" s="558"/>
      <c r="AJ81" s="558">
        <f>+'Detailed Disclosure'!AJ81</f>
        <v>0.52022058823529416</v>
      </c>
      <c r="AK81" s="558">
        <f>+'Detailed Disclosure'!AK81</f>
        <v>0.25621716287215412</v>
      </c>
      <c r="AL81" s="558">
        <f>+'Detailed Disclosure'!AL81</f>
        <v>0.28067028351417572</v>
      </c>
      <c r="AM81" s="558">
        <f>+'Detailed Disclosure'!AM81</f>
        <v>0.24</v>
      </c>
      <c r="AN81" s="558">
        <f>+'Detailed Disclosure'!AN81</f>
        <v>0.17799726424883897</v>
      </c>
      <c r="AO81" s="558"/>
      <c r="AP81" s="558"/>
      <c r="AQ81" s="558"/>
      <c r="AR81" s="558"/>
    </row>
    <row r="82" spans="1:48" collapsed="1">
      <c r="D82" s="558"/>
      <c r="E82" s="558"/>
      <c r="F82" s="558"/>
      <c r="G82" s="558"/>
      <c r="H82" s="558"/>
      <c r="I82" s="558"/>
      <c r="J82" s="558"/>
      <c r="K82" s="558"/>
      <c r="L82" s="558"/>
      <c r="M82" s="558"/>
      <c r="N82" s="558"/>
      <c r="O82" s="558"/>
      <c r="P82" s="558"/>
      <c r="Q82" s="558"/>
      <c r="R82" s="558"/>
      <c r="S82" s="558"/>
      <c r="T82" s="558"/>
      <c r="U82" s="558"/>
      <c r="V82" s="558"/>
      <c r="X82" s="558"/>
      <c r="Y82" s="558"/>
      <c r="Z82" s="558"/>
      <c r="AA82" s="558"/>
      <c r="AB82" s="558"/>
      <c r="AC82" s="558"/>
      <c r="AD82" s="558"/>
      <c r="AE82" s="558"/>
      <c r="AF82" s="558"/>
      <c r="AG82" s="558"/>
      <c r="AH82" s="558"/>
      <c r="AI82" s="558"/>
      <c r="AJ82" s="558"/>
      <c r="AK82" s="558"/>
      <c r="AL82" s="558"/>
      <c r="AM82" s="558"/>
      <c r="AN82" s="558"/>
      <c r="AO82" s="558"/>
      <c r="AP82" s="558"/>
      <c r="AQ82" s="558"/>
      <c r="AR82" s="558"/>
      <c r="AU82" s="319">
        <v>1.05</v>
      </c>
      <c r="AV82" s="319">
        <v>1.1499999999999999</v>
      </c>
    </row>
    <row r="83" spans="1:48">
      <c r="A83" s="513" t="s">
        <v>292</v>
      </c>
      <c r="D83" s="558"/>
      <c r="E83" s="558"/>
      <c r="F83" s="558"/>
      <c r="G83" s="558"/>
      <c r="H83" s="558"/>
      <c r="I83" s="558"/>
      <c r="J83" s="584"/>
      <c r="K83" s="558"/>
      <c r="L83" s="558"/>
      <c r="M83" s="558"/>
      <c r="N83" s="558"/>
      <c r="O83" s="558"/>
      <c r="P83" s="558"/>
      <c r="Q83" s="558"/>
      <c r="W83" s="558"/>
      <c r="X83" s="558"/>
      <c r="Y83" s="558"/>
      <c r="Z83" s="558"/>
      <c r="AA83" s="558"/>
      <c r="AB83" s="558"/>
      <c r="AC83" s="558"/>
      <c r="AD83" s="558"/>
      <c r="AE83" s="558"/>
      <c r="AF83" s="558"/>
      <c r="AG83" s="558"/>
      <c r="AH83" s="558"/>
      <c r="AI83" s="558"/>
      <c r="AJ83" s="558"/>
      <c r="AK83" s="558"/>
      <c r="AL83" s="558"/>
      <c r="AM83" s="585"/>
      <c r="AN83" s="585"/>
      <c r="AO83" s="558"/>
      <c r="AP83" s="558"/>
      <c r="AQ83" s="558"/>
    </row>
    <row r="84" spans="1:48">
      <c r="A84" s="319" t="s">
        <v>293</v>
      </c>
      <c r="C84" s="355"/>
      <c r="D84" s="355"/>
      <c r="E84" s="355"/>
      <c r="F84" s="355"/>
      <c r="G84" s="355"/>
      <c r="H84" s="355"/>
      <c r="I84" s="355"/>
      <c r="J84" s="509"/>
      <c r="K84" s="355"/>
      <c r="L84" s="355"/>
      <c r="M84" s="355"/>
      <c r="N84" s="355"/>
      <c r="O84" s="355"/>
      <c r="P84" s="355"/>
      <c r="Q84" s="355"/>
      <c r="R84" s="355"/>
      <c r="S84" s="355"/>
      <c r="T84" s="355"/>
      <c r="U84" s="355"/>
      <c r="V84" s="355"/>
      <c r="W84" s="355"/>
      <c r="X84" s="355"/>
      <c r="Y84" s="355"/>
      <c r="Z84" s="355"/>
      <c r="AA84" s="355"/>
      <c r="AB84" s="355"/>
      <c r="AC84" s="355"/>
      <c r="AD84" s="355"/>
      <c r="AE84" s="355"/>
      <c r="AF84" s="355"/>
      <c r="AG84" s="355"/>
      <c r="AH84" s="355"/>
      <c r="AI84" s="355"/>
      <c r="AJ84" s="355"/>
      <c r="AK84" s="355"/>
      <c r="AM84" s="355">
        <f>+'Detailed Disclosure'!AM84*(AM$48/'Detailed Disclosure'!AM$90)</f>
        <v>-412.66211623138275</v>
      </c>
      <c r="AN84" s="328">
        <f>+'Detailed Disclosure'!AN84*(AN$48/'Detailed Disclosure'!AN$90)</f>
        <v>-1008.4730506435784</v>
      </c>
      <c r="AO84" s="328">
        <f>+'Detailed Disclosure'!AO84*(AO$48/'Detailed Disclosure'!AO$90)</f>
        <v>-2102.7165239335923</v>
      </c>
      <c r="AP84" s="328">
        <f>+'Detailed Disclosure'!AP84*(AP$48/'Detailed Disclosure'!AP$90)</f>
        <v>-3529.4829718502647</v>
      </c>
      <c r="AQ84" s="558"/>
    </row>
    <row r="85" spans="1:48">
      <c r="A85" s="319" t="s">
        <v>294</v>
      </c>
      <c r="C85" s="355"/>
      <c r="D85" s="355"/>
      <c r="E85" s="355"/>
      <c r="F85" s="355"/>
      <c r="G85" s="355"/>
      <c r="H85" s="355"/>
      <c r="I85" s="355"/>
      <c r="J85" s="509"/>
      <c r="K85" s="355"/>
      <c r="L85" s="355"/>
      <c r="M85" s="355"/>
      <c r="N85" s="355"/>
      <c r="O85" s="355"/>
      <c r="P85" s="355"/>
      <c r="Q85" s="355"/>
      <c r="R85" s="355"/>
      <c r="S85" s="355"/>
      <c r="T85" s="355"/>
      <c r="U85" s="355"/>
      <c r="V85" s="355"/>
      <c r="W85" s="355"/>
      <c r="X85" s="355"/>
      <c r="Y85" s="355"/>
      <c r="Z85" s="355"/>
      <c r="AA85" s="355"/>
      <c r="AB85" s="355"/>
      <c r="AC85" s="355"/>
      <c r="AD85" s="355"/>
      <c r="AE85" s="355"/>
      <c r="AF85" s="355"/>
      <c r="AG85" s="355"/>
      <c r="AH85" s="355"/>
      <c r="AI85" s="355"/>
      <c r="AJ85" s="355"/>
      <c r="AK85" s="355"/>
      <c r="AM85" s="355">
        <f>+'Detailed Disclosure'!AM85*(AM$48/'Detailed Disclosure'!AM$90)</f>
        <v>-715.10326256697385</v>
      </c>
      <c r="AN85" s="328">
        <f>+'Detailed Disclosure'!AN85*(AN$48/'Detailed Disclosure'!AN$90)</f>
        <v>-1488.5820930373316</v>
      </c>
      <c r="AO85" s="328">
        <f>+'Detailed Disclosure'!AO85*(AO$48/'Detailed Disclosure'!AO$90)</f>
        <v>-2394.2736822909869</v>
      </c>
      <c r="AP85" s="328">
        <f>+'Detailed Disclosure'!AP85*(AP$48/'Detailed Disclosure'!AP$90)</f>
        <v>-4383.9786371642767</v>
      </c>
      <c r="AQ85" s="558"/>
    </row>
    <row r="86" spans="1:48">
      <c r="A86" s="319" t="s">
        <v>295</v>
      </c>
      <c r="C86" s="355"/>
      <c r="D86" s="355"/>
      <c r="E86" s="355"/>
      <c r="F86" s="355"/>
      <c r="G86" s="355"/>
      <c r="H86" s="355"/>
      <c r="I86" s="355"/>
      <c r="J86" s="509"/>
      <c r="K86" s="355"/>
      <c r="L86" s="355"/>
      <c r="M86" s="355"/>
      <c r="N86" s="355"/>
      <c r="O86" s="355"/>
      <c r="P86" s="355"/>
      <c r="Q86" s="355"/>
      <c r="R86" s="355"/>
      <c r="S86" s="355"/>
      <c r="T86" s="355"/>
      <c r="U86" s="355"/>
      <c r="V86" s="355"/>
      <c r="W86" s="355"/>
      <c r="X86" s="355"/>
      <c r="Y86" s="355"/>
      <c r="Z86" s="355"/>
      <c r="AA86" s="355"/>
      <c r="AB86" s="355"/>
      <c r="AC86" s="355"/>
      <c r="AD86" s="355"/>
      <c r="AE86" s="355"/>
      <c r="AF86" s="355"/>
      <c r="AG86" s="355"/>
      <c r="AH86" s="355"/>
      <c r="AI86" s="355"/>
      <c r="AJ86" s="355"/>
      <c r="AK86" s="355"/>
      <c r="AM86" s="355">
        <f>+'Detailed Disclosure'!AM86*(AM$48/'Detailed Disclosure'!AM$90)</f>
        <v>-449.30023589532641</v>
      </c>
      <c r="AN86" s="328">
        <f>+'Detailed Disclosure'!AN86*(AN$48/'Detailed Disclosure'!AN$90)</f>
        <v>-733.19288335085639</v>
      </c>
      <c r="AO86" s="328">
        <f>+'Detailed Disclosure'!AO86*(AO$48/'Detailed Disclosure'!AO$90)</f>
        <v>-792.66343695675994</v>
      </c>
      <c r="AP86" s="328">
        <f>+'Detailed Disclosure'!AP86*(AP$48/'Detailed Disclosure'!AP$90)</f>
        <v>-2329.201810073901</v>
      </c>
      <c r="AQ86" s="558"/>
    </row>
    <row r="87" spans="1:48">
      <c r="A87" s="319" t="s">
        <v>296</v>
      </c>
      <c r="C87" s="355"/>
      <c r="D87" s="355"/>
      <c r="E87" s="355"/>
      <c r="F87" s="355"/>
      <c r="G87" s="355"/>
      <c r="H87" s="355"/>
      <c r="I87" s="355"/>
      <c r="J87" s="509"/>
      <c r="K87" s="355"/>
      <c r="L87" s="355"/>
      <c r="M87" s="355"/>
      <c r="N87" s="355"/>
      <c r="O87" s="355"/>
      <c r="P87" s="355"/>
      <c r="Q87" s="355"/>
      <c r="R87" s="355"/>
      <c r="S87" s="355"/>
      <c r="T87" s="355"/>
      <c r="U87" s="355"/>
      <c r="V87" s="355"/>
      <c r="W87" s="355"/>
      <c r="X87" s="355"/>
      <c r="Y87" s="355"/>
      <c r="Z87" s="355"/>
      <c r="AA87" s="355"/>
      <c r="AB87" s="355"/>
      <c r="AC87" s="355"/>
      <c r="AD87" s="355"/>
      <c r="AE87" s="355"/>
      <c r="AF87" s="355"/>
      <c r="AG87" s="355"/>
      <c r="AH87" s="355"/>
      <c r="AI87" s="355"/>
      <c r="AJ87" s="355"/>
      <c r="AK87" s="355"/>
      <c r="AM87" s="355">
        <f>+'Detailed Disclosure'!AM87*(AM$48/'Detailed Disclosure'!AM$90)</f>
        <v>-428.42357405120077</v>
      </c>
      <c r="AN87" s="328">
        <f>+'Detailed Disclosure'!AN87*(AN$48/'Detailed Disclosure'!AN$90)</f>
        <v>-865.88387929259898</v>
      </c>
      <c r="AO87" s="328">
        <f>+'Detailed Disclosure'!AO87*(AO$48/'Detailed Disclosure'!AO$90)</f>
        <v>-779.73681687886165</v>
      </c>
      <c r="AP87" s="328">
        <f>+'Detailed Disclosure'!AP87*(AP$48/'Detailed Disclosure'!AP$90)</f>
        <v>-1067.2377701450598</v>
      </c>
      <c r="AQ87" s="558"/>
    </row>
    <row r="88" spans="1:48">
      <c r="A88" s="319" t="s">
        <v>176</v>
      </c>
      <c r="C88" s="355"/>
      <c r="D88" s="355"/>
      <c r="E88" s="355"/>
      <c r="F88" s="355"/>
      <c r="G88" s="355"/>
      <c r="H88" s="355"/>
      <c r="I88" s="355"/>
      <c r="J88" s="509"/>
      <c r="K88" s="355"/>
      <c r="L88" s="355"/>
      <c r="M88" s="355"/>
      <c r="N88" s="355"/>
      <c r="O88" s="355"/>
      <c r="P88" s="355"/>
      <c r="Q88" s="355"/>
      <c r="R88" s="355"/>
      <c r="S88" s="355"/>
      <c r="T88" s="355"/>
      <c r="U88" s="355"/>
      <c r="V88" s="355"/>
      <c r="W88" s="355"/>
      <c r="X88" s="355"/>
      <c r="Y88" s="355"/>
      <c r="Z88" s="355"/>
      <c r="AA88" s="355"/>
      <c r="AB88" s="355"/>
      <c r="AC88" s="355"/>
      <c r="AD88" s="355"/>
      <c r="AE88" s="355"/>
      <c r="AF88" s="355"/>
      <c r="AG88" s="355"/>
      <c r="AH88" s="355"/>
      <c r="AI88" s="355"/>
      <c r="AJ88" s="355"/>
      <c r="AK88" s="355"/>
      <c r="AM88" s="355">
        <f>+'Detailed Disclosure'!AM88*(AM$48/'Detailed Disclosure'!AM$90)</f>
        <v>-393.24618790760064</v>
      </c>
      <c r="AN88" s="328">
        <f>+'Detailed Disclosure'!AN88*(AN$48/'Detailed Disclosure'!AN$90)</f>
        <v>-1088.5039245789399</v>
      </c>
      <c r="AO88" s="328">
        <f>+'Detailed Disclosure'!AO88*(AO$48/'Detailed Disclosure'!AO$90)</f>
        <v>-3273.6994902107599</v>
      </c>
      <c r="AP88" s="328">
        <f>+'Detailed Disclosure'!AP88*(AP$48/'Detailed Disclosure'!AP$90)</f>
        <v>-2584.9612366763481</v>
      </c>
      <c r="AQ88" s="558"/>
    </row>
    <row r="89" spans="1:48" s="513" customFormat="1">
      <c r="A89" s="319" t="s">
        <v>41</v>
      </c>
      <c r="C89" s="535"/>
      <c r="D89" s="535"/>
      <c r="E89" s="535"/>
      <c r="F89" s="535"/>
      <c r="G89" s="535"/>
      <c r="H89" s="535"/>
      <c r="I89" s="535"/>
      <c r="J89" s="573"/>
      <c r="K89" s="535"/>
      <c r="L89" s="535"/>
      <c r="M89" s="535"/>
      <c r="N89" s="535"/>
      <c r="O89" s="535"/>
      <c r="P89" s="535"/>
      <c r="Q89" s="535"/>
      <c r="R89" s="535"/>
      <c r="S89" s="535"/>
      <c r="T89" s="535"/>
      <c r="U89" s="535"/>
      <c r="V89" s="535"/>
      <c r="W89" s="535"/>
      <c r="X89" s="535"/>
      <c r="Y89" s="535"/>
      <c r="Z89" s="535"/>
      <c r="AA89" s="535"/>
      <c r="AB89" s="535"/>
      <c r="AC89" s="535"/>
      <c r="AD89" s="535"/>
      <c r="AE89" s="535"/>
      <c r="AF89" s="535"/>
      <c r="AG89" s="535"/>
      <c r="AH89" s="535"/>
      <c r="AI89" s="535"/>
      <c r="AJ89" s="535"/>
      <c r="AK89" s="535"/>
      <c r="AM89" s="535">
        <f>+'Detailed Disclosure'!AM89*(AM$48/'Detailed Disclosure'!AM$90)</f>
        <v>-143.5413637095069</v>
      </c>
      <c r="AN89" s="577">
        <f>+'Detailed Disclosure'!AN89*(AN$48/'Detailed Disclosure'!AN$90)</f>
        <v>-107.4052544937901</v>
      </c>
      <c r="AO89" s="577">
        <f>+'Detailed Disclosure'!AO89*(AO$48/'Detailed Disclosure'!AO$90)</f>
        <v>-609.86744332554019</v>
      </c>
      <c r="AP89" s="577">
        <f>+'Detailed Disclosure'!AP89*(AP$48/'Detailed Disclosure'!AP$90)</f>
        <v>-666.3275817079591</v>
      </c>
    </row>
    <row r="90" spans="1:48">
      <c r="A90" s="527" t="str">
        <f>+A48</f>
        <v>General and Administrative Expense</v>
      </c>
      <c r="C90" s="355"/>
      <c r="D90" s="355"/>
      <c r="E90" s="355"/>
      <c r="F90" s="355"/>
      <c r="G90" s="355"/>
      <c r="H90" s="355"/>
      <c r="I90" s="355"/>
      <c r="J90" s="509"/>
      <c r="K90" s="355"/>
      <c r="L90" s="355"/>
      <c r="M90" s="355"/>
      <c r="N90" s="355"/>
      <c r="O90" s="355"/>
      <c r="P90" s="355"/>
      <c r="Q90" s="355"/>
      <c r="R90" s="355"/>
      <c r="S90" s="355"/>
      <c r="T90" s="355"/>
      <c r="U90" s="355"/>
      <c r="V90" s="355"/>
      <c r="W90" s="355"/>
      <c r="X90" s="355"/>
      <c r="Y90" s="355"/>
      <c r="Z90" s="355"/>
      <c r="AA90" s="355"/>
      <c r="AB90" s="355"/>
      <c r="AC90" s="355"/>
      <c r="AD90" s="355"/>
      <c r="AE90" s="355"/>
      <c r="AF90" s="355"/>
      <c r="AG90" s="355"/>
      <c r="AH90" s="355"/>
      <c r="AI90" s="355"/>
      <c r="AJ90" s="355"/>
      <c r="AK90" s="355"/>
      <c r="AM90" s="355">
        <f>+'Detailed Disclosure'!AM90*(AM$48/'Detailed Disclosure'!AM$90)</f>
        <v>-2542.276740361991</v>
      </c>
      <c r="AN90" s="355">
        <f>+'Detailed Disclosure'!AN90*(AN$48/'Detailed Disclosure'!AN$90)</f>
        <v>-5292.0410853970952</v>
      </c>
      <c r="AO90" s="355">
        <f>+'Detailed Disclosure'!AO90*(AO$48/'Detailed Disclosure'!AO$90)</f>
        <v>-9952.9573935965018</v>
      </c>
      <c r="AP90" s="355">
        <f>+'Detailed Disclosure'!AP90*(AP$48/'Detailed Disclosure'!AP$90)</f>
        <v>-14561.19000761781</v>
      </c>
    </row>
    <row r="91" spans="1:48">
      <c r="A91" s="527"/>
      <c r="C91" s="355"/>
      <c r="D91" s="355"/>
      <c r="E91" s="355"/>
      <c r="F91" s="355"/>
      <c r="G91" s="355"/>
      <c r="H91" s="355"/>
      <c r="I91" s="355"/>
      <c r="J91" s="509"/>
      <c r="K91" s="355"/>
      <c r="L91" s="355"/>
      <c r="M91" s="355"/>
      <c r="N91" s="355"/>
      <c r="O91" s="355"/>
      <c r="P91" s="355"/>
      <c r="Q91" s="355"/>
      <c r="R91" s="355"/>
      <c r="S91" s="355"/>
      <c r="T91" s="355"/>
      <c r="U91" s="355"/>
      <c r="V91" s="355"/>
      <c r="W91" s="355"/>
      <c r="X91" s="355"/>
      <c r="Y91" s="355"/>
      <c r="Z91" s="355"/>
      <c r="AA91" s="355"/>
      <c r="AB91" s="355"/>
      <c r="AC91" s="355"/>
      <c r="AD91" s="355"/>
      <c r="AE91" s="355"/>
      <c r="AF91" s="355"/>
      <c r="AG91" s="355"/>
      <c r="AH91" s="355"/>
      <c r="AI91" s="355"/>
      <c r="AJ91" s="355"/>
      <c r="AK91" s="355"/>
      <c r="AM91" s="355"/>
      <c r="AN91" s="355"/>
      <c r="AO91" s="355"/>
      <c r="AP91" s="355"/>
    </row>
    <row r="92" spans="1:48">
      <c r="A92" s="319" t="s">
        <v>4203</v>
      </c>
      <c r="C92" s="355"/>
      <c r="D92" s="355"/>
      <c r="E92" s="355"/>
      <c r="F92" s="355"/>
      <c r="G92" s="355"/>
      <c r="H92" s="355"/>
      <c r="I92" s="355"/>
      <c r="J92" s="509"/>
      <c r="K92" s="355"/>
      <c r="L92" s="355"/>
      <c r="M92" s="355"/>
      <c r="N92" s="355"/>
      <c r="O92" s="355"/>
      <c r="P92" s="355"/>
      <c r="Q92" s="355"/>
      <c r="R92" s="355"/>
      <c r="S92" s="355"/>
      <c r="T92" s="355"/>
      <c r="U92" s="355"/>
      <c r="V92" s="355"/>
      <c r="W92" s="355"/>
      <c r="X92" s="355"/>
      <c r="Y92" s="355"/>
      <c r="Z92" s="355"/>
      <c r="AA92" s="355"/>
      <c r="AB92" s="355"/>
      <c r="AC92" s="355"/>
      <c r="AD92" s="355"/>
      <c r="AE92" s="355"/>
      <c r="AF92" s="355"/>
      <c r="AG92" s="355"/>
      <c r="AH92" s="355"/>
      <c r="AI92" s="355"/>
      <c r="AJ92" s="355"/>
      <c r="AK92" s="355"/>
      <c r="AL92" s="355"/>
      <c r="AM92" s="355"/>
      <c r="AN92" s="328">
        <f>+'Detailed Disclosure'!AN92</f>
        <v>42</v>
      </c>
      <c r="AO92" s="328">
        <f>+'Detailed Disclosure'!AO92</f>
        <v>59</v>
      </c>
      <c r="AP92" s="328">
        <f>+'Detailed Disclosure'!AP92</f>
        <v>72</v>
      </c>
      <c r="AQ92" s="558"/>
      <c r="AR92" s="558"/>
    </row>
    <row r="93" spans="1:48">
      <c r="D93" s="558"/>
      <c r="E93" s="558"/>
      <c r="F93" s="558"/>
      <c r="G93" s="558"/>
      <c r="H93" s="558"/>
      <c r="I93" s="558"/>
      <c r="J93" s="558"/>
      <c r="K93" s="558"/>
      <c r="L93" s="558"/>
      <c r="M93" s="558"/>
      <c r="N93" s="558"/>
      <c r="O93" s="558"/>
      <c r="P93" s="558"/>
      <c r="Q93" s="558"/>
      <c r="R93" s="558"/>
      <c r="S93" s="558"/>
      <c r="T93" s="558"/>
      <c r="U93" s="558"/>
      <c r="V93" s="558"/>
      <c r="X93" s="558"/>
      <c r="Y93" s="558"/>
      <c r="Z93" s="558"/>
      <c r="AA93" s="558"/>
      <c r="AB93" s="558"/>
      <c r="AC93" s="558"/>
      <c r="AD93" s="558"/>
      <c r="AE93" s="558"/>
      <c r="AF93" s="558"/>
      <c r="AG93" s="558"/>
      <c r="AH93" s="558"/>
      <c r="AI93" s="558"/>
      <c r="AJ93" s="558"/>
      <c r="AK93" s="558"/>
      <c r="AL93" s="558"/>
      <c r="AM93" s="558"/>
      <c r="AN93" s="558"/>
      <c r="AO93" s="558"/>
      <c r="AP93" s="558"/>
      <c r="AQ93" s="558"/>
      <c r="AR93" s="558"/>
    </row>
    <row r="94" spans="1:48">
      <c r="A94" s="353" t="s">
        <v>124</v>
      </c>
      <c r="B94" s="354"/>
      <c r="C94" s="352"/>
      <c r="W94" s="352"/>
      <c r="AU94" s="319">
        <v>0.73</v>
      </c>
      <c r="AV94" s="319">
        <v>1.7</v>
      </c>
    </row>
    <row r="95" spans="1:48">
      <c r="J95" s="586"/>
    </row>
    <row r="96" spans="1:48">
      <c r="A96" s="319" t="s">
        <v>297</v>
      </c>
      <c r="D96" s="355"/>
      <c r="E96" s="355">
        <f>+AL96</f>
        <v>29838</v>
      </c>
      <c r="F96" s="356" t="s">
        <v>251</v>
      </c>
      <c r="G96" s="355">
        <f>+Z96</f>
        <v>67657</v>
      </c>
      <c r="H96" s="355">
        <v>86764</v>
      </c>
      <c r="I96" s="355">
        <f>+'Detailed Disclosure'!I96</f>
        <v>114800</v>
      </c>
      <c r="J96" s="355">
        <f>+'Detailed Disclosure'!J96</f>
        <v>142543</v>
      </c>
      <c r="K96" s="355">
        <f>+'Detailed Disclosure'!K96</f>
        <v>208700</v>
      </c>
      <c r="L96" s="355">
        <f>+'Detailed Disclosure'!L96</f>
        <v>246880</v>
      </c>
      <c r="M96" s="355">
        <f>+'Detailed Disclosure'!M96</f>
        <v>260596</v>
      </c>
      <c r="N96" s="355">
        <v>287626</v>
      </c>
      <c r="O96" s="355">
        <f>+'Detailed Disclosure'!O96</f>
        <v>313982</v>
      </c>
      <c r="P96" s="355">
        <f>+'Detailed Disclosure'!P96</f>
        <v>350653</v>
      </c>
      <c r="Q96" s="355">
        <f>+'Detailed Disclosure'!Q96</f>
        <v>423253</v>
      </c>
      <c r="R96" s="355">
        <f>+'Detailed Disclosure'!R96</f>
        <v>487289</v>
      </c>
      <c r="S96" s="355">
        <f>+'Detailed Disclosure'!S96</f>
        <v>575888</v>
      </c>
      <c r="T96" s="355">
        <f>+'Detailed Disclosure'!T96</f>
        <v>644026</v>
      </c>
      <c r="U96" s="355">
        <f>+'Detailed Disclosure'!U96</f>
        <v>692287</v>
      </c>
      <c r="V96" s="355"/>
      <c r="X96" s="355"/>
      <c r="Y96" s="355">
        <v>29838</v>
      </c>
      <c r="Z96" s="355">
        <v>67657</v>
      </c>
      <c r="AA96" s="355">
        <f>+'Detailed Disclosure'!AA96</f>
        <v>114800</v>
      </c>
      <c r="AB96" s="355">
        <f>+'Detailed Disclosure'!AB96</f>
        <v>208700</v>
      </c>
      <c r="AC96" s="355">
        <f>+'Detailed Disclosure'!AC96</f>
        <v>260596</v>
      </c>
      <c r="AD96" s="355">
        <f>+'Detailed Disclosure'!AD96</f>
        <v>313982</v>
      </c>
      <c r="AE96" s="355">
        <f>+Q96</f>
        <v>423253</v>
      </c>
      <c r="AF96" s="355">
        <f>+S96</f>
        <v>575888</v>
      </c>
      <c r="AG96" s="355">
        <f>+'Detailed Disclosure'!AG96</f>
        <v>692287</v>
      </c>
      <c r="AH96" s="355"/>
      <c r="AI96" s="355"/>
      <c r="AJ96" s="355">
        <v>893</v>
      </c>
      <c r="AK96" s="355">
        <v>8800</v>
      </c>
      <c r="AL96" s="355">
        <f>+Y96</f>
        <v>29838</v>
      </c>
      <c r="AM96" s="355">
        <f>+'Detailed Disclosure'!AM96</f>
        <v>114800</v>
      </c>
      <c r="AN96" s="355">
        <f>+'Detailed Disclosure'!AN96</f>
        <v>260596</v>
      </c>
      <c r="AO96" s="355">
        <f>+'Detailed Disclosure'!AO96</f>
        <v>423253</v>
      </c>
      <c r="AP96" s="355">
        <f>+'Detailed Disclosure'!AP96</f>
        <v>692287</v>
      </c>
      <c r="AQ96" s="355"/>
      <c r="AU96" s="319">
        <f>SUM(AU82:AU94)</f>
        <v>1.78</v>
      </c>
      <c r="AV96" s="319">
        <f>SUM(AV82:AV94)</f>
        <v>2.8499999999999996</v>
      </c>
    </row>
    <row r="97" spans="1:48" s="337" customFormat="1">
      <c r="A97" s="546" t="s">
        <v>298</v>
      </c>
      <c r="D97" s="554"/>
      <c r="E97" s="547"/>
      <c r="F97" s="547"/>
      <c r="G97" s="547"/>
      <c r="H97" s="547">
        <f>+H96-G96</f>
        <v>19107</v>
      </c>
      <c r="I97" s="547">
        <f t="shared" ref="I97:P97" si="165">+I96-H96</f>
        <v>28036</v>
      </c>
      <c r="J97" s="564">
        <f t="shared" si="165"/>
        <v>27743</v>
      </c>
      <c r="K97" s="547">
        <f t="shared" si="165"/>
        <v>66157</v>
      </c>
      <c r="L97" s="547">
        <f t="shared" si="165"/>
        <v>38180</v>
      </c>
      <c r="M97" s="547">
        <f t="shared" si="165"/>
        <v>13716</v>
      </c>
      <c r="N97" s="547">
        <f t="shared" si="165"/>
        <v>27030</v>
      </c>
      <c r="O97" s="547">
        <f t="shared" si="165"/>
        <v>26356</v>
      </c>
      <c r="P97" s="547">
        <f t="shared" si="165"/>
        <v>36671</v>
      </c>
      <c r="Q97" s="547">
        <f t="shared" ref="Q97:R97" si="166">+Q96-P96</f>
        <v>72600</v>
      </c>
      <c r="R97" s="547">
        <f t="shared" si="166"/>
        <v>64036</v>
      </c>
      <c r="S97" s="547">
        <f t="shared" ref="S97" si="167">+S96-R96</f>
        <v>88599</v>
      </c>
      <c r="T97" s="547">
        <f t="shared" ref="T97:U97" si="168">+T96-S96</f>
        <v>68138</v>
      </c>
      <c r="U97" s="547">
        <f t="shared" si="168"/>
        <v>48261</v>
      </c>
      <c r="V97" s="547"/>
      <c r="W97" s="355"/>
      <c r="X97" s="547"/>
      <c r="Y97" s="547"/>
      <c r="Z97" s="547">
        <f t="shared" ref="Z97:AD97" si="169">+Z96-Y96</f>
        <v>37819</v>
      </c>
      <c r="AA97" s="547">
        <f t="shared" si="169"/>
        <v>47143</v>
      </c>
      <c r="AB97" s="547">
        <f t="shared" si="169"/>
        <v>93900</v>
      </c>
      <c r="AC97" s="547">
        <f t="shared" si="169"/>
        <v>51896</v>
      </c>
      <c r="AD97" s="547">
        <f t="shared" si="169"/>
        <v>53386</v>
      </c>
      <c r="AE97" s="547">
        <f t="shared" ref="AE97" si="170">+AE96-AD96</f>
        <v>109271</v>
      </c>
      <c r="AF97" s="547">
        <f t="shared" ref="AF97:AG97" si="171">+AF96-AE96</f>
        <v>152635</v>
      </c>
      <c r="AG97" s="547">
        <f t="shared" si="171"/>
        <v>116399</v>
      </c>
      <c r="AH97" s="355"/>
      <c r="AI97" s="355"/>
      <c r="AJ97" s="547"/>
      <c r="AK97" s="547">
        <f t="shared" ref="AK97:AN97" si="172">+AK96-AJ96</f>
        <v>7907</v>
      </c>
      <c r="AL97" s="547">
        <f t="shared" si="172"/>
        <v>21038</v>
      </c>
      <c r="AM97" s="547">
        <f t="shared" si="172"/>
        <v>84962</v>
      </c>
      <c r="AN97" s="547">
        <f t="shared" si="172"/>
        <v>145796</v>
      </c>
      <c r="AO97" s="547">
        <f t="shared" ref="AO97:AP97" si="173">+AO96-AN96</f>
        <v>162657</v>
      </c>
      <c r="AP97" s="547">
        <f t="shared" si="173"/>
        <v>269034</v>
      </c>
      <c r="AQ97" s="547"/>
    </row>
    <row r="98" spans="1:48" s="337" customFormat="1">
      <c r="A98" s="546" t="s">
        <v>237</v>
      </c>
      <c r="G98" s="519"/>
      <c r="I98" s="339">
        <f>+I96/E96-1</f>
        <v>2.847442858100409</v>
      </c>
      <c r="J98" s="339" t="s">
        <v>251</v>
      </c>
      <c r="K98" s="339">
        <f>+K96/G96-1</f>
        <v>2.0846771213621649</v>
      </c>
      <c r="L98" s="339">
        <f>+L96/H96-1</f>
        <v>1.8454197593471946</v>
      </c>
      <c r="M98" s="339">
        <f t="shared" ref="M98:O98" si="174">+M96/I96-1</f>
        <v>1.27</v>
      </c>
      <c r="N98" s="339">
        <f t="shared" si="174"/>
        <v>1.0178191843864659</v>
      </c>
      <c r="O98" s="339">
        <f t="shared" si="174"/>
        <v>0.50446574029707714</v>
      </c>
      <c r="P98" s="339">
        <f t="shared" ref="P98" si="175">+P96/L96-1</f>
        <v>0.42033781594296826</v>
      </c>
      <c r="Q98" s="339">
        <f t="shared" ref="Q98:R98" si="176">+Q96/M96-1</f>
        <v>0.6241730494712121</v>
      </c>
      <c r="R98" s="339">
        <f t="shared" si="176"/>
        <v>0.69417576992344232</v>
      </c>
      <c r="S98" s="339">
        <f t="shared" ref="S98" si="177">+S96/O96-1</f>
        <v>0.83414335853647659</v>
      </c>
      <c r="T98" s="339">
        <f t="shared" ref="T98:U98" si="178">+T96/P96-1</f>
        <v>0.83664762600063303</v>
      </c>
      <c r="U98" s="339">
        <f t="shared" si="178"/>
        <v>0.63563400613817267</v>
      </c>
      <c r="V98" s="339"/>
      <c r="W98" s="339"/>
      <c r="X98" s="339"/>
      <c r="Y98" s="339"/>
      <c r="Z98" s="339"/>
      <c r="AA98" s="339">
        <f>+AA96/Y96-1</f>
        <v>2.847442858100409</v>
      </c>
      <c r="AB98" s="339">
        <f t="shared" ref="AB98" si="179">+AB96/Z96-1</f>
        <v>2.0846771213621649</v>
      </c>
      <c r="AC98" s="339">
        <f t="shared" ref="AC98" si="180">+AC96/AA96-1</f>
        <v>1.27</v>
      </c>
      <c r="AD98" s="339">
        <f t="shared" ref="AD98" si="181">+AD96/AB96-1</f>
        <v>0.50446574029707714</v>
      </c>
      <c r="AE98" s="339">
        <f t="shared" ref="AE98" si="182">+AE96/AC96-1</f>
        <v>0.6241730494712121</v>
      </c>
      <c r="AF98" s="339">
        <f t="shared" ref="AF98:AG98" si="183">+AF96/AD96-1</f>
        <v>0.83414335853647659</v>
      </c>
      <c r="AG98" s="339">
        <f t="shared" si="183"/>
        <v>0.63563400613817267</v>
      </c>
      <c r="AH98" s="339"/>
      <c r="AI98" s="339"/>
      <c r="AJ98" s="339"/>
      <c r="AK98" s="339">
        <f>+AK96/AJ96-1</f>
        <v>8.8544232922732355</v>
      </c>
      <c r="AL98" s="339">
        <f>+AL96/AK96-1</f>
        <v>2.3906818181818181</v>
      </c>
      <c r="AM98" s="339">
        <f>+AM96/AL96-1</f>
        <v>2.847442858100409</v>
      </c>
      <c r="AN98" s="339">
        <f t="shared" ref="AN98" si="184">+AN96/AM96-1</f>
        <v>1.27</v>
      </c>
      <c r="AO98" s="339">
        <f t="shared" ref="AO98:AP98" si="185">+AO96/AN96-1</f>
        <v>0.6241730494712121</v>
      </c>
      <c r="AP98" s="339">
        <f t="shared" si="185"/>
        <v>0.63563400613817267</v>
      </c>
    </row>
    <row r="99" spans="1:48" s="337" customFormat="1">
      <c r="A99" s="546" t="s">
        <v>226</v>
      </c>
      <c r="G99" s="519"/>
      <c r="I99" s="339"/>
      <c r="J99" s="339"/>
      <c r="K99" s="339"/>
      <c r="L99" s="339">
        <f>+L98+H98</f>
        <v>1.8454197593471946</v>
      </c>
      <c r="M99" s="339">
        <f t="shared" ref="M99" si="186">+M98+I98</f>
        <v>4.117442858100409</v>
      </c>
      <c r="N99" s="339" t="s">
        <v>251</v>
      </c>
      <c r="O99" s="339">
        <f t="shared" ref="O99" si="187">+O98+K98</f>
        <v>2.589142861659242</v>
      </c>
      <c r="P99" s="339">
        <f t="shared" ref="P99" si="188">+P98+L98</f>
        <v>2.2657575752901629</v>
      </c>
      <c r="Q99" s="339">
        <f t="shared" ref="Q99:R99" si="189">+Q98+M98</f>
        <v>1.8941730494712121</v>
      </c>
      <c r="R99" s="339">
        <f t="shared" si="189"/>
        <v>1.7119949543099082</v>
      </c>
      <c r="S99" s="339">
        <f t="shared" ref="S99" si="190">+S98+O98</f>
        <v>1.3386090988335537</v>
      </c>
      <c r="T99" s="339">
        <f t="shared" ref="T99:U99" si="191">+T98+P98</f>
        <v>1.2569854419436013</v>
      </c>
      <c r="U99" s="339">
        <f t="shared" si="191"/>
        <v>1.2598070556093848</v>
      </c>
      <c r="V99" s="339"/>
      <c r="W99" s="339"/>
      <c r="X99" s="339"/>
      <c r="Y99" s="339"/>
      <c r="Z99" s="339"/>
      <c r="AA99" s="339"/>
      <c r="AB99" s="339"/>
      <c r="AC99" s="339">
        <f t="shared" ref="AC99" si="192">+AC98+AA98</f>
        <v>4.117442858100409</v>
      </c>
      <c r="AD99" s="339">
        <f t="shared" ref="AD99" si="193">+AD98+AB98</f>
        <v>2.589142861659242</v>
      </c>
      <c r="AE99" s="339">
        <f t="shared" ref="AE99" si="194">+AE98+AC98</f>
        <v>1.8941730494712121</v>
      </c>
      <c r="AF99" s="339">
        <f t="shared" ref="AF99:AG99" si="195">+AF98+AD98</f>
        <v>1.3386090988335537</v>
      </c>
      <c r="AG99" s="339">
        <f t="shared" si="195"/>
        <v>1.2598070556093848</v>
      </c>
      <c r="AH99" s="339"/>
      <c r="AI99" s="339"/>
      <c r="AJ99" s="339"/>
      <c r="AK99" s="339"/>
      <c r="AL99" s="339">
        <f>+AL98+AK98</f>
        <v>11.245105110455054</v>
      </c>
      <c r="AM99" s="339">
        <f t="shared" ref="AM99" si="196">+AM98+AL98</f>
        <v>5.2381246762822276</v>
      </c>
      <c r="AN99" s="339">
        <f t="shared" ref="AN99" si="197">+AN98+AM98</f>
        <v>4.117442858100409</v>
      </c>
      <c r="AO99" s="339">
        <f t="shared" ref="AO99:AP99" si="198">+AO98+AN98</f>
        <v>1.8941730494712121</v>
      </c>
      <c r="AP99" s="339">
        <f t="shared" si="198"/>
        <v>1.2598070556093848</v>
      </c>
    </row>
    <row r="100" spans="1:48">
      <c r="J100" s="586"/>
      <c r="Z100" s="511"/>
      <c r="AU100" s="319">
        <f>AVERAGE(AU82:AU95)</f>
        <v>0.89</v>
      </c>
      <c r="AV100" s="319">
        <f>AVERAGE(AV82:AV95)</f>
        <v>1.4249999999999998</v>
      </c>
    </row>
    <row r="101" spans="1:48">
      <c r="A101" s="319" t="s">
        <v>299</v>
      </c>
      <c r="D101" s="355">
        <f>+H101/(1+H102)</f>
        <v>847.05882352941171</v>
      </c>
      <c r="E101" s="355">
        <f>+Y101-D101</f>
        <v>1495.4411764705883</v>
      </c>
      <c r="F101" s="355">
        <f>+'Q4 FY21e analysis'!L10</f>
        <v>2300</v>
      </c>
      <c r="G101" s="355">
        <f>+'Q4 FY21e analysis'!M10</f>
        <v>3546</v>
      </c>
      <c r="H101" s="355">
        <v>3600</v>
      </c>
      <c r="I101" s="355">
        <f>+'Detailed Disclosure'!I101</f>
        <v>4490</v>
      </c>
      <c r="J101" s="509">
        <f>+'Q4 FY21e analysis'!P10</f>
        <v>7279.9999999999991</v>
      </c>
      <c r="K101" s="355">
        <f>+AB101-J101</f>
        <v>16320</v>
      </c>
      <c r="L101" s="355">
        <f>+'Detailed Disclosure'!L101</f>
        <v>13300</v>
      </c>
      <c r="M101" s="355">
        <f>+'Detailed Disclosure'!M101</f>
        <v>7800</v>
      </c>
      <c r="N101" s="355"/>
      <c r="O101" s="355"/>
      <c r="P101" s="355"/>
      <c r="Q101" s="355"/>
      <c r="R101" s="355"/>
      <c r="S101" s="355"/>
      <c r="T101" s="355"/>
      <c r="U101" s="355"/>
      <c r="V101" s="355"/>
      <c r="X101" s="355">
        <f>+Z101/(1+300%)</f>
        <v>1461.5</v>
      </c>
      <c r="Y101" s="355">
        <f>+AL101-X101</f>
        <v>2342.5</v>
      </c>
      <c r="Z101" s="355">
        <v>5846</v>
      </c>
      <c r="AA101" s="355">
        <f>+'Detailed Disclosure'!AA101</f>
        <v>8090</v>
      </c>
      <c r="AB101" s="355">
        <f>+'Detailed Disclosure'!AB101</f>
        <v>23600</v>
      </c>
      <c r="AC101" s="355">
        <f>+'Detailed Disclosure'!AC101</f>
        <v>21100</v>
      </c>
      <c r="AD101" s="355"/>
      <c r="AE101" s="355"/>
      <c r="AF101" s="355"/>
      <c r="AG101" s="355"/>
      <c r="AH101" s="355"/>
      <c r="AI101" s="355"/>
      <c r="AJ101" s="355">
        <f>+AK101/(1+AK102)</f>
        <v>193.6386768447837</v>
      </c>
      <c r="AK101" s="355">
        <v>1522</v>
      </c>
      <c r="AL101" s="355">
        <v>3804</v>
      </c>
      <c r="AM101" s="355">
        <f>+'Detailed Disclosure'!AM101</f>
        <v>13936</v>
      </c>
      <c r="AN101" s="355">
        <f>SUM(AB101:AC101)</f>
        <v>44700</v>
      </c>
      <c r="AO101" s="355"/>
      <c r="AP101" s="355"/>
      <c r="AQ101" s="355"/>
      <c r="AV101" s="319">
        <f>+AV100/AU100-1</f>
        <v>0.60112359550561778</v>
      </c>
    </row>
    <row r="102" spans="1:48">
      <c r="A102" s="546" t="s">
        <v>237</v>
      </c>
      <c r="H102" s="339">
        <v>3.25</v>
      </c>
      <c r="I102" s="339">
        <f>+I101/E101-1</f>
        <v>2.0024584521585207</v>
      </c>
      <c r="J102" s="343">
        <f t="shared" ref="J102" si="199">+J101/F101-1</f>
        <v>2.1652173913043473</v>
      </c>
      <c r="K102" s="339">
        <f t="shared" ref="K102" si="200">+K101/G101-1</f>
        <v>3.6023688663282574</v>
      </c>
      <c r="L102" s="339">
        <f>+L101/H101-1</f>
        <v>2.6944444444444446</v>
      </c>
      <c r="M102" s="339">
        <f>+M101/I101-1</f>
        <v>0.73719376391982183</v>
      </c>
      <c r="N102" s="339"/>
      <c r="O102" s="339"/>
      <c r="P102" s="339"/>
      <c r="Q102" s="339"/>
      <c r="R102" s="339"/>
      <c r="S102" s="339"/>
      <c r="T102" s="339"/>
      <c r="U102" s="339"/>
      <c r="V102" s="339"/>
      <c r="W102" s="339"/>
      <c r="X102" s="339"/>
      <c r="Y102" s="339"/>
      <c r="Z102" s="339">
        <f>+Z101/X101-1</f>
        <v>3</v>
      </c>
      <c r="AA102" s="339">
        <f>+AA101/Y101-1</f>
        <v>2.4535752401280684</v>
      </c>
      <c r="AB102" s="339">
        <f t="shared" ref="AB102:AC102" si="201">+AB101/Z101-1</f>
        <v>3.0369483407458091</v>
      </c>
      <c r="AC102" s="339">
        <f t="shared" si="201"/>
        <v>1.608158220024722</v>
      </c>
      <c r="AD102" s="339"/>
      <c r="AE102" s="339"/>
      <c r="AF102" s="339"/>
      <c r="AG102" s="339"/>
      <c r="AH102" s="339"/>
      <c r="AI102" s="339"/>
      <c r="AJ102" s="339"/>
      <c r="AK102" s="339">
        <v>6.86</v>
      </c>
      <c r="AL102" s="339">
        <f>+AL101/AK101-1</f>
        <v>1.4993429697766096</v>
      </c>
      <c r="AM102" s="339">
        <f>+AM101/AL101-1</f>
        <v>2.6635120925341744</v>
      </c>
      <c r="AN102" s="339">
        <f>+AN101/AM101-1</f>
        <v>2.2075200918484499</v>
      </c>
      <c r="AO102" s="339"/>
      <c r="AP102" s="339"/>
    </row>
    <row r="103" spans="1:48" s="337" customFormat="1">
      <c r="A103" s="546" t="s">
        <v>226</v>
      </c>
      <c r="G103" s="519"/>
      <c r="I103" s="339"/>
      <c r="J103" s="339"/>
      <c r="K103" s="339"/>
      <c r="L103" s="339">
        <f>+L102+H102</f>
        <v>5.9444444444444446</v>
      </c>
      <c r="M103" s="339">
        <f t="shared" ref="M103" si="202">+M102+I102</f>
        <v>2.7396522160783423</v>
      </c>
      <c r="N103" s="339"/>
      <c r="O103" s="339"/>
      <c r="P103" s="339"/>
      <c r="Q103" s="339"/>
      <c r="R103" s="339"/>
      <c r="S103" s="339"/>
      <c r="T103" s="339"/>
      <c r="U103" s="339"/>
      <c r="V103" s="339"/>
      <c r="W103" s="339"/>
      <c r="X103" s="339"/>
      <c r="Y103" s="339"/>
      <c r="Z103" s="339"/>
      <c r="AA103" s="339"/>
      <c r="AB103" s="339">
        <f>+AB102+Z102</f>
        <v>6.0369483407458091</v>
      </c>
      <c r="AC103" s="339">
        <f t="shared" ref="AC103" si="203">+AC102+AA102</f>
        <v>4.0617334601527908</v>
      </c>
      <c r="AD103" s="339"/>
      <c r="AE103" s="339"/>
      <c r="AF103" s="339"/>
      <c r="AG103" s="339"/>
      <c r="AH103" s="339"/>
      <c r="AI103" s="339"/>
      <c r="AJ103" s="339"/>
      <c r="AK103" s="339"/>
      <c r="AL103" s="339">
        <f>+AL102+AK102</f>
        <v>8.3593429697766091</v>
      </c>
      <c r="AM103" s="339">
        <f t="shared" ref="AM103" si="204">+AM102+AL102</f>
        <v>4.1628550623107845</v>
      </c>
      <c r="AN103" s="339">
        <f t="shared" ref="AN103" si="205">+AN102+AM102</f>
        <v>4.8710321843826243</v>
      </c>
      <c r="AO103" s="339"/>
      <c r="AP103" s="339"/>
    </row>
    <row r="104" spans="1:48">
      <c r="J104" s="586"/>
    </row>
    <row r="105" spans="1:48" s="513" customFormat="1" ht="18.5">
      <c r="A105" s="319" t="s">
        <v>230</v>
      </c>
      <c r="D105" s="587">
        <f>+D106/D101/1000</f>
        <v>8.0143673701634586E-3</v>
      </c>
      <c r="E105" s="587">
        <f>+E106/E101/1000</f>
        <v>1.2578641469066537E-2</v>
      </c>
      <c r="F105" s="587">
        <f t="shared" ref="F105:G105" si="206">+F106/F101/1000</f>
        <v>1.043695652173913E-2</v>
      </c>
      <c r="G105" s="587">
        <f t="shared" si="206"/>
        <v>1.2122391426959955E-2</v>
      </c>
      <c r="H105" s="587">
        <f>+H106/H101/1000</f>
        <v>1.0126388888888888E-2</v>
      </c>
      <c r="I105" s="587">
        <f>+I106/I101/1000</f>
        <v>1.4909354120267259E-2</v>
      </c>
      <c r="J105" s="587">
        <f t="shared" ref="J105" si="207">+J106/J101/1000</f>
        <v>9.8170005577413004E-3</v>
      </c>
      <c r="K105" s="587">
        <f t="shared" ref="K105" si="208">+K106/K101/1000</f>
        <v>8.7839605355173617E-3</v>
      </c>
      <c r="L105" s="587">
        <f>+L106/L101/1000</f>
        <v>7.4940601503759394E-3</v>
      </c>
      <c r="M105" s="587">
        <f>+M106/M101/1000</f>
        <v>1.1400897435897436E-2</v>
      </c>
      <c r="N105" s="587"/>
      <c r="O105" s="587"/>
      <c r="P105" s="587"/>
      <c r="Q105" s="587"/>
      <c r="R105" s="587"/>
      <c r="S105" s="587"/>
      <c r="T105" s="587"/>
      <c r="U105" s="587"/>
      <c r="V105" s="587"/>
      <c r="W105" s="587"/>
      <c r="X105" s="587">
        <v>8.3000000000000001E-3</v>
      </c>
      <c r="Y105" s="587">
        <f>+Y106/Y101/1000</f>
        <v>1.0928178865658807E-2</v>
      </c>
      <c r="Z105" s="587">
        <v>1.15E-2</v>
      </c>
      <c r="AA105" s="587">
        <f>+AA106/AA101/1000</f>
        <v>1.278096415327565E-2</v>
      </c>
      <c r="AB105" s="587">
        <f t="shared" ref="AB105:AC105" si="209">+AB106/AB101/1000</f>
        <v>9.1026271186440671E-3</v>
      </c>
      <c r="AC105" s="587">
        <f t="shared" si="209"/>
        <v>8.9382938388625592E-3</v>
      </c>
      <c r="AD105" s="587"/>
      <c r="AE105" s="587"/>
      <c r="AF105" s="587"/>
      <c r="AG105" s="587"/>
      <c r="AH105" s="587"/>
      <c r="AI105" s="587"/>
      <c r="AJ105" s="587">
        <v>5.0000000000000001E-3</v>
      </c>
      <c r="AK105" s="587">
        <v>6.7999999999999996E-3</v>
      </c>
      <c r="AL105" s="587">
        <v>9.9000000000000008E-3</v>
      </c>
      <c r="AM105" s="587">
        <f>+AM106/AM101/1000</f>
        <v>1.2226535591274396E-2</v>
      </c>
      <c r="AN105" s="587">
        <f>+AN106/AN101/1000</f>
        <v>9.0250559284116346E-3</v>
      </c>
      <c r="AO105" s="587"/>
      <c r="AP105" s="587"/>
    </row>
    <row r="106" spans="1:48">
      <c r="A106" s="527" t="s">
        <v>300</v>
      </c>
      <c r="D106" s="355">
        <f>+H106/(1+H107)</f>
        <v>6788.6405959031654</v>
      </c>
      <c r="E106" s="355">
        <f>+Y106-D106</f>
        <v>18810.618396902591</v>
      </c>
      <c r="F106" s="355">
        <f>+'Q4 FY21e analysis'!L12</f>
        <v>24005</v>
      </c>
      <c r="G106" s="355">
        <f>+'Q4 FY21e analysis'!M12</f>
        <v>42986</v>
      </c>
      <c r="H106" s="355">
        <v>36455</v>
      </c>
      <c r="I106" s="355">
        <f>+'Detailed Disclosure'!I106</f>
        <v>66943</v>
      </c>
      <c r="J106" s="355">
        <f>+'Detailed Disclosure'!J106</f>
        <v>71467.764060356654</v>
      </c>
      <c r="K106" s="355">
        <f>+AB106-J106</f>
        <v>143354.23593964335</v>
      </c>
      <c r="L106" s="355">
        <f>+'Detailed Disclosure'!L106</f>
        <v>99671</v>
      </c>
      <c r="M106" s="355">
        <f>+'Detailed Disclosure'!M106</f>
        <v>88927</v>
      </c>
      <c r="N106" s="355">
        <f>+'Detailed Disclosure'!N106</f>
        <v>117388.03894297635</v>
      </c>
      <c r="O106" s="355">
        <f>+'Detailed Disclosure'!O106</f>
        <v>202308.93075399334</v>
      </c>
      <c r="P106" s="355">
        <f>+'Detailed Disclosure'!P106</f>
        <v>177150.5376344086</v>
      </c>
      <c r="Q106" s="355">
        <f>+'Detailed Disclosure'!Q106</f>
        <v>212538.49266862174</v>
      </c>
      <c r="R106" s="355">
        <f>+'Detailed Disclosure'!R106</f>
        <v>229001.3679890561</v>
      </c>
      <c r="S106" s="355">
        <f>+'Detailed Disclosure'!S106</f>
        <v>343042.56170791358</v>
      </c>
      <c r="T106" s="355">
        <f>+'Detailed Disclosure'!T106</f>
        <v>308533.65384615387</v>
      </c>
      <c r="U106" s="355">
        <f>+'Detailed Disclosure'!U106</f>
        <v>315594.41645687644</v>
      </c>
      <c r="V106" s="355"/>
      <c r="X106" s="355">
        <f>+Z106/(1+Z107)</f>
        <v>12048.741007194245</v>
      </c>
      <c r="Y106" s="355">
        <f>+AL106-X106</f>
        <v>25599.258992805757</v>
      </c>
      <c r="Z106" s="355">
        <v>66991</v>
      </c>
      <c r="AA106" s="355">
        <f>+'Detailed Disclosure'!AA106</f>
        <v>103398</v>
      </c>
      <c r="AB106" s="355">
        <f>+'Detailed Disclosure'!AB106</f>
        <v>214822</v>
      </c>
      <c r="AC106" s="355">
        <f>+'Detailed Disclosure'!AC106</f>
        <v>188598</v>
      </c>
      <c r="AD106" s="355">
        <f>+'Detailed Disclosure'!AD106</f>
        <v>319696.96969696967</v>
      </c>
      <c r="AE106" s="355">
        <f>+SUM(P106:Q106)</f>
        <v>389689.03030303033</v>
      </c>
      <c r="AF106" s="355">
        <f>+SUM(R106:S106)</f>
        <v>572043.92969696969</v>
      </c>
      <c r="AG106" s="355">
        <f>+'Detailed Disclosure'!AG106</f>
        <v>624128.07030303031</v>
      </c>
      <c r="AH106" s="355"/>
      <c r="AI106" s="355"/>
      <c r="AJ106" s="355">
        <v>965</v>
      </c>
      <c r="AK106" s="355">
        <v>10388</v>
      </c>
      <c r="AL106" s="355">
        <v>37648</v>
      </c>
      <c r="AM106" s="355">
        <f>+'Detailed Disclosure'!AM106</f>
        <v>170389</v>
      </c>
      <c r="AN106" s="355">
        <f>SUM(AB106:AC106)</f>
        <v>403420</v>
      </c>
      <c r="AO106" s="355">
        <f>+SUM(AD106:AE106)</f>
        <v>709386</v>
      </c>
      <c r="AP106" s="355">
        <f>+SUM(AF106:AG106)</f>
        <v>1196172</v>
      </c>
      <c r="AQ106" s="355"/>
    </row>
    <row r="107" spans="1:48">
      <c r="A107" s="539" t="s">
        <v>237</v>
      </c>
      <c r="H107" s="519">
        <v>4.37</v>
      </c>
      <c r="I107" s="519">
        <f>+I106/E106-1</f>
        <v>2.5587878392675818</v>
      </c>
      <c r="J107" s="519">
        <f t="shared" ref="J107" si="210">+J106/F106-1</f>
        <v>1.9772032518373943</v>
      </c>
      <c r="K107" s="519">
        <f t="shared" ref="K107:M107" si="211">+K106/G106-1</f>
        <v>2.3349052235528625</v>
      </c>
      <c r="L107" s="519">
        <f t="shared" ref="L107" si="212">+L106/H106-1</f>
        <v>1.7340831161706212</v>
      </c>
      <c r="M107" s="519">
        <f t="shared" si="211"/>
        <v>0.32839878702776981</v>
      </c>
      <c r="N107" s="519">
        <f t="shared" ref="N107" si="213">+N106/J106-1</f>
        <v>0.64253129346314308</v>
      </c>
      <c r="O107" s="519">
        <f t="shared" ref="O107" si="214">+O106/K106-1</f>
        <v>0.41125185054993274</v>
      </c>
      <c r="P107" s="519">
        <f t="shared" ref="P107" si="215">+P106/L106-1</f>
        <v>0.77735286727742881</v>
      </c>
      <c r="Q107" s="519">
        <f t="shared" ref="Q107:R107" si="216">+Q106/M106-1</f>
        <v>1.3900333157378721</v>
      </c>
      <c r="R107" s="519">
        <f t="shared" si="216"/>
        <v>0.95080665842197276</v>
      </c>
      <c r="S107" s="519">
        <f t="shared" ref="S107" si="217">+S106/O106-1</f>
        <v>0.69563726341399956</v>
      </c>
      <c r="T107" s="519">
        <f t="shared" ref="T107:U107" si="218">+T106/P106-1</f>
        <v>0.74164672580833457</v>
      </c>
      <c r="U107" s="519">
        <f t="shared" si="218"/>
        <v>0.48488122078165774</v>
      </c>
      <c r="V107" s="519"/>
      <c r="Z107" s="519">
        <v>4.5599999999999996</v>
      </c>
      <c r="AA107" s="519">
        <f>+AA106/Y106-1</f>
        <v>3.0391012891841234</v>
      </c>
      <c r="AB107" s="519">
        <f t="shared" ref="AB107:AC107" si="219">+AB106/Z106-1</f>
        <v>2.2067292621396906</v>
      </c>
      <c r="AC107" s="519">
        <f t="shared" si="219"/>
        <v>0.82400046422561357</v>
      </c>
      <c r="AD107" s="519">
        <f t="shared" ref="AD107" si="220">+AD106/AB106-1</f>
        <v>0.48819473655849799</v>
      </c>
      <c r="AE107" s="519">
        <f t="shared" ref="AE107" si="221">+AE106/AC106-1</f>
        <v>1.0662415842322313</v>
      </c>
      <c r="AF107" s="519">
        <f t="shared" ref="AF107:AG107" si="222">+AF106/AD106-1</f>
        <v>0.78933172322274903</v>
      </c>
      <c r="AG107" s="519">
        <f t="shared" si="222"/>
        <v>0.60160543861780069</v>
      </c>
      <c r="AK107" s="519">
        <f>+AK106/AJ106-1</f>
        <v>9.7647668393782379</v>
      </c>
      <c r="AL107" s="519">
        <f>+AL106/AK106-1</f>
        <v>2.6241817481709666</v>
      </c>
      <c r="AM107" s="519">
        <f>+AM106/AL106-1</f>
        <v>3.5258446663833407</v>
      </c>
      <c r="AN107" s="519">
        <f>+AN106/AM106-1</f>
        <v>1.3676411035923679</v>
      </c>
      <c r="AO107" s="519">
        <f t="shared" ref="AO107:AP107" si="223">+AO106/AN106-1</f>
        <v>0.75843041990977156</v>
      </c>
      <c r="AP107" s="519">
        <f t="shared" si="223"/>
        <v>0.68620750902893479</v>
      </c>
    </row>
    <row r="108" spans="1:48">
      <c r="A108" s="539" t="s">
        <v>226</v>
      </c>
      <c r="H108" s="519"/>
      <c r="I108" s="519"/>
      <c r="J108" s="519"/>
      <c r="K108" s="519"/>
      <c r="L108" s="519">
        <f>+L107+H107</f>
        <v>6.1040831161706208</v>
      </c>
      <c r="M108" s="519">
        <f t="shared" ref="M108" si="224">+M107+I107</f>
        <v>2.8871866262953514</v>
      </c>
      <c r="N108" s="519">
        <f t="shared" ref="N108" si="225">+N107+J107</f>
        <v>2.6197345453005374</v>
      </c>
      <c r="O108" s="519">
        <f t="shared" ref="O108" si="226">+O107+K107</f>
        <v>2.7461570741027952</v>
      </c>
      <c r="P108" s="519">
        <f t="shared" ref="P108" si="227">+P107+L107</f>
        <v>2.5114359834480497</v>
      </c>
      <c r="Q108" s="519">
        <f t="shared" ref="Q108:R108" si="228">+Q107+M107</f>
        <v>1.718432102765642</v>
      </c>
      <c r="R108" s="519">
        <f t="shared" si="228"/>
        <v>1.5933379518851158</v>
      </c>
      <c r="S108" s="519">
        <f t="shared" ref="S108" si="229">+S107+O107</f>
        <v>1.1068891139639323</v>
      </c>
      <c r="T108" s="519">
        <f t="shared" ref="T108:U108" si="230">+T107+P107</f>
        <v>1.5189995930857634</v>
      </c>
      <c r="U108" s="519">
        <f t="shared" si="230"/>
        <v>1.8749145365195299</v>
      </c>
      <c r="V108" s="519"/>
      <c r="Z108" s="519"/>
      <c r="AA108" s="519"/>
      <c r="AB108" s="519">
        <f>+AB107+Z107</f>
        <v>6.7667292621396902</v>
      </c>
      <c r="AC108" s="519">
        <f t="shared" ref="AC108" si="231">+AC107+AA107</f>
        <v>3.8631017534097367</v>
      </c>
      <c r="AD108" s="519">
        <f t="shared" ref="AD108" si="232">+AD107+AB107</f>
        <v>2.6949239986981883</v>
      </c>
      <c r="AE108" s="519">
        <f t="shared" ref="AE108" si="233">+AE107+AC107</f>
        <v>1.8902420484578448</v>
      </c>
      <c r="AF108" s="519">
        <f t="shared" ref="AF108:AG108" si="234">+AF107+AD107</f>
        <v>1.277526459781247</v>
      </c>
      <c r="AG108" s="519">
        <f t="shared" si="234"/>
        <v>1.6678470228500319</v>
      </c>
      <c r="AK108" s="519"/>
      <c r="AL108" s="519">
        <f>+AL107+AK107</f>
        <v>12.388948587549205</v>
      </c>
      <c r="AM108" s="519">
        <f t="shared" ref="AM108" si="235">+AM107+AL107</f>
        <v>6.1500264145543078</v>
      </c>
      <c r="AN108" s="519">
        <f t="shared" ref="AN108" si="236">+AN107+AM107</f>
        <v>4.8934857699757082</v>
      </c>
      <c r="AO108" s="519">
        <f t="shared" ref="AO108:AP108" si="237">+AO107+AN107</f>
        <v>2.1260715235021395</v>
      </c>
      <c r="AP108" s="519">
        <f t="shared" si="237"/>
        <v>1.4446379289387064</v>
      </c>
    </row>
    <row r="110" spans="1:48">
      <c r="A110" s="319" t="s">
        <v>223</v>
      </c>
      <c r="D110" s="355">
        <f>+'Detailed Disclosure'!D110/'Detailed Disclosures - USD'!D$313</f>
        <v>523.93532294707063</v>
      </c>
      <c r="E110" s="355">
        <f>+'Detailed Disclosure'!E110/'Detailed Disclosures - USD'!E$313</f>
        <v>493.52554261208428</v>
      </c>
      <c r="F110" s="355">
        <f>+'Q4 FY21e analysis'!L13</f>
        <v>547.78525619547599</v>
      </c>
      <c r="G110" s="355">
        <f>+'Q4 FY21e analysis'!M13</f>
        <v>580.79574981235271</v>
      </c>
      <c r="H110" s="355">
        <f>+'Detailed Disclosure'!H110/'Detailed Disclosures - USD'!H$313</f>
        <v>536.81541016387769</v>
      </c>
      <c r="I110" s="355">
        <f>+'Detailed Disclosure'!I110/'Detailed Disclosures - USD'!I$313</f>
        <v>533.73555488916543</v>
      </c>
      <c r="J110" s="355">
        <f>+'Detailed Disclosure'!J110/'Detailed Disclosures - USD'!J$313</f>
        <v>535.6235844325106</v>
      </c>
      <c r="K110" s="355">
        <f>+K8*1000/K106</f>
        <v>519.30030136090807</v>
      </c>
      <c r="L110" s="355">
        <f>+'Q4 FY21e analysis'!R13</f>
        <v>514.38203098420502</v>
      </c>
      <c r="M110" s="355">
        <f t="shared" ref="M110:R110" si="238">+M8*1000/M106</f>
        <v>504.60174482087137</v>
      </c>
      <c r="N110" s="355">
        <f t="shared" si="238"/>
        <v>491.42506061277965</v>
      </c>
      <c r="O110" s="355">
        <f t="shared" si="238"/>
        <v>513.90309089916673</v>
      </c>
      <c r="P110" s="355">
        <f t="shared" si="238"/>
        <v>508.31824548218509</v>
      </c>
      <c r="Q110" s="355">
        <f t="shared" si="238"/>
        <v>517.71923665622376</v>
      </c>
      <c r="R110" s="355">
        <f t="shared" si="238"/>
        <v>478.52551639194814</v>
      </c>
      <c r="S110" s="355">
        <f t="shared" ref="S110:T110" si="239">+S8*1000/S106</f>
        <v>556.40449569821249</v>
      </c>
      <c r="T110" s="355">
        <f t="shared" si="239"/>
        <v>547.08325113933438</v>
      </c>
      <c r="U110" s="355">
        <f t="shared" ref="U110" si="240">+U8*1000/U106</f>
        <v>545.12135904109368</v>
      </c>
      <c r="V110" s="355"/>
      <c r="X110" s="355">
        <f t="shared" ref="X110:AE110" si="241">+X8/X106*1000</f>
        <v>520.3030035397959</v>
      </c>
      <c r="Y110" s="355">
        <f t="shared" si="241"/>
        <v>501.589880308445</v>
      </c>
      <c r="Z110" s="355">
        <f t="shared" si="241"/>
        <v>568.96704298198563</v>
      </c>
      <c r="AA110" s="355">
        <f t="shared" si="241"/>
        <v>534.82186860551224</v>
      </c>
      <c r="AB110" s="355">
        <f t="shared" si="241"/>
        <v>524.73079052520086</v>
      </c>
      <c r="AC110" s="355">
        <f t="shared" si="241"/>
        <v>509.77046825476577</v>
      </c>
      <c r="AD110" s="355">
        <f t="shared" si="241"/>
        <v>505.64948781646979</v>
      </c>
      <c r="AE110" s="355">
        <f t="shared" si="241"/>
        <v>513.44559662206052</v>
      </c>
      <c r="AF110" s="355">
        <f t="shared" ref="AF110:AG110" si="242">+AF8/AF106*1000</f>
        <v>525.22788167807357</v>
      </c>
      <c r="AG110" s="355">
        <f t="shared" si="242"/>
        <v>546.0912076448077</v>
      </c>
      <c r="AH110" s="355"/>
      <c r="AI110" s="355"/>
      <c r="AJ110" s="355">
        <f>+'Detailed Disclosure'!AJ110/'Detailed Disclosures - USD'!AJ$313</f>
        <v>574.15484826657973</v>
      </c>
      <c r="AK110" s="355">
        <f>+'Detailed Disclosure'!AK110/'Detailed Disclosures - USD'!AK$313</f>
        <v>500.49742059218585</v>
      </c>
      <c r="AL110" s="355">
        <f>+'Detailed Disclosure'!AL110/'Detailed Disclosures - USD'!AL$313</f>
        <v>507.27708210249449</v>
      </c>
      <c r="AM110" s="355">
        <f>+'Detailed Disclosure'!AM110/'Detailed Disclosures - USD'!AM$313</f>
        <v>539.3140077869914</v>
      </c>
      <c r="AN110" s="355">
        <f>+'Detailed Disclosure'!AN110/'Detailed Disclosures - USD'!AN$313</f>
        <v>509.15294976071249</v>
      </c>
      <c r="AO110" s="355">
        <f>+'Detailed Disclosure'!AO110/'Detailed Disclosures - USD'!AO$313</f>
        <v>502.48311303451248</v>
      </c>
      <c r="AP110" s="355">
        <f>+'Detailed Disclosure'!AP110/'Detailed Disclosures - USD'!AP$313</f>
        <v>523.12193470647901</v>
      </c>
      <c r="AQ110" s="355"/>
    </row>
    <row r="111" spans="1:48" s="579" customFormat="1">
      <c r="A111" s="546" t="s">
        <v>237</v>
      </c>
      <c r="C111" s="339"/>
      <c r="D111" s="339"/>
      <c r="E111" s="339"/>
      <c r="F111" s="339"/>
      <c r="G111" s="339"/>
      <c r="H111" s="339">
        <f>+H110/D110-1</f>
        <v>2.4583353426827825E-2</v>
      </c>
      <c r="I111" s="339">
        <f t="shared" ref="I111" si="243">+I110/E110-1</f>
        <v>8.1475037875975875E-2</v>
      </c>
      <c r="J111" s="339">
        <f t="shared" ref="J111" si="244">+J110/F110-1</f>
        <v>-2.2201531759784232E-2</v>
      </c>
      <c r="K111" s="339">
        <f t="shared" ref="K111:M111" si="245">+K110/G110-1</f>
        <v>-0.10588136788417102</v>
      </c>
      <c r="L111" s="339">
        <f t="shared" si="245"/>
        <v>-4.1789745143166135E-2</v>
      </c>
      <c r="M111" s="339">
        <f t="shared" si="245"/>
        <v>-5.4584727963914559E-2</v>
      </c>
      <c r="N111" s="339">
        <f t="shared" ref="N111" si="246">+N110/J110-1</f>
        <v>-8.2517882155168643E-2</v>
      </c>
      <c r="O111" s="339">
        <f t="shared" ref="O111" si="247">+O110/K110-1</f>
        <v>-1.0393235758957009E-2</v>
      </c>
      <c r="P111" s="339">
        <f t="shared" ref="P111" si="248">+P110/L110-1</f>
        <v>-1.1788486254890485E-2</v>
      </c>
      <c r="Q111" s="339">
        <f t="shared" ref="Q111:R111" si="249">+Q110/M110-1</f>
        <v>2.5995732218502265E-2</v>
      </c>
      <c r="R111" s="339">
        <f t="shared" si="249"/>
        <v>-2.6249260069778457E-2</v>
      </c>
      <c r="S111" s="339">
        <f t="shared" ref="S111" si="250">+S110/O110-1</f>
        <v>8.2703150752959642E-2</v>
      </c>
      <c r="T111" s="339">
        <f t="shared" ref="T111:U111" si="251">+T110/P110-1</f>
        <v>7.6261291035062628E-2</v>
      </c>
      <c r="U111" s="339">
        <f t="shared" si="251"/>
        <v>5.2928538181913343E-2</v>
      </c>
      <c r="V111" s="339"/>
      <c r="W111" s="339"/>
      <c r="X111" s="339"/>
      <c r="Y111" s="339"/>
      <c r="Z111" s="339">
        <f>+Z110/X110-1</f>
        <v>9.3530191275299046E-2</v>
      </c>
      <c r="AA111" s="339">
        <f t="shared" ref="AA111" si="252">+AA110/Y110-1</f>
        <v>6.625330693799425E-2</v>
      </c>
      <c r="AB111" s="339">
        <f t="shared" ref="AB111" si="253">+AB110/Z110-1</f>
        <v>-7.7748356433687715E-2</v>
      </c>
      <c r="AC111" s="339">
        <f t="shared" ref="AC111" si="254">+AC110/AA110-1</f>
        <v>-4.6840643252051728E-2</v>
      </c>
      <c r="AD111" s="339">
        <f t="shared" ref="AD111" si="255">+AD110/AB110-1</f>
        <v>-3.6363985215414285E-2</v>
      </c>
      <c r="AE111" s="339">
        <f t="shared" ref="AE111" si="256">+AE110/AC110-1</f>
        <v>7.2093787226961137E-3</v>
      </c>
      <c r="AF111" s="339">
        <f t="shared" ref="AF111:AG111" si="257">+AF110/AD110-1</f>
        <v>3.8719299303848986E-2</v>
      </c>
      <c r="AG111" s="339">
        <f t="shared" si="257"/>
        <v>6.3581441222831492E-2</v>
      </c>
      <c r="AH111" s="339"/>
      <c r="AI111" s="339"/>
      <c r="AJ111" s="339"/>
      <c r="AK111" s="339">
        <f>+AK110/AJ110-1</f>
        <v>-0.12828843629340003</v>
      </c>
      <c r="AL111" s="339">
        <f>+AL110/AK110-1</f>
        <v>1.3545847054090565E-2</v>
      </c>
      <c r="AM111" s="339">
        <f t="shared" ref="AM111:AP111" si="258">+AM110/AL110-1</f>
        <v>6.3154687674267684E-2</v>
      </c>
      <c r="AN111" s="339">
        <f t="shared" si="258"/>
        <v>-5.5924855632882742E-2</v>
      </c>
      <c r="AO111" s="339">
        <f t="shared" si="258"/>
        <v>-1.3099868574530826E-2</v>
      </c>
      <c r="AP111" s="339">
        <f t="shared" si="258"/>
        <v>4.1073662251708276E-2</v>
      </c>
    </row>
    <row r="112" spans="1:48" s="579" customFormat="1">
      <c r="A112" s="546" t="s">
        <v>226</v>
      </c>
      <c r="C112" s="339"/>
      <c r="D112" s="339"/>
      <c r="E112" s="339"/>
      <c r="F112" s="339"/>
      <c r="G112" s="339"/>
      <c r="H112" s="339"/>
      <c r="I112" s="339"/>
      <c r="J112" s="339"/>
      <c r="K112" s="339"/>
      <c r="L112" s="339">
        <f>+L111+H111</f>
        <v>-1.720639171633831E-2</v>
      </c>
      <c r="M112" s="339">
        <f t="shared" ref="M112" si="259">+M111+I111</f>
        <v>2.6890309912061316E-2</v>
      </c>
      <c r="N112" s="339">
        <f t="shared" ref="N112" si="260">+N111+J111</f>
        <v>-0.10471941391495287</v>
      </c>
      <c r="O112" s="339">
        <f t="shared" ref="O112" si="261">+O111+K111</f>
        <v>-0.11627460364312803</v>
      </c>
      <c r="P112" s="339">
        <f t="shared" ref="P112" si="262">+P111+L111</f>
        <v>-5.3578231398056619E-2</v>
      </c>
      <c r="Q112" s="339">
        <f t="shared" ref="Q112:R112" si="263">+Q111+M111</f>
        <v>-2.8588995745412293E-2</v>
      </c>
      <c r="R112" s="339">
        <f t="shared" si="263"/>
        <v>-0.1087671422249471</v>
      </c>
      <c r="S112" s="339">
        <f t="shared" ref="S112" si="264">+S111+O111</f>
        <v>7.2309914994002633E-2</v>
      </c>
      <c r="T112" s="339">
        <f t="shared" ref="T112:U112" si="265">+T111+P111</f>
        <v>6.4472804780172144E-2</v>
      </c>
      <c r="U112" s="339">
        <f t="shared" si="265"/>
        <v>7.8924270400415608E-2</v>
      </c>
      <c r="V112" s="339"/>
      <c r="W112" s="339"/>
      <c r="X112" s="339"/>
      <c r="Y112" s="339"/>
      <c r="Z112" s="339"/>
      <c r="AA112" s="339"/>
      <c r="AB112" s="339">
        <f>+AB111+Z111</f>
        <v>1.5781834841611331E-2</v>
      </c>
      <c r="AC112" s="339">
        <f t="shared" ref="AC112" si="266">+AC111+AA111</f>
        <v>1.9412663685942522E-2</v>
      </c>
      <c r="AD112" s="339">
        <f t="shared" ref="AD112" si="267">+AD111+AB111</f>
        <v>-0.114112341649102</v>
      </c>
      <c r="AE112" s="339">
        <f t="shared" ref="AE112" si="268">+AE111+AC111</f>
        <v>-3.9631264529355614E-2</v>
      </c>
      <c r="AF112" s="339">
        <f t="shared" ref="AF112:AG112" si="269">+AF111+AD111</f>
        <v>2.3553140884347012E-3</v>
      </c>
      <c r="AG112" s="339">
        <f t="shared" si="269"/>
        <v>7.0790819945527605E-2</v>
      </c>
      <c r="AH112" s="339"/>
      <c r="AI112" s="339"/>
      <c r="AJ112" s="339"/>
      <c r="AK112" s="339"/>
      <c r="AL112" s="339">
        <f>+AL111+AK111</f>
        <v>-0.11474258923930947</v>
      </c>
      <c r="AM112" s="339">
        <f t="shared" ref="AM112" si="270">+AM111+AL111</f>
        <v>7.6700534728358249E-2</v>
      </c>
      <c r="AN112" s="339">
        <f t="shared" ref="AN112:AP112" si="271">+AN111+AM111</f>
        <v>7.2298320413849426E-3</v>
      </c>
      <c r="AO112" s="339">
        <f t="shared" si="271"/>
        <v>-6.9024724207413568E-2</v>
      </c>
      <c r="AP112" s="339">
        <f t="shared" si="271"/>
        <v>2.797379367717745E-2</v>
      </c>
    </row>
    <row r="113" spans="1:47">
      <c r="I113" s="511"/>
      <c r="J113" s="588"/>
      <c r="K113" s="511"/>
      <c r="L113" s="511"/>
      <c r="M113" s="511"/>
      <c r="N113" s="511"/>
      <c r="O113" s="511"/>
      <c r="P113" s="511"/>
      <c r="Q113" s="511"/>
      <c r="R113" s="511"/>
      <c r="S113" s="511"/>
      <c r="T113" s="511"/>
      <c r="U113" s="511"/>
      <c r="V113" s="511"/>
      <c r="AL113" s="519"/>
      <c r="AM113" s="519"/>
      <c r="AN113" s="519"/>
      <c r="AO113" s="519"/>
      <c r="AP113" s="519"/>
    </row>
    <row r="114" spans="1:47">
      <c r="A114" s="319" t="s">
        <v>301</v>
      </c>
      <c r="D114" s="589"/>
      <c r="E114" s="589"/>
      <c r="F114" s="589"/>
      <c r="G114" s="589"/>
      <c r="H114" s="589"/>
      <c r="I114" s="589"/>
      <c r="J114" s="590"/>
      <c r="K114" s="589"/>
      <c r="L114" s="589"/>
      <c r="M114" s="589"/>
      <c r="N114" s="589">
        <v>0.56000000000000005</v>
      </c>
      <c r="O114" s="589"/>
      <c r="P114" s="589"/>
      <c r="Q114" s="589"/>
      <c r="R114" s="589">
        <v>0.59</v>
      </c>
      <c r="S114" s="589"/>
      <c r="T114" s="589"/>
      <c r="U114" s="589"/>
      <c r="V114" s="589"/>
      <c r="X114" s="589">
        <v>0.19</v>
      </c>
      <c r="Y114" s="589">
        <f>+(AL114*AL8-X114*X8)/Y8</f>
        <v>0.29417589383863096</v>
      </c>
      <c r="Z114" s="589">
        <v>0.34</v>
      </c>
      <c r="AA114" s="589">
        <f>+'Detailed Disclosure'!AA114</f>
        <v>0.44411449764367977</v>
      </c>
      <c r="AB114" s="589">
        <f>+'Detailed Disclosure'!AB114</f>
        <v>0.46</v>
      </c>
      <c r="AC114" s="589">
        <f>+'Detailed Disclosure'!AC114</f>
        <v>0.54610321615557222</v>
      </c>
      <c r="AD114" s="589">
        <f>+'Detailed Disclosure'!AD114</f>
        <v>0.56000000000000005</v>
      </c>
      <c r="AE114" s="589">
        <f>+'Detailed Disclosure'!AE114</f>
        <v>0.59636486258641042</v>
      </c>
      <c r="AF114" s="589">
        <f>+'Detailed Disclosure'!AF114</f>
        <v>0.57999999999999996</v>
      </c>
      <c r="AG114" s="589">
        <f>+'Detailed Disclosure'!AG114</f>
        <v>0.63668018539976823</v>
      </c>
      <c r="AJ114" s="589">
        <v>0.08</v>
      </c>
      <c r="AK114" s="589">
        <v>0.17</v>
      </c>
      <c r="AL114" s="359">
        <v>0.26</v>
      </c>
      <c r="AM114" s="359">
        <f>+'Detailed Disclosure'!AM114</f>
        <v>0.4</v>
      </c>
      <c r="AN114" s="359">
        <f>+'Detailed Disclosure'!AN114</f>
        <v>0.5</v>
      </c>
      <c r="AO114" s="359">
        <f>+'Detailed Disclosure'!AO114</f>
        <v>0.57999999999999996</v>
      </c>
      <c r="AP114" s="359">
        <f>+'Detailed Disclosure'!AP114</f>
        <v>0.61</v>
      </c>
    </row>
    <row r="115" spans="1:47">
      <c r="J115" s="586"/>
      <c r="AL115" s="519"/>
      <c r="AM115" s="519"/>
      <c r="AN115" s="519"/>
      <c r="AO115" s="519"/>
      <c r="AP115" s="519"/>
    </row>
    <row r="116" spans="1:47">
      <c r="A116" s="319" t="s">
        <v>302</v>
      </c>
      <c r="D116" s="355"/>
      <c r="E116" s="355">
        <f>+'Detailed Disclosure'!E116/'Detailed Disclosures - USD'!E$313</f>
        <v>311.13079466452865</v>
      </c>
      <c r="F116" s="356" t="s">
        <v>251</v>
      </c>
      <c r="G116" s="355">
        <f>+G8/G96*1000</f>
        <v>369.00965312434477</v>
      </c>
      <c r="H116" s="355">
        <f>+'Detailed Disclosure'!H116/'Detailed Disclosures - USD'!H$313</f>
        <v>225.22734915993249</v>
      </c>
      <c r="I116" s="355">
        <f>+'Detailed Disclosure'!I116/'Detailed Disclosures - USD'!I$313</f>
        <v>311.23570776084841</v>
      </c>
      <c r="J116" s="355">
        <f>+'Detailed Disclosure'!J116/'Detailed Disclosures - USD'!J$313</f>
        <v>268.54927956746519</v>
      </c>
      <c r="K116" s="355">
        <f>+'Detailed Disclosure'!K116/'Detailed Disclosures - USD'!K$313</f>
        <v>355.9420826958779</v>
      </c>
      <c r="L116" s="355">
        <f>+'Detailed Disclosure'!L116/'Detailed Disclosures - USD'!L$313</f>
        <v>207.66757700189035</v>
      </c>
      <c r="M116" s="355">
        <f>+'Detailed Disclosure'!M116/'Detailed Disclosures - USD'!M$313</f>
        <v>172.37586827529313</v>
      </c>
      <c r="N116" s="355">
        <f>+'Detailed Disclosure'!N116/'Detailed Disclosures - USD'!N$313</f>
        <v>200.56401073883268</v>
      </c>
      <c r="O116" s="355">
        <f>+'Detailed Disclosure'!O116/'Detailed Disclosures - USD'!O$313</f>
        <v>331.12466584384669</v>
      </c>
      <c r="P116" s="355">
        <f>+'Detailed Disclosure'!P116/'Detailed Disclosures - USD'!P$313</f>
        <v>256.80330833202157</v>
      </c>
      <c r="Q116" s="355">
        <f>+'Detailed Disclosure'!Q116/'Detailed Disclosures - USD'!Q$313</f>
        <v>259.97515950144066</v>
      </c>
      <c r="R116" s="355">
        <f>+'Detailed Disclosure'!R116/'Detailed Disclosures - USD'!R$313</f>
        <v>224.8829706220038</v>
      </c>
      <c r="S116" s="355">
        <f>+'Detailed Disclosure'!S116/'Detailed Disclosures - USD'!S$313</f>
        <v>331.43670913461403</v>
      </c>
      <c r="T116" s="355">
        <f>+'Detailed Disclosure'!T116/'Detailed Disclosures - USD'!T$313</f>
        <v>262.09127338345326</v>
      </c>
      <c r="U116" s="355">
        <f>+'Detailed Disclosure'!U116/'Detailed Disclosures - USD'!U$313</f>
        <v>248.50568796576187</v>
      </c>
      <c r="V116" s="355"/>
      <c r="X116" s="355">
        <f>+'Detailed Disclosure'!X116/'Detailed Disclosures - USD'!X$313</f>
        <v>595.61282487464848</v>
      </c>
      <c r="Y116" s="355">
        <f>+'Detailed Disclosure'!Y116/'Detailed Disclosures - USD'!Y$313</f>
        <v>430.43131619358257</v>
      </c>
      <c r="Z116" s="355">
        <f>+'Detailed Disclosure'!Z116/'Detailed Disclosures - USD'!Z$313</f>
        <v>752.43990849446936</v>
      </c>
      <c r="AA116" s="355">
        <f>+'Detailed Disclosure'!AA116/'Detailed Disclosures - USD'!AA$313</f>
        <v>481.7030624570798</v>
      </c>
      <c r="AB116" s="355">
        <f>+'Detailed Disclosure'!AB116/'Detailed Disclosures - USD'!AB$313</f>
        <v>540.12322895162777</v>
      </c>
      <c r="AC116" s="355">
        <f>+'Detailed Disclosure'!AC116/'Detailed Disclosures - USD'!AC$313</f>
        <v>368.93003258650293</v>
      </c>
      <c r="AD116" s="355">
        <f>+'Detailed Disclosure'!AD116/'Detailed Disclosures - USD'!AD$313</f>
        <v>517.76647338492489</v>
      </c>
      <c r="AE116" s="355">
        <f>+'Detailed Disclosure'!AE116/'Detailed Disclosures - USD'!AE$313</f>
        <v>473.2355007207542</v>
      </c>
      <c r="AF116" s="355">
        <f>+'Detailed Disclosure'!AF116/'Detailed Disclosures - USD'!AF$313</f>
        <v>522.09003041719598</v>
      </c>
      <c r="AG116" s="355">
        <f>+'Detailed Disclosure'!AG116/'Detailed Disclosures - USD'!AG$313</f>
        <v>492.32116832084796</v>
      </c>
      <c r="AH116" s="355"/>
      <c r="AI116" s="355"/>
      <c r="AJ116" s="355">
        <f>+'Detailed Disclosure'!AJ116/'Detailed Disclosures - USD'!AJ$313</f>
        <v>503.25414793817907</v>
      </c>
      <c r="AK116" s="355">
        <f>+'Detailed Disclosure'!AK116/'Detailed Disclosures - USD'!AK$313</f>
        <v>590.84695495882727</v>
      </c>
      <c r="AL116" s="355">
        <f>+'Detailed Disclosure'!AL116/'Detailed Disclosures - USD'!AL$313</f>
        <v>645.32077947780999</v>
      </c>
      <c r="AM116" s="355">
        <f>+'Detailed Disclosure'!AM116/'Detailed Disclosures - USD'!AM$313</f>
        <v>808.67471529209502</v>
      </c>
      <c r="AN116" s="355">
        <f>+'Detailed Disclosure'!AN116/'Detailed Disclosures - USD'!AN$313</f>
        <v>801.00309912603291</v>
      </c>
      <c r="AO116" s="355">
        <f>+'Detailed Disclosure'!AO116/'Detailed Disclosures - USD'!AO$313</f>
        <v>856.9405770967337</v>
      </c>
      <c r="AP116" s="355">
        <f>+'Detailed Disclosure'!AP116/'Detailed Disclosures - USD'!AP$313</f>
        <v>926.3730591057008</v>
      </c>
      <c r="AQ116" s="355"/>
    </row>
    <row r="117" spans="1:47">
      <c r="A117" s="319" t="s">
        <v>303</v>
      </c>
      <c r="D117" s="355"/>
      <c r="E117" s="355"/>
      <c r="F117" s="355"/>
      <c r="G117" s="355"/>
      <c r="H117" s="355"/>
      <c r="I117" s="355"/>
      <c r="J117" s="509"/>
      <c r="K117" s="355"/>
      <c r="L117" s="355"/>
      <c r="M117" s="355"/>
      <c r="N117" s="355"/>
      <c r="O117" s="355"/>
      <c r="P117" s="355"/>
      <c r="Q117" s="355"/>
      <c r="R117" s="355"/>
      <c r="S117" s="355"/>
      <c r="T117" s="355"/>
      <c r="U117" s="355"/>
      <c r="V117" s="355"/>
      <c r="X117" s="355">
        <f>+'Detailed Disclosure'!X117/'Detailed Disclosures - USD'!X$313</f>
        <v>503.19014515272028</v>
      </c>
      <c r="Y117" s="355">
        <f>+'Detailed Disclosure'!Y117/'Detailed Disclosures - USD'!Y$313</f>
        <v>480.38294196171034</v>
      </c>
      <c r="Z117" s="355">
        <f>+'Detailed Disclosure'!Z117/'Detailed Disclosures - USD'!Z$313</f>
        <v>531.26160686208937</v>
      </c>
      <c r="AA117" s="355">
        <f>+'Detailed Disclosure'!AA117/'Detailed Disclosures - USD'!AA$313</f>
        <v>495.76958171212158</v>
      </c>
      <c r="AB117" s="355">
        <f>+'Detailed Disclosure'!AB117/'Detailed Disclosures - USD'!AB$313</f>
        <v>470.35269693872567</v>
      </c>
      <c r="AC117" s="355">
        <f>+'Detailed Disclosure'!AC117/'Detailed Disclosures - USD'!AC$313</f>
        <v>433.60837348887901</v>
      </c>
      <c r="AD117" s="355">
        <f>+'Detailed Disclosure'!AD117/'Detailed Disclosures - USD'!AD$313</f>
        <v>442.85325461131004</v>
      </c>
      <c r="AE117" s="355">
        <f>+'Detailed Disclosure'!AE117/'Detailed Disclosures - USD'!AE$313</f>
        <v>427.54629111344912</v>
      </c>
      <c r="AF117" s="355">
        <f>+'Detailed Disclosure'!AF117/'Detailed Disclosures - USD'!AF$313</f>
        <v>447.24383855434354</v>
      </c>
      <c r="AG117" s="355">
        <f>+'Detailed Disclosure'!AG117/'Detailed Disclosures - USD'!AG$313</f>
        <v>456.14810437381431</v>
      </c>
      <c r="AH117" s="355"/>
      <c r="AI117" s="355"/>
      <c r="AJ117" s="355"/>
      <c r="AK117" s="355"/>
      <c r="AL117" s="355">
        <f>+'Detailed Disclosure'!AL117/'Detailed Disclosures - USD'!AL$313</f>
        <v>491.19432124323441</v>
      </c>
      <c r="AM117" s="355">
        <f>+'Detailed Disclosure'!AM117/'Detailed Disclosures - USD'!AM$313</f>
        <v>509.47644165769719</v>
      </c>
      <c r="AN117" s="355">
        <f>+'Detailed Disclosure'!AN117/'Detailed Disclosures - USD'!AN$313</f>
        <v>451.8551106850768</v>
      </c>
      <c r="AO117" s="355">
        <f>+'Detailed Disclosure'!AO117/'Detailed Disclosures - USD'!AO$313</f>
        <v>435.21629736724174</v>
      </c>
      <c r="AP117" s="355">
        <f>+'Detailed Disclosure'!AP117/'Detailed Disclosures - USD'!AP$313</f>
        <v>451.66793610622062</v>
      </c>
      <c r="AQ117" s="355"/>
    </row>
    <row r="118" spans="1:47">
      <c r="A118" s="319" t="s">
        <v>304</v>
      </c>
      <c r="D118" s="355"/>
      <c r="E118" s="355"/>
      <c r="F118" s="355"/>
      <c r="G118" s="355"/>
      <c r="H118" s="355"/>
      <c r="I118" s="355"/>
      <c r="J118" s="509"/>
      <c r="K118" s="355"/>
      <c r="L118" s="355"/>
      <c r="M118" s="355"/>
      <c r="N118" s="355"/>
      <c r="O118" s="355"/>
      <c r="P118" s="355"/>
      <c r="Q118" s="355"/>
      <c r="R118" s="355"/>
      <c r="S118" s="355"/>
      <c r="T118" s="355"/>
      <c r="U118" s="355"/>
      <c r="V118" s="355"/>
      <c r="X118" s="355">
        <f>+'Detailed Disclosure'!X118/'Detailed Disclosures - USD'!X$313</f>
        <v>569.59755206403167</v>
      </c>
      <c r="Y118" s="355">
        <f>+'Detailed Disclosure'!Y118/'Detailed Disclosures - USD'!Y$313</f>
        <v>554.6300307048989</v>
      </c>
      <c r="Z118" s="355">
        <f>+'Detailed Disclosure'!Z118/'Detailed Disclosures - USD'!Z$313</f>
        <v>627.3946595323722</v>
      </c>
      <c r="AA118" s="355">
        <f>+'Detailed Disclosure'!AA118/'Detailed Disclosures - USD'!AA$313</f>
        <v>583.6665215491073</v>
      </c>
      <c r="AB118" s="355">
        <f>+'Detailed Disclosure'!AB118/'Detailed Disclosures - USD'!AB$313</f>
        <v>597.63320901856741</v>
      </c>
      <c r="AC118" s="355">
        <f>+'Detailed Disclosure'!AC118/'Detailed Disclosures - USD'!AC$313</f>
        <v>570.2345608236833</v>
      </c>
      <c r="AD118" s="355">
        <f>+'Detailed Disclosure'!AD118/'Detailed Disclosures - USD'!AD$313</f>
        <v>575.50823859472814</v>
      </c>
      <c r="AE118" s="355">
        <f>+'Detailed Disclosure'!AE118/'Detailed Disclosures - USD'!AE$313</f>
        <v>558.57943562531193</v>
      </c>
      <c r="AF118" s="355">
        <f>+'Detailed Disclosure'!AF118/'Detailed Disclosures - USD'!AF$313</f>
        <v>581.09053476403756</v>
      </c>
      <c r="AG118" s="355">
        <f>+'Detailed Disclosure'!AG118/'Detailed Disclosures - USD'!AG$313</f>
        <v>581.86857758506767</v>
      </c>
      <c r="AH118" s="355"/>
      <c r="AI118" s="355"/>
      <c r="AJ118" s="355"/>
      <c r="AK118" s="355"/>
      <c r="AL118" s="355">
        <f>+'Detailed Disclosure'!AL118/'Detailed Disclosures - USD'!AL$313</f>
        <v>563.56674510990467</v>
      </c>
      <c r="AM118" s="355">
        <f>+'Detailed Disclosure'!AM118/'Detailed Disclosures - USD'!AM$313</f>
        <v>592.27568766648847</v>
      </c>
      <c r="AN118" s="355">
        <f>+'Detailed Disclosure'!AN118/'Detailed Disclosures - USD'!AN$313</f>
        <v>583.85772728970596</v>
      </c>
      <c r="AO118" s="355">
        <f>+'Detailed Disclosure'!AO118/'Detailed Disclosures - USD'!AO$313</f>
        <v>567.05925607509243</v>
      </c>
      <c r="AP118" s="355">
        <f>+'Detailed Disclosure'!AP118/'Detailed Disclosures - USD'!AP$313</f>
        <v>581.46510787549732</v>
      </c>
      <c r="AQ118" s="355"/>
    </row>
    <row r="119" spans="1:47">
      <c r="D119" s="355"/>
      <c r="E119" s="355"/>
      <c r="F119" s="355"/>
      <c r="G119" s="355"/>
      <c r="H119" s="355"/>
      <c r="I119" s="355"/>
      <c r="J119" s="509"/>
      <c r="K119" s="355"/>
      <c r="L119" s="355"/>
      <c r="M119" s="355"/>
      <c r="N119" s="355"/>
      <c r="O119" s="355"/>
      <c r="P119" s="355"/>
      <c r="Q119" s="355"/>
      <c r="R119" s="355"/>
      <c r="S119" s="355"/>
      <c r="T119" s="355"/>
      <c r="U119" s="355"/>
      <c r="V119" s="355"/>
      <c r="X119" s="355"/>
      <c r="Y119" s="355"/>
      <c r="Z119" s="355"/>
      <c r="AA119" s="355"/>
      <c r="AB119" s="355"/>
      <c r="AC119" s="355"/>
      <c r="AD119" s="355"/>
      <c r="AE119" s="355"/>
      <c r="AF119" s="355"/>
      <c r="AG119" s="355"/>
      <c r="AH119" s="355"/>
      <c r="AI119" s="355"/>
      <c r="AJ119" s="355"/>
      <c r="AK119" s="355"/>
      <c r="AL119" s="355"/>
      <c r="AM119" s="355"/>
      <c r="AN119" s="355"/>
      <c r="AO119" s="355"/>
      <c r="AP119" s="355"/>
      <c r="AQ119" s="355"/>
    </row>
    <row r="120" spans="1:47" s="318" customFormat="1" ht="18.5">
      <c r="A120" s="327" t="s">
        <v>305</v>
      </c>
      <c r="D120" s="591"/>
      <c r="E120" s="328"/>
      <c r="F120" s="328"/>
      <c r="G120" s="591" t="s">
        <v>306</v>
      </c>
      <c r="H120" s="591"/>
      <c r="I120" s="328"/>
      <c r="J120" s="591" t="s">
        <v>307</v>
      </c>
      <c r="K120" s="591" t="s">
        <v>308</v>
      </c>
      <c r="L120" s="591"/>
      <c r="M120" s="328"/>
      <c r="N120" s="591" t="s">
        <v>309</v>
      </c>
      <c r="O120" s="591" t="s">
        <v>310</v>
      </c>
      <c r="P120" s="591"/>
      <c r="R120" s="591" t="s">
        <v>311</v>
      </c>
      <c r="S120" s="591" t="s">
        <v>312</v>
      </c>
      <c r="T120" s="591"/>
      <c r="U120" s="591"/>
      <c r="V120" s="591" t="s">
        <v>4194</v>
      </c>
      <c r="X120" s="328"/>
      <c r="Y120" s="592"/>
      <c r="Z120" s="591" t="s">
        <v>306</v>
      </c>
      <c r="AA120" s="328"/>
      <c r="AB120" s="591" t="s">
        <v>308</v>
      </c>
      <c r="AC120" s="328"/>
      <c r="AD120" s="591" t="s">
        <v>310</v>
      </c>
      <c r="AE120" s="591"/>
      <c r="AF120" s="591" t="s">
        <v>312</v>
      </c>
      <c r="AG120" s="591"/>
      <c r="AH120" s="328"/>
      <c r="AI120" s="328"/>
      <c r="AJ120" s="328"/>
      <c r="AK120" s="328"/>
      <c r="AL120" s="328"/>
      <c r="AM120" s="328"/>
      <c r="AN120" s="328"/>
      <c r="AO120" s="328"/>
      <c r="AP120" s="328"/>
      <c r="AQ120" s="328"/>
      <c r="AU120" s="342"/>
    </row>
    <row r="121" spans="1:47" s="318" customFormat="1">
      <c r="A121" s="318" t="s">
        <v>313</v>
      </c>
      <c r="D121" s="593"/>
      <c r="E121" s="328"/>
      <c r="F121" s="328"/>
      <c r="G121" s="593">
        <f>G123-G122</f>
        <v>857</v>
      </c>
      <c r="H121" s="593"/>
      <c r="I121" s="328"/>
      <c r="J121" s="593">
        <f>J123-J122</f>
        <v>1107</v>
      </c>
      <c r="K121" s="593" t="s">
        <v>251</v>
      </c>
      <c r="L121" s="593"/>
      <c r="M121" s="328"/>
      <c r="N121" s="593" t="s">
        <v>314</v>
      </c>
      <c r="O121" s="593" t="s">
        <v>315</v>
      </c>
      <c r="P121" s="593"/>
      <c r="R121" s="593" t="s">
        <v>251</v>
      </c>
      <c r="S121" s="593" t="str">
        <f>+AF121</f>
        <v>&lt;1,600</v>
      </c>
      <c r="T121" s="593"/>
      <c r="U121" s="593"/>
      <c r="V121" s="593" t="str">
        <f>+S121</f>
        <v>&lt;1,600</v>
      </c>
      <c r="X121" s="328"/>
      <c r="Y121" s="328"/>
      <c r="Z121" s="593">
        <f>G121</f>
        <v>857</v>
      </c>
      <c r="AA121" s="328"/>
      <c r="AB121" s="593" t="str">
        <f>K121</f>
        <v>NA</v>
      </c>
      <c r="AC121" s="328"/>
      <c r="AD121" s="593" t="str">
        <f>O121</f>
        <v>&gt;1,841</v>
      </c>
      <c r="AE121" s="593"/>
      <c r="AF121" s="593" t="str">
        <f>+'Detailed Disclosure'!AF121</f>
        <v>&lt;1,600</v>
      </c>
      <c r="AG121" s="593"/>
      <c r="AH121" s="328"/>
      <c r="AI121" s="328"/>
      <c r="AJ121" s="328"/>
      <c r="AK121" s="328"/>
      <c r="AL121" s="328"/>
      <c r="AM121" s="328"/>
      <c r="AN121" s="328"/>
      <c r="AO121" s="328"/>
      <c r="AP121" s="328"/>
      <c r="AQ121" s="328"/>
    </row>
    <row r="122" spans="1:47" s="594" customFormat="1" ht="18.5">
      <c r="A122" s="318" t="s">
        <v>316</v>
      </c>
      <c r="D122" s="595"/>
      <c r="E122" s="577"/>
      <c r="F122" s="577"/>
      <c r="G122" s="595">
        <v>466</v>
      </c>
      <c r="H122" s="595"/>
      <c r="I122" s="577"/>
      <c r="J122" s="595">
        <v>608</v>
      </c>
      <c r="K122" s="596" t="s">
        <v>251</v>
      </c>
      <c r="L122" s="595"/>
      <c r="M122" s="577"/>
      <c r="N122" s="595">
        <v>641</v>
      </c>
      <c r="O122" s="595">
        <v>659</v>
      </c>
      <c r="P122" s="595"/>
      <c r="R122" s="595">
        <v>974</v>
      </c>
      <c r="S122" s="595" t="str">
        <f t="shared" ref="S122:S148" si="272">+AF122</f>
        <v>&gt;1,000</v>
      </c>
      <c r="T122" s="595"/>
      <c r="U122" s="595"/>
      <c r="V122" s="595" t="str">
        <f t="shared" ref="V122:V123" si="273">+S122</f>
        <v>&gt;1,000</v>
      </c>
      <c r="X122" s="577"/>
      <c r="Y122" s="577"/>
      <c r="Z122" s="595">
        <f t="shared" ref="Z122:Z123" si="274">G122</f>
        <v>466</v>
      </c>
      <c r="AA122" s="577"/>
      <c r="AB122" s="596" t="str">
        <f t="shared" ref="AB122:AB123" si="275">K122</f>
        <v>NA</v>
      </c>
      <c r="AC122" s="577"/>
      <c r="AD122" s="595">
        <f t="shared" ref="AD122:AD123" si="276">O122</f>
        <v>659</v>
      </c>
      <c r="AE122" s="595"/>
      <c r="AF122" s="595" t="str">
        <f>+'Detailed Disclosure'!AF122</f>
        <v>&gt;1,000</v>
      </c>
      <c r="AG122" s="595"/>
      <c r="AH122" s="577"/>
      <c r="AI122" s="577"/>
      <c r="AJ122" s="577"/>
      <c r="AK122" s="577"/>
      <c r="AL122" s="577"/>
      <c r="AM122" s="577"/>
      <c r="AN122" s="577"/>
      <c r="AO122" s="577"/>
      <c r="AP122" s="577"/>
      <c r="AQ122" s="577"/>
    </row>
    <row r="123" spans="1:47" s="318" customFormat="1">
      <c r="A123" s="332" t="s">
        <v>317</v>
      </c>
      <c r="D123" s="593"/>
      <c r="E123" s="328"/>
      <c r="F123" s="328"/>
      <c r="G123" s="593">
        <v>1323</v>
      </c>
      <c r="H123" s="593"/>
      <c r="I123" s="328"/>
      <c r="J123" s="593">
        <v>1715</v>
      </c>
      <c r="K123" s="593">
        <v>2493</v>
      </c>
      <c r="L123" s="593"/>
      <c r="M123" s="328"/>
      <c r="N123" s="593" t="s">
        <v>318</v>
      </c>
      <c r="O123" s="593" t="s">
        <v>318</v>
      </c>
      <c r="P123" s="593"/>
      <c r="R123" s="593" t="s">
        <v>318</v>
      </c>
      <c r="S123" s="593" t="str">
        <f t="shared" si="272"/>
        <v>&gt;2,500</v>
      </c>
      <c r="T123" s="593"/>
      <c r="U123" s="593"/>
      <c r="V123" s="593" t="str">
        <f t="shared" si="273"/>
        <v>&gt;2,500</v>
      </c>
      <c r="X123" s="328"/>
      <c r="Y123" s="592"/>
      <c r="Z123" s="593">
        <f t="shared" si="274"/>
        <v>1323</v>
      </c>
      <c r="AA123" s="328"/>
      <c r="AB123" s="593">
        <f t="shared" si="275"/>
        <v>2493</v>
      </c>
      <c r="AC123" s="328"/>
      <c r="AD123" s="593" t="str">
        <f t="shared" si="276"/>
        <v>&gt;2,500</v>
      </c>
      <c r="AE123" s="593"/>
      <c r="AF123" s="593" t="str">
        <f>+'Detailed Disclosure'!AF123</f>
        <v>&gt;2,500</v>
      </c>
      <c r="AG123" s="593"/>
      <c r="AH123" s="328"/>
      <c r="AI123" s="328"/>
      <c r="AJ123" s="328"/>
      <c r="AK123" s="328"/>
      <c r="AL123" s="328"/>
      <c r="AM123" s="328"/>
      <c r="AN123" s="328"/>
      <c r="AO123" s="328"/>
      <c r="AP123" s="328"/>
      <c r="AQ123" s="328"/>
    </row>
    <row r="124" spans="1:47">
      <c r="D124" s="355"/>
      <c r="E124" s="355"/>
      <c r="F124" s="355"/>
      <c r="G124" s="355"/>
      <c r="H124" s="355"/>
      <c r="I124" s="355"/>
      <c r="J124" s="355"/>
      <c r="K124" s="355"/>
      <c r="L124" s="355"/>
      <c r="M124" s="355"/>
      <c r="N124" s="355"/>
      <c r="O124" s="355"/>
      <c r="P124" s="355"/>
      <c r="R124" s="355"/>
      <c r="S124" s="355"/>
      <c r="T124" s="355"/>
      <c r="U124" s="355"/>
      <c r="V124" s="355"/>
      <c r="X124" s="355"/>
      <c r="Y124" s="355"/>
      <c r="Z124" s="355"/>
      <c r="AA124" s="355"/>
      <c r="AB124" s="355"/>
      <c r="AC124" s="355"/>
      <c r="AD124" s="355"/>
      <c r="AE124" s="355"/>
      <c r="AF124" s="355"/>
      <c r="AG124" s="355"/>
      <c r="AH124" s="355"/>
      <c r="AI124" s="355"/>
      <c r="AJ124" s="355"/>
      <c r="AK124" s="355"/>
      <c r="AL124" s="355"/>
      <c r="AM124" s="355"/>
      <c r="AN124" s="355"/>
      <c r="AO124" s="355"/>
      <c r="AP124" s="355"/>
      <c r="AQ124" s="355"/>
    </row>
    <row r="125" spans="1:47" s="337" customFormat="1" ht="18.5">
      <c r="A125" s="336" t="s">
        <v>237</v>
      </c>
      <c r="D125" s="547"/>
      <c r="E125" s="547"/>
      <c r="F125" s="547"/>
      <c r="G125" s="547"/>
      <c r="H125" s="547"/>
      <c r="I125" s="547"/>
      <c r="J125" s="547"/>
      <c r="K125" s="547"/>
      <c r="L125" s="547"/>
      <c r="M125" s="547"/>
      <c r="N125" s="547"/>
      <c r="O125" s="591"/>
      <c r="P125" s="591"/>
      <c r="R125" s="591"/>
      <c r="S125" s="591"/>
      <c r="T125" s="591"/>
      <c r="U125" s="591"/>
      <c r="V125" s="591"/>
      <c r="X125" s="547"/>
      <c r="Y125" s="547"/>
      <c r="Z125" s="547"/>
      <c r="AA125" s="547"/>
      <c r="AB125" s="547"/>
      <c r="AC125" s="547"/>
      <c r="AD125" s="591"/>
      <c r="AE125" s="591"/>
      <c r="AF125" s="591"/>
      <c r="AG125" s="591"/>
      <c r="AH125" s="547"/>
      <c r="AI125" s="547"/>
      <c r="AJ125" s="547"/>
      <c r="AK125" s="547"/>
      <c r="AL125" s="547"/>
      <c r="AM125" s="547"/>
      <c r="AN125" s="547"/>
      <c r="AO125" s="547"/>
      <c r="AP125" s="547"/>
      <c r="AQ125" s="547"/>
    </row>
    <row r="126" spans="1:47" s="337" customFormat="1">
      <c r="A126" s="338" t="str">
        <f>A121</f>
        <v>Non-Published Brands</v>
      </c>
      <c r="D126" s="547"/>
      <c r="E126" s="547"/>
      <c r="F126" s="547"/>
      <c r="G126" s="547"/>
      <c r="H126" s="547"/>
      <c r="I126" s="547"/>
      <c r="J126" s="547"/>
      <c r="K126" s="597" t="s">
        <v>251</v>
      </c>
      <c r="L126" s="547"/>
      <c r="M126" s="547"/>
      <c r="N126" s="339">
        <f>1859/J121-1</f>
        <v>0.67931345980126467</v>
      </c>
      <c r="O126" s="597" t="s">
        <v>251</v>
      </c>
      <c r="P126" s="597"/>
      <c r="R126" s="597" t="s">
        <v>251</v>
      </c>
      <c r="S126" s="597" t="str">
        <f t="shared" si="272"/>
        <v>NA</v>
      </c>
      <c r="T126" s="597"/>
      <c r="U126" s="597"/>
      <c r="V126" s="339" t="str">
        <f>+'Detailed Disclosure'!V126</f>
        <v>NA</v>
      </c>
      <c r="W126" s="547"/>
      <c r="X126" s="547"/>
      <c r="Y126" s="547"/>
      <c r="Z126" s="547"/>
      <c r="AA126" s="547"/>
      <c r="AB126" s="597" t="str">
        <f t="shared" ref="AB126:AB128" si="277">K126</f>
        <v>NA</v>
      </c>
      <c r="AC126" s="547"/>
      <c r="AD126" s="597" t="str">
        <f t="shared" ref="AD126:AD128" si="278">O126</f>
        <v>NA</v>
      </c>
      <c r="AE126" s="597"/>
      <c r="AF126" s="597" t="str">
        <f>+'Detailed Disclosure'!AF126</f>
        <v>NA</v>
      </c>
      <c r="AG126" s="597"/>
      <c r="AH126" s="547"/>
      <c r="AI126" s="547"/>
      <c r="AJ126" s="547"/>
      <c r="AK126" s="547"/>
      <c r="AL126" s="547"/>
      <c r="AM126" s="547"/>
      <c r="AN126" s="547"/>
      <c r="AO126" s="547"/>
      <c r="AP126" s="547"/>
      <c r="AQ126" s="547"/>
    </row>
    <row r="127" spans="1:47" s="340" customFormat="1" ht="18.5">
      <c r="A127" s="338" t="str">
        <f t="shared" ref="A127:A128" si="279">A122</f>
        <v>Published Brands</v>
      </c>
      <c r="D127" s="598"/>
      <c r="E127" s="598"/>
      <c r="F127" s="598"/>
      <c r="G127" s="598"/>
      <c r="H127" s="598"/>
      <c r="I127" s="598"/>
      <c r="J127" s="598"/>
      <c r="K127" s="591" t="s">
        <v>251</v>
      </c>
      <c r="L127" s="598"/>
      <c r="M127" s="598"/>
      <c r="N127" s="330">
        <f>N122/J122-1</f>
        <v>5.4276315789473673E-2</v>
      </c>
      <c r="O127" s="591" t="s">
        <v>251</v>
      </c>
      <c r="P127" s="591"/>
      <c r="R127" s="591" t="s">
        <v>251</v>
      </c>
      <c r="S127" s="591" t="str">
        <f t="shared" si="272"/>
        <v>NA</v>
      </c>
      <c r="T127" s="591"/>
      <c r="U127" s="591"/>
      <c r="V127" s="330" t="str">
        <f>+'Detailed Disclosure'!V127</f>
        <v>NA</v>
      </c>
      <c r="X127" s="598"/>
      <c r="Y127" s="598"/>
      <c r="Z127" s="598"/>
      <c r="AA127" s="598"/>
      <c r="AB127" s="591" t="str">
        <f t="shared" si="277"/>
        <v>NA</v>
      </c>
      <c r="AC127" s="598"/>
      <c r="AD127" s="591" t="str">
        <f t="shared" si="278"/>
        <v>NA</v>
      </c>
      <c r="AE127" s="591"/>
      <c r="AF127" s="591" t="str">
        <f>+'Detailed Disclosure'!AF127</f>
        <v>NA</v>
      </c>
      <c r="AG127" s="591"/>
      <c r="AH127" s="598"/>
      <c r="AI127" s="598"/>
      <c r="AJ127" s="598"/>
      <c r="AK127" s="598"/>
      <c r="AL127" s="598"/>
      <c r="AM127" s="598"/>
      <c r="AN127" s="598"/>
      <c r="AO127" s="598"/>
      <c r="AP127" s="598"/>
      <c r="AQ127" s="598"/>
    </row>
    <row r="128" spans="1:47" s="337" customFormat="1">
      <c r="A128" s="341" t="str">
        <f t="shared" si="279"/>
        <v>Total Brands</v>
      </c>
      <c r="D128" s="547"/>
      <c r="E128" s="547"/>
      <c r="F128" s="547"/>
      <c r="G128" s="547"/>
      <c r="H128" s="547"/>
      <c r="I128" s="547"/>
      <c r="J128" s="547"/>
      <c r="K128" s="339">
        <f>K123/G123-1</f>
        <v>0.88435374149659873</v>
      </c>
      <c r="L128" s="547"/>
      <c r="M128" s="547"/>
      <c r="N128" s="339">
        <f t="shared" ref="N128" si="280">2500/J123-1</f>
        <v>0.45772594752186579</v>
      </c>
      <c r="O128" s="339">
        <f>2500/K123-1</f>
        <v>2.8078620136382515E-3</v>
      </c>
      <c r="P128" s="339"/>
      <c r="R128" s="339">
        <v>0</v>
      </c>
      <c r="S128" s="339">
        <f t="shared" si="272"/>
        <v>0</v>
      </c>
      <c r="T128" s="339"/>
      <c r="U128" s="339"/>
      <c r="V128" s="339">
        <f>+'Detailed Disclosure'!V128</f>
        <v>0</v>
      </c>
      <c r="X128" s="547"/>
      <c r="Y128" s="547"/>
      <c r="Z128" s="547"/>
      <c r="AA128" s="547"/>
      <c r="AB128" s="339">
        <f t="shared" si="277"/>
        <v>0.88435374149659873</v>
      </c>
      <c r="AC128" s="547"/>
      <c r="AD128" s="339">
        <f t="shared" si="278"/>
        <v>2.8078620136382515E-3</v>
      </c>
      <c r="AE128" s="339"/>
      <c r="AF128" s="339">
        <f>+'Detailed Disclosure'!AF128</f>
        <v>0</v>
      </c>
      <c r="AG128" s="339"/>
      <c r="AH128" s="547"/>
      <c r="AI128" s="547"/>
      <c r="AJ128" s="547"/>
      <c r="AK128" s="547"/>
      <c r="AL128" s="547"/>
      <c r="AM128" s="547"/>
      <c r="AN128" s="547"/>
      <c r="AO128" s="547"/>
      <c r="AP128" s="547"/>
      <c r="AQ128" s="547"/>
    </row>
    <row r="129" spans="1:47" s="337" customFormat="1">
      <c r="A129" s="341"/>
      <c r="D129" s="547"/>
      <c r="E129" s="547"/>
      <c r="F129" s="547"/>
      <c r="G129" s="547"/>
      <c r="H129" s="547"/>
      <c r="I129" s="547"/>
      <c r="J129" s="547"/>
      <c r="K129" s="547"/>
      <c r="L129" s="547"/>
      <c r="M129" s="547"/>
      <c r="N129" s="547"/>
      <c r="O129" s="339"/>
      <c r="P129" s="339"/>
      <c r="R129" s="339"/>
      <c r="S129" s="339"/>
      <c r="T129" s="339"/>
      <c r="U129" s="339"/>
      <c r="V129" s="339"/>
      <c r="X129" s="547"/>
      <c r="Y129" s="547"/>
      <c r="Z129" s="547"/>
      <c r="AA129" s="547"/>
      <c r="AB129" s="547"/>
      <c r="AC129" s="547"/>
      <c r="AD129" s="339"/>
      <c r="AE129" s="339"/>
      <c r="AF129" s="339"/>
      <c r="AG129" s="339"/>
      <c r="AH129" s="547"/>
      <c r="AI129" s="547"/>
      <c r="AJ129" s="547"/>
      <c r="AK129" s="547"/>
      <c r="AL129" s="547"/>
      <c r="AM129" s="547"/>
      <c r="AN129" s="547"/>
      <c r="AO129" s="547"/>
      <c r="AP129" s="547"/>
      <c r="AQ129" s="547"/>
    </row>
    <row r="130" spans="1:47" s="318" customFormat="1" ht="18.5">
      <c r="A130" s="327" t="s">
        <v>319</v>
      </c>
      <c r="D130" s="328"/>
      <c r="E130" s="328"/>
      <c r="F130" s="328"/>
      <c r="G130" s="591" t="s">
        <v>306</v>
      </c>
      <c r="H130" s="591"/>
      <c r="I130" s="328"/>
      <c r="J130" s="591" t="s">
        <v>307</v>
      </c>
      <c r="K130" s="591" t="s">
        <v>308</v>
      </c>
      <c r="L130" s="591"/>
      <c r="M130" s="328"/>
      <c r="N130" s="591" t="s">
        <v>309</v>
      </c>
      <c r="O130" s="591" t="s">
        <v>310</v>
      </c>
      <c r="P130" s="591"/>
      <c r="R130" s="591" t="str">
        <f>+R120</f>
        <v>Aug 23</v>
      </c>
      <c r="S130" s="591" t="str">
        <f t="shared" si="272"/>
        <v>Jan 24</v>
      </c>
      <c r="T130" s="591"/>
      <c r="U130" s="591"/>
      <c r="V130" s="591" t="s">
        <v>4194</v>
      </c>
      <c r="X130" s="328"/>
      <c r="Y130" s="592"/>
      <c r="Z130" s="591" t="s">
        <v>306</v>
      </c>
      <c r="AA130" s="328"/>
      <c r="AB130" s="591" t="s">
        <v>308</v>
      </c>
      <c r="AC130" s="328"/>
      <c r="AD130" s="591" t="s">
        <v>310</v>
      </c>
      <c r="AE130" s="591"/>
      <c r="AF130" s="591" t="str">
        <f>+'Detailed Disclosure'!AF130</f>
        <v>Jan 24</v>
      </c>
      <c r="AG130" s="591"/>
      <c r="AH130" s="328"/>
      <c r="AI130" s="328"/>
      <c r="AJ130" s="328"/>
      <c r="AK130" s="328"/>
      <c r="AL130" s="328"/>
      <c r="AM130" s="328"/>
      <c r="AN130" s="328"/>
      <c r="AO130" s="328"/>
      <c r="AP130" s="328"/>
      <c r="AQ130" s="328"/>
      <c r="AU130" s="342"/>
    </row>
    <row r="131" spans="1:47" s="318" customFormat="1">
      <c r="A131" s="318" t="s">
        <v>320</v>
      </c>
      <c r="D131" s="328"/>
      <c r="E131" s="328"/>
      <c r="F131" s="328"/>
      <c r="G131" s="593">
        <f>G133-G132</f>
        <v>120000</v>
      </c>
      <c r="H131" s="593"/>
      <c r="I131" s="328"/>
      <c r="J131" s="593">
        <f>J133-J132</f>
        <v>112000</v>
      </c>
      <c r="K131" s="593" t="s">
        <v>251</v>
      </c>
      <c r="L131" s="593"/>
      <c r="M131" s="328"/>
      <c r="N131" s="593" t="s">
        <v>321</v>
      </c>
      <c r="O131" s="593" t="s">
        <v>322</v>
      </c>
      <c r="P131" s="593"/>
      <c r="R131" s="593" t="s">
        <v>323</v>
      </c>
      <c r="S131" s="593" t="str">
        <f t="shared" si="272"/>
        <v>&lt;301,000</v>
      </c>
      <c r="T131" s="593"/>
      <c r="U131" s="593"/>
      <c r="V131" s="593" t="str">
        <f>+S131</f>
        <v>&lt;301,000</v>
      </c>
      <c r="X131" s="328"/>
      <c r="Y131" s="328"/>
      <c r="Z131" s="593">
        <f t="shared" ref="Z131:Z133" si="281">G131</f>
        <v>120000</v>
      </c>
      <c r="AA131" s="328"/>
      <c r="AB131" s="593" t="str">
        <f t="shared" ref="AB131:AB133" si="282">K131</f>
        <v>NA</v>
      </c>
      <c r="AC131" s="328"/>
      <c r="AD131" s="593" t="str">
        <f t="shared" ref="AD131:AD133" si="283">O131</f>
        <v>&gt;260,000</v>
      </c>
      <c r="AE131" s="593"/>
      <c r="AF131" s="593" t="str">
        <f>+'Detailed Disclosure'!AF131</f>
        <v>&lt;301,000</v>
      </c>
      <c r="AG131" s="593"/>
      <c r="AH131" s="328"/>
      <c r="AI131" s="328"/>
      <c r="AJ131" s="328"/>
      <c r="AK131" s="328"/>
      <c r="AL131" s="328"/>
      <c r="AM131" s="328"/>
      <c r="AN131" s="328"/>
      <c r="AO131" s="328"/>
      <c r="AP131" s="328"/>
      <c r="AQ131" s="328"/>
    </row>
    <row r="132" spans="1:47" s="594" customFormat="1" ht="18.5">
      <c r="A132" s="318" t="s">
        <v>324</v>
      </c>
      <c r="D132" s="599"/>
      <c r="E132" s="577"/>
      <c r="F132" s="577"/>
      <c r="G132" s="595">
        <v>48000</v>
      </c>
      <c r="H132" s="595"/>
      <c r="I132" s="577"/>
      <c r="J132" s="595">
        <v>87000</v>
      </c>
      <c r="K132" s="596" t="s">
        <v>251</v>
      </c>
      <c r="L132" s="595"/>
      <c r="M132" s="577"/>
      <c r="N132" s="595">
        <v>113000</v>
      </c>
      <c r="O132" s="595">
        <v>140000</v>
      </c>
      <c r="P132" s="595"/>
      <c r="R132" s="595">
        <v>184000</v>
      </c>
      <c r="S132" s="595">
        <f t="shared" si="272"/>
        <v>199000</v>
      </c>
      <c r="T132" s="595"/>
      <c r="U132" s="595"/>
      <c r="V132" s="595">
        <f t="shared" ref="V132:V133" si="284">+S132</f>
        <v>199000</v>
      </c>
      <c r="X132" s="577"/>
      <c r="Y132" s="577"/>
      <c r="Z132" s="595">
        <f t="shared" si="281"/>
        <v>48000</v>
      </c>
      <c r="AA132" s="577"/>
      <c r="AB132" s="596" t="str">
        <f t="shared" si="282"/>
        <v>NA</v>
      </c>
      <c r="AC132" s="577"/>
      <c r="AD132" s="595">
        <f t="shared" si="283"/>
        <v>140000</v>
      </c>
      <c r="AE132" s="595"/>
      <c r="AF132" s="595">
        <f>+'Detailed Disclosure'!AF132</f>
        <v>199000</v>
      </c>
      <c r="AG132" s="595"/>
      <c r="AH132" s="577"/>
      <c r="AI132" s="577"/>
      <c r="AJ132" s="577"/>
      <c r="AK132" s="577"/>
      <c r="AL132" s="577"/>
      <c r="AM132" s="577"/>
      <c r="AN132" s="577"/>
      <c r="AO132" s="577"/>
      <c r="AP132" s="577"/>
      <c r="AQ132" s="577"/>
    </row>
    <row r="133" spans="1:47" s="318" customFormat="1">
      <c r="A133" s="332" t="s">
        <v>325</v>
      </c>
      <c r="D133" s="328"/>
      <c r="E133" s="328"/>
      <c r="F133" s="328"/>
      <c r="G133" s="593">
        <v>168000</v>
      </c>
      <c r="H133" s="593"/>
      <c r="I133" s="328"/>
      <c r="J133" s="593">
        <v>199000</v>
      </c>
      <c r="K133" s="593">
        <v>274000</v>
      </c>
      <c r="L133" s="593"/>
      <c r="M133" s="328"/>
      <c r="N133" s="593" t="s">
        <v>326</v>
      </c>
      <c r="O133" s="593" t="s">
        <v>326</v>
      </c>
      <c r="P133" s="593"/>
      <c r="R133" s="593" t="s">
        <v>327</v>
      </c>
      <c r="S133" s="593" t="str">
        <f t="shared" si="272"/>
        <v>&gt;500,000</v>
      </c>
      <c r="T133" s="593"/>
      <c r="U133" s="593"/>
      <c r="V133" s="593" t="str">
        <f t="shared" si="284"/>
        <v>&gt;500,000</v>
      </c>
      <c r="X133" s="328"/>
      <c r="Y133" s="592"/>
      <c r="Z133" s="593">
        <f t="shared" si="281"/>
        <v>168000</v>
      </c>
      <c r="AA133" s="328"/>
      <c r="AB133" s="593">
        <f t="shared" si="282"/>
        <v>274000</v>
      </c>
      <c r="AC133" s="328"/>
      <c r="AD133" s="593" t="str">
        <f t="shared" si="283"/>
        <v>&gt;400,000</v>
      </c>
      <c r="AE133" s="593"/>
      <c r="AF133" s="593" t="str">
        <f>+'Detailed Disclosure'!AF133</f>
        <v>&gt;500,000</v>
      </c>
      <c r="AG133" s="593"/>
      <c r="AH133" s="328"/>
      <c r="AI133" s="328"/>
      <c r="AJ133" s="328"/>
      <c r="AK133" s="328"/>
      <c r="AL133" s="328"/>
      <c r="AM133" s="328"/>
      <c r="AN133" s="328"/>
      <c r="AO133" s="328"/>
      <c r="AP133" s="328"/>
      <c r="AQ133" s="328"/>
    </row>
    <row r="134" spans="1:47">
      <c r="D134" s="355"/>
      <c r="E134" s="355"/>
      <c r="F134" s="355"/>
      <c r="G134" s="355"/>
      <c r="H134" s="355"/>
      <c r="I134" s="355"/>
      <c r="J134" s="355"/>
      <c r="K134" s="355"/>
      <c r="L134" s="355"/>
      <c r="M134" s="355"/>
      <c r="N134" s="355"/>
      <c r="O134" s="355"/>
      <c r="P134" s="355"/>
      <c r="R134" s="355"/>
      <c r="S134" s="355"/>
      <c r="T134" s="355"/>
      <c r="U134" s="355"/>
      <c r="V134" s="355"/>
      <c r="X134" s="355"/>
      <c r="Y134" s="355"/>
      <c r="Z134" s="355"/>
      <c r="AA134" s="355"/>
      <c r="AB134" s="355"/>
      <c r="AC134" s="355"/>
      <c r="AD134" s="355"/>
      <c r="AE134" s="355"/>
      <c r="AF134" s="355"/>
      <c r="AG134" s="355"/>
      <c r="AH134" s="355"/>
      <c r="AI134" s="355"/>
      <c r="AJ134" s="355"/>
      <c r="AK134" s="355"/>
      <c r="AL134" s="355"/>
      <c r="AM134" s="355"/>
      <c r="AN134" s="355"/>
      <c r="AO134" s="355"/>
      <c r="AP134" s="355"/>
      <c r="AQ134" s="355"/>
    </row>
    <row r="135" spans="1:47" s="337" customFormat="1" ht="18.5">
      <c r="A135" s="336" t="s">
        <v>237</v>
      </c>
      <c r="D135" s="547"/>
      <c r="E135" s="547"/>
      <c r="F135" s="547"/>
      <c r="G135" s="547"/>
      <c r="H135" s="547"/>
      <c r="I135" s="547"/>
      <c r="J135" s="547"/>
      <c r="K135" s="547"/>
      <c r="L135" s="547"/>
      <c r="M135" s="547"/>
      <c r="N135" s="547"/>
      <c r="O135" s="591"/>
      <c r="P135" s="591"/>
      <c r="R135" s="591"/>
      <c r="S135" s="591"/>
      <c r="T135" s="591"/>
      <c r="U135" s="591"/>
      <c r="V135" s="591"/>
      <c r="X135" s="547"/>
      <c r="Y135" s="547"/>
      <c r="Z135" s="547"/>
      <c r="AA135" s="547"/>
      <c r="AB135" s="547"/>
      <c r="AC135" s="547"/>
      <c r="AD135" s="591"/>
      <c r="AE135" s="591"/>
      <c r="AF135" s="591"/>
      <c r="AG135" s="591"/>
      <c r="AH135" s="547"/>
      <c r="AI135" s="547"/>
      <c r="AJ135" s="547"/>
      <c r="AK135" s="547"/>
      <c r="AL135" s="547"/>
      <c r="AM135" s="547"/>
      <c r="AN135" s="547"/>
      <c r="AO135" s="547"/>
      <c r="AP135" s="547"/>
      <c r="AQ135" s="547"/>
    </row>
    <row r="136" spans="1:47" s="337" customFormat="1">
      <c r="A136" s="338" t="str">
        <f>A131</f>
        <v>Non-Published Products</v>
      </c>
      <c r="D136" s="547"/>
      <c r="E136" s="547"/>
      <c r="F136" s="547"/>
      <c r="G136" s="547"/>
      <c r="H136" s="547"/>
      <c r="I136" s="547"/>
      <c r="J136" s="547"/>
      <c r="K136" s="597" t="s">
        <v>251</v>
      </c>
      <c r="L136" s="547"/>
      <c r="M136" s="547"/>
      <c r="N136" s="339">
        <f>287000/J131-1</f>
        <v>1.5625</v>
      </c>
      <c r="O136" s="597" t="s">
        <v>251</v>
      </c>
      <c r="P136" s="597"/>
      <c r="R136" s="339">
        <f>1.10104529616725-1</f>
        <v>0.10104529616725011</v>
      </c>
      <c r="S136" s="339">
        <f t="shared" si="272"/>
        <v>0.15769230769231002</v>
      </c>
      <c r="T136" s="339"/>
      <c r="U136" s="339"/>
      <c r="V136" s="339" t="str">
        <f>+'Detailed Disclosure'!V136</f>
        <v>NA</v>
      </c>
      <c r="W136" s="547"/>
      <c r="X136" s="547"/>
      <c r="Y136" s="547"/>
      <c r="Z136" s="547"/>
      <c r="AA136" s="547"/>
      <c r="AB136" s="597" t="str">
        <f t="shared" ref="AB136:AB138" si="285">K136</f>
        <v>NA</v>
      </c>
      <c r="AC136" s="547"/>
      <c r="AD136" s="597" t="str">
        <f t="shared" ref="AD136:AD138" si="286">O136</f>
        <v>NA</v>
      </c>
      <c r="AE136" s="597"/>
      <c r="AF136" s="339">
        <f>+'Detailed Disclosure'!AF136</f>
        <v>0.15769230769231002</v>
      </c>
      <c r="AG136" s="339"/>
      <c r="AH136" s="547"/>
      <c r="AI136" s="547"/>
      <c r="AJ136" s="547"/>
      <c r="AK136" s="547"/>
      <c r="AL136" s="547"/>
      <c r="AM136" s="547"/>
      <c r="AN136" s="547"/>
      <c r="AO136" s="547"/>
      <c r="AP136" s="547"/>
      <c r="AQ136" s="547"/>
    </row>
    <row r="137" spans="1:47" s="340" customFormat="1" ht="18.5">
      <c r="A137" s="338" t="str">
        <f t="shared" ref="A137:A138" si="287">A132</f>
        <v>Published Products</v>
      </c>
      <c r="D137" s="598"/>
      <c r="E137" s="598"/>
      <c r="F137" s="598"/>
      <c r="G137" s="598"/>
      <c r="H137" s="598"/>
      <c r="I137" s="598"/>
      <c r="J137" s="598"/>
      <c r="K137" s="591" t="s">
        <v>251</v>
      </c>
      <c r="L137" s="598"/>
      <c r="M137" s="598"/>
      <c r="N137" s="330">
        <f>N132/J132-1</f>
        <v>0.29885057471264376</v>
      </c>
      <c r="O137" s="591" t="s">
        <v>251</v>
      </c>
      <c r="P137" s="591"/>
      <c r="R137" s="330">
        <f>+R132/N132-1</f>
        <v>0.62831858407079655</v>
      </c>
      <c r="S137" s="330">
        <f t="shared" si="272"/>
        <v>0.42142857142856993</v>
      </c>
      <c r="T137" s="330"/>
      <c r="U137" s="330"/>
      <c r="V137" s="330">
        <f>+'Detailed Disclosure'!V137</f>
        <v>8.6956521739130377E-2</v>
      </c>
      <c r="X137" s="598"/>
      <c r="Y137" s="598"/>
      <c r="Z137" s="598"/>
      <c r="AA137" s="598"/>
      <c r="AB137" s="591" t="str">
        <f t="shared" si="285"/>
        <v>NA</v>
      </c>
      <c r="AC137" s="598"/>
      <c r="AD137" s="591" t="str">
        <f t="shared" si="286"/>
        <v>NA</v>
      </c>
      <c r="AE137" s="591"/>
      <c r="AF137" s="330">
        <f>+'Detailed Disclosure'!AF137</f>
        <v>0.42142857142856993</v>
      </c>
      <c r="AG137" s="330"/>
      <c r="AH137" s="598"/>
      <c r="AI137" s="598"/>
      <c r="AJ137" s="598"/>
      <c r="AK137" s="598"/>
      <c r="AL137" s="598"/>
      <c r="AM137" s="598"/>
      <c r="AN137" s="598"/>
      <c r="AO137" s="598"/>
      <c r="AP137" s="598"/>
      <c r="AQ137" s="598"/>
    </row>
    <row r="138" spans="1:47" s="337" customFormat="1">
      <c r="A138" s="341" t="str">
        <f t="shared" si="287"/>
        <v>Total Products</v>
      </c>
      <c r="D138" s="547"/>
      <c r="E138" s="547"/>
      <c r="F138" s="547"/>
      <c r="G138" s="547"/>
      <c r="H138" s="547"/>
      <c r="I138" s="547"/>
      <c r="J138" s="547"/>
      <c r="K138" s="339">
        <f>K133/G133-1</f>
        <v>0.63095238095238093</v>
      </c>
      <c r="L138" s="547"/>
      <c r="M138" s="547"/>
      <c r="N138" s="339">
        <f>400000/J133-1</f>
        <v>1.0100502512562812</v>
      </c>
      <c r="O138" s="339">
        <f>400000/K133-1</f>
        <v>0.45985401459854014</v>
      </c>
      <c r="P138" s="339"/>
      <c r="R138" s="339">
        <f>1.25-1</f>
        <v>0.25</v>
      </c>
      <c r="S138" s="339">
        <f t="shared" si="272"/>
        <v>0.25</v>
      </c>
      <c r="T138" s="339"/>
      <c r="U138" s="339"/>
      <c r="V138" s="339" t="str">
        <f>+'Detailed Disclosure'!V138</f>
        <v>NA</v>
      </c>
      <c r="X138" s="547"/>
      <c r="Y138" s="547"/>
      <c r="Z138" s="547"/>
      <c r="AA138" s="547"/>
      <c r="AB138" s="339">
        <f t="shared" si="285"/>
        <v>0.63095238095238093</v>
      </c>
      <c r="AC138" s="547"/>
      <c r="AD138" s="339">
        <f t="shared" si="286"/>
        <v>0.45985401459854014</v>
      </c>
      <c r="AE138" s="339"/>
      <c r="AF138" s="339">
        <f>+'Detailed Disclosure'!AF138</f>
        <v>0.25</v>
      </c>
      <c r="AG138" s="339"/>
      <c r="AH138" s="547"/>
      <c r="AI138" s="547"/>
      <c r="AJ138" s="547"/>
      <c r="AK138" s="547"/>
      <c r="AL138" s="547"/>
      <c r="AM138" s="547"/>
      <c r="AN138" s="547"/>
      <c r="AO138" s="547"/>
      <c r="AP138" s="547"/>
      <c r="AQ138" s="547"/>
    </row>
    <row r="139" spans="1:47" s="337" customFormat="1">
      <c r="A139" s="341"/>
      <c r="D139" s="547"/>
      <c r="E139" s="547"/>
      <c r="F139" s="547"/>
      <c r="G139" s="547"/>
      <c r="H139" s="547"/>
      <c r="I139" s="547"/>
      <c r="J139" s="547"/>
      <c r="K139" s="547"/>
      <c r="L139" s="547"/>
      <c r="M139" s="547"/>
      <c r="N139" s="547"/>
      <c r="O139" s="339"/>
      <c r="P139" s="339"/>
      <c r="R139" s="339"/>
      <c r="S139" s="547"/>
      <c r="T139" s="547"/>
      <c r="U139" s="547"/>
      <c r="V139" s="339"/>
      <c r="X139" s="547"/>
      <c r="Y139" s="547"/>
      <c r="Z139" s="547"/>
      <c r="AA139" s="547"/>
      <c r="AB139" s="547"/>
      <c r="AC139" s="547"/>
      <c r="AD139" s="339"/>
      <c r="AE139" s="339"/>
      <c r="AF139" s="547"/>
      <c r="AG139" s="547"/>
      <c r="AH139" s="547"/>
      <c r="AI139" s="547"/>
      <c r="AJ139" s="547"/>
      <c r="AK139" s="547"/>
      <c r="AL139" s="547"/>
      <c r="AM139" s="547"/>
      <c r="AN139" s="547"/>
      <c r="AO139" s="547"/>
      <c r="AP139" s="547"/>
      <c r="AQ139" s="547"/>
    </row>
    <row r="140" spans="1:47" s="318" customFormat="1" ht="18.5">
      <c r="A140" s="327" t="s">
        <v>328</v>
      </c>
      <c r="D140" s="328"/>
      <c r="E140" s="328"/>
      <c r="F140" s="328"/>
      <c r="G140" s="591" t="s">
        <v>306</v>
      </c>
      <c r="H140" s="591"/>
      <c r="I140" s="328"/>
      <c r="J140" s="591" t="s">
        <v>307</v>
      </c>
      <c r="K140" s="591" t="s">
        <v>308</v>
      </c>
      <c r="L140" s="591"/>
      <c r="M140" s="328"/>
      <c r="N140" s="591" t="s">
        <v>309</v>
      </c>
      <c r="O140" s="591" t="s">
        <v>310</v>
      </c>
      <c r="P140" s="591"/>
      <c r="R140" s="591" t="str">
        <f>+R130</f>
        <v>Aug 23</v>
      </c>
      <c r="S140" s="591" t="str">
        <f t="shared" si="272"/>
        <v>Jan 24</v>
      </c>
      <c r="T140" s="591"/>
      <c r="U140" s="591"/>
      <c r="V140" s="591" t="s">
        <v>4194</v>
      </c>
      <c r="X140" s="328"/>
      <c r="Y140" s="592"/>
      <c r="Z140" s="591" t="s">
        <v>306</v>
      </c>
      <c r="AA140" s="328"/>
      <c r="AB140" s="591" t="s">
        <v>308</v>
      </c>
      <c r="AC140" s="328"/>
      <c r="AD140" s="591" t="s">
        <v>310</v>
      </c>
      <c r="AE140" s="591"/>
      <c r="AF140" s="591" t="str">
        <f>+'Detailed Disclosure'!AF140</f>
        <v>Jan 24</v>
      </c>
      <c r="AG140" s="591"/>
      <c r="AH140" s="328"/>
      <c r="AI140" s="328"/>
      <c r="AJ140" s="328"/>
      <c r="AK140" s="328"/>
      <c r="AL140" s="328"/>
      <c r="AM140" s="328"/>
      <c r="AN140" s="328"/>
      <c r="AO140" s="328"/>
      <c r="AP140" s="328"/>
      <c r="AQ140" s="328"/>
      <c r="AU140" s="342"/>
    </row>
    <row r="141" spans="1:47" s="349" customFormat="1">
      <c r="A141" s="318" t="s">
        <v>329</v>
      </c>
      <c r="D141" s="600"/>
      <c r="E141" s="328"/>
      <c r="F141" s="328"/>
      <c r="G141" s="593">
        <f>'Detailed Disclosure'!G141/'Detailed Disclosures - USD'!G$313</f>
        <v>193753.86186494102</v>
      </c>
      <c r="H141" s="593"/>
      <c r="I141" s="328"/>
      <c r="J141" s="593">
        <f>'Detailed Disclosure'!J141/'Detailed Disclosures - USD'!J$313</f>
        <v>305650.76971731742</v>
      </c>
      <c r="K141" s="601" t="s">
        <v>251</v>
      </c>
      <c r="L141" s="593"/>
      <c r="M141" s="328"/>
      <c r="N141" s="593">
        <f>'Detailed Disclosure'!N141/'Detailed Disclosures - USD'!N$313</f>
        <v>273393.63594591356</v>
      </c>
      <c r="O141" s="593">
        <f>'Detailed Disclosure'!O141/'Detailed Disclosures - USD'!O$313</f>
        <v>394193.36041270412</v>
      </c>
      <c r="P141" s="593"/>
      <c r="R141" s="593" t="s">
        <v>330</v>
      </c>
      <c r="S141" s="601" t="str">
        <f t="shared" si="272"/>
        <v>&lt;667,000</v>
      </c>
      <c r="T141" s="601"/>
      <c r="U141" s="601"/>
      <c r="V141" s="593" t="str">
        <f>+S141</f>
        <v>&lt;667,000</v>
      </c>
      <c r="X141" s="328"/>
      <c r="Y141" s="328"/>
      <c r="Z141" s="593">
        <f t="shared" ref="Z141:Z143" si="288">G141</f>
        <v>193753.86186494102</v>
      </c>
      <c r="AA141" s="328"/>
      <c r="AB141" s="601" t="str">
        <f t="shared" ref="AB141:AB143" si="289">K141</f>
        <v>NA</v>
      </c>
      <c r="AC141" s="328"/>
      <c r="AD141" s="593">
        <f t="shared" ref="AD141:AD143" si="290">O141</f>
        <v>394193.36041270412</v>
      </c>
      <c r="AE141" s="593"/>
      <c r="AF141" s="601" t="str">
        <f>+R141</f>
        <v>&lt;667,000</v>
      </c>
      <c r="AG141" s="601"/>
      <c r="AH141" s="328"/>
      <c r="AI141" s="328"/>
      <c r="AJ141" s="328"/>
      <c r="AK141" s="328"/>
      <c r="AL141" s="328"/>
      <c r="AM141" s="328"/>
      <c r="AN141" s="328"/>
      <c r="AO141" s="328"/>
      <c r="AP141" s="328"/>
      <c r="AQ141" s="328"/>
    </row>
    <row r="142" spans="1:47" s="327" customFormat="1">
      <c r="A142" s="318" t="s">
        <v>331</v>
      </c>
      <c r="D142" s="577"/>
      <c r="E142" s="577"/>
      <c r="F142" s="577"/>
      <c r="G142" s="595">
        <f>'Detailed Disclosure'!G142/'Detailed Disclosures - USD'!G$313</f>
        <v>186442.39537947156</v>
      </c>
      <c r="H142" s="595"/>
      <c r="I142" s="577"/>
      <c r="J142" s="595">
        <f>'Detailed Disclosure'!J142/'Detailed Disclosures - USD'!J$313</f>
        <v>218217.01587991172</v>
      </c>
      <c r="K142" s="595" t="s">
        <v>251</v>
      </c>
      <c r="L142" s="595"/>
      <c r="M142" s="577"/>
      <c r="N142" s="595" t="s">
        <v>332</v>
      </c>
      <c r="O142" s="602" t="s">
        <v>333</v>
      </c>
      <c r="P142" s="602"/>
      <c r="R142" s="595" t="s">
        <v>334</v>
      </c>
      <c r="S142" s="595" t="str">
        <f t="shared" si="272"/>
        <v>&gt;667,000</v>
      </c>
      <c r="T142" s="595"/>
      <c r="U142" s="595"/>
      <c r="V142" s="595" t="str">
        <f t="shared" ref="V142:V143" si="291">+S142</f>
        <v>&gt;667,000</v>
      </c>
      <c r="X142" s="577"/>
      <c r="Y142" s="577"/>
      <c r="Z142" s="595">
        <f>G142</f>
        <v>186442.39537947156</v>
      </c>
      <c r="AA142" s="577"/>
      <c r="AB142" s="595" t="str">
        <f>K142</f>
        <v>NA</v>
      </c>
      <c r="AC142" s="577"/>
      <c r="AD142" s="602" t="str">
        <f>O142</f>
        <v>&gt;440,000</v>
      </c>
      <c r="AE142" s="602"/>
      <c r="AF142" s="595" t="str">
        <f>+R142</f>
        <v>&gt;667,000</v>
      </c>
      <c r="AG142" s="595"/>
      <c r="AH142" s="577"/>
      <c r="AI142" s="577"/>
      <c r="AJ142" s="577"/>
      <c r="AK142" s="577"/>
      <c r="AL142" s="577"/>
      <c r="AM142" s="577"/>
      <c r="AN142" s="577"/>
      <c r="AO142" s="577"/>
      <c r="AP142" s="577"/>
      <c r="AQ142" s="577"/>
    </row>
    <row r="143" spans="1:47" s="318" customFormat="1">
      <c r="A143" s="332" t="s">
        <v>335</v>
      </c>
      <c r="D143" s="328"/>
      <c r="E143" s="328"/>
      <c r="F143" s="328"/>
      <c r="G143" s="593">
        <f>'Detailed Disclosure'!G143/'Detailed Disclosures - USD'!G$313</f>
        <v>380196.25724441261</v>
      </c>
      <c r="H143" s="593"/>
      <c r="I143" s="328"/>
      <c r="J143" s="593">
        <f>'Detailed Disclosure'!J143/'Detailed Disclosures - USD'!J$313</f>
        <v>523867.7855972292</v>
      </c>
      <c r="K143" s="593">
        <f>'Detailed Disclosure'!K143/'Detailed Disclosures - USD'!K$313</f>
        <v>619042.605488581</v>
      </c>
      <c r="L143" s="593"/>
      <c r="M143" s="328"/>
      <c r="N143" s="593" t="s">
        <v>336</v>
      </c>
      <c r="O143" s="603" t="s">
        <v>337</v>
      </c>
      <c r="P143" s="603"/>
      <c r="R143" s="593" t="s">
        <v>338</v>
      </c>
      <c r="S143" s="593" t="str">
        <f t="shared" si="272"/>
        <v>&gt;1,334,000</v>
      </c>
      <c r="T143" s="593"/>
      <c r="U143" s="593"/>
      <c r="V143" s="593" t="str">
        <f t="shared" si="291"/>
        <v>&gt;1,334,000</v>
      </c>
      <c r="X143" s="328"/>
      <c r="Y143" s="592"/>
      <c r="Z143" s="593">
        <f t="shared" si="288"/>
        <v>380196.25724441261</v>
      </c>
      <c r="AA143" s="328"/>
      <c r="AB143" s="593">
        <f t="shared" si="289"/>
        <v>619042.605488581</v>
      </c>
      <c r="AC143" s="328"/>
      <c r="AD143" s="593" t="str">
        <f t="shared" si="290"/>
        <v>&gt;780,000</v>
      </c>
      <c r="AE143" s="593"/>
      <c r="AF143" s="593" t="str">
        <f>+R143</f>
        <v>&gt;1,334,000</v>
      </c>
      <c r="AG143" s="593"/>
      <c r="AH143" s="328"/>
      <c r="AI143" s="328"/>
      <c r="AJ143" s="328"/>
      <c r="AK143" s="328"/>
      <c r="AL143" s="328"/>
      <c r="AM143" s="328"/>
      <c r="AN143" s="328"/>
      <c r="AO143" s="328"/>
      <c r="AP143" s="328"/>
      <c r="AQ143" s="328"/>
    </row>
    <row r="144" spans="1:47">
      <c r="D144" s="355"/>
      <c r="E144" s="355"/>
      <c r="F144" s="355"/>
      <c r="G144" s="355"/>
      <c r="H144" s="355"/>
      <c r="I144" s="355"/>
      <c r="J144" s="355"/>
      <c r="K144" s="355"/>
      <c r="L144" s="355"/>
      <c r="M144" s="355"/>
      <c r="N144" s="355"/>
      <c r="O144" s="355"/>
      <c r="P144" s="355"/>
      <c r="R144" s="355"/>
      <c r="S144" s="355"/>
      <c r="T144" s="355"/>
      <c r="U144" s="355"/>
      <c r="V144" s="355"/>
      <c r="X144" s="355"/>
      <c r="Y144" s="355"/>
      <c r="Z144" s="355"/>
      <c r="AA144" s="355"/>
      <c r="AB144" s="355"/>
      <c r="AC144" s="355"/>
      <c r="AD144" s="355"/>
      <c r="AE144" s="355"/>
      <c r="AF144" s="355"/>
      <c r="AG144" s="355"/>
      <c r="AH144" s="355"/>
      <c r="AI144" s="355"/>
      <c r="AJ144" s="355"/>
      <c r="AK144" s="355"/>
      <c r="AL144" s="355"/>
      <c r="AM144" s="355"/>
      <c r="AN144" s="355"/>
      <c r="AO144" s="355"/>
      <c r="AP144" s="355"/>
      <c r="AQ144" s="355"/>
    </row>
    <row r="145" spans="1:43" s="337" customFormat="1" ht="18.5">
      <c r="A145" s="336" t="s">
        <v>237</v>
      </c>
      <c r="D145" s="547"/>
      <c r="E145" s="547"/>
      <c r="F145" s="547"/>
      <c r="G145" s="547"/>
      <c r="H145" s="547"/>
      <c r="I145" s="547"/>
      <c r="J145" s="547"/>
      <c r="K145" s="547"/>
      <c r="L145" s="547"/>
      <c r="M145" s="547"/>
      <c r="N145" s="547"/>
      <c r="O145" s="591"/>
      <c r="P145" s="591"/>
      <c r="R145" s="591"/>
      <c r="S145" s="591"/>
      <c r="T145" s="591"/>
      <c r="U145" s="591"/>
      <c r="V145" s="591"/>
      <c r="X145" s="547"/>
      <c r="Y145" s="547"/>
      <c r="Z145" s="547"/>
      <c r="AA145" s="547"/>
      <c r="AB145" s="547"/>
      <c r="AC145" s="547"/>
      <c r="AD145" s="591"/>
      <c r="AE145" s="591"/>
      <c r="AF145" s="591"/>
      <c r="AG145" s="591"/>
      <c r="AH145" s="547"/>
      <c r="AI145" s="547"/>
      <c r="AJ145" s="547"/>
      <c r="AK145" s="547"/>
      <c r="AL145" s="547"/>
      <c r="AM145" s="547"/>
      <c r="AN145" s="547"/>
      <c r="AO145" s="547"/>
      <c r="AP145" s="547"/>
      <c r="AQ145" s="547"/>
    </row>
    <row r="146" spans="1:43" s="337" customFormat="1">
      <c r="A146" s="338" t="str">
        <f>A141</f>
        <v>Non-Published Stock Value</v>
      </c>
      <c r="D146" s="547"/>
      <c r="E146" s="547"/>
      <c r="F146" s="547"/>
      <c r="G146" s="547"/>
      <c r="H146" s="547"/>
      <c r="I146" s="547"/>
      <c r="J146" s="571"/>
      <c r="K146" s="597" t="s">
        <v>251</v>
      </c>
      <c r="L146" s="547"/>
      <c r="M146" s="547"/>
      <c r="N146" s="339">
        <f>N141/J141-1</f>
        <v>-0.10553591538878515</v>
      </c>
      <c r="O146" s="597" t="s">
        <v>251</v>
      </c>
      <c r="P146" s="597"/>
      <c r="R146" s="339">
        <f>2.44322344322344-1</f>
        <v>1.4432234432234399</v>
      </c>
      <c r="S146" s="597" t="str">
        <f t="shared" si="272"/>
        <v>NA</v>
      </c>
      <c r="T146" s="597"/>
      <c r="U146" s="597"/>
      <c r="V146" s="339" t="str">
        <f>+'Detailed Disclosure'!V146</f>
        <v>NA</v>
      </c>
      <c r="X146" s="547"/>
      <c r="Y146" s="547"/>
      <c r="Z146" s="547"/>
      <c r="AA146" s="547"/>
      <c r="AB146" s="597" t="str">
        <f>K146</f>
        <v>NA</v>
      </c>
      <c r="AC146" s="547"/>
      <c r="AD146" s="597" t="str">
        <f>O146</f>
        <v>NA</v>
      </c>
      <c r="AE146" s="597"/>
      <c r="AF146" s="597" t="str">
        <f>+'Detailed Disclosure'!AF146</f>
        <v>NA</v>
      </c>
      <c r="AG146" s="597"/>
      <c r="AH146" s="547"/>
      <c r="AI146" s="547"/>
      <c r="AJ146" s="547"/>
      <c r="AK146" s="547"/>
      <c r="AL146" s="547"/>
      <c r="AM146" s="547"/>
      <c r="AN146" s="547"/>
      <c r="AO146" s="547"/>
      <c r="AP146" s="547"/>
      <c r="AQ146" s="547"/>
    </row>
    <row r="147" spans="1:43" s="340" customFormat="1" ht="18.5">
      <c r="A147" s="338" t="str">
        <f>A142</f>
        <v>Published Stock Value</v>
      </c>
      <c r="D147" s="598"/>
      <c r="E147" s="598"/>
      <c r="F147" s="598"/>
      <c r="G147" s="598"/>
      <c r="H147" s="598"/>
      <c r="I147" s="598"/>
      <c r="J147" s="598"/>
      <c r="K147" s="591" t="s">
        <v>251</v>
      </c>
      <c r="L147" s="598"/>
      <c r="M147" s="598"/>
      <c r="N147" s="330">
        <f>410000/J142-1</f>
        <v>0.87886356316791314</v>
      </c>
      <c r="O147" s="591" t="s">
        <v>251</v>
      </c>
      <c r="P147" s="591"/>
      <c r="R147" s="330">
        <f>1.62682926829268-1</f>
        <v>0.62682926829267993</v>
      </c>
      <c r="S147" s="591" t="str">
        <f t="shared" si="272"/>
        <v>NA</v>
      </c>
      <c r="T147" s="591"/>
      <c r="U147" s="591"/>
      <c r="V147" s="330" t="str">
        <f>+'Detailed Disclosure'!V147</f>
        <v>NA</v>
      </c>
      <c r="W147" s="598"/>
      <c r="X147" s="598"/>
      <c r="Y147" s="598"/>
      <c r="Z147" s="598"/>
      <c r="AA147" s="598"/>
      <c r="AB147" s="591" t="str">
        <f t="shared" ref="AB147:AB148" si="292">K147</f>
        <v>NA</v>
      </c>
      <c r="AC147" s="598"/>
      <c r="AD147" s="591" t="str">
        <f t="shared" ref="AD147:AD148" si="293">O147</f>
        <v>NA</v>
      </c>
      <c r="AE147" s="591"/>
      <c r="AF147" s="591" t="str">
        <f>+'Detailed Disclosure'!AF147</f>
        <v>NA</v>
      </c>
      <c r="AG147" s="591"/>
      <c r="AH147" s="598"/>
      <c r="AI147" s="598"/>
      <c r="AJ147" s="598"/>
      <c r="AK147" s="598"/>
      <c r="AL147" s="598"/>
      <c r="AM147" s="598"/>
      <c r="AN147" s="598"/>
      <c r="AO147" s="598"/>
      <c r="AP147" s="598"/>
      <c r="AQ147" s="598"/>
    </row>
    <row r="148" spans="1:43" s="337" customFormat="1">
      <c r="A148" s="341" t="str">
        <f>A143</f>
        <v>Total Seller Stock Value</v>
      </c>
      <c r="D148" s="547"/>
      <c r="E148" s="547"/>
      <c r="F148" s="547"/>
      <c r="G148" s="547"/>
      <c r="H148" s="547"/>
      <c r="I148" s="547"/>
      <c r="J148" s="571"/>
      <c r="K148" s="339">
        <f>K143/G143-1</f>
        <v>0.62821856789248676</v>
      </c>
      <c r="L148" s="547"/>
      <c r="M148" s="547"/>
      <c r="N148" s="339">
        <f>680000/J143-1</f>
        <v>0.29803744130739807</v>
      </c>
      <c r="O148" s="339">
        <f>788000/K143-1</f>
        <v>0.27293338618925733</v>
      </c>
      <c r="P148" s="339"/>
      <c r="R148" s="339">
        <f>1.96176470588235-1</f>
        <v>0.96176470588234997</v>
      </c>
      <c r="S148" s="339">
        <f t="shared" si="272"/>
        <v>0.66666666666666674</v>
      </c>
      <c r="T148" s="339"/>
      <c r="U148" s="339"/>
      <c r="V148" s="339" t="str">
        <f>+'Detailed Disclosure'!V148</f>
        <v>NA</v>
      </c>
      <c r="X148" s="547"/>
      <c r="Y148" s="547"/>
      <c r="Z148" s="547"/>
      <c r="AA148" s="547"/>
      <c r="AB148" s="339">
        <f t="shared" si="292"/>
        <v>0.62821856789248676</v>
      </c>
      <c r="AC148" s="547"/>
      <c r="AD148" s="339">
        <f t="shared" si="293"/>
        <v>0.27293338618925733</v>
      </c>
      <c r="AE148" s="339"/>
      <c r="AF148" s="339">
        <f>+'Detailed Disclosure'!AF148</f>
        <v>0.66666666666666674</v>
      </c>
      <c r="AG148" s="339"/>
      <c r="AH148" s="547"/>
      <c r="AI148" s="547"/>
      <c r="AJ148" s="547"/>
      <c r="AK148" s="547"/>
      <c r="AL148" s="547"/>
      <c r="AM148" s="547"/>
      <c r="AN148" s="547"/>
      <c r="AO148" s="547"/>
      <c r="AP148" s="547"/>
      <c r="AQ148" s="547"/>
    </row>
    <row r="149" spans="1:43">
      <c r="J149" s="586"/>
    </row>
    <row r="150" spans="1:43">
      <c r="A150" s="513" t="s">
        <v>131</v>
      </c>
      <c r="D150" s="355"/>
      <c r="E150" s="355"/>
      <c r="F150" s="355"/>
      <c r="G150" s="355"/>
      <c r="H150" s="355"/>
      <c r="I150" s="355"/>
      <c r="J150" s="509"/>
      <c r="K150" s="355"/>
      <c r="L150" s="355"/>
      <c r="M150" s="355"/>
      <c r="N150" s="355"/>
      <c r="O150" s="355"/>
      <c r="P150" s="355"/>
      <c r="Q150" s="355"/>
      <c r="R150" s="355"/>
      <c r="S150" s="355"/>
      <c r="T150" s="355"/>
      <c r="U150" s="355"/>
      <c r="V150" s="355"/>
      <c r="X150" s="355"/>
      <c r="Y150" s="355"/>
      <c r="Z150" s="355"/>
      <c r="AA150" s="355"/>
      <c r="AB150" s="355"/>
      <c r="AC150" s="355"/>
      <c r="AD150" s="355"/>
      <c r="AE150" s="355"/>
      <c r="AF150" s="355"/>
      <c r="AG150" s="355"/>
      <c r="AH150" s="355"/>
      <c r="AI150" s="355"/>
      <c r="AJ150" s="355"/>
      <c r="AK150" s="355"/>
      <c r="AL150" s="355"/>
      <c r="AM150" s="355"/>
      <c r="AN150" s="355"/>
      <c r="AO150" s="355"/>
      <c r="AP150" s="355"/>
      <c r="AQ150" s="355"/>
    </row>
    <row r="151" spans="1:43">
      <c r="A151" s="319" t="s">
        <v>339</v>
      </c>
      <c r="D151" s="355"/>
      <c r="E151" s="355"/>
      <c r="F151" s="355"/>
      <c r="G151" s="355"/>
      <c r="H151" s="355"/>
      <c r="I151" s="355"/>
      <c r="J151" s="328">
        <f>+J165*J8</f>
        <v>18374.313579544891</v>
      </c>
      <c r="K151" s="328">
        <f t="shared" ref="K151:AO151" si="294">+K165*K8</f>
        <v>33483.69753916539</v>
      </c>
      <c r="L151" s="328">
        <f t="shared" si="294"/>
        <v>26147.175419215611</v>
      </c>
      <c r="M151" s="328">
        <f t="shared" si="294"/>
        <v>26328.657881754683</v>
      </c>
      <c r="N151" s="328">
        <f t="shared" si="294"/>
        <v>32304.957525549798</v>
      </c>
      <c r="O151" s="328">
        <f t="shared" si="294"/>
        <v>58221.623505350297</v>
      </c>
      <c r="P151" s="328">
        <f t="shared" si="294"/>
        <v>53128.821781163533</v>
      </c>
      <c r="Q151" s="328">
        <f t="shared" si="294"/>
        <v>66181.453876895088</v>
      </c>
      <c r="R151" s="328">
        <f t="shared" si="294"/>
        <v>64653.968744141108</v>
      </c>
      <c r="S151" s="328">
        <f t="shared" ref="S151:T151" si="295">+S165*S8</f>
        <v>109614.71570675362</v>
      </c>
      <c r="T151" s="328">
        <f t="shared" si="295"/>
        <v>104652.02854787216</v>
      </c>
      <c r="U151" s="328">
        <f t="shared" ref="U151" si="296">+U165*U8</f>
        <v>112353.968063184</v>
      </c>
      <c r="V151" s="328"/>
      <c r="W151" s="328"/>
      <c r="X151" s="328"/>
      <c r="Y151" s="328"/>
      <c r="Z151" s="328">
        <f t="shared" si="294"/>
        <v>12959.328199978108</v>
      </c>
      <c r="AA151" s="328">
        <f t="shared" si="294"/>
        <v>24559.31480088372</v>
      </c>
      <c r="AB151" s="328">
        <f t="shared" si="294"/>
        <v>51852.910225814165</v>
      </c>
      <c r="AC151" s="328">
        <f t="shared" si="294"/>
        <v>52503.286537175816</v>
      </c>
      <c r="AD151" s="328">
        <f t="shared" si="294"/>
        <v>90526.581030900095</v>
      </c>
      <c r="AE151" s="328">
        <f t="shared" si="294"/>
        <v>119323.13673826752</v>
      </c>
      <c r="AF151" s="328">
        <f t="shared" ref="AF151:AG151" si="297">+AF165*AF8</f>
        <v>174262.9844244933</v>
      </c>
      <c r="AG151" s="328">
        <f t="shared" si="297"/>
        <v>217000.24981008205</v>
      </c>
      <c r="AH151" s="328"/>
      <c r="AI151" s="328"/>
      <c r="AJ151" s="328">
        <f t="shared" si="294"/>
        <v>35.952476328703511</v>
      </c>
      <c r="AK151" s="328">
        <f t="shared" si="294"/>
        <v>883.90704461840562</v>
      </c>
      <c r="AL151" s="328">
        <f t="shared" si="294"/>
        <v>4968.4246011666755</v>
      </c>
      <c r="AM151" s="328">
        <f t="shared" si="294"/>
        <v>37366.07309859158</v>
      </c>
      <c r="AN151" s="328">
        <f t="shared" si="294"/>
        <v>104432.70432705851</v>
      </c>
      <c r="AO151" s="328">
        <f t="shared" si="294"/>
        <v>209808.46087396183</v>
      </c>
      <c r="AP151" s="328">
        <f t="shared" ref="AP151" si="298">+AP165*AP8</f>
        <v>391183.4065655907</v>
      </c>
      <c r="AQ151" s="355"/>
    </row>
    <row r="152" spans="1:43" s="513" customFormat="1">
      <c r="A152" s="318" t="s">
        <v>340</v>
      </c>
      <c r="B152" s="327"/>
      <c r="C152" s="327"/>
      <c r="D152" s="577"/>
      <c r="E152" s="577"/>
      <c r="F152" s="577"/>
      <c r="G152" s="595"/>
      <c r="H152" s="595"/>
      <c r="I152" s="577"/>
      <c r="J152" s="595">
        <f>+J8-J151</f>
        <v>19905.506377840298</v>
      </c>
      <c r="K152" s="595">
        <f t="shared" ref="K152:AO152" si="299">+K8-K151</f>
        <v>40960.20038565412</v>
      </c>
      <c r="L152" s="595">
        <f t="shared" si="299"/>
        <v>25121.795991011077</v>
      </c>
      <c r="M152" s="595">
        <f t="shared" si="299"/>
        <v>18544.061479930941</v>
      </c>
      <c r="N152" s="595">
        <f t="shared" si="299"/>
        <v>25382.466627217691</v>
      </c>
      <c r="O152" s="595">
        <f t="shared" si="299"/>
        <v>45745.561325632363</v>
      </c>
      <c r="P152" s="595">
        <f t="shared" si="299"/>
        <v>36920.028695384834</v>
      </c>
      <c r="Q152" s="595">
        <f t="shared" si="299"/>
        <v>43853.81230756818</v>
      </c>
      <c r="R152" s="595">
        <f t="shared" si="299"/>
        <v>44929.029127284506</v>
      </c>
      <c r="S152" s="595">
        <f t="shared" ref="S152:T152" si="300">+S8-S151</f>
        <v>81255.707843360971</v>
      </c>
      <c r="T152" s="595">
        <f t="shared" si="300"/>
        <v>64141.565884179712</v>
      </c>
      <c r="U152" s="595">
        <f t="shared" ref="U152" si="301">+U8-U151</f>
        <v>59683.289141569374</v>
      </c>
      <c r="V152" s="595"/>
      <c r="W152" s="595"/>
      <c r="X152" s="595"/>
      <c r="Y152" s="595"/>
      <c r="Z152" s="595">
        <f t="shared" si="299"/>
        <v>25156.342976428088</v>
      </c>
      <c r="AA152" s="595">
        <f t="shared" si="299"/>
        <v>30740.196769189035</v>
      </c>
      <c r="AB152" s="595">
        <f t="shared" si="299"/>
        <v>60870.807656390534</v>
      </c>
      <c r="AC152" s="595">
        <f t="shared" si="299"/>
        <v>43638.404234736496</v>
      </c>
      <c r="AD152" s="595">
        <f t="shared" si="299"/>
        <v>71128.027952850069</v>
      </c>
      <c r="AE152" s="595">
        <f t="shared" si="299"/>
        <v>80760.979922744125</v>
      </c>
      <c r="AF152" s="595">
        <f t="shared" ref="AF152:AG152" si="302">+AF8-AF151</f>
        <v>126190.4369970469</v>
      </c>
      <c r="AG152" s="595">
        <f t="shared" si="302"/>
        <v>123830.60182672317</v>
      </c>
      <c r="AH152" s="595"/>
      <c r="AI152" s="595"/>
      <c r="AJ152" s="595">
        <f t="shared" si="299"/>
        <v>413.45347778009034</v>
      </c>
      <c r="AK152" s="595">
        <f t="shared" si="299"/>
        <v>4315.5461590192735</v>
      </c>
      <c r="AL152" s="595">
        <f t="shared" si="299"/>
        <v>14140.90078793592</v>
      </c>
      <c r="AM152" s="595">
        <f t="shared" si="299"/>
        <v>56049.109647887373</v>
      </c>
      <c r="AN152" s="595">
        <f t="shared" si="299"/>
        <v>104432.70432705851</v>
      </c>
      <c r="AO152" s="595">
        <f t="shared" si="299"/>
        <v>151930.26477079999</v>
      </c>
      <c r="AP152" s="595">
        <f t="shared" ref="AP152" si="303">+AP8-AP151</f>
        <v>250100.86649275472</v>
      </c>
      <c r="AQ152" s="535"/>
    </row>
    <row r="153" spans="1:43">
      <c r="A153" s="332" t="s">
        <v>341</v>
      </c>
      <c r="B153" s="318"/>
      <c r="C153" s="318"/>
      <c r="D153" s="328"/>
      <c r="E153" s="328"/>
      <c r="F153" s="328"/>
      <c r="G153" s="593"/>
      <c r="H153" s="593"/>
      <c r="I153" s="328"/>
      <c r="J153" s="593">
        <f>+SUM(J151:J152)</f>
        <v>38279.819957385189</v>
      </c>
      <c r="K153" s="593">
        <f t="shared" ref="K153:AO153" si="304">+SUM(K151:K152)</f>
        <v>74443.89792481951</v>
      </c>
      <c r="L153" s="593">
        <f t="shared" si="304"/>
        <v>51268.971410226688</v>
      </c>
      <c r="M153" s="593">
        <f t="shared" si="304"/>
        <v>44872.719361685624</v>
      </c>
      <c r="N153" s="593">
        <f t="shared" si="304"/>
        <v>57687.424152767489</v>
      </c>
      <c r="O153" s="593">
        <f t="shared" si="304"/>
        <v>103967.18483098266</v>
      </c>
      <c r="P153" s="593">
        <f t="shared" si="304"/>
        <v>90048.850476548367</v>
      </c>
      <c r="Q153" s="593">
        <f t="shared" si="304"/>
        <v>110035.26618446327</v>
      </c>
      <c r="R153" s="593">
        <f t="shared" si="304"/>
        <v>109582.99787142561</v>
      </c>
      <c r="S153" s="593">
        <f t="shared" ref="S153:T153" si="305">+SUM(S151:S152)</f>
        <v>190870.42355011459</v>
      </c>
      <c r="T153" s="593">
        <f t="shared" si="305"/>
        <v>168793.59443205188</v>
      </c>
      <c r="U153" s="593">
        <f t="shared" ref="U153" si="306">+SUM(U151:U152)</f>
        <v>172037.25720475338</v>
      </c>
      <c r="V153" s="593"/>
      <c r="W153" s="593"/>
      <c r="X153" s="593"/>
      <c r="Y153" s="593"/>
      <c r="Z153" s="593">
        <f t="shared" si="304"/>
        <v>38115.671176406198</v>
      </c>
      <c r="AA153" s="593">
        <f t="shared" si="304"/>
        <v>55299.511570072755</v>
      </c>
      <c r="AB153" s="593">
        <f t="shared" si="304"/>
        <v>112723.7178822047</v>
      </c>
      <c r="AC153" s="593">
        <f t="shared" si="304"/>
        <v>96141.690771912312</v>
      </c>
      <c r="AD153" s="593">
        <f t="shared" si="304"/>
        <v>161654.60898375016</v>
      </c>
      <c r="AE153" s="593">
        <f t="shared" si="304"/>
        <v>200084.11666101165</v>
      </c>
      <c r="AF153" s="593">
        <f t="shared" ref="AF153:AG153" si="307">+SUM(AF151:AF152)</f>
        <v>300453.4214215402</v>
      </c>
      <c r="AG153" s="593">
        <f t="shared" si="307"/>
        <v>340830.85163680522</v>
      </c>
      <c r="AH153" s="593"/>
      <c r="AI153" s="593"/>
      <c r="AJ153" s="593">
        <f t="shared" si="304"/>
        <v>449.40595410879382</v>
      </c>
      <c r="AK153" s="593">
        <f t="shared" si="304"/>
        <v>5199.4532036376795</v>
      </c>
      <c r="AL153" s="593">
        <f t="shared" si="304"/>
        <v>19109.325389102596</v>
      </c>
      <c r="AM153" s="593">
        <f t="shared" si="304"/>
        <v>93415.182746478953</v>
      </c>
      <c r="AN153" s="593">
        <f t="shared" si="304"/>
        <v>208865.40865411703</v>
      </c>
      <c r="AO153" s="593">
        <f t="shared" si="304"/>
        <v>361738.72564476181</v>
      </c>
      <c r="AP153" s="593">
        <f t="shared" ref="AP153" si="308">+SUM(AP151:AP152)</f>
        <v>641284.27305834542</v>
      </c>
      <c r="AQ153" s="355"/>
    </row>
    <row r="154" spans="1:43">
      <c r="D154" s="355"/>
      <c r="E154" s="355"/>
      <c r="F154" s="355"/>
      <c r="G154" s="355"/>
      <c r="H154" s="355"/>
      <c r="I154" s="355"/>
      <c r="J154" s="509"/>
      <c r="K154" s="355"/>
      <c r="L154" s="355"/>
      <c r="M154" s="355"/>
      <c r="N154" s="355"/>
      <c r="O154" s="355"/>
      <c r="P154" s="355"/>
      <c r="Q154" s="355"/>
      <c r="R154" s="355"/>
      <c r="S154" s="355"/>
      <c r="T154" s="355"/>
      <c r="U154" s="355"/>
      <c r="V154" s="355"/>
      <c r="X154" s="355"/>
      <c r="Y154" s="355"/>
      <c r="Z154" s="355"/>
      <c r="AA154" s="355"/>
      <c r="AB154" s="355"/>
      <c r="AC154" s="355"/>
      <c r="AD154" s="355"/>
      <c r="AE154" s="355"/>
      <c r="AF154" s="355"/>
      <c r="AG154" s="355"/>
      <c r="AH154" s="355"/>
      <c r="AI154" s="355"/>
      <c r="AJ154" s="355"/>
      <c r="AK154" s="355"/>
      <c r="AL154" s="355"/>
      <c r="AM154" s="355"/>
      <c r="AN154" s="355"/>
      <c r="AO154" s="355"/>
      <c r="AP154" s="355"/>
      <c r="AQ154" s="355"/>
    </row>
    <row r="155" spans="1:43" ht="18.5">
      <c r="A155" s="336" t="s">
        <v>237</v>
      </c>
      <c r="B155" s="337"/>
      <c r="C155" s="337"/>
      <c r="D155" s="547"/>
      <c r="E155" s="547"/>
      <c r="F155" s="547"/>
      <c r="G155" s="547"/>
      <c r="H155" s="547"/>
      <c r="I155" s="547"/>
      <c r="J155" s="547"/>
      <c r="K155" s="547"/>
      <c r="L155" s="547"/>
      <c r="M155" s="547"/>
      <c r="N155" s="547"/>
      <c r="O155" s="591"/>
      <c r="P155" s="591"/>
      <c r="Q155" s="591"/>
      <c r="R155" s="591"/>
      <c r="S155" s="591"/>
      <c r="T155" s="591"/>
      <c r="U155" s="591"/>
      <c r="V155" s="591"/>
      <c r="W155" s="337"/>
      <c r="X155" s="547"/>
      <c r="Y155" s="547"/>
      <c r="Z155" s="547"/>
      <c r="AA155" s="547"/>
      <c r="AB155" s="547"/>
      <c r="AC155" s="547"/>
      <c r="AD155" s="591"/>
      <c r="AE155" s="591"/>
      <c r="AF155" s="591"/>
      <c r="AG155" s="591"/>
      <c r="AH155" s="355"/>
      <c r="AI155" s="355"/>
      <c r="AJ155" s="355"/>
      <c r="AK155" s="355"/>
      <c r="AL155" s="355"/>
      <c r="AM155" s="355"/>
      <c r="AN155" s="355"/>
      <c r="AO155" s="355"/>
      <c r="AP155" s="355"/>
      <c r="AQ155" s="355"/>
    </row>
    <row r="156" spans="1:43">
      <c r="A156" s="338" t="str">
        <f>A151</f>
        <v xml:space="preserve">Repeat Customers </v>
      </c>
      <c r="B156" s="337"/>
      <c r="C156" s="337"/>
      <c r="D156" s="547"/>
      <c r="E156" s="547"/>
      <c r="F156" s="547"/>
      <c r="G156" s="547"/>
      <c r="H156" s="547"/>
      <c r="I156" s="547"/>
      <c r="J156" s="547"/>
      <c r="K156" s="597"/>
      <c r="L156" s="547"/>
      <c r="M156" s="547"/>
      <c r="N156" s="339">
        <f>+N151/J151-1</f>
        <v>0.75815860471180407</v>
      </c>
      <c r="O156" s="339">
        <f t="shared" ref="O156:R156" si="309">+O151/K151-1</f>
        <v>0.73880508379486209</v>
      </c>
      <c r="P156" s="339">
        <f t="shared" si="309"/>
        <v>1.0319143819304877</v>
      </c>
      <c r="Q156" s="339">
        <f t="shared" si="309"/>
        <v>1.5136660658558565</v>
      </c>
      <c r="R156" s="339">
        <f t="shared" si="309"/>
        <v>1.0013636821223697</v>
      </c>
      <c r="S156" s="339">
        <f t="shared" ref="S156:S158" si="310">+S151/O151-1</f>
        <v>0.88271485931134386</v>
      </c>
      <c r="T156" s="339">
        <f t="shared" ref="T156:T158" si="311">+T151/P151-1</f>
        <v>0.96977883264439035</v>
      </c>
      <c r="U156" s="339">
        <f t="shared" ref="U156:U158" si="312">+U151/Q151-1</f>
        <v>0.69766545582656669</v>
      </c>
      <c r="V156" s="339"/>
      <c r="W156" s="547"/>
      <c r="X156" s="547"/>
      <c r="Y156" s="547"/>
      <c r="Z156" s="547"/>
      <c r="AA156" s="547"/>
      <c r="AB156" s="339">
        <f>+AB151/Z151-1</f>
        <v>3.0012035674736408</v>
      </c>
      <c r="AC156" s="339">
        <f t="shared" ref="AC156:AE156" si="313">+AC151/AA151-1</f>
        <v>1.137815609386895</v>
      </c>
      <c r="AD156" s="339">
        <f t="shared" si="313"/>
        <v>0.74583414193467679</v>
      </c>
      <c r="AE156" s="339">
        <f t="shared" si="313"/>
        <v>1.2726793808189285</v>
      </c>
      <c r="AF156" s="339">
        <f t="shared" ref="AF156:AF158" si="314">+AF151/AD151-1</f>
        <v>0.92499244354551347</v>
      </c>
      <c r="AG156" s="339">
        <f t="shared" ref="AG156:AG158" si="315">+AG151/AE151-1</f>
        <v>0.81859323968382558</v>
      </c>
      <c r="AH156" s="355"/>
      <c r="AI156" s="355"/>
      <c r="AJ156" s="355"/>
      <c r="AK156" s="339">
        <f t="shared" ref="AK156:AO158" si="316">+AK151/AJ151-1</f>
        <v>23.585428734785577</v>
      </c>
      <c r="AL156" s="339">
        <f t="shared" si="316"/>
        <v>4.6209808841512405</v>
      </c>
      <c r="AM156" s="339">
        <f t="shared" si="316"/>
        <v>6.5207084937582334</v>
      </c>
      <c r="AN156" s="339">
        <f t="shared" si="316"/>
        <v>1.7948536109617268</v>
      </c>
      <c r="AO156" s="339">
        <f>+AO151/AN151-1</f>
        <v>1.0090302384288679</v>
      </c>
      <c r="AP156" s="339">
        <f t="shared" ref="AP156:AP158" si="317">+AP151/AO151-1</f>
        <v>0.86447870088797885</v>
      </c>
      <c r="AQ156" s="355"/>
    </row>
    <row r="157" spans="1:43" s="524" customFormat="1" ht="18.5">
      <c r="A157" s="338" t="str">
        <f t="shared" ref="A157:A158" si="318">A152</f>
        <v>New Customers</v>
      </c>
      <c r="B157" s="340"/>
      <c r="C157" s="340"/>
      <c r="D157" s="598"/>
      <c r="E157" s="598"/>
      <c r="F157" s="598"/>
      <c r="G157" s="598"/>
      <c r="H157" s="598"/>
      <c r="I157" s="598"/>
      <c r="J157" s="598"/>
      <c r="K157" s="591"/>
      <c r="L157" s="598"/>
      <c r="M157" s="598"/>
      <c r="N157" s="330">
        <f t="shared" ref="N157:R158" si="319">+N152/J152-1</f>
        <v>0.27514799902174758</v>
      </c>
      <c r="O157" s="330">
        <f t="shared" si="319"/>
        <v>0.11682952951700565</v>
      </c>
      <c r="P157" s="330">
        <f t="shared" si="319"/>
        <v>0.46964129111610209</v>
      </c>
      <c r="Q157" s="330">
        <f t="shared" si="319"/>
        <v>1.3648439881968883</v>
      </c>
      <c r="R157" s="330">
        <f t="shared" si="319"/>
        <v>0.77008128434243583</v>
      </c>
      <c r="S157" s="330">
        <f t="shared" si="310"/>
        <v>0.77625337822297968</v>
      </c>
      <c r="T157" s="330">
        <f t="shared" si="311"/>
        <v>0.73731083508604334</v>
      </c>
      <c r="U157" s="330">
        <f t="shared" si="312"/>
        <v>0.36096010816531421</v>
      </c>
      <c r="V157" s="330"/>
      <c r="W157" s="340"/>
      <c r="X157" s="598"/>
      <c r="Y157" s="598"/>
      <c r="Z157" s="598"/>
      <c r="AA157" s="598"/>
      <c r="AB157" s="330">
        <f t="shared" ref="AB157:AE158" si="320">+AB152/Z152-1</f>
        <v>1.4197001811204233</v>
      </c>
      <c r="AC157" s="330">
        <f t="shared" si="320"/>
        <v>0.41958766765199629</v>
      </c>
      <c r="AD157" s="330">
        <f t="shared" si="320"/>
        <v>0.16850803679754822</v>
      </c>
      <c r="AE157" s="330">
        <f t="shared" si="320"/>
        <v>0.8506859116185963</v>
      </c>
      <c r="AF157" s="330">
        <f t="shared" si="314"/>
        <v>0.77413096677862425</v>
      </c>
      <c r="AG157" s="330">
        <f t="shared" si="315"/>
        <v>0.53329741596968483</v>
      </c>
      <c r="AH157" s="525"/>
      <c r="AI157" s="525"/>
      <c r="AJ157" s="525"/>
      <c r="AK157" s="330">
        <f t="shared" si="316"/>
        <v>9.4378035037708585</v>
      </c>
      <c r="AL157" s="330">
        <f t="shared" si="316"/>
        <v>2.2767349176377483</v>
      </c>
      <c r="AM157" s="330">
        <f t="shared" si="316"/>
        <v>2.9636166386023133</v>
      </c>
      <c r="AN157" s="330">
        <f t="shared" si="316"/>
        <v>0.86323574064115105</v>
      </c>
      <c r="AO157" s="330">
        <f t="shared" si="316"/>
        <v>0.45481500024159449</v>
      </c>
      <c r="AP157" s="330">
        <f t="shared" si="317"/>
        <v>0.64615566799711455</v>
      </c>
      <c r="AQ157" s="525"/>
    </row>
    <row r="158" spans="1:43">
      <c r="A158" s="341" t="str">
        <f t="shared" si="318"/>
        <v>Total Gross Revenue</v>
      </c>
      <c r="B158" s="337"/>
      <c r="C158" s="337"/>
      <c r="D158" s="547"/>
      <c r="E158" s="547"/>
      <c r="F158" s="547"/>
      <c r="G158" s="547"/>
      <c r="H158" s="547"/>
      <c r="I158" s="547"/>
      <c r="J158" s="547"/>
      <c r="K158" s="339"/>
      <c r="L158" s="547"/>
      <c r="M158" s="547"/>
      <c r="N158" s="339">
        <f t="shared" si="319"/>
        <v>0.50699308975297463</v>
      </c>
      <c r="O158" s="339">
        <f t="shared" si="319"/>
        <v>0.39658437735190266</v>
      </c>
      <c r="P158" s="339">
        <f t="shared" si="319"/>
        <v>0.75640056743143869</v>
      </c>
      <c r="Q158" s="339">
        <f t="shared" si="319"/>
        <v>1.4521639818070931</v>
      </c>
      <c r="R158" s="339">
        <f t="shared" si="319"/>
        <v>0.89959942709919893</v>
      </c>
      <c r="S158" s="339">
        <f t="shared" si="310"/>
        <v>0.8358718076324636</v>
      </c>
      <c r="T158" s="339">
        <f t="shared" si="311"/>
        <v>0.87446695364546811</v>
      </c>
      <c r="U158" s="339">
        <f t="shared" si="312"/>
        <v>0.56347381317140521</v>
      </c>
      <c r="V158" s="339"/>
      <c r="W158" s="337"/>
      <c r="X158" s="547"/>
      <c r="Y158" s="547"/>
      <c r="Z158" s="547"/>
      <c r="AA158" s="547"/>
      <c r="AB158" s="339">
        <f t="shared" si="320"/>
        <v>1.9574113324805174</v>
      </c>
      <c r="AC158" s="339">
        <f t="shared" si="320"/>
        <v>0.73856310918924484</v>
      </c>
      <c r="AD158" s="339">
        <f t="shared" si="320"/>
        <v>0.43407804516062742</v>
      </c>
      <c r="AE158" s="339">
        <f t="shared" si="320"/>
        <v>1.0811379023455454</v>
      </c>
      <c r="AF158" s="339">
        <f t="shared" si="314"/>
        <v>0.85861339376808221</v>
      </c>
      <c r="AG158" s="339">
        <f t="shared" si="315"/>
        <v>0.70343782067544525</v>
      </c>
      <c r="AH158" s="355"/>
      <c r="AI158" s="355"/>
      <c r="AJ158" s="355"/>
      <c r="AK158" s="339">
        <f t="shared" si="316"/>
        <v>10.569613522252038</v>
      </c>
      <c r="AL158" s="339">
        <f t="shared" si="316"/>
        <v>2.675256731945042</v>
      </c>
      <c r="AM158" s="339">
        <f t="shared" si="316"/>
        <v>3.8884605209428527</v>
      </c>
      <c r="AN158" s="339">
        <f t="shared" si="316"/>
        <v>1.2358828887693813</v>
      </c>
      <c r="AO158" s="339">
        <f t="shared" si="316"/>
        <v>0.73192261933523106</v>
      </c>
      <c r="AP158" s="339">
        <f t="shared" si="317"/>
        <v>0.77278302707381585</v>
      </c>
      <c r="AQ158" s="355"/>
    </row>
    <row r="159" spans="1:43">
      <c r="A159" s="341"/>
      <c r="B159" s="337"/>
      <c r="C159" s="337"/>
      <c r="D159" s="547"/>
      <c r="E159" s="547"/>
      <c r="F159" s="547"/>
      <c r="G159" s="547"/>
      <c r="H159" s="547"/>
      <c r="I159" s="547"/>
      <c r="J159" s="547"/>
      <c r="K159" s="339"/>
      <c r="L159" s="547"/>
      <c r="M159" s="547"/>
      <c r="N159" s="339"/>
      <c r="O159" s="339"/>
      <c r="P159" s="339"/>
      <c r="Q159" s="339"/>
      <c r="R159" s="339"/>
      <c r="S159" s="339"/>
      <c r="T159" s="339"/>
      <c r="U159" s="339"/>
      <c r="V159" s="339"/>
      <c r="W159" s="337"/>
      <c r="X159" s="547"/>
      <c r="Y159" s="547"/>
      <c r="Z159" s="547"/>
      <c r="AA159" s="547"/>
      <c r="AB159" s="339"/>
      <c r="AC159" s="547"/>
      <c r="AD159" s="339"/>
      <c r="AE159" s="339"/>
      <c r="AF159" s="339"/>
      <c r="AG159" s="339"/>
      <c r="AH159" s="355"/>
      <c r="AI159" s="355"/>
      <c r="AJ159" s="355"/>
      <c r="AK159" s="355"/>
      <c r="AL159" s="355"/>
      <c r="AM159" s="355"/>
      <c r="AN159" s="355"/>
      <c r="AO159" s="355"/>
      <c r="AP159" s="355"/>
      <c r="AQ159" s="355"/>
    </row>
    <row r="160" spans="1:43" ht="18.5">
      <c r="A160" s="336" t="s">
        <v>342</v>
      </c>
      <c r="B160" s="337"/>
      <c r="C160" s="337"/>
      <c r="D160" s="547"/>
      <c r="E160" s="547"/>
      <c r="F160" s="547"/>
      <c r="G160" s="547"/>
      <c r="H160" s="547"/>
      <c r="I160" s="547"/>
      <c r="J160" s="547"/>
      <c r="K160" s="547"/>
      <c r="L160" s="547"/>
      <c r="M160" s="547"/>
      <c r="N160" s="547"/>
      <c r="O160" s="591"/>
      <c r="P160" s="591"/>
      <c r="Q160" s="591"/>
      <c r="R160" s="591"/>
      <c r="S160" s="591"/>
      <c r="T160" s="591"/>
      <c r="U160" s="591"/>
      <c r="V160" s="591"/>
      <c r="W160" s="337"/>
      <c r="X160" s="547"/>
      <c r="Y160" s="547"/>
      <c r="Z160" s="547"/>
      <c r="AA160" s="547"/>
      <c r="AB160" s="547"/>
      <c r="AC160" s="547"/>
      <c r="AD160" s="591"/>
      <c r="AE160" s="591"/>
      <c r="AF160" s="591"/>
      <c r="AG160" s="591"/>
      <c r="AH160" s="355"/>
      <c r="AI160" s="355"/>
      <c r="AJ160" s="355"/>
      <c r="AK160" s="355"/>
      <c r="AL160" s="355"/>
      <c r="AM160" s="355"/>
      <c r="AN160" s="355"/>
      <c r="AO160" s="355"/>
      <c r="AP160" s="355"/>
      <c r="AQ160" s="355"/>
    </row>
    <row r="161" spans="1:47">
      <c r="A161" s="338" t="str">
        <f>A156</f>
        <v xml:space="preserve">Repeat Customers </v>
      </c>
      <c r="B161" s="337"/>
      <c r="C161" s="337"/>
      <c r="D161" s="547"/>
      <c r="E161" s="547"/>
      <c r="F161" s="547"/>
      <c r="G161" s="547"/>
      <c r="H161" s="547"/>
      <c r="I161" s="547"/>
      <c r="J161" s="547"/>
      <c r="K161" s="339">
        <f t="shared" ref="K161:K163" si="321">+K151/J151-1</f>
        <v>0.8223101175567693</v>
      </c>
      <c r="L161" s="339">
        <f t="shared" ref="L161:R161" si="322">+L151/K151-1</f>
        <v>-0.21910728680332736</v>
      </c>
      <c r="M161" s="339">
        <f t="shared" si="322"/>
        <v>6.9408056369140159E-3</v>
      </c>
      <c r="N161" s="339">
        <f t="shared" si="322"/>
        <v>0.22698838925384757</v>
      </c>
      <c r="O161" s="339">
        <f t="shared" si="322"/>
        <v>0.80225042733156848</v>
      </c>
      <c r="P161" s="339">
        <f t="shared" si="322"/>
        <v>-8.7472684847387683E-2</v>
      </c>
      <c r="Q161" s="339">
        <f t="shared" si="322"/>
        <v>0.24567893015762832</v>
      </c>
      <c r="R161" s="339">
        <f t="shared" si="322"/>
        <v>-2.3080259548169946E-2</v>
      </c>
      <c r="S161" s="339">
        <f t="shared" ref="S161:S163" si="323">+S151/R151-1</f>
        <v>0.6954058325566721</v>
      </c>
      <c r="T161" s="339">
        <f t="shared" ref="T161:T163" si="324">+T151/S151-1</f>
        <v>-4.5273913515023523E-2</v>
      </c>
      <c r="U161" s="339">
        <f t="shared" ref="U161:U163" si="325">+U151/T151-1</f>
        <v>7.3595702082245307E-2</v>
      </c>
      <c r="V161" s="339"/>
      <c r="W161" s="547"/>
      <c r="X161" s="547"/>
      <c r="Y161" s="547"/>
      <c r="Z161" s="547"/>
      <c r="AA161" s="339">
        <f t="shared" ref="AA161:AE161" si="326">+AA151/Z151-1</f>
        <v>0.89510709366286489</v>
      </c>
      <c r="AB161" s="339">
        <f t="shared" si="326"/>
        <v>1.1113337504004117</v>
      </c>
      <c r="AC161" s="339">
        <f t="shared" si="326"/>
        <v>1.254271570350296E-2</v>
      </c>
      <c r="AD161" s="339">
        <f t="shared" si="326"/>
        <v>0.72420789252499951</v>
      </c>
      <c r="AE161" s="339">
        <f t="shared" si="326"/>
        <v>0.31810055543286331</v>
      </c>
      <c r="AF161" s="339">
        <f t="shared" ref="AF161:AF163" si="327">+AF151/AE151-1</f>
        <v>0.4604291270580243</v>
      </c>
      <c r="AG161" s="339">
        <f t="shared" ref="AG161:AG163" si="328">+AG151/AF151-1</f>
        <v>0.24524580206593694</v>
      </c>
      <c r="AH161" s="355"/>
      <c r="AI161" s="355"/>
      <c r="AJ161" s="355"/>
      <c r="AK161" s="339">
        <f t="shared" ref="AK161:AO161" si="329">+AK151/AJ151-1</f>
        <v>23.585428734785577</v>
      </c>
      <c r="AL161" s="339">
        <f t="shared" si="329"/>
        <v>4.6209808841512405</v>
      </c>
      <c r="AM161" s="339">
        <f t="shared" si="329"/>
        <v>6.5207084937582334</v>
      </c>
      <c r="AN161" s="339">
        <f t="shared" si="329"/>
        <v>1.7948536109617268</v>
      </c>
      <c r="AO161" s="339">
        <f t="shared" si="329"/>
        <v>1.0090302384288679</v>
      </c>
      <c r="AP161" s="339">
        <f t="shared" ref="AP161:AP163" si="330">+AP151/AO151-1</f>
        <v>0.86447870088797885</v>
      </c>
      <c r="AQ161" s="355"/>
    </row>
    <row r="162" spans="1:47" s="524" customFormat="1" ht="18.5">
      <c r="A162" s="338" t="str">
        <f t="shared" ref="A162:A163" si="331">A157</f>
        <v>New Customers</v>
      </c>
      <c r="B162" s="340"/>
      <c r="C162" s="340"/>
      <c r="D162" s="598"/>
      <c r="E162" s="598"/>
      <c r="F162" s="598"/>
      <c r="G162" s="598"/>
      <c r="H162" s="598"/>
      <c r="I162" s="598"/>
      <c r="J162" s="598"/>
      <c r="K162" s="330">
        <f t="shared" si="321"/>
        <v>1.0577321474852228</v>
      </c>
      <c r="L162" s="330">
        <f t="shared" ref="L162:R162" si="332">+L152/K152-1</f>
        <v>-0.38667790307467043</v>
      </c>
      <c r="M162" s="330">
        <f t="shared" si="332"/>
        <v>-0.26183376831153871</v>
      </c>
      <c r="N162" s="330">
        <f t="shared" si="332"/>
        <v>0.36876523272356065</v>
      </c>
      <c r="O162" s="330">
        <f t="shared" si="332"/>
        <v>0.80225042733156871</v>
      </c>
      <c r="P162" s="330">
        <f t="shared" si="332"/>
        <v>-0.19292653482650279</v>
      </c>
      <c r="Q162" s="330">
        <f t="shared" si="332"/>
        <v>0.18780547733025199</v>
      </c>
      <c r="R162" s="330">
        <f t="shared" si="332"/>
        <v>2.4518206357415639E-2</v>
      </c>
      <c r="S162" s="330">
        <f t="shared" si="323"/>
        <v>0.808534691750461</v>
      </c>
      <c r="T162" s="330">
        <f t="shared" si="324"/>
        <v>-0.21062079715276982</v>
      </c>
      <c r="U162" s="330">
        <f t="shared" si="325"/>
        <v>-6.9506827299175011E-2</v>
      </c>
      <c r="V162" s="330"/>
      <c r="W162" s="340"/>
      <c r="X162" s="598"/>
      <c r="Y162" s="598"/>
      <c r="Z162" s="598"/>
      <c r="AA162" s="330">
        <f t="shared" ref="AA162:AE162" si="333">+AA152/Z152-1</f>
        <v>0.22196603846565099</v>
      </c>
      <c r="AB162" s="330">
        <f t="shared" si="333"/>
        <v>0.98016974690941061</v>
      </c>
      <c r="AC162" s="330">
        <f t="shared" si="333"/>
        <v>-0.28309799204454766</v>
      </c>
      <c r="AD162" s="330">
        <f t="shared" si="333"/>
        <v>0.62994108515617131</v>
      </c>
      <c r="AE162" s="330">
        <f t="shared" si="333"/>
        <v>0.13543116893778673</v>
      </c>
      <c r="AF162" s="330">
        <f t="shared" si="327"/>
        <v>0.56251740776004144</v>
      </c>
      <c r="AG162" s="330">
        <f t="shared" si="328"/>
        <v>-1.8700586403222919E-2</v>
      </c>
      <c r="AH162" s="525"/>
      <c r="AI162" s="525"/>
      <c r="AJ162" s="525"/>
      <c r="AK162" s="330">
        <f t="shared" ref="AK162:AO162" si="334">+AK152/AJ152-1</f>
        <v>9.4378035037708585</v>
      </c>
      <c r="AL162" s="330">
        <f t="shared" si="334"/>
        <v>2.2767349176377483</v>
      </c>
      <c r="AM162" s="330">
        <f t="shared" si="334"/>
        <v>2.9636166386023133</v>
      </c>
      <c r="AN162" s="330">
        <f t="shared" si="334"/>
        <v>0.86323574064115105</v>
      </c>
      <c r="AO162" s="330">
        <f t="shared" si="334"/>
        <v>0.45481500024159449</v>
      </c>
      <c r="AP162" s="330">
        <f t="shared" si="330"/>
        <v>0.64615566799711455</v>
      </c>
      <c r="AQ162" s="525"/>
    </row>
    <row r="163" spans="1:47">
      <c r="A163" s="341" t="str">
        <f t="shared" si="331"/>
        <v>Total Gross Revenue</v>
      </c>
      <c r="B163" s="337"/>
      <c r="C163" s="337"/>
      <c r="D163" s="547"/>
      <c r="E163" s="547"/>
      <c r="F163" s="547"/>
      <c r="G163" s="547"/>
      <c r="H163" s="547"/>
      <c r="I163" s="547"/>
      <c r="J163" s="547"/>
      <c r="K163" s="339">
        <f t="shared" si="321"/>
        <v>0.94472957311956507</v>
      </c>
      <c r="L163" s="339">
        <f t="shared" ref="L163:R163" si="335">+L153/K153-1</f>
        <v>-0.31130726843450696</v>
      </c>
      <c r="M163" s="339">
        <f t="shared" si="335"/>
        <v>-0.1247587355978278</v>
      </c>
      <c r="N163" s="339">
        <f t="shared" si="335"/>
        <v>0.28557896586993214</v>
      </c>
      <c r="O163" s="339">
        <f t="shared" si="335"/>
        <v>0.80225042733156871</v>
      </c>
      <c r="P163" s="339">
        <f t="shared" si="335"/>
        <v>-0.13387237883819825</v>
      </c>
      <c r="Q163" s="339">
        <f t="shared" si="335"/>
        <v>0.22195081449840393</v>
      </c>
      <c r="R163" s="339">
        <f t="shared" si="335"/>
        <v>-4.1102123775432764E-3</v>
      </c>
      <c r="S163" s="339">
        <f t="shared" si="323"/>
        <v>0.7417886648261256</v>
      </c>
      <c r="T163" s="339">
        <f t="shared" si="324"/>
        <v>-0.11566396043683669</v>
      </c>
      <c r="U163" s="339">
        <f t="shared" si="325"/>
        <v>1.921674091730563E-2</v>
      </c>
      <c r="V163" s="339"/>
      <c r="W163" s="337"/>
      <c r="X163" s="547"/>
      <c r="Y163" s="547"/>
      <c r="Z163" s="547"/>
      <c r="AA163" s="339">
        <f t="shared" ref="AA163:AE163" si="336">+AA153/Z153-1</f>
        <v>0.45083399723270379</v>
      </c>
      <c r="AB163" s="339">
        <f t="shared" si="336"/>
        <v>1.0384215824287506</v>
      </c>
      <c r="AC163" s="339">
        <f t="shared" si="336"/>
        <v>-0.14710326648044436</v>
      </c>
      <c r="AD163" s="339">
        <f t="shared" si="336"/>
        <v>0.68142049183700615</v>
      </c>
      <c r="AE163" s="339">
        <f t="shared" si="336"/>
        <v>0.23772602537502974</v>
      </c>
      <c r="AF163" s="339">
        <f t="shared" si="327"/>
        <v>0.50163554426750001</v>
      </c>
      <c r="AG163" s="339">
        <f t="shared" si="328"/>
        <v>0.13438831890888991</v>
      </c>
      <c r="AH163" s="355"/>
      <c r="AI163" s="355"/>
      <c r="AJ163" s="355"/>
      <c r="AK163" s="339">
        <f t="shared" ref="AK163:AO163" si="337">+AK153/AJ153-1</f>
        <v>10.569613522252038</v>
      </c>
      <c r="AL163" s="339">
        <f t="shared" si="337"/>
        <v>2.675256731945042</v>
      </c>
      <c r="AM163" s="339">
        <f t="shared" si="337"/>
        <v>3.8884605209428527</v>
      </c>
      <c r="AN163" s="339">
        <f t="shared" si="337"/>
        <v>1.2358828887693813</v>
      </c>
      <c r="AO163" s="339">
        <f t="shared" si="337"/>
        <v>0.73192261933523106</v>
      </c>
      <c r="AP163" s="339">
        <f t="shared" si="330"/>
        <v>0.77278302707381585</v>
      </c>
      <c r="AQ163" s="355"/>
    </row>
    <row r="164" spans="1:47">
      <c r="A164" s="341"/>
      <c r="B164" s="337"/>
      <c r="C164" s="337"/>
      <c r="D164" s="547"/>
      <c r="E164" s="547"/>
      <c r="F164" s="547"/>
      <c r="G164" s="547"/>
      <c r="H164" s="547"/>
      <c r="I164" s="547"/>
      <c r="J164" s="547"/>
      <c r="K164" s="339"/>
      <c r="L164" s="547"/>
      <c r="M164" s="547"/>
      <c r="N164" s="339"/>
      <c r="O164" s="339"/>
      <c r="P164" s="339"/>
      <c r="Q164" s="339"/>
      <c r="R164" s="339"/>
      <c r="S164" s="339"/>
      <c r="T164" s="339"/>
      <c r="U164" s="339"/>
      <c r="V164" s="339"/>
      <c r="W164" s="337"/>
      <c r="X164" s="547"/>
      <c r="Y164" s="547"/>
      <c r="Z164" s="547"/>
      <c r="AA164" s="547"/>
      <c r="AB164" s="339"/>
      <c r="AC164" s="339"/>
      <c r="AD164" s="339"/>
      <c r="AE164" s="339"/>
      <c r="AF164" s="339"/>
      <c r="AG164" s="339"/>
      <c r="AH164" s="355"/>
      <c r="AI164" s="355"/>
      <c r="AJ164" s="355"/>
      <c r="AK164" s="339"/>
      <c r="AL164" s="339"/>
      <c r="AM164" s="339"/>
      <c r="AN164" s="339"/>
      <c r="AO164" s="339"/>
      <c r="AP164" s="339"/>
      <c r="AQ164" s="355"/>
    </row>
    <row r="165" spans="1:47" s="604" customFormat="1">
      <c r="A165" s="338" t="s">
        <v>343</v>
      </c>
      <c r="D165" s="344"/>
      <c r="E165" s="344"/>
      <c r="F165" s="344"/>
      <c r="G165" s="344"/>
      <c r="H165" s="344"/>
      <c r="I165" s="344"/>
      <c r="J165" s="344">
        <f>+'Detailed Disclosure'!J165</f>
        <v>0.48</v>
      </c>
      <c r="K165" s="344">
        <f>+'Detailed Disclosure'!K165</f>
        <v>0.44978431372549021</v>
      </c>
      <c r="L165" s="344">
        <f>+'Detailed Disclosure'!L165</f>
        <v>0.51</v>
      </c>
      <c r="M165" s="344">
        <f>+'Detailed Disclosure'!M165</f>
        <v>0.58674085850556434</v>
      </c>
      <c r="N165" s="344">
        <f>+'Detailed Disclosure'!N165</f>
        <v>0.56000000000000005</v>
      </c>
      <c r="O165" s="344">
        <f>+'Detailed Disclosure'!O165</f>
        <v>0.56000000000000005</v>
      </c>
      <c r="P165" s="344">
        <f>+'Detailed Disclosure'!P165</f>
        <v>0.59</v>
      </c>
      <c r="Q165" s="344">
        <f>+'Detailed Disclosure'!Q165</f>
        <v>0.60145675265553866</v>
      </c>
      <c r="R165" s="344">
        <f>+'Detailed Disclosure'!R165</f>
        <v>0.59</v>
      </c>
      <c r="S165" s="344">
        <f>+'Detailed Disclosure'!S165</f>
        <v>0.5742886386898669</v>
      </c>
      <c r="T165" s="344">
        <f>+'Detailed Disclosure'!T165</f>
        <v>0.62</v>
      </c>
      <c r="U165" s="344">
        <f>+'Detailed Disclosure'!U165</f>
        <v>0.65307927996936044</v>
      </c>
      <c r="V165" s="344"/>
      <c r="W165" s="344"/>
      <c r="X165" s="344"/>
      <c r="Y165" s="344"/>
      <c r="Z165" s="344">
        <f>+'Detailed Disclosure'!Z165</f>
        <v>0.34</v>
      </c>
      <c r="AA165" s="344">
        <f>+'Detailed Disclosure'!AA165</f>
        <v>0.44411449764367977</v>
      </c>
      <c r="AB165" s="344">
        <f>+'Detailed Disclosure'!AB165</f>
        <v>0.46</v>
      </c>
      <c r="AC165" s="344">
        <f>+'Detailed Disclosure'!AC165</f>
        <v>0.54610321615557222</v>
      </c>
      <c r="AD165" s="344">
        <f>+'Detailed Disclosure'!AD165</f>
        <v>0.56000000000000005</v>
      </c>
      <c r="AE165" s="344">
        <f>+'Detailed Disclosure'!AE165</f>
        <v>0.59636486258641042</v>
      </c>
      <c r="AF165" s="344">
        <f>+'Detailed Disclosure'!AF165</f>
        <v>0.57999999999999996</v>
      </c>
      <c r="AG165" s="344">
        <f>+'Detailed Disclosure'!AG165</f>
        <v>0.63668018539976823</v>
      </c>
      <c r="AH165" s="344"/>
      <c r="AI165" s="344"/>
      <c r="AJ165" s="344">
        <f>+'Detailed Disclosure'!AJ165</f>
        <v>0.08</v>
      </c>
      <c r="AK165" s="344">
        <f>+'Detailed Disclosure'!AK165</f>
        <v>0.17</v>
      </c>
      <c r="AL165" s="344">
        <f>+'Detailed Disclosure'!AL165</f>
        <v>0.26</v>
      </c>
      <c r="AM165" s="344">
        <f>+'Detailed Disclosure'!AM165</f>
        <v>0.4</v>
      </c>
      <c r="AN165" s="344">
        <f>+'Detailed Disclosure'!AN165</f>
        <v>0.5</v>
      </c>
      <c r="AO165" s="344">
        <f>+'Detailed Disclosure'!AO165</f>
        <v>0.57999999999999996</v>
      </c>
      <c r="AP165" s="344">
        <f>+'Detailed Disclosure'!AP165</f>
        <v>0.61</v>
      </c>
      <c r="AQ165" s="605"/>
    </row>
    <row r="166" spans="1:47" s="604" customFormat="1">
      <c r="A166" s="338" t="s">
        <v>344</v>
      </c>
      <c r="D166" s="344"/>
      <c r="E166" s="344"/>
      <c r="F166" s="344"/>
      <c r="G166" s="344"/>
      <c r="H166" s="344"/>
      <c r="I166" s="344"/>
      <c r="J166" s="344">
        <f>+'Detailed Disclosure'!J166</f>
        <v>0.52</v>
      </c>
      <c r="K166" s="344">
        <f>+'Detailed Disclosure'!K166</f>
        <v>0.55021568627450979</v>
      </c>
      <c r="L166" s="344">
        <f>+'Detailed Disclosure'!L166</f>
        <v>0.49</v>
      </c>
      <c r="M166" s="344">
        <f>+'Detailed Disclosure'!M166</f>
        <v>0.41325914149443566</v>
      </c>
      <c r="N166" s="344">
        <f>+'Detailed Disclosure'!N166</f>
        <v>0.43999999999999995</v>
      </c>
      <c r="O166" s="344">
        <f>+'Detailed Disclosure'!O166</f>
        <v>0.43999999999999995</v>
      </c>
      <c r="P166" s="344">
        <f>+'Detailed Disclosure'!P166</f>
        <v>0.41000000000000003</v>
      </c>
      <c r="Q166" s="344">
        <f>+'Detailed Disclosure'!Q166</f>
        <v>0.39854324734446134</v>
      </c>
      <c r="R166" s="344">
        <f>+'Detailed Disclosure'!R166</f>
        <v>0.41000000000000003</v>
      </c>
      <c r="S166" s="344">
        <f>+'Detailed Disclosure'!S166</f>
        <v>0.4257113613101331</v>
      </c>
      <c r="T166" s="344">
        <f>+'Detailed Disclosure'!T166</f>
        <v>0.38</v>
      </c>
      <c r="U166" s="344">
        <f>+'Detailed Disclosure'!U166</f>
        <v>0.34692072003063951</v>
      </c>
      <c r="V166" s="344"/>
      <c r="W166" s="344"/>
      <c r="X166" s="344"/>
      <c r="Y166" s="344"/>
      <c r="Z166" s="344">
        <f>+'Detailed Disclosure'!Z166</f>
        <v>0.65999999999999992</v>
      </c>
      <c r="AA166" s="344">
        <f>+'Detailed Disclosure'!AA166</f>
        <v>0.55588550235632028</v>
      </c>
      <c r="AB166" s="344">
        <f>+'Detailed Disclosure'!AB166</f>
        <v>0.54</v>
      </c>
      <c r="AC166" s="344">
        <f>+'Detailed Disclosure'!AC166</f>
        <v>0.45389678384442778</v>
      </c>
      <c r="AD166" s="344">
        <f>+'Detailed Disclosure'!AD166</f>
        <v>0.43999999999999995</v>
      </c>
      <c r="AE166" s="344">
        <f>+'Detailed Disclosure'!AE166</f>
        <v>0.40363513741358958</v>
      </c>
      <c r="AF166" s="344">
        <f>+'Detailed Disclosure'!AF166</f>
        <v>0.42000000000000004</v>
      </c>
      <c r="AG166" s="344">
        <f>+'Detailed Disclosure'!AG166</f>
        <v>0.36331981460023172</v>
      </c>
      <c r="AH166" s="344"/>
      <c r="AI166" s="344"/>
      <c r="AJ166" s="344">
        <f>+'Detailed Disclosure'!AJ166</f>
        <v>0.92</v>
      </c>
      <c r="AK166" s="344">
        <f>+'Detailed Disclosure'!AK166</f>
        <v>0.83</v>
      </c>
      <c r="AL166" s="344">
        <f>+'Detailed Disclosure'!AL166</f>
        <v>0.74</v>
      </c>
      <c r="AM166" s="344">
        <f>+'Detailed Disclosure'!AM166</f>
        <v>0.6</v>
      </c>
      <c r="AN166" s="344">
        <f>+'Detailed Disclosure'!AN166</f>
        <v>0.5</v>
      </c>
      <c r="AO166" s="344">
        <f>+'Detailed Disclosure'!AO166</f>
        <v>0.42000000000000004</v>
      </c>
      <c r="AP166" s="344">
        <f>+'Detailed Disclosure'!AP166</f>
        <v>0.39</v>
      </c>
      <c r="AQ166" s="605"/>
    </row>
    <row r="167" spans="1:47">
      <c r="J167" s="586"/>
    </row>
    <row r="168" spans="1:47">
      <c r="A168" s="353" t="s">
        <v>345</v>
      </c>
      <c r="B168" s="354"/>
      <c r="C168" s="352"/>
      <c r="J168" s="586"/>
      <c r="W168" s="352"/>
    </row>
    <row r="169" spans="1:47">
      <c r="J169" s="586"/>
    </row>
    <row r="170" spans="1:47">
      <c r="A170" s="319" t="s">
        <v>346</v>
      </c>
      <c r="J170" s="586"/>
    </row>
    <row r="171" spans="1:47">
      <c r="A171" s="513" t="s">
        <v>347</v>
      </c>
      <c r="J171" s="586"/>
    </row>
    <row r="172" spans="1:47">
      <c r="A172" s="319" t="s">
        <v>348</v>
      </c>
      <c r="D172" s="355"/>
      <c r="E172" s="355">
        <f>+AL172</f>
        <v>3199.1503648634762</v>
      </c>
      <c r="F172" s="355"/>
      <c r="G172" s="355">
        <f>+'Detailed Disclosure'!G172/'Detailed Disclosures - USD'!G$313</f>
        <v>32800.132846167224</v>
      </c>
      <c r="H172" s="355"/>
      <c r="I172" s="355">
        <f>+AA172</f>
        <v>35383.633633633632</v>
      </c>
      <c r="J172" s="509"/>
      <c r="K172" s="355">
        <f>+AB172</f>
        <v>40287.806064419427</v>
      </c>
      <c r="L172" s="355"/>
      <c r="M172" s="355">
        <f>+AC172</f>
        <v>15604.571920165174</v>
      </c>
      <c r="N172" s="355"/>
      <c r="O172" s="355">
        <f>AD172</f>
        <v>36236.391626452794</v>
      </c>
      <c r="P172" s="355"/>
      <c r="Q172" s="355">
        <f t="shared" ref="Q172:Q211" si="338">+AE172</f>
        <v>30769.202710783335</v>
      </c>
      <c r="R172" s="355"/>
      <c r="S172" s="355">
        <f t="shared" ref="S172:S212" si="339">+AF172</f>
        <v>68032.043626448532</v>
      </c>
      <c r="T172" s="355"/>
      <c r="U172" s="355">
        <f>+AG172</f>
        <v>52680.38230584468</v>
      </c>
      <c r="V172" s="355"/>
      <c r="X172" s="355"/>
      <c r="Y172" s="355">
        <f>+AL172</f>
        <v>3199.1503648634762</v>
      </c>
      <c r="Z172" s="355">
        <f>+G172</f>
        <v>32800.132846167224</v>
      </c>
      <c r="AA172" s="355">
        <f>+AM172</f>
        <v>35383.633633633632</v>
      </c>
      <c r="AB172" s="355">
        <f>+'Detailed Disclosure'!AB172/'Detailed Disclosures - USD'!AB$318</f>
        <v>40287.806064419427</v>
      </c>
      <c r="AC172" s="355">
        <f>+'Detailed Disclosure'!AC172/'Detailed Disclosures - USD'!AC$318</f>
        <v>15604.571920165174</v>
      </c>
      <c r="AD172" s="355">
        <f>+'Detailed Disclosure'!AD172/'Detailed Disclosures - USD'!AD$318</f>
        <v>36236.391626452794</v>
      </c>
      <c r="AE172" s="355">
        <f>+'Detailed Disclosure'!AE172/'Detailed Disclosures - USD'!AE$318</f>
        <v>30769.202710783335</v>
      </c>
      <c r="AF172" s="355">
        <f>+'Detailed Disclosure'!AF172/'Detailed Disclosures - USD'!AF$318</f>
        <v>68032.043626448532</v>
      </c>
      <c r="AG172" s="355">
        <f>+'Detailed Disclosure'!AG172/'Detailed Disclosures - USD'!AG$318</f>
        <v>52680.38230584468</v>
      </c>
      <c r="AH172" s="355"/>
      <c r="AI172" s="355"/>
      <c r="AJ172" s="355">
        <f>+'Detailed Disclosure'!AJ172/'Detailed Disclosures - USD'!AJ$318</f>
        <v>233.72781065088756</v>
      </c>
      <c r="AK172" s="355">
        <f>+'Detailed Disclosure'!AK172/'Detailed Disclosures - USD'!AK$318</f>
        <v>572.14976861590242</v>
      </c>
      <c r="AL172" s="355">
        <f>+'Detailed Disclosure'!AL172/'Detailed Disclosures - USD'!AL$318</f>
        <v>3199.1503648634762</v>
      </c>
      <c r="AM172" s="355">
        <f>+'Detailed Disclosure'!AM172/'Detailed Disclosures - USD'!AM$318</f>
        <v>35383.633633633632</v>
      </c>
      <c r="AN172" s="355">
        <f>+'Detailed Disclosure'!AN172/'Detailed Disclosures - USD'!AN$318</f>
        <v>15604.571920165174</v>
      </c>
      <c r="AO172" s="355">
        <f>+AE172</f>
        <v>30769.202710783335</v>
      </c>
      <c r="AP172" s="355">
        <f>+AG172</f>
        <v>52680.38230584468</v>
      </c>
      <c r="AQ172" s="355"/>
      <c r="AR172" s="355"/>
      <c r="AS172" s="355"/>
      <c r="AT172" s="355"/>
      <c r="AU172" s="355"/>
    </row>
    <row r="173" spans="1:47">
      <c r="A173" s="319" t="s">
        <v>349</v>
      </c>
      <c r="D173" s="355"/>
      <c r="E173" s="355">
        <f t="shared" ref="E173:E178" si="340">+AL173</f>
        <v>129.50083935729214</v>
      </c>
      <c r="F173" s="355"/>
      <c r="G173" s="355">
        <f>+'Detailed Disclosure'!G173/'Detailed Disclosures - USD'!G$313</f>
        <v>562.77088685307081</v>
      </c>
      <c r="H173" s="355"/>
      <c r="I173" s="355">
        <f t="shared" ref="I173:I178" si="341">+AA173</f>
        <v>1309.0060060060059</v>
      </c>
      <c r="J173" s="509"/>
      <c r="K173" s="355">
        <f t="shared" ref="K173:K214" si="342">+AB173</f>
        <v>3301.8657890279105</v>
      </c>
      <c r="L173" s="355"/>
      <c r="M173" s="355">
        <f t="shared" ref="M173:M214" si="343">+AC173</f>
        <v>3746.6675843083276</v>
      </c>
      <c r="N173" s="355"/>
      <c r="O173" s="355">
        <f t="shared" ref="O173:O212" si="344">AD173</f>
        <v>5786.6131992115806</v>
      </c>
      <c r="P173" s="355"/>
      <c r="Q173" s="355">
        <f t="shared" si="338"/>
        <v>14696.67331074347</v>
      </c>
      <c r="R173" s="355"/>
      <c r="S173" s="355">
        <f t="shared" si="339"/>
        <v>12607.143149284253</v>
      </c>
      <c r="T173" s="355"/>
      <c r="U173" s="355">
        <f t="shared" ref="U173:U214" si="345">+AG173</f>
        <v>16726.520549773151</v>
      </c>
      <c r="V173" s="355"/>
      <c r="X173" s="355"/>
      <c r="Y173" s="355">
        <f t="shared" ref="Y173:Y178" si="346">+AL173</f>
        <v>129.50083935729214</v>
      </c>
      <c r="Z173" s="355">
        <f t="shared" ref="Z173:Z178" si="347">+G173</f>
        <v>562.77088685307081</v>
      </c>
      <c r="AA173" s="355">
        <f t="shared" ref="AA173:AA178" si="348">+AM173</f>
        <v>1309.0060060060059</v>
      </c>
      <c r="AB173" s="355">
        <f>+'Detailed Disclosure'!AB173/'Detailed Disclosures - USD'!AB$318</f>
        <v>3301.8657890279105</v>
      </c>
      <c r="AC173" s="355">
        <f>+'Detailed Disclosure'!AC173/'Detailed Disclosures - USD'!AC$318</f>
        <v>3746.6675843083276</v>
      </c>
      <c r="AD173" s="355">
        <f>+'Detailed Disclosure'!AD173/'Detailed Disclosures - USD'!AD$318</f>
        <v>5786.6131992115806</v>
      </c>
      <c r="AE173" s="355">
        <f>+'Detailed Disclosure'!AE173/'Detailed Disclosures - USD'!AE$318</f>
        <v>14696.67331074347</v>
      </c>
      <c r="AF173" s="355">
        <f>+'Detailed Disclosure'!AF173/'Detailed Disclosures - USD'!AF$318</f>
        <v>12607.143149284253</v>
      </c>
      <c r="AG173" s="355">
        <f>+'Detailed Disclosure'!AG173/'Detailed Disclosures - USD'!AG$318</f>
        <v>16726.520549773151</v>
      </c>
      <c r="AH173" s="355"/>
      <c r="AI173" s="355"/>
      <c r="AJ173" s="355">
        <f>+'Detailed Disclosure'!AJ173/'Detailed Disclosures - USD'!AJ$318</f>
        <v>2.2189349112426036</v>
      </c>
      <c r="AK173" s="355">
        <f>+'Detailed Disclosure'!AK173/'Detailed Disclosures - USD'!AK$318</f>
        <v>0</v>
      </c>
      <c r="AL173" s="355">
        <f>+'Detailed Disclosure'!AL173/'Detailed Disclosures - USD'!AL$318</f>
        <v>129.50083935729214</v>
      </c>
      <c r="AM173" s="355">
        <f>+'Detailed Disclosure'!AM173/'Detailed Disclosures - USD'!AM$318</f>
        <v>1309.0060060060059</v>
      </c>
      <c r="AN173" s="355">
        <f>+'Detailed Disclosure'!AN173/'Detailed Disclosures - USD'!AN$318</f>
        <v>3746.6675843083276</v>
      </c>
      <c r="AO173" s="355">
        <f t="shared" ref="AO173:AO214" si="349">+AE173</f>
        <v>14696.67331074347</v>
      </c>
      <c r="AP173" s="355">
        <f t="shared" ref="AP173:AP214" si="350">+AG173</f>
        <v>16726.520549773151</v>
      </c>
      <c r="AQ173" s="355"/>
      <c r="AR173" s="355"/>
      <c r="AS173" s="355"/>
      <c r="AT173" s="355"/>
      <c r="AU173" s="355"/>
    </row>
    <row r="174" spans="1:47">
      <c r="A174" s="319" t="s">
        <v>350</v>
      </c>
      <c r="D174" s="355"/>
      <c r="E174" s="355">
        <f t="shared" si="340"/>
        <v>134.98235636712462</v>
      </c>
      <c r="F174" s="355"/>
      <c r="G174" s="355">
        <f>+'Detailed Disclosure'!G174/'Detailed Disclosures - USD'!G$313</f>
        <v>159.31466127843416</v>
      </c>
      <c r="H174" s="355"/>
      <c r="I174" s="355">
        <f t="shared" si="341"/>
        <v>438.69669669669673</v>
      </c>
      <c r="J174" s="509"/>
      <c r="K174" s="355">
        <f t="shared" si="342"/>
        <v>975.77426614718445</v>
      </c>
      <c r="L174" s="355"/>
      <c r="M174" s="355">
        <f t="shared" si="343"/>
        <v>587.3131452167928</v>
      </c>
      <c r="N174" s="355"/>
      <c r="O174" s="355">
        <f t="shared" si="344"/>
        <v>1498.6991096309387</v>
      </c>
      <c r="P174" s="355"/>
      <c r="Q174" s="355">
        <f t="shared" si="338"/>
        <v>1899.5036874626271</v>
      </c>
      <c r="R174" s="355"/>
      <c r="S174" s="355">
        <f t="shared" si="339"/>
        <v>2947.4383094751188</v>
      </c>
      <c r="T174" s="355"/>
      <c r="U174" s="355">
        <f t="shared" si="345"/>
        <v>1939.9699759807847</v>
      </c>
      <c r="V174" s="355"/>
      <c r="X174" s="355"/>
      <c r="Y174" s="355">
        <f t="shared" si="346"/>
        <v>134.98235636712462</v>
      </c>
      <c r="Z174" s="355">
        <f t="shared" si="347"/>
        <v>159.31466127843416</v>
      </c>
      <c r="AA174" s="355">
        <f t="shared" si="348"/>
        <v>438.69669669669673</v>
      </c>
      <c r="AB174" s="355">
        <f>+'Detailed Disclosure'!AB174/'Detailed Disclosures - USD'!AB$318</f>
        <v>975.77426614718445</v>
      </c>
      <c r="AC174" s="355">
        <f>+'Detailed Disclosure'!AC174/'Detailed Disclosures - USD'!AC$318</f>
        <v>587.3131452167928</v>
      </c>
      <c r="AD174" s="355">
        <f>+'Detailed Disclosure'!AD174/'Detailed Disclosures - USD'!AD$318</f>
        <v>1498.6991096309387</v>
      </c>
      <c r="AE174" s="355">
        <f>+'Detailed Disclosure'!AE174/'Detailed Disclosures - USD'!AE$318</f>
        <v>1899.5036874626271</v>
      </c>
      <c r="AF174" s="355">
        <f>+'Detailed Disclosure'!AF174/'Detailed Disclosures - USD'!AF$318</f>
        <v>2947.4383094751188</v>
      </c>
      <c r="AG174" s="355">
        <f>+'Detailed Disclosure'!AG174/'Detailed Disclosures - USD'!AG$318</f>
        <v>1939.9699759807847</v>
      </c>
      <c r="AH174" s="355"/>
      <c r="AI174" s="355"/>
      <c r="AJ174" s="355">
        <f>+'Detailed Disclosure'!AJ174/'Detailed Disclosures - USD'!AJ$318</f>
        <v>8.1360946745562117</v>
      </c>
      <c r="AK174" s="355">
        <f>+'Detailed Disclosure'!AK174/'Detailed Disclosures - USD'!AK$318</f>
        <v>94.65713083718974</v>
      </c>
      <c r="AL174" s="355">
        <f>+'Detailed Disclosure'!AL174/'Detailed Disclosures - USD'!AL$318</f>
        <v>134.98235636712462</v>
      </c>
      <c r="AM174" s="355">
        <f>+'Detailed Disclosure'!AM174/'Detailed Disclosures - USD'!AM$318</f>
        <v>438.69669669669673</v>
      </c>
      <c r="AN174" s="355">
        <f>+'Detailed Disclosure'!AN174/'Detailed Disclosures - USD'!AN$318</f>
        <v>587.3131452167928</v>
      </c>
      <c r="AO174" s="355">
        <f t="shared" si="349"/>
        <v>1899.5036874626271</v>
      </c>
      <c r="AP174" s="355">
        <f t="shared" si="350"/>
        <v>1939.9699759807847</v>
      </c>
      <c r="AQ174" s="355"/>
      <c r="AR174" s="355"/>
      <c r="AS174" s="355"/>
      <c r="AT174" s="355"/>
      <c r="AU174" s="355"/>
    </row>
    <row r="175" spans="1:47">
      <c r="A175" s="319" t="s">
        <v>351</v>
      </c>
      <c r="D175" s="355"/>
      <c r="E175" s="355">
        <f t="shared" si="340"/>
        <v>4.7963273836034128</v>
      </c>
      <c r="F175" s="355"/>
      <c r="G175" s="355">
        <f>+'Detailed Disclosure'!G175/'Detailed Disclosures - USD'!G$313</f>
        <v>95.138995348874417</v>
      </c>
      <c r="H175" s="355"/>
      <c r="I175" s="355">
        <f t="shared" si="341"/>
        <v>0</v>
      </c>
      <c r="J175" s="509"/>
      <c r="K175" s="355">
        <f t="shared" si="342"/>
        <v>0</v>
      </c>
      <c r="L175" s="355"/>
      <c r="M175" s="355">
        <f t="shared" si="343"/>
        <v>0</v>
      </c>
      <c r="N175" s="355"/>
      <c r="O175" s="355">
        <f t="shared" si="344"/>
        <v>0</v>
      </c>
      <c r="P175" s="355"/>
      <c r="Q175" s="355">
        <f t="shared" si="338"/>
        <v>0</v>
      </c>
      <c r="R175" s="355"/>
      <c r="S175" s="355">
        <f t="shared" si="339"/>
        <v>0</v>
      </c>
      <c r="T175" s="355"/>
      <c r="U175" s="355">
        <f t="shared" si="345"/>
        <v>0</v>
      </c>
      <c r="V175" s="355"/>
      <c r="X175" s="355"/>
      <c r="Y175" s="355">
        <f t="shared" si="346"/>
        <v>4.7963273836034128</v>
      </c>
      <c r="Z175" s="355">
        <f t="shared" si="347"/>
        <v>95.138995348874417</v>
      </c>
      <c r="AA175" s="355">
        <f t="shared" si="348"/>
        <v>0</v>
      </c>
      <c r="AB175" s="355">
        <f>+'Detailed Disclosure'!AB175/'Detailed Disclosures - USD'!AB$318</f>
        <v>0</v>
      </c>
      <c r="AC175" s="355">
        <f>+'Detailed Disclosure'!AC175/'Detailed Disclosures - USD'!AC$318</f>
        <v>0</v>
      </c>
      <c r="AD175" s="355">
        <f>+'Detailed Disclosure'!AD175/'Detailed Disclosures - USD'!AD$318</f>
        <v>0</v>
      </c>
      <c r="AE175" s="355">
        <f>+'Detailed Disclosure'!AE175/'Detailed Disclosures - USD'!AE$318</f>
        <v>0</v>
      </c>
      <c r="AF175" s="355">
        <f>+'Detailed Disclosure'!AF175/'Detailed Disclosures - USD'!AF$318</f>
        <v>0</v>
      </c>
      <c r="AG175" s="355">
        <f>+'Detailed Disclosure'!AG175/'Detailed Disclosures - USD'!AG$318</f>
        <v>0</v>
      </c>
      <c r="AH175" s="355"/>
      <c r="AI175" s="355"/>
      <c r="AJ175" s="355">
        <f>+'Detailed Disclosure'!AJ175/'Detailed Disclosures - USD'!AJ$318</f>
        <v>0</v>
      </c>
      <c r="AK175" s="355">
        <f>+'Detailed Disclosure'!AK175/'Detailed Disclosures - USD'!AK$318</f>
        <v>5.6093114570186513</v>
      </c>
      <c r="AL175" s="355">
        <f>+'Detailed Disclosure'!AL175/'Detailed Disclosures - USD'!AL$318</f>
        <v>4.7963273836034128</v>
      </c>
      <c r="AM175" s="355">
        <f>+'Detailed Disclosure'!AM175/'Detailed Disclosures - USD'!AM$318</f>
        <v>0</v>
      </c>
      <c r="AN175" s="355">
        <f>+'Detailed Disclosure'!AN175/'Detailed Disclosures - USD'!AN$318</f>
        <v>0</v>
      </c>
      <c r="AO175" s="355">
        <f t="shared" si="349"/>
        <v>0</v>
      </c>
      <c r="AP175" s="355">
        <f t="shared" si="350"/>
        <v>0</v>
      </c>
      <c r="AQ175" s="355"/>
      <c r="AR175" s="355"/>
      <c r="AS175" s="355"/>
      <c r="AT175" s="355"/>
      <c r="AU175" s="355"/>
    </row>
    <row r="176" spans="1:47">
      <c r="A176" s="319" t="s">
        <v>352</v>
      </c>
      <c r="D176" s="355"/>
      <c r="E176" s="355">
        <f t="shared" si="340"/>
        <v>211.03840487855015</v>
      </c>
      <c r="F176" s="355"/>
      <c r="G176" s="355">
        <f>+'Detailed Disclosure'!G176/'Detailed Disclosures - USD'!G$313</f>
        <v>0</v>
      </c>
      <c r="H176" s="355"/>
      <c r="I176" s="355">
        <f t="shared" si="341"/>
        <v>0</v>
      </c>
      <c r="J176" s="509"/>
      <c r="K176" s="355">
        <f t="shared" si="342"/>
        <v>0</v>
      </c>
      <c r="L176" s="355"/>
      <c r="M176" s="355">
        <f t="shared" si="343"/>
        <v>0</v>
      </c>
      <c r="N176" s="355"/>
      <c r="O176" s="355">
        <f t="shared" si="344"/>
        <v>0</v>
      </c>
      <c r="P176" s="355"/>
      <c r="Q176" s="355">
        <f t="shared" si="338"/>
        <v>0</v>
      </c>
      <c r="R176" s="355"/>
      <c r="S176" s="355">
        <f t="shared" si="339"/>
        <v>0</v>
      </c>
      <c r="T176" s="355"/>
      <c r="U176" s="355">
        <f t="shared" si="345"/>
        <v>0</v>
      </c>
      <c r="V176" s="355"/>
      <c r="X176" s="355"/>
      <c r="Y176" s="355">
        <f t="shared" si="346"/>
        <v>211.03840487855015</v>
      </c>
      <c r="Z176" s="355">
        <f t="shared" si="347"/>
        <v>0</v>
      </c>
      <c r="AA176" s="355">
        <f t="shared" si="348"/>
        <v>0</v>
      </c>
      <c r="AB176" s="355">
        <f>+'Detailed Disclosure'!AB176/'Detailed Disclosures - USD'!AB$318</f>
        <v>0</v>
      </c>
      <c r="AC176" s="355">
        <f>+'Detailed Disclosure'!AC176/'Detailed Disclosures - USD'!AC$318</f>
        <v>0</v>
      </c>
      <c r="AD176" s="355">
        <f>+'Detailed Disclosure'!AD176/'Detailed Disclosures - USD'!AD$318</f>
        <v>0</v>
      </c>
      <c r="AE176" s="355">
        <f>+'Detailed Disclosure'!AE176/'Detailed Disclosures - USD'!AE$318</f>
        <v>0</v>
      </c>
      <c r="AF176" s="355">
        <f>+'Detailed Disclosure'!AF176/'Detailed Disclosures - USD'!AF$318</f>
        <v>0</v>
      </c>
      <c r="AG176" s="355">
        <f>+'Detailed Disclosure'!AG176/'Detailed Disclosures - USD'!AG$318</f>
        <v>0</v>
      </c>
      <c r="AH176" s="355"/>
      <c r="AI176" s="355"/>
      <c r="AJ176" s="355">
        <f>+'Detailed Disclosure'!AJ176/'Detailed Disclosures - USD'!AJ$318</f>
        <v>183.43195266272187</v>
      </c>
      <c r="AK176" s="355">
        <f>+'Detailed Disclosure'!AK176/'Detailed Disclosures - USD'!AK$318</f>
        <v>215.95849109521808</v>
      </c>
      <c r="AL176" s="355">
        <f>+'Detailed Disclosure'!AL176/'Detailed Disclosures - USD'!AL$318</f>
        <v>211.03840487855015</v>
      </c>
      <c r="AM176" s="355">
        <f>+'Detailed Disclosure'!AM176/'Detailed Disclosures - USD'!AM$318</f>
        <v>0</v>
      </c>
      <c r="AN176" s="355">
        <f>+'Detailed Disclosure'!AN176/'Detailed Disclosures - USD'!AN$318</f>
        <v>0</v>
      </c>
      <c r="AO176" s="355">
        <f t="shared" si="349"/>
        <v>0</v>
      </c>
      <c r="AP176" s="355">
        <f t="shared" si="350"/>
        <v>0</v>
      </c>
      <c r="AQ176" s="355"/>
      <c r="AR176" s="355"/>
      <c r="AS176" s="355"/>
      <c r="AT176" s="355"/>
      <c r="AU176" s="355"/>
    </row>
    <row r="177" spans="1:47" s="513" customFormat="1">
      <c r="A177" s="319" t="s">
        <v>353</v>
      </c>
      <c r="D177" s="535"/>
      <c r="E177" s="535">
        <f t="shared" si="340"/>
        <v>4.1111377573743537</v>
      </c>
      <c r="F177" s="535"/>
      <c r="G177" s="535">
        <f>+'Detailed Disclosure'!G177/'Detailed Disclosures - USD'!G$313</f>
        <v>409.38070686781259</v>
      </c>
      <c r="H177" s="535"/>
      <c r="I177" s="535">
        <f t="shared" si="341"/>
        <v>317.35285285285283</v>
      </c>
      <c r="J177" s="573"/>
      <c r="K177" s="535">
        <f t="shared" si="342"/>
        <v>447.52292911937769</v>
      </c>
      <c r="L177" s="535"/>
      <c r="M177" s="535">
        <f t="shared" si="343"/>
        <v>1403.9284239504473</v>
      </c>
      <c r="N177" s="535"/>
      <c r="O177" s="535">
        <f t="shared" si="344"/>
        <v>1197.2996669611907</v>
      </c>
      <c r="P177" s="535"/>
      <c r="Q177" s="535">
        <f t="shared" si="338"/>
        <v>975.39100392000523</v>
      </c>
      <c r="R177" s="535"/>
      <c r="S177" s="535">
        <f t="shared" si="339"/>
        <v>786.44171779141107</v>
      </c>
      <c r="T177" s="535"/>
      <c r="U177" s="535">
        <f t="shared" si="345"/>
        <v>1335.630504403523</v>
      </c>
      <c r="V177" s="535"/>
      <c r="X177" s="535"/>
      <c r="Y177" s="535">
        <f t="shared" si="346"/>
        <v>4.1111377573743537</v>
      </c>
      <c r="Z177" s="535">
        <f t="shared" si="347"/>
        <v>409.38070686781259</v>
      </c>
      <c r="AA177" s="535">
        <f t="shared" si="348"/>
        <v>317.35285285285283</v>
      </c>
      <c r="AB177" s="535">
        <f>+'Detailed Disclosure'!AB177/'Detailed Disclosures - USD'!AB$318</f>
        <v>447.52292911937769</v>
      </c>
      <c r="AC177" s="535">
        <f>+'Detailed Disclosure'!AC177/'Detailed Disclosures - USD'!AC$318</f>
        <v>1403.9284239504473</v>
      </c>
      <c r="AD177" s="535">
        <f>+'Detailed Disclosure'!AD177/'Detailed Disclosures - USD'!AD$318</f>
        <v>1197.2996669611907</v>
      </c>
      <c r="AE177" s="535">
        <f>+'Detailed Disclosure'!AE177/'Detailed Disclosures - USD'!AE$318</f>
        <v>975.39100392000523</v>
      </c>
      <c r="AF177" s="535">
        <f>+'Detailed Disclosure'!AF177/'Detailed Disclosures - USD'!AF$318</f>
        <v>786.44171779141107</v>
      </c>
      <c r="AG177" s="535">
        <f>+'Detailed Disclosure'!AG177/'Detailed Disclosures - USD'!AG$318</f>
        <v>1335.630504403523</v>
      </c>
      <c r="AH177" s="535"/>
      <c r="AI177" s="535"/>
      <c r="AJ177" s="535">
        <f>+'Detailed Disclosure'!AJ177/'Detailed Disclosures - USD'!AJ$318</f>
        <v>0</v>
      </c>
      <c r="AK177" s="535">
        <f>+'Detailed Disclosure'!AK177/'Detailed Disclosures - USD'!AK$318</f>
        <v>4.2069835927639883</v>
      </c>
      <c r="AL177" s="535">
        <f>+'Detailed Disclosure'!AL177/'Detailed Disclosures - USD'!AL$318</f>
        <v>4.1111377573743537</v>
      </c>
      <c r="AM177" s="535">
        <f>+'Detailed Disclosure'!AM177/'Detailed Disclosures - USD'!AM$318</f>
        <v>317.35285285285283</v>
      </c>
      <c r="AN177" s="535">
        <f>+'Detailed Disclosure'!AN177/'Detailed Disclosures - USD'!AN$318</f>
        <v>1403.9284239504473</v>
      </c>
      <c r="AO177" s="535">
        <f t="shared" si="349"/>
        <v>975.39100392000523</v>
      </c>
      <c r="AP177" s="535">
        <f t="shared" si="350"/>
        <v>1335.630504403523</v>
      </c>
      <c r="AQ177" s="535"/>
      <c r="AR177" s="535"/>
      <c r="AS177" s="535"/>
      <c r="AT177" s="535"/>
      <c r="AU177" s="535"/>
    </row>
    <row r="178" spans="1:47">
      <c r="A178" s="527" t="s">
        <v>354</v>
      </c>
      <c r="D178" s="355"/>
      <c r="E178" s="355">
        <f t="shared" si="340"/>
        <v>3683.5794306074208</v>
      </c>
      <c r="F178" s="355"/>
      <c r="G178" s="355">
        <f>+'Detailed Disclosure'!G178/'Detailed Disclosures - USD'!G$313</f>
        <v>34026.738096515415</v>
      </c>
      <c r="H178" s="355"/>
      <c r="I178" s="355">
        <f t="shared" si="341"/>
        <v>37448.689189189186</v>
      </c>
      <c r="J178" s="509"/>
      <c r="K178" s="355">
        <f t="shared" si="342"/>
        <v>45012.969048713894</v>
      </c>
      <c r="L178" s="355"/>
      <c r="M178" s="355">
        <f t="shared" si="343"/>
        <v>21342.481073640738</v>
      </c>
      <c r="N178" s="355"/>
      <c r="O178" s="355">
        <f t="shared" si="344"/>
        <v>44719.003602256511</v>
      </c>
      <c r="P178" s="355"/>
      <c r="Q178" s="355">
        <f t="shared" si="338"/>
        <v>48340.770712909441</v>
      </c>
      <c r="R178" s="355"/>
      <c r="S178" s="355">
        <f t="shared" si="339"/>
        <v>84373.06680299931</v>
      </c>
      <c r="T178" s="355"/>
      <c r="U178" s="355">
        <f t="shared" si="345"/>
        <v>72682.503336002133</v>
      </c>
      <c r="V178" s="355"/>
      <c r="X178" s="355"/>
      <c r="Y178" s="355">
        <f t="shared" si="346"/>
        <v>3683.5794306074208</v>
      </c>
      <c r="Z178" s="355">
        <f t="shared" si="347"/>
        <v>34026.738096515415</v>
      </c>
      <c r="AA178" s="355">
        <f t="shared" si="348"/>
        <v>37448.689189189186</v>
      </c>
      <c r="AB178" s="355">
        <f>+'Detailed Disclosure'!AB178/'Detailed Disclosures - USD'!AB$318</f>
        <v>45012.969048713894</v>
      </c>
      <c r="AC178" s="355">
        <f>+'Detailed Disclosure'!AC178/'Detailed Disclosures - USD'!AC$318</f>
        <v>21342.481073640738</v>
      </c>
      <c r="AD178" s="355">
        <f>+'Detailed Disclosure'!AD178/'Detailed Disclosures - USD'!AD$318</f>
        <v>44719.003602256511</v>
      </c>
      <c r="AE178" s="355">
        <f>+'Detailed Disclosure'!AE178/'Detailed Disclosures - USD'!AE$318</f>
        <v>48340.770712909441</v>
      </c>
      <c r="AF178" s="355">
        <f>+'Detailed Disclosure'!AF178/'Detailed Disclosures - USD'!AF$318</f>
        <v>84373.06680299931</v>
      </c>
      <c r="AG178" s="355">
        <f>+'Detailed Disclosure'!AG178/'Detailed Disclosures - USD'!AG$318</f>
        <v>72682.503336002133</v>
      </c>
      <c r="AH178" s="355"/>
      <c r="AI178" s="355"/>
      <c r="AJ178" s="355">
        <f>+'Detailed Disclosure'!AJ178/'Detailed Disclosures - USD'!AJ$318</f>
        <v>427.51479289940823</v>
      </c>
      <c r="AK178" s="355">
        <f>+'Detailed Disclosure'!AK178/'Detailed Disclosures - USD'!AK$318</f>
        <v>892.58168559809292</v>
      </c>
      <c r="AL178" s="355">
        <f>+'Detailed Disclosure'!AL178/'Detailed Disclosures - USD'!AL$318</f>
        <v>3683.5794306074208</v>
      </c>
      <c r="AM178" s="355">
        <f>+'Detailed Disclosure'!AM178/'Detailed Disclosures - USD'!AM$318</f>
        <v>37448.689189189186</v>
      </c>
      <c r="AN178" s="355">
        <f>+'Detailed Disclosure'!AN178/'Detailed Disclosures - USD'!AN$318</f>
        <v>21342.481073640738</v>
      </c>
      <c r="AO178" s="355">
        <f t="shared" si="349"/>
        <v>48340.770712909441</v>
      </c>
      <c r="AP178" s="355">
        <f t="shared" si="350"/>
        <v>72682.503336002133</v>
      </c>
      <c r="AQ178" s="355"/>
      <c r="AR178" s="355"/>
      <c r="AS178" s="355"/>
      <c r="AT178" s="355"/>
      <c r="AU178" s="355"/>
    </row>
    <row r="179" spans="1:47">
      <c r="A179" s="527"/>
      <c r="D179" s="355"/>
      <c r="E179" s="355"/>
      <c r="F179" s="355"/>
      <c r="G179" s="355"/>
      <c r="H179" s="355"/>
      <c r="I179" s="355"/>
      <c r="J179" s="509"/>
      <c r="K179" s="355"/>
      <c r="L179" s="355"/>
      <c r="M179" s="355"/>
      <c r="N179" s="355"/>
      <c r="O179" s="355"/>
      <c r="P179" s="355"/>
      <c r="Q179" s="355"/>
      <c r="R179" s="355"/>
      <c r="S179" s="355"/>
      <c r="T179" s="355"/>
      <c r="U179" s="355"/>
      <c r="V179" s="355"/>
      <c r="X179" s="355"/>
      <c r="Y179" s="355"/>
      <c r="Z179" s="355"/>
      <c r="AA179" s="355"/>
      <c r="AB179" s="355"/>
      <c r="AC179" s="355"/>
      <c r="AD179" s="355"/>
      <c r="AE179" s="355"/>
      <c r="AF179" s="355"/>
      <c r="AG179" s="355"/>
      <c r="AH179" s="355"/>
      <c r="AI179" s="355"/>
      <c r="AJ179" s="355"/>
      <c r="AK179" s="355"/>
      <c r="AL179" s="355"/>
      <c r="AM179" s="355"/>
      <c r="AN179" s="355"/>
      <c r="AO179" s="355"/>
      <c r="AP179" s="355"/>
      <c r="AQ179" s="355"/>
      <c r="AR179" s="355"/>
      <c r="AS179" s="355"/>
      <c r="AT179" s="355"/>
      <c r="AU179" s="355"/>
    </row>
    <row r="180" spans="1:47">
      <c r="A180" s="513" t="s">
        <v>355</v>
      </c>
      <c r="D180" s="355"/>
      <c r="E180" s="355"/>
      <c r="F180" s="355"/>
      <c r="G180" s="355"/>
      <c r="H180" s="355"/>
      <c r="I180" s="355"/>
      <c r="J180" s="509"/>
      <c r="K180" s="355"/>
      <c r="L180" s="355"/>
      <c r="M180" s="355"/>
      <c r="N180" s="355"/>
      <c r="O180" s="355">
        <f t="shared" si="344"/>
        <v>0</v>
      </c>
      <c r="P180" s="355"/>
      <c r="Q180" s="355">
        <f t="shared" si="338"/>
        <v>0</v>
      </c>
      <c r="R180" s="355"/>
      <c r="S180" s="355">
        <f t="shared" si="339"/>
        <v>0</v>
      </c>
      <c r="T180" s="355"/>
      <c r="U180" s="355">
        <f t="shared" si="345"/>
        <v>0</v>
      </c>
      <c r="V180" s="355"/>
      <c r="X180" s="355"/>
      <c r="Y180" s="355"/>
      <c r="Z180" s="355"/>
      <c r="AA180" s="355"/>
      <c r="AB180" s="355"/>
      <c r="AC180" s="355"/>
      <c r="AD180" s="355"/>
      <c r="AE180" s="355"/>
      <c r="AF180" s="355"/>
      <c r="AG180" s="355"/>
      <c r="AH180" s="355"/>
      <c r="AI180" s="355"/>
      <c r="AJ180" s="355"/>
      <c r="AK180" s="355"/>
      <c r="AL180" s="355"/>
      <c r="AM180" s="355"/>
      <c r="AN180" s="355"/>
      <c r="AO180" s="355"/>
      <c r="AP180" s="355"/>
      <c r="AQ180" s="355"/>
      <c r="AR180" s="355"/>
      <c r="AS180" s="355"/>
      <c r="AT180" s="355"/>
      <c r="AU180" s="355"/>
    </row>
    <row r="181" spans="1:47">
      <c r="A181" s="319" t="s">
        <v>356</v>
      </c>
      <c r="D181" s="355"/>
      <c r="E181" s="355">
        <f t="shared" ref="E181:E184" si="351">+AL181</f>
        <v>2350.8856075919011</v>
      </c>
      <c r="F181" s="355"/>
      <c r="G181" s="355">
        <f>+'Detailed Disclosure'!G181/'Detailed Disclosures - USD'!G$313</f>
        <v>3112.5965679817455</v>
      </c>
      <c r="H181" s="355"/>
      <c r="I181" s="355">
        <f t="shared" ref="I181:I184" si="352">+AA181</f>
        <v>4110.3603603603606</v>
      </c>
      <c r="J181" s="509"/>
      <c r="K181" s="355">
        <f t="shared" si="342"/>
        <v>6207.0002177963997</v>
      </c>
      <c r="L181" s="355"/>
      <c r="M181" s="355">
        <f t="shared" si="343"/>
        <v>8308.5209910529938</v>
      </c>
      <c r="N181" s="355"/>
      <c r="O181" s="355">
        <f t="shared" si="344"/>
        <v>10510.014273091823</v>
      </c>
      <c r="P181" s="355"/>
      <c r="Q181" s="355">
        <f t="shared" si="338"/>
        <v>13334.086771643078</v>
      </c>
      <c r="R181" s="355"/>
      <c r="S181" s="355">
        <f t="shared" si="339"/>
        <v>16.785564417177913</v>
      </c>
      <c r="T181" s="355"/>
      <c r="U181" s="355">
        <f t="shared" si="345"/>
        <v>18586.95823325327</v>
      </c>
      <c r="V181" s="355"/>
      <c r="X181" s="355"/>
      <c r="Y181" s="355">
        <f t="shared" ref="Y181:Y184" si="353">+AL181</f>
        <v>2350.8856075919011</v>
      </c>
      <c r="Z181" s="355">
        <f t="shared" ref="Z181:Z184" si="354">+G181</f>
        <v>3112.5965679817455</v>
      </c>
      <c r="AA181" s="355">
        <f t="shared" ref="AA181:AA184" si="355">+AM181</f>
        <v>4110.3603603603606</v>
      </c>
      <c r="AB181" s="355">
        <f>+'Detailed Disclosure'!AB181/'Detailed Disclosures - USD'!AB$318</f>
        <v>6207.0002177963997</v>
      </c>
      <c r="AC181" s="355">
        <f>+'Detailed Disclosure'!AC181/'Detailed Disclosures - USD'!AC$318</f>
        <v>8308.5209910529938</v>
      </c>
      <c r="AD181" s="355">
        <f>+'Detailed Disclosure'!AD181/'Detailed Disclosures - USD'!AD$318</f>
        <v>10510.014273091823</v>
      </c>
      <c r="AE181" s="355">
        <f>+'Detailed Disclosure'!AE181/'Detailed Disclosures - USD'!AE$318</f>
        <v>13334.086771643078</v>
      </c>
      <c r="AF181" s="355">
        <f>+'Detailed Disclosure'!AF181/'Detailed Disclosures - USD'!AF$318</f>
        <v>16.785564417177913</v>
      </c>
      <c r="AG181" s="355">
        <f>+'Detailed Disclosure'!AG181/'Detailed Disclosures - USD'!AG$318</f>
        <v>18586.95823325327</v>
      </c>
      <c r="AH181" s="355"/>
      <c r="AI181" s="355"/>
      <c r="AJ181" s="355">
        <f>+'Detailed Disclosure'!AJ181/'Detailed Disclosures - USD'!AJ$318</f>
        <v>1170.8579881656804</v>
      </c>
      <c r="AK181" s="355">
        <f>+'Detailed Disclosure'!AK181/'Detailed Disclosures - USD'!AK$318</f>
        <v>1733.2772402187632</v>
      </c>
      <c r="AL181" s="355">
        <f>+'Detailed Disclosure'!AL181/'Detailed Disclosures - USD'!AL$318</f>
        <v>2350.8856075919011</v>
      </c>
      <c r="AM181" s="355">
        <f>+'Detailed Disclosure'!AM181/'Detailed Disclosures - USD'!AM$318</f>
        <v>4110.3603603603606</v>
      </c>
      <c r="AN181" s="355">
        <f>+'Detailed Disclosure'!AN181/'Detailed Disclosures - USD'!AN$318</f>
        <v>8308.5209910529938</v>
      </c>
      <c r="AO181" s="355">
        <f t="shared" si="349"/>
        <v>13334.086771643078</v>
      </c>
      <c r="AP181" s="355">
        <f t="shared" si="350"/>
        <v>18586.95823325327</v>
      </c>
      <c r="AQ181" s="355"/>
      <c r="AR181" s="355"/>
      <c r="AS181" s="355"/>
      <c r="AT181" s="355"/>
      <c r="AU181" s="355"/>
    </row>
    <row r="182" spans="1:47" s="513" customFormat="1">
      <c r="A182" s="319" t="s">
        <v>357</v>
      </c>
      <c r="D182" s="535"/>
      <c r="E182" s="535">
        <f t="shared" si="351"/>
        <v>78.111617390112713</v>
      </c>
      <c r="F182" s="535"/>
      <c r="G182" s="535">
        <f>+'Detailed Disclosure'!G182/'Detailed Disclosures - USD'!G$313</f>
        <v>1019.3522279111286</v>
      </c>
      <c r="H182" s="535"/>
      <c r="I182" s="535">
        <f t="shared" si="352"/>
        <v>1852.102102102102</v>
      </c>
      <c r="J182" s="573"/>
      <c r="K182" s="535">
        <f t="shared" si="342"/>
        <v>5589.9787043535216</v>
      </c>
      <c r="L182" s="535"/>
      <c r="M182" s="535">
        <f t="shared" si="343"/>
        <v>7754.609084652443</v>
      </c>
      <c r="N182" s="535"/>
      <c r="O182" s="535">
        <f t="shared" si="344"/>
        <v>4800.4003262420983</v>
      </c>
      <c r="P182" s="535"/>
      <c r="Q182" s="535">
        <f t="shared" si="338"/>
        <v>5278.1901534781737</v>
      </c>
      <c r="R182" s="535"/>
      <c r="S182" s="535">
        <f t="shared" si="339"/>
        <v>3114.250170415814</v>
      </c>
      <c r="T182" s="535"/>
      <c r="U182" s="535">
        <f t="shared" si="345"/>
        <v>2353.6449159327462</v>
      </c>
      <c r="V182" s="535"/>
      <c r="X182" s="535"/>
      <c r="Y182" s="535">
        <f t="shared" si="353"/>
        <v>78.111617390112713</v>
      </c>
      <c r="Z182" s="535">
        <f t="shared" si="354"/>
        <v>1019.3522279111286</v>
      </c>
      <c r="AA182" s="535">
        <f t="shared" si="355"/>
        <v>1852.102102102102</v>
      </c>
      <c r="AB182" s="535">
        <f>+'Detailed Disclosure'!AB182/'Detailed Disclosures - USD'!AB$318</f>
        <v>5589.9787043535216</v>
      </c>
      <c r="AC182" s="535">
        <f>+'Detailed Disclosure'!AC182/'Detailed Disclosures - USD'!AC$318</f>
        <v>7754.609084652443</v>
      </c>
      <c r="AD182" s="535">
        <f>+'Detailed Disclosure'!AD182/'Detailed Disclosures - USD'!AD$318</f>
        <v>4800.4003262420983</v>
      </c>
      <c r="AE182" s="535">
        <f>+'Detailed Disclosure'!AE182/'Detailed Disclosures - USD'!AE$318</f>
        <v>5278.1901534781737</v>
      </c>
      <c r="AF182" s="535">
        <f>+'Detailed Disclosure'!AF182/'Detailed Disclosures - USD'!AF$318</f>
        <v>3114.250170415814</v>
      </c>
      <c r="AG182" s="535">
        <f>+'Detailed Disclosure'!AG182/'Detailed Disclosures - USD'!AG$318</f>
        <v>2353.6449159327462</v>
      </c>
      <c r="AH182" s="535"/>
      <c r="AI182" s="535"/>
      <c r="AJ182" s="535">
        <f>+'Detailed Disclosure'!AJ182/'Detailed Disclosures - USD'!AJ$318</f>
        <v>20.710059171597631</v>
      </c>
      <c r="AK182" s="535">
        <f>+'Detailed Disclosure'!AK182/'Detailed Disclosures - USD'!AK$318</f>
        <v>37.862852334875896</v>
      </c>
      <c r="AL182" s="535">
        <f>+'Detailed Disclosure'!AL182/'Detailed Disclosures - USD'!AL$318</f>
        <v>78.111617390112713</v>
      </c>
      <c r="AM182" s="535">
        <f>+'Detailed Disclosure'!AM182/'Detailed Disclosures - USD'!AM$318</f>
        <v>1852.102102102102</v>
      </c>
      <c r="AN182" s="535">
        <f>+'Detailed Disclosure'!AN182/'Detailed Disclosures - USD'!AN$318</f>
        <v>7754.609084652443</v>
      </c>
      <c r="AO182" s="535">
        <f t="shared" si="349"/>
        <v>5278.1901534781737</v>
      </c>
      <c r="AP182" s="535">
        <f t="shared" si="350"/>
        <v>2353.6449159327462</v>
      </c>
      <c r="AQ182" s="535"/>
      <c r="AR182" s="535"/>
      <c r="AS182" s="535"/>
      <c r="AT182" s="535"/>
      <c r="AU182" s="535"/>
    </row>
    <row r="183" spans="1:47" s="513" customFormat="1">
      <c r="A183" s="527" t="s">
        <v>358</v>
      </c>
      <c r="D183" s="535"/>
      <c r="E183" s="535">
        <f t="shared" si="351"/>
        <v>2428.9972249820139</v>
      </c>
      <c r="F183" s="535"/>
      <c r="G183" s="535">
        <f>+'Detailed Disclosure'!G183/'Detailed Disclosures - USD'!G$313</f>
        <v>4131.9487958928739</v>
      </c>
      <c r="H183" s="535"/>
      <c r="I183" s="535">
        <f t="shared" si="352"/>
        <v>5962.4624624624621</v>
      </c>
      <c r="J183" s="573"/>
      <c r="K183" s="535">
        <f t="shared" si="342"/>
        <v>11796.978922149921</v>
      </c>
      <c r="L183" s="535"/>
      <c r="M183" s="535">
        <f t="shared" si="343"/>
        <v>16063.130075705438</v>
      </c>
      <c r="N183" s="535"/>
      <c r="O183" s="535">
        <f t="shared" si="344"/>
        <v>15310.414599333923</v>
      </c>
      <c r="P183" s="535"/>
      <c r="Q183" s="535">
        <f t="shared" si="338"/>
        <v>18612.276925121252</v>
      </c>
      <c r="R183" s="535"/>
      <c r="S183" s="535">
        <f t="shared" si="339"/>
        <v>3131.0357348329921</v>
      </c>
      <c r="T183" s="535"/>
      <c r="U183" s="535">
        <f t="shared" si="345"/>
        <v>20940.603149186019</v>
      </c>
      <c r="V183" s="535"/>
      <c r="X183" s="535"/>
      <c r="Y183" s="535">
        <f t="shared" si="353"/>
        <v>2428.9972249820139</v>
      </c>
      <c r="Z183" s="535">
        <f t="shared" si="354"/>
        <v>4131.9487958928739</v>
      </c>
      <c r="AA183" s="535">
        <f t="shared" si="355"/>
        <v>5962.4624624624621</v>
      </c>
      <c r="AB183" s="535">
        <f>+'Detailed Disclosure'!AB183/'Detailed Disclosures - USD'!AB$318</f>
        <v>11796.978922149921</v>
      </c>
      <c r="AC183" s="535">
        <f>+'Detailed Disclosure'!AC183/'Detailed Disclosures - USD'!AC$318</f>
        <v>16063.130075705438</v>
      </c>
      <c r="AD183" s="535">
        <f>+'Detailed Disclosure'!AD183/'Detailed Disclosures - USD'!AD$318</f>
        <v>15310.414599333923</v>
      </c>
      <c r="AE183" s="535">
        <f>+'Detailed Disclosure'!AE183/'Detailed Disclosures - USD'!AE$318</f>
        <v>18612.276925121252</v>
      </c>
      <c r="AF183" s="535">
        <f>+'Detailed Disclosure'!AF183/'Detailed Disclosures - USD'!AF$318</f>
        <v>3131.0357348329921</v>
      </c>
      <c r="AG183" s="535">
        <f>+'Detailed Disclosure'!AG183/'Detailed Disclosures - USD'!AG$318</f>
        <v>20940.603149186019</v>
      </c>
      <c r="AH183" s="535"/>
      <c r="AI183" s="535"/>
      <c r="AJ183" s="535">
        <f>+'Detailed Disclosure'!AJ183/'Detailed Disclosures - USD'!AJ$318</f>
        <v>1191.5680473372781</v>
      </c>
      <c r="AK183" s="535">
        <f>+'Detailed Disclosure'!AK183/'Detailed Disclosures - USD'!AK$318</f>
        <v>1771.1400925536391</v>
      </c>
      <c r="AL183" s="535">
        <f>+'Detailed Disclosure'!AL183/'Detailed Disclosures - USD'!AL$318</f>
        <v>2428.9972249820139</v>
      </c>
      <c r="AM183" s="535">
        <f>+'Detailed Disclosure'!AM183/'Detailed Disclosures - USD'!AM$318</f>
        <v>5962.4624624624621</v>
      </c>
      <c r="AN183" s="535">
        <f>+'Detailed Disclosure'!AN183/'Detailed Disclosures - USD'!AN$318</f>
        <v>16063.130075705438</v>
      </c>
      <c r="AO183" s="535">
        <f t="shared" si="349"/>
        <v>18612.276925121252</v>
      </c>
      <c r="AP183" s="535">
        <f t="shared" si="350"/>
        <v>20940.603149186019</v>
      </c>
      <c r="AQ183" s="535"/>
      <c r="AR183" s="535"/>
      <c r="AS183" s="535"/>
      <c r="AT183" s="535"/>
      <c r="AU183" s="535"/>
    </row>
    <row r="184" spans="1:47">
      <c r="A184" s="319" t="s">
        <v>359</v>
      </c>
      <c r="D184" s="355"/>
      <c r="E184" s="355">
        <f t="shared" si="351"/>
        <v>6112.5766555894352</v>
      </c>
      <c r="F184" s="355"/>
      <c r="G184" s="355">
        <f>+'Detailed Disclosure'!G184/'Detailed Disclosures - USD'!G$313</f>
        <v>38158.686892408288</v>
      </c>
      <c r="H184" s="355"/>
      <c r="I184" s="355">
        <f t="shared" si="352"/>
        <v>43411.151651651642</v>
      </c>
      <c r="J184" s="509"/>
      <c r="K184" s="355">
        <f t="shared" si="342"/>
        <v>56809.947970863825</v>
      </c>
      <c r="L184" s="355"/>
      <c r="M184" s="355">
        <f t="shared" si="343"/>
        <v>37405.611149346179</v>
      </c>
      <c r="N184" s="355"/>
      <c r="O184" s="355">
        <f t="shared" si="344"/>
        <v>60029.418201590437</v>
      </c>
      <c r="P184" s="355"/>
      <c r="Q184" s="355">
        <f t="shared" si="338"/>
        <v>66953.047638030694</v>
      </c>
      <c r="R184" s="355"/>
      <c r="S184" s="355">
        <f t="shared" si="339"/>
        <v>87504.10253783231</v>
      </c>
      <c r="T184" s="355"/>
      <c r="U184" s="355">
        <f t="shared" si="345"/>
        <v>93623.106485188153</v>
      </c>
      <c r="V184" s="355"/>
      <c r="X184" s="355"/>
      <c r="Y184" s="355">
        <f t="shared" si="353"/>
        <v>6112.5766555894352</v>
      </c>
      <c r="Z184" s="355">
        <f t="shared" si="354"/>
        <v>38158.686892408288</v>
      </c>
      <c r="AA184" s="355">
        <f t="shared" si="355"/>
        <v>43411.151651651642</v>
      </c>
      <c r="AB184" s="355">
        <f>+'Detailed Disclosure'!AB184/'Detailed Disclosures - USD'!AB$318</f>
        <v>56809.947970863825</v>
      </c>
      <c r="AC184" s="355">
        <f>+'Detailed Disclosure'!AC184/'Detailed Disclosures - USD'!AC$318</f>
        <v>37405.611149346179</v>
      </c>
      <c r="AD184" s="355">
        <f>+'Detailed Disclosure'!AD184/'Detailed Disclosures - USD'!AD$318</f>
        <v>60029.418201590437</v>
      </c>
      <c r="AE184" s="355">
        <f>+'Detailed Disclosure'!AE184/'Detailed Disclosures - USD'!AE$318</f>
        <v>66953.047638030694</v>
      </c>
      <c r="AF184" s="355">
        <f>+'Detailed Disclosure'!AF184/'Detailed Disclosures - USD'!AF$318</f>
        <v>87504.10253783231</v>
      </c>
      <c r="AG184" s="355">
        <f>+'Detailed Disclosure'!AG184/'Detailed Disclosures - USD'!AG$318</f>
        <v>93623.106485188153</v>
      </c>
      <c r="AH184" s="355"/>
      <c r="AI184" s="355"/>
      <c r="AJ184" s="355">
        <f>+'Detailed Disclosure'!AJ184/'Detailed Disclosures - USD'!AJ$318</f>
        <v>1619.0828402366863</v>
      </c>
      <c r="AK184" s="355">
        <f>+'Detailed Disclosure'!AK184/'Detailed Disclosures - USD'!AK$318</f>
        <v>2663.721778151732</v>
      </c>
      <c r="AL184" s="355">
        <f>+'Detailed Disclosure'!AL184/'Detailed Disclosures - USD'!AL$318</f>
        <v>6112.5766555894352</v>
      </c>
      <c r="AM184" s="355">
        <f>+'Detailed Disclosure'!AM184/'Detailed Disclosures - USD'!AM$318</f>
        <v>43411.151651651642</v>
      </c>
      <c r="AN184" s="355">
        <f>+'Detailed Disclosure'!AN184/'Detailed Disclosures - USD'!AN$318</f>
        <v>37405.611149346179</v>
      </c>
      <c r="AO184" s="355">
        <f t="shared" si="349"/>
        <v>66953.047638030694</v>
      </c>
      <c r="AP184" s="355">
        <f t="shared" si="350"/>
        <v>93623.106485188153</v>
      </c>
      <c r="AQ184" s="355"/>
      <c r="AR184" s="355"/>
      <c r="AS184" s="355"/>
      <c r="AT184" s="355"/>
      <c r="AU184" s="355"/>
    </row>
    <row r="185" spans="1:47">
      <c r="D185" s="355"/>
      <c r="E185" s="355"/>
      <c r="F185" s="355"/>
      <c r="G185" s="355"/>
      <c r="H185" s="355"/>
      <c r="I185" s="355"/>
      <c r="J185" s="509"/>
      <c r="K185" s="355"/>
      <c r="L185" s="355"/>
      <c r="M185" s="355"/>
      <c r="N185" s="355"/>
      <c r="O185" s="355"/>
      <c r="P185" s="355"/>
      <c r="Q185" s="355"/>
      <c r="R185" s="355"/>
      <c r="S185" s="355"/>
      <c r="T185" s="355"/>
      <c r="U185" s="355"/>
      <c r="V185" s="355"/>
      <c r="X185" s="355"/>
      <c r="Y185" s="355"/>
      <c r="Z185" s="355"/>
      <c r="AA185" s="355"/>
      <c r="AB185" s="355"/>
      <c r="AC185" s="355"/>
      <c r="AD185" s="355"/>
      <c r="AE185" s="355"/>
      <c r="AF185" s="355"/>
      <c r="AG185" s="355"/>
      <c r="AH185" s="355"/>
      <c r="AI185" s="355"/>
      <c r="AJ185" s="355"/>
      <c r="AK185" s="355"/>
      <c r="AL185" s="355"/>
      <c r="AM185" s="355"/>
      <c r="AN185" s="355"/>
      <c r="AO185" s="355"/>
      <c r="AP185" s="355"/>
      <c r="AQ185" s="355"/>
      <c r="AR185" s="355"/>
      <c r="AS185" s="355"/>
      <c r="AT185" s="355"/>
      <c r="AU185" s="355"/>
    </row>
    <row r="186" spans="1:47">
      <c r="A186" s="319" t="s">
        <v>360</v>
      </c>
      <c r="D186" s="355"/>
      <c r="E186" s="355"/>
      <c r="F186" s="355"/>
      <c r="G186" s="355"/>
      <c r="H186" s="355"/>
      <c r="I186" s="355"/>
      <c r="J186" s="509"/>
      <c r="K186" s="355"/>
      <c r="L186" s="355"/>
      <c r="M186" s="355"/>
      <c r="N186" s="355"/>
      <c r="O186" s="355"/>
      <c r="P186" s="355"/>
      <c r="Q186" s="355"/>
      <c r="R186" s="355"/>
      <c r="S186" s="355"/>
      <c r="T186" s="355"/>
      <c r="U186" s="355"/>
      <c r="V186" s="355"/>
      <c r="X186" s="355"/>
      <c r="Y186" s="355"/>
      <c r="Z186" s="355"/>
      <c r="AA186" s="355"/>
      <c r="AB186" s="355"/>
      <c r="AC186" s="355"/>
      <c r="AD186" s="355"/>
      <c r="AE186" s="355"/>
      <c r="AF186" s="355"/>
      <c r="AG186" s="355"/>
      <c r="AH186" s="355"/>
      <c r="AI186" s="355"/>
      <c r="AJ186" s="355"/>
      <c r="AK186" s="355"/>
      <c r="AL186" s="355"/>
      <c r="AM186" s="355"/>
      <c r="AN186" s="355"/>
      <c r="AO186" s="355"/>
      <c r="AP186" s="355"/>
      <c r="AQ186" s="355"/>
      <c r="AR186" s="355"/>
      <c r="AS186" s="355"/>
      <c r="AT186" s="355"/>
      <c r="AU186" s="355"/>
    </row>
    <row r="187" spans="1:47">
      <c r="A187" s="513" t="s">
        <v>361</v>
      </c>
      <c r="D187" s="355"/>
      <c r="E187" s="355"/>
      <c r="F187" s="355"/>
      <c r="G187" s="355"/>
      <c r="H187" s="355"/>
      <c r="I187" s="355"/>
      <c r="J187" s="509"/>
      <c r="K187" s="355"/>
      <c r="L187" s="355"/>
      <c r="M187" s="355"/>
      <c r="N187" s="355"/>
      <c r="O187" s="355"/>
      <c r="P187" s="355"/>
      <c r="Q187" s="355"/>
      <c r="R187" s="355"/>
      <c r="S187" s="355"/>
      <c r="T187" s="355"/>
      <c r="U187" s="355"/>
      <c r="V187" s="355"/>
      <c r="X187" s="355"/>
      <c r="Y187" s="355"/>
      <c r="Z187" s="355"/>
      <c r="AA187" s="355"/>
      <c r="AB187" s="355"/>
      <c r="AC187" s="355"/>
      <c r="AD187" s="355"/>
      <c r="AE187" s="355"/>
      <c r="AF187" s="355"/>
      <c r="AG187" s="355"/>
      <c r="AH187" s="355"/>
      <c r="AI187" s="355"/>
      <c r="AJ187" s="355"/>
      <c r="AK187" s="355"/>
      <c r="AL187" s="355"/>
      <c r="AM187" s="355"/>
      <c r="AN187" s="355"/>
      <c r="AO187" s="355"/>
      <c r="AP187" s="355"/>
      <c r="AQ187" s="355"/>
      <c r="AR187" s="355"/>
      <c r="AS187" s="355"/>
      <c r="AT187" s="355"/>
      <c r="AU187" s="355"/>
    </row>
    <row r="188" spans="1:47">
      <c r="A188" s="319" t="s">
        <v>362</v>
      </c>
      <c r="D188" s="355"/>
      <c r="E188" s="355">
        <f t="shared" ref="E188:E195" si="356">+AL188</f>
        <v>3220.3912432765769</v>
      </c>
      <c r="F188" s="355"/>
      <c r="G188" s="355">
        <f>+'Detailed Disclosure'!G188/'Detailed Disclosures - USD'!G$313</f>
        <v>7784.1856953542592</v>
      </c>
      <c r="H188" s="355"/>
      <c r="I188" s="355">
        <f t="shared" ref="I188:I193" si="357">+AA188</f>
        <v>13521.771771771771</v>
      </c>
      <c r="J188" s="509"/>
      <c r="K188" s="355">
        <f t="shared" si="342"/>
        <v>31094.454420056703</v>
      </c>
      <c r="L188" s="355"/>
      <c r="M188" s="355">
        <f t="shared" si="343"/>
        <v>21100.178940123882</v>
      </c>
      <c r="N188" s="355"/>
      <c r="O188" s="355">
        <f t="shared" si="344"/>
        <v>36109.56297152178</v>
      </c>
      <c r="P188" s="355"/>
      <c r="Q188" s="355">
        <f t="shared" si="338"/>
        <v>37823.961198591453</v>
      </c>
      <c r="R188" s="355"/>
      <c r="S188" s="355">
        <f t="shared" si="339"/>
        <v>61330.758691206538</v>
      </c>
      <c r="T188" s="355"/>
      <c r="U188" s="355">
        <f t="shared" si="345"/>
        <v>60353.687616760079</v>
      </c>
      <c r="V188" s="355"/>
      <c r="X188" s="355"/>
      <c r="Y188" s="355">
        <f t="shared" ref="Y188:Y195" si="358">+AL188</f>
        <v>3220.3912432765769</v>
      </c>
      <c r="Z188" s="355">
        <f t="shared" ref="Z188:Z195" si="359">+G188</f>
        <v>7784.1856953542592</v>
      </c>
      <c r="AA188" s="355">
        <f>+AM188</f>
        <v>13521.771771771771</v>
      </c>
      <c r="AB188" s="355">
        <f>+'Detailed Disclosure'!AB188/'Detailed Disclosures - USD'!AB$318</f>
        <v>31094.454420056703</v>
      </c>
      <c r="AC188" s="355">
        <f>+'Detailed Disclosure'!AC188/'Detailed Disclosures - USD'!AC$318</f>
        <v>21100.178940123882</v>
      </c>
      <c r="AD188" s="355">
        <f>+'Detailed Disclosure'!AD188/'Detailed Disclosures - USD'!AD$318</f>
        <v>36109.56297152178</v>
      </c>
      <c r="AE188" s="355">
        <f>+'Detailed Disclosure'!AE188/'Detailed Disclosures - USD'!AE$318</f>
        <v>37823.961198591453</v>
      </c>
      <c r="AF188" s="355">
        <f>+'Detailed Disclosure'!AF188/'Detailed Disclosures - USD'!AF$318</f>
        <v>61330.758691206538</v>
      </c>
      <c r="AG188" s="355">
        <f>+'Detailed Disclosure'!AG188/'Detailed Disclosures - USD'!AG$318</f>
        <v>60353.687616760079</v>
      </c>
      <c r="AH188" s="355"/>
      <c r="AI188" s="355"/>
      <c r="AJ188" s="355">
        <f>+'Detailed Disclosure'!AJ188/'Detailed Disclosures - USD'!AJ$318</f>
        <v>267.0118343195266</v>
      </c>
      <c r="AK188" s="355">
        <f>+'Detailed Disclosure'!AK188/'Detailed Disclosures - USD'!AK$318</f>
        <v>996.35394755293794</v>
      </c>
      <c r="AL188" s="355">
        <f>+'Detailed Disclosure'!AL188/'Detailed Disclosures - USD'!AL$318</f>
        <v>3220.3912432765769</v>
      </c>
      <c r="AM188" s="355">
        <f>+'Detailed Disclosure'!AM188/'Detailed Disclosures - USD'!AM$318</f>
        <v>13521.771771771771</v>
      </c>
      <c r="AN188" s="355">
        <f>+'Detailed Disclosure'!AN188/'Detailed Disclosures - USD'!AN$318</f>
        <v>21100.178940123882</v>
      </c>
      <c r="AO188" s="355">
        <f t="shared" si="349"/>
        <v>37823.961198591453</v>
      </c>
      <c r="AP188" s="355">
        <f t="shared" si="350"/>
        <v>60353.687616760079</v>
      </c>
      <c r="AQ188" s="355"/>
      <c r="AR188" s="355"/>
      <c r="AS188" s="355"/>
      <c r="AT188" s="355"/>
      <c r="AU188" s="355"/>
    </row>
    <row r="189" spans="1:47">
      <c r="A189" s="319" t="s">
        <v>363</v>
      </c>
      <c r="D189" s="355"/>
      <c r="E189" s="355">
        <f t="shared" si="356"/>
        <v>509.78108191441987</v>
      </c>
      <c r="F189" s="355"/>
      <c r="G189" s="355">
        <f>+'Detailed Disclosure'!G189/'Detailed Disclosures - USD'!G$313</f>
        <v>0</v>
      </c>
      <c r="H189" s="355"/>
      <c r="I189" s="355">
        <f t="shared" si="357"/>
        <v>0</v>
      </c>
      <c r="J189" s="509"/>
      <c r="K189" s="355">
        <f t="shared" si="342"/>
        <v>0</v>
      </c>
      <c r="L189" s="355"/>
      <c r="M189" s="355">
        <f t="shared" si="343"/>
        <v>0</v>
      </c>
      <c r="N189" s="355"/>
      <c r="O189" s="355">
        <f t="shared" si="344"/>
        <v>0</v>
      </c>
      <c r="P189" s="355"/>
      <c r="Q189" s="355">
        <f t="shared" si="338"/>
        <v>0</v>
      </c>
      <c r="R189" s="355"/>
      <c r="S189" s="355">
        <f t="shared" si="339"/>
        <v>0</v>
      </c>
      <c r="T189" s="355"/>
      <c r="U189" s="355">
        <f t="shared" si="345"/>
        <v>0</v>
      </c>
      <c r="V189" s="355"/>
      <c r="X189" s="355"/>
      <c r="Y189" s="355">
        <f t="shared" si="358"/>
        <v>509.78108191441987</v>
      </c>
      <c r="Z189" s="355">
        <f t="shared" si="359"/>
        <v>0</v>
      </c>
      <c r="AA189" s="355">
        <f t="shared" ref="AA189:AA194" si="360">+AM189</f>
        <v>0</v>
      </c>
      <c r="AB189" s="355">
        <f>+'Detailed Disclosure'!AB189/'Detailed Disclosures - USD'!AB$318</f>
        <v>0</v>
      </c>
      <c r="AC189" s="355">
        <f>+'Detailed Disclosure'!AC189/'Detailed Disclosures - USD'!AC$318</f>
        <v>0</v>
      </c>
      <c r="AD189" s="355">
        <f>+'Detailed Disclosure'!AD189/'Detailed Disclosures - USD'!AD$318</f>
        <v>0</v>
      </c>
      <c r="AE189" s="355">
        <f>+'Detailed Disclosure'!AE189/'Detailed Disclosures - USD'!AE$318</f>
        <v>0</v>
      </c>
      <c r="AF189" s="355">
        <f>+'Detailed Disclosure'!AF189/'Detailed Disclosures - USD'!AF$318</f>
        <v>0</v>
      </c>
      <c r="AG189" s="355">
        <f>+'Detailed Disclosure'!AG189/'Detailed Disclosures - USD'!AG$318</f>
        <v>0</v>
      </c>
      <c r="AH189" s="355"/>
      <c r="AI189" s="355"/>
      <c r="AJ189" s="355">
        <f>+'Detailed Disclosure'!AJ189/'Detailed Disclosures - USD'!AJ$318</f>
        <v>953.40236686390529</v>
      </c>
      <c r="AK189" s="355">
        <f>+'Detailed Disclosure'!AK189/'Detailed Disclosures - USD'!AK$318</f>
        <v>760.0617024260273</v>
      </c>
      <c r="AL189" s="355">
        <f>+'Detailed Disclosure'!AL189/'Detailed Disclosures - USD'!AL$318</f>
        <v>509.78108191441987</v>
      </c>
      <c r="AM189" s="355">
        <f>+'Detailed Disclosure'!AM189/'Detailed Disclosures - USD'!AM$318</f>
        <v>0</v>
      </c>
      <c r="AN189" s="355">
        <f>+'Detailed Disclosure'!AN189/'Detailed Disclosures - USD'!AN$318</f>
        <v>0</v>
      </c>
      <c r="AO189" s="355">
        <f t="shared" si="349"/>
        <v>0</v>
      </c>
      <c r="AP189" s="355">
        <f t="shared" si="350"/>
        <v>0</v>
      </c>
      <c r="AQ189" s="355"/>
      <c r="AR189" s="355"/>
      <c r="AS189" s="355"/>
      <c r="AT189" s="355"/>
      <c r="AU189" s="355"/>
    </row>
    <row r="190" spans="1:47">
      <c r="A190" s="319" t="s">
        <v>364</v>
      </c>
      <c r="D190" s="355"/>
      <c r="E190" s="355">
        <f t="shared" si="356"/>
        <v>187.74195758676214</v>
      </c>
      <c r="F190" s="355"/>
      <c r="G190" s="355">
        <f>+'Detailed Disclosure'!G190/'Detailed Disclosures - USD'!G$313</f>
        <v>251.89244991744863</v>
      </c>
      <c r="H190" s="355"/>
      <c r="I190" s="355">
        <f t="shared" si="357"/>
        <v>678.39114114114102</v>
      </c>
      <c r="J190" s="509"/>
      <c r="K190" s="355">
        <f t="shared" si="342"/>
        <v>1536.652227573026</v>
      </c>
      <c r="L190" s="355"/>
      <c r="M190" s="355">
        <f t="shared" si="343"/>
        <v>924.90295939435646</v>
      </c>
      <c r="N190" s="355"/>
      <c r="O190" s="355">
        <f t="shared" si="344"/>
        <v>2317.0019710460138</v>
      </c>
      <c r="P190" s="355"/>
      <c r="Q190" s="355">
        <f t="shared" si="338"/>
        <v>2931.3328018071884</v>
      </c>
      <c r="R190" s="355"/>
      <c r="S190" s="355">
        <f t="shared" si="339"/>
        <v>4548.5167007498294</v>
      </c>
      <c r="T190" s="355"/>
      <c r="U190" s="355">
        <f t="shared" si="345"/>
        <v>2993.7810248198557</v>
      </c>
      <c r="V190" s="355"/>
      <c r="X190" s="355"/>
      <c r="Y190" s="355">
        <f t="shared" si="358"/>
        <v>187.74195758676214</v>
      </c>
      <c r="Z190" s="355">
        <f t="shared" si="359"/>
        <v>251.89244991744863</v>
      </c>
      <c r="AA190" s="355">
        <f t="shared" si="360"/>
        <v>678.39114114114102</v>
      </c>
      <c r="AB190" s="355">
        <f>+'Detailed Disclosure'!AB190/'Detailed Disclosures - USD'!AB$318</f>
        <v>1536.652227573026</v>
      </c>
      <c r="AC190" s="355">
        <f>+'Detailed Disclosure'!AC190/'Detailed Disclosures - USD'!AC$318</f>
        <v>924.90295939435646</v>
      </c>
      <c r="AD190" s="355">
        <f>+'Detailed Disclosure'!AD190/'Detailed Disclosures - USD'!AD$318</f>
        <v>2317.0019710460138</v>
      </c>
      <c r="AE190" s="355">
        <f>+'Detailed Disclosure'!AE190/'Detailed Disclosures - USD'!AE$318</f>
        <v>2931.3328018071884</v>
      </c>
      <c r="AF190" s="355">
        <f>+'Detailed Disclosure'!AF190/'Detailed Disclosures - USD'!AF$318</f>
        <v>4548.5167007498294</v>
      </c>
      <c r="AG190" s="355">
        <f>+'Detailed Disclosure'!AG190/'Detailed Disclosures - USD'!AG$318</f>
        <v>2993.7810248198557</v>
      </c>
      <c r="AH190" s="355"/>
      <c r="AI190" s="355"/>
      <c r="AJ190" s="355">
        <f>+'Detailed Disclosure'!AJ190/'Detailed Disclosures - USD'!AJ$318</f>
        <v>17.011834319526628</v>
      </c>
      <c r="AK190" s="355">
        <f>+'Detailed Disclosure'!AK190/'Detailed Disclosures - USD'!AK$318</f>
        <v>132.51998317206565</v>
      </c>
      <c r="AL190" s="355">
        <f>+'Detailed Disclosure'!AL190/'Detailed Disclosures - USD'!AL$318</f>
        <v>187.74195758676214</v>
      </c>
      <c r="AM190" s="355">
        <f>+'Detailed Disclosure'!AM190/'Detailed Disclosures - USD'!AM$318</f>
        <v>678.39114114114102</v>
      </c>
      <c r="AN190" s="355">
        <f>+'Detailed Disclosure'!AN190/'Detailed Disclosures - USD'!AN$318</f>
        <v>924.90295939435646</v>
      </c>
      <c r="AO190" s="355">
        <f t="shared" si="349"/>
        <v>2931.3328018071884</v>
      </c>
      <c r="AP190" s="355">
        <f t="shared" si="350"/>
        <v>2993.7810248198557</v>
      </c>
      <c r="AQ190" s="355"/>
      <c r="AR190" s="355"/>
      <c r="AS190" s="355"/>
      <c r="AT190" s="355"/>
      <c r="AU190" s="355"/>
    </row>
    <row r="191" spans="1:47">
      <c r="A191" s="319" t="s">
        <v>365</v>
      </c>
      <c r="D191" s="355"/>
      <c r="E191" s="355">
        <f t="shared" si="356"/>
        <v>127.44527047860497</v>
      </c>
      <c r="F191" s="355"/>
      <c r="G191" s="355">
        <f>+'Detailed Disclosure'!G191/'Detailed Disclosures - USD'!G$313</f>
        <v>652.79551139535931</v>
      </c>
      <c r="H191" s="355"/>
      <c r="I191" s="355">
        <f t="shared" si="357"/>
        <v>0</v>
      </c>
      <c r="J191" s="509"/>
      <c r="K191" s="355">
        <f t="shared" si="342"/>
        <v>0</v>
      </c>
      <c r="L191" s="355"/>
      <c r="M191" s="355">
        <f t="shared" si="343"/>
        <v>0</v>
      </c>
      <c r="N191" s="355"/>
      <c r="O191" s="355">
        <f t="shared" si="344"/>
        <v>0</v>
      </c>
      <c r="P191" s="355"/>
      <c r="Q191" s="355">
        <f t="shared" si="338"/>
        <v>0</v>
      </c>
      <c r="R191" s="355"/>
      <c r="S191" s="355">
        <f t="shared" si="339"/>
        <v>1823.1240627130198</v>
      </c>
      <c r="T191" s="355"/>
      <c r="U191" s="355">
        <f t="shared" si="345"/>
        <v>0</v>
      </c>
      <c r="V191" s="355"/>
      <c r="X191" s="355"/>
      <c r="Y191" s="355">
        <f t="shared" si="358"/>
        <v>127.44527047860497</v>
      </c>
      <c r="Z191" s="355">
        <f t="shared" si="359"/>
        <v>652.79551139535931</v>
      </c>
      <c r="AA191" s="355">
        <f t="shared" si="360"/>
        <v>0</v>
      </c>
      <c r="AB191" s="355">
        <f>+'Detailed Disclosure'!AB191/'Detailed Disclosures - USD'!AB$318</f>
        <v>0</v>
      </c>
      <c r="AC191" s="355">
        <f>+'Detailed Disclosure'!AC191/'Detailed Disclosures - USD'!AC$318</f>
        <v>0</v>
      </c>
      <c r="AD191" s="355">
        <f>+'Detailed Disclosure'!AD191/'Detailed Disclosures - USD'!AD$318</f>
        <v>0</v>
      </c>
      <c r="AE191" s="355">
        <f>+'Detailed Disclosure'!AE191/'Detailed Disclosures - USD'!AE$318</f>
        <v>0</v>
      </c>
      <c r="AF191" s="355">
        <f>+'Detailed Disclosure'!AF191/'Detailed Disclosures - USD'!AF$318</f>
        <v>1823.1240627130198</v>
      </c>
      <c r="AG191" s="355">
        <f>+'Detailed Disclosure'!AG191/'Detailed Disclosures - USD'!AG$318</f>
        <v>0</v>
      </c>
      <c r="AH191" s="355"/>
      <c r="AI191" s="355"/>
      <c r="AJ191" s="355">
        <f>+'Detailed Disclosure'!AJ191/'Detailed Disclosures - USD'!AJ$318</f>
        <v>0</v>
      </c>
      <c r="AK191" s="355">
        <f>+'Detailed Disclosure'!AK191/'Detailed Disclosures - USD'!AK$318</f>
        <v>0</v>
      </c>
      <c r="AL191" s="355">
        <f>+'Detailed Disclosure'!AL191/'Detailed Disclosures - USD'!AL$318</f>
        <v>127.44527047860497</v>
      </c>
      <c r="AM191" s="355">
        <f>+'Detailed Disclosure'!AM191/'Detailed Disclosures - USD'!AM$318</f>
        <v>0</v>
      </c>
      <c r="AN191" s="355">
        <f>+'Detailed Disclosure'!AN191/'Detailed Disclosures - USD'!AN$318</f>
        <v>0</v>
      </c>
      <c r="AO191" s="355">
        <f t="shared" si="349"/>
        <v>0</v>
      </c>
      <c r="AP191" s="355">
        <f t="shared" si="350"/>
        <v>0</v>
      </c>
      <c r="AQ191" s="355"/>
      <c r="AR191" s="355"/>
      <c r="AS191" s="355"/>
      <c r="AT191" s="355"/>
      <c r="AU191" s="355"/>
    </row>
    <row r="192" spans="1:47">
      <c r="A192" s="319" t="s">
        <v>366</v>
      </c>
      <c r="D192" s="355"/>
      <c r="E192" s="355">
        <f t="shared" si="356"/>
        <v>20.555688786871769</v>
      </c>
      <c r="F192" s="355"/>
      <c r="G192" s="355">
        <f>+'Detailed Disclosure'!G192/'Detailed Disclosures - USD'!G$313</f>
        <v>68.251077348560429</v>
      </c>
      <c r="H192" s="355"/>
      <c r="I192" s="355">
        <f t="shared" si="357"/>
        <v>116.95045045045043</v>
      </c>
      <c r="J192" s="606"/>
      <c r="K192" s="355">
        <f t="shared" si="342"/>
        <v>148.78324419814666</v>
      </c>
      <c r="L192" s="528"/>
      <c r="M192" s="528">
        <f t="shared" si="343"/>
        <v>164.35168616655196</v>
      </c>
      <c r="N192" s="528"/>
      <c r="O192" s="528">
        <f t="shared" si="344"/>
        <v>212.33127166451439</v>
      </c>
      <c r="P192" s="528"/>
      <c r="Q192" s="528">
        <f t="shared" si="338"/>
        <v>251.49558168892432</v>
      </c>
      <c r="R192" s="528"/>
      <c r="S192" s="528">
        <f t="shared" si="339"/>
        <v>317.08384458077705</v>
      </c>
      <c r="T192" s="528"/>
      <c r="U192" s="528">
        <f t="shared" si="345"/>
        <v>2411.9121964238061</v>
      </c>
      <c r="V192" s="528"/>
      <c r="X192" s="528"/>
      <c r="Y192" s="355">
        <f t="shared" si="358"/>
        <v>20.555688786871769</v>
      </c>
      <c r="Z192" s="355">
        <f t="shared" si="359"/>
        <v>68.251077348560429</v>
      </c>
      <c r="AA192" s="355">
        <f t="shared" si="360"/>
        <v>116.95045045045043</v>
      </c>
      <c r="AB192" s="355">
        <f>+'Detailed Disclosure'!AB192/'Detailed Disclosures - USD'!AB$318</f>
        <v>148.78324419814666</v>
      </c>
      <c r="AC192" s="355">
        <f>+'Detailed Disclosure'!AC192/'Detailed Disclosures - USD'!AC$318</f>
        <v>164.35168616655196</v>
      </c>
      <c r="AD192" s="355">
        <f>+'Detailed Disclosure'!AD192/'Detailed Disclosures - USD'!AD$318</f>
        <v>212.33127166451439</v>
      </c>
      <c r="AE192" s="355">
        <f>+'Detailed Disclosure'!AE192/'Detailed Disclosures - USD'!AE$318</f>
        <v>251.49558168892432</v>
      </c>
      <c r="AF192" s="355">
        <f>+'Detailed Disclosure'!AF192/'Detailed Disclosures - USD'!AF$318</f>
        <v>317.08384458077705</v>
      </c>
      <c r="AG192" s="355">
        <f>+'Detailed Disclosure'!AG192/'Detailed Disclosures - USD'!AG$318</f>
        <v>2411.9121964238061</v>
      </c>
      <c r="AH192" s="355"/>
      <c r="AI192" s="355"/>
      <c r="AJ192" s="355">
        <f>+'Detailed Disclosure'!AJ192/'Detailed Disclosures - USD'!AJ$318</f>
        <v>1.4792899408284024</v>
      </c>
      <c r="AK192" s="355">
        <f>+'Detailed Disclosure'!AK192/'Detailed Disclosures - USD'!AK$318</f>
        <v>4.9081475248913202</v>
      </c>
      <c r="AL192" s="355">
        <f>+'Detailed Disclosure'!AL192/'Detailed Disclosures - USD'!AL$318</f>
        <v>20.555688786871769</v>
      </c>
      <c r="AM192" s="355">
        <f>+'Detailed Disclosure'!AM192/'Detailed Disclosures - USD'!AM$318</f>
        <v>116.95045045045043</v>
      </c>
      <c r="AN192" s="355">
        <f>+'Detailed Disclosure'!AN192/'Detailed Disclosures - USD'!AN$318</f>
        <v>164.35168616655196</v>
      </c>
      <c r="AO192" s="355">
        <f t="shared" si="349"/>
        <v>251.49558168892432</v>
      </c>
      <c r="AP192" s="355">
        <f t="shared" si="350"/>
        <v>2411.9121964238061</v>
      </c>
      <c r="AQ192" s="355"/>
      <c r="AR192" s="355"/>
      <c r="AS192" s="355"/>
      <c r="AT192" s="355"/>
      <c r="AU192" s="355"/>
    </row>
    <row r="193" spans="1:47">
      <c r="A193" s="319" t="str">
        <f>+'Detailed Disclosure'!A193</f>
        <v>Derivative Financial Instruments</v>
      </c>
      <c r="D193" s="355"/>
      <c r="E193" s="355">
        <f t="shared" si="356"/>
        <v>0</v>
      </c>
      <c r="F193" s="355"/>
      <c r="G193" s="355">
        <f>+'Detailed Disclosure'!G193/'Detailed Disclosures - USD'!G$313</f>
        <v>0</v>
      </c>
      <c r="H193" s="355"/>
      <c r="I193" s="355">
        <f t="shared" si="357"/>
        <v>194.97972972972974</v>
      </c>
      <c r="J193" s="606"/>
      <c r="K193" s="355">
        <f t="shared" si="342"/>
        <v>725.83476514290044</v>
      </c>
      <c r="L193" s="528"/>
      <c r="M193" s="528">
        <f t="shared" si="343"/>
        <v>688.08602890571228</v>
      </c>
      <c r="N193" s="528"/>
      <c r="O193" s="528">
        <f t="shared" si="344"/>
        <v>1737.3438455787398</v>
      </c>
      <c r="P193" s="528"/>
      <c r="Q193" s="528">
        <f t="shared" si="338"/>
        <v>430.26443425686</v>
      </c>
      <c r="R193" s="528"/>
      <c r="S193" s="528">
        <f t="shared" si="339"/>
        <v>160.87457396046352</v>
      </c>
      <c r="T193" s="528"/>
      <c r="U193" s="528">
        <f t="shared" si="345"/>
        <v>353.9438217240459</v>
      </c>
      <c r="V193" s="528"/>
      <c r="X193" s="528"/>
      <c r="Y193" s="355">
        <f t="shared" si="358"/>
        <v>0</v>
      </c>
      <c r="Z193" s="355">
        <v>0</v>
      </c>
      <c r="AA193" s="355">
        <f t="shared" si="360"/>
        <v>194.97972972972974</v>
      </c>
      <c r="AB193" s="355">
        <f>+'Detailed Disclosure'!AB193/'Detailed Disclosures - USD'!AB$318</f>
        <v>725.83476514290044</v>
      </c>
      <c r="AC193" s="355">
        <f>+'Detailed Disclosure'!AC193/'Detailed Disclosures - USD'!AC$318</f>
        <v>688.08602890571228</v>
      </c>
      <c r="AD193" s="355">
        <f>+'Detailed Disclosure'!AD193/'Detailed Disclosures - USD'!AD$318</f>
        <v>1737.3438455787398</v>
      </c>
      <c r="AE193" s="355">
        <f>+'Detailed Disclosure'!AE193/'Detailed Disclosures - USD'!AE$318</f>
        <v>430.26443425686</v>
      </c>
      <c r="AF193" s="355">
        <f>+'Detailed Disclosure'!AF193/'Detailed Disclosures - USD'!AF$318</f>
        <v>160.87457396046352</v>
      </c>
      <c r="AG193" s="355">
        <f>+'Detailed Disclosure'!AG193/'Detailed Disclosures - USD'!AG$318</f>
        <v>353.9438217240459</v>
      </c>
      <c r="AH193" s="355"/>
      <c r="AI193" s="355"/>
      <c r="AJ193" s="355">
        <v>0</v>
      </c>
      <c r="AK193" s="355">
        <v>0</v>
      </c>
      <c r="AL193" s="355">
        <v>0</v>
      </c>
      <c r="AM193" s="355">
        <f>+'Detailed Disclosure'!AM193/'Detailed Disclosures - USD'!AM$318</f>
        <v>194.97972972972974</v>
      </c>
      <c r="AN193" s="355">
        <f>+'Detailed Disclosure'!AN193/'Detailed Disclosures - USD'!AN$318</f>
        <v>688.08602890571228</v>
      </c>
      <c r="AO193" s="355">
        <f t="shared" si="349"/>
        <v>430.26443425686</v>
      </c>
      <c r="AP193" s="355">
        <f t="shared" si="350"/>
        <v>353.9438217240459</v>
      </c>
      <c r="AQ193" s="355"/>
      <c r="AR193" s="355"/>
      <c r="AS193" s="355"/>
      <c r="AT193" s="355"/>
      <c r="AU193" s="355"/>
    </row>
    <row r="194" spans="1:47" s="513" customFormat="1" ht="18.5">
      <c r="A194" s="319" t="s">
        <v>367</v>
      </c>
      <c r="D194" s="535"/>
      <c r="E194" s="535">
        <f t="shared" si="356"/>
        <v>181.29500839357294</v>
      </c>
      <c r="F194" s="535"/>
      <c r="G194" s="535">
        <f>+'Detailed Disclosure'!G194/'Detailed Disclosures - USD'!G$313</f>
        <v>213.8808668061414</v>
      </c>
      <c r="H194" s="535"/>
      <c r="I194" s="525">
        <f>+AA194</f>
        <v>308.34234234234231</v>
      </c>
      <c r="J194" s="606"/>
      <c r="K194" s="525">
        <f t="shared" si="342"/>
        <v>340.68799457929083</v>
      </c>
      <c r="L194" s="528"/>
      <c r="M194" s="528">
        <f t="shared" si="343"/>
        <v>691.91603578802483</v>
      </c>
      <c r="N194" s="528"/>
      <c r="O194" s="528">
        <f t="shared" si="344"/>
        <v>646.84088900971926</v>
      </c>
      <c r="P194" s="528"/>
      <c r="Q194" s="528">
        <f t="shared" si="338"/>
        <v>952.24237592186557</v>
      </c>
      <c r="R194" s="528"/>
      <c r="S194" s="528">
        <f t="shared" si="339"/>
        <v>1078.8663940013632</v>
      </c>
      <c r="T194" s="528"/>
      <c r="U194" s="528">
        <f t="shared" si="345"/>
        <v>1084.6523885775287</v>
      </c>
      <c r="V194" s="528"/>
      <c r="X194" s="607"/>
      <c r="Y194" s="535">
        <f t="shared" si="358"/>
        <v>181.29500839357294</v>
      </c>
      <c r="Z194" s="535">
        <f t="shared" si="359"/>
        <v>213.8808668061414</v>
      </c>
      <c r="AA194" s="525">
        <f t="shared" si="360"/>
        <v>308.34234234234231</v>
      </c>
      <c r="AB194" s="525">
        <f>+'Detailed Disclosure'!AB194/'Detailed Disclosures - USD'!AB$318</f>
        <v>340.68799457929083</v>
      </c>
      <c r="AC194" s="525">
        <f>+'Detailed Disclosure'!AC194/'Detailed Disclosures - USD'!AC$318</f>
        <v>691.91603578802483</v>
      </c>
      <c r="AD194" s="525">
        <f>+'Detailed Disclosure'!AD194/'Detailed Disclosures - USD'!AD$318</f>
        <v>646.84088900971926</v>
      </c>
      <c r="AE194" s="525">
        <f>+'Detailed Disclosure'!AE194/'Detailed Disclosures - USD'!AE$318</f>
        <v>952.24237592186557</v>
      </c>
      <c r="AF194" s="525">
        <f>+'Detailed Disclosure'!AF194/'Detailed Disclosures - USD'!AF$318</f>
        <v>1078.8663940013632</v>
      </c>
      <c r="AG194" s="525">
        <f>+'Detailed Disclosure'!AG194/'Detailed Disclosures - USD'!AG$318</f>
        <v>1084.6523885775287</v>
      </c>
      <c r="AH194" s="535"/>
      <c r="AI194" s="535"/>
      <c r="AJ194" s="535">
        <f>+'Detailed Disclosure'!AJ194/'Detailed Disclosures - USD'!AJ$318</f>
        <v>0</v>
      </c>
      <c r="AK194" s="535">
        <f>+'Detailed Disclosure'!AK194/'Detailed Disclosures - USD'!AK$318</f>
        <v>0</v>
      </c>
      <c r="AL194" s="535">
        <f>+'Detailed Disclosure'!AL194/'Detailed Disclosures - USD'!AL$318</f>
        <v>181.29500839357294</v>
      </c>
      <c r="AM194" s="525">
        <f>+'Detailed Disclosure'!AM194/'Detailed Disclosures - USD'!AM$318</f>
        <v>308.34234234234231</v>
      </c>
      <c r="AN194" s="525">
        <f>+'Detailed Disclosure'!AN194/'Detailed Disclosures - USD'!AN$318</f>
        <v>691.91603578802483</v>
      </c>
      <c r="AO194" s="525">
        <f t="shared" si="349"/>
        <v>952.24237592186557</v>
      </c>
      <c r="AP194" s="525">
        <f t="shared" si="350"/>
        <v>1084.6523885775287</v>
      </c>
      <c r="AQ194" s="535"/>
      <c r="AR194" s="535"/>
      <c r="AS194" s="535"/>
      <c r="AT194" s="535"/>
      <c r="AU194" s="535"/>
    </row>
    <row r="195" spans="1:47">
      <c r="A195" s="527" t="s">
        <v>368</v>
      </c>
      <c r="D195" s="355"/>
      <c r="E195" s="355">
        <f t="shared" si="356"/>
        <v>4247.2102504368086</v>
      </c>
      <c r="F195" s="355"/>
      <c r="G195" s="355">
        <f>+'Detailed Disclosure'!G195/'Detailed Disclosures - USD'!G$313</f>
        <v>8971.0056008217689</v>
      </c>
      <c r="H195" s="355"/>
      <c r="I195" s="355">
        <f>+SUM(I188:I194)</f>
        <v>14820.435435435436</v>
      </c>
      <c r="J195" s="606"/>
      <c r="K195" s="355">
        <f t="shared" si="342"/>
        <v>33846.412651550061</v>
      </c>
      <c r="L195" s="528"/>
      <c r="M195" s="528">
        <f t="shared" si="343"/>
        <v>23569.435650378524</v>
      </c>
      <c r="N195" s="528"/>
      <c r="O195" s="528">
        <f t="shared" si="344"/>
        <v>41023.080948820767</v>
      </c>
      <c r="P195" s="528"/>
      <c r="Q195" s="528">
        <f t="shared" si="338"/>
        <v>42389.296392266289</v>
      </c>
      <c r="R195" s="528"/>
      <c r="S195" s="528">
        <f t="shared" si="339"/>
        <v>69259.22426721199</v>
      </c>
      <c r="T195" s="528"/>
      <c r="U195" s="528">
        <f t="shared" si="345"/>
        <v>67197.977048305314</v>
      </c>
      <c r="V195" s="528"/>
      <c r="X195" s="528"/>
      <c r="Y195" s="355">
        <f t="shared" si="358"/>
        <v>4247.2102504368086</v>
      </c>
      <c r="Z195" s="355">
        <f t="shared" si="359"/>
        <v>8971.0056008217689</v>
      </c>
      <c r="AA195" s="355">
        <f>+SUM(AA188:AA194)</f>
        <v>14820.435435435436</v>
      </c>
      <c r="AB195" s="355">
        <f>+'Detailed Disclosure'!AB195/'Detailed Disclosures - USD'!AB$318</f>
        <v>33846.412651550061</v>
      </c>
      <c r="AC195" s="355">
        <f>+'Detailed Disclosure'!AC195/'Detailed Disclosures - USD'!AC$318</f>
        <v>23569.435650378524</v>
      </c>
      <c r="AD195" s="355">
        <f>+'Detailed Disclosure'!AD195/'Detailed Disclosures - USD'!AD$318</f>
        <v>41023.080948820767</v>
      </c>
      <c r="AE195" s="355">
        <f>+'Detailed Disclosure'!AE195/'Detailed Disclosures - USD'!AE$318</f>
        <v>42389.296392266289</v>
      </c>
      <c r="AF195" s="355">
        <f>+'Detailed Disclosure'!AF195/'Detailed Disclosures - USD'!AF$318</f>
        <v>69259.22426721199</v>
      </c>
      <c r="AG195" s="355">
        <f>+'Detailed Disclosure'!AG195/'Detailed Disclosures - USD'!AG$318</f>
        <v>67197.977048305314</v>
      </c>
      <c r="AH195" s="355"/>
      <c r="AI195" s="355"/>
      <c r="AJ195" s="355">
        <f>+'Detailed Disclosure'!AJ195/'Detailed Disclosures - USD'!AJ$318</f>
        <v>1238.905325443787</v>
      </c>
      <c r="AK195" s="355">
        <f>+'Detailed Disclosure'!AK195/'Detailed Disclosures - USD'!AK$318</f>
        <v>1893.8437806759221</v>
      </c>
      <c r="AL195" s="355">
        <f>+'Detailed Disclosure'!AL195/'Detailed Disclosures - USD'!AL$318</f>
        <v>4247.2102504368086</v>
      </c>
      <c r="AM195" s="355">
        <f>+'Detailed Disclosure'!AM195/'Detailed Disclosures - USD'!AM$318</f>
        <v>14820.435435435431</v>
      </c>
      <c r="AN195" s="355">
        <f>+'Detailed Disclosure'!AN195/'Detailed Disclosures - USD'!AN$318</f>
        <v>23569.435650378524</v>
      </c>
      <c r="AO195" s="355">
        <f t="shared" si="349"/>
        <v>42389.296392266289</v>
      </c>
      <c r="AP195" s="355">
        <f t="shared" si="350"/>
        <v>67197.977048305314</v>
      </c>
      <c r="AQ195" s="355"/>
      <c r="AR195" s="355"/>
      <c r="AS195" s="355"/>
      <c r="AT195" s="355"/>
      <c r="AU195" s="355"/>
    </row>
    <row r="196" spans="1:47">
      <c r="D196" s="355"/>
      <c r="E196" s="355"/>
      <c r="F196" s="355"/>
      <c r="G196" s="355"/>
      <c r="H196" s="355"/>
      <c r="I196" s="355"/>
      <c r="J196" s="606"/>
      <c r="K196" s="355"/>
      <c r="L196" s="528"/>
      <c r="M196" s="528"/>
      <c r="N196" s="528"/>
      <c r="O196" s="528"/>
      <c r="P196" s="528"/>
      <c r="Q196" s="528"/>
      <c r="R196" s="528"/>
      <c r="S196" s="528"/>
      <c r="T196" s="528"/>
      <c r="U196" s="528"/>
      <c r="V196" s="528"/>
      <c r="X196" s="528"/>
      <c r="Y196" s="355"/>
      <c r="Z196" s="355"/>
      <c r="AA196" s="355"/>
      <c r="AB196" s="528"/>
      <c r="AC196" s="528"/>
      <c r="AD196" s="528"/>
      <c r="AE196" s="528"/>
      <c r="AF196" s="528"/>
      <c r="AG196" s="528"/>
      <c r="AH196" s="355"/>
      <c r="AI196" s="355"/>
      <c r="AJ196" s="355"/>
      <c r="AK196" s="355"/>
      <c r="AL196" s="355"/>
      <c r="AM196" s="355"/>
      <c r="AN196" s="355"/>
      <c r="AO196" s="355"/>
      <c r="AP196" s="355"/>
      <c r="AQ196" s="355"/>
      <c r="AR196" s="355"/>
      <c r="AS196" s="355"/>
      <c r="AT196" s="355"/>
      <c r="AU196" s="355"/>
    </row>
    <row r="197" spans="1:47">
      <c r="A197" s="513" t="s">
        <v>369</v>
      </c>
      <c r="D197" s="355"/>
      <c r="E197" s="355"/>
      <c r="F197" s="355"/>
      <c r="G197" s="355"/>
      <c r="H197" s="355"/>
      <c r="I197" s="355"/>
      <c r="J197" s="606"/>
      <c r="K197" s="355"/>
      <c r="L197" s="528"/>
      <c r="M197" s="528"/>
      <c r="N197" s="528"/>
      <c r="O197" s="528"/>
      <c r="P197" s="528"/>
      <c r="Q197" s="528"/>
      <c r="R197" s="528"/>
      <c r="S197" s="528"/>
      <c r="T197" s="528"/>
      <c r="U197" s="528"/>
      <c r="V197" s="528"/>
      <c r="X197" s="528"/>
      <c r="Y197" s="355"/>
      <c r="Z197" s="355"/>
      <c r="AA197" s="355"/>
      <c r="AB197" s="528"/>
      <c r="AC197" s="528"/>
      <c r="AD197" s="528"/>
      <c r="AE197" s="528"/>
      <c r="AF197" s="528"/>
      <c r="AG197" s="528"/>
      <c r="AH197" s="355"/>
      <c r="AI197" s="355"/>
      <c r="AJ197" s="355"/>
      <c r="AK197" s="355"/>
      <c r="AL197" s="355"/>
      <c r="AM197" s="355"/>
      <c r="AN197" s="355"/>
      <c r="AO197" s="355"/>
      <c r="AP197" s="355"/>
      <c r="AQ197" s="355"/>
      <c r="AR197" s="355"/>
      <c r="AS197" s="355"/>
      <c r="AT197" s="355"/>
      <c r="AU197" s="355"/>
    </row>
    <row r="198" spans="1:47">
      <c r="A198" s="319" t="s">
        <v>370</v>
      </c>
      <c r="D198" s="355"/>
      <c r="E198" s="355">
        <f t="shared" ref="E198:E203" si="361">+AL198</f>
        <v>102.77844393435883</v>
      </c>
      <c r="F198" s="355"/>
      <c r="G198" s="355">
        <f>+'Detailed Disclosure'!G198/'Detailed Disclosures - USD'!G$313</f>
        <v>265.47788579409945</v>
      </c>
      <c r="H198" s="355"/>
      <c r="I198" s="355">
        <f>+AA198</f>
        <v>479.5362726154915</v>
      </c>
      <c r="J198" s="528"/>
      <c r="K198" s="355">
        <f t="shared" si="342"/>
        <v>896.85719817051267</v>
      </c>
      <c r="L198" s="528"/>
      <c r="M198" s="528">
        <f t="shared" si="343"/>
        <v>0</v>
      </c>
      <c r="N198" s="528"/>
      <c r="O198" s="528">
        <f t="shared" si="344"/>
        <v>0</v>
      </c>
      <c r="P198" s="528"/>
      <c r="Q198" s="528">
        <f t="shared" si="338"/>
        <v>0</v>
      </c>
      <c r="R198" s="528"/>
      <c r="S198" s="528">
        <f t="shared" si="339"/>
        <v>0</v>
      </c>
      <c r="T198" s="528"/>
      <c r="U198" s="528">
        <f t="shared" si="345"/>
        <v>0</v>
      </c>
      <c r="V198" s="528"/>
      <c r="X198" s="528"/>
      <c r="Y198" s="355">
        <f t="shared" ref="Y198:Y203" si="362">+AL198</f>
        <v>102.77844393435883</v>
      </c>
      <c r="Z198" s="355">
        <f t="shared" ref="Z198:Z203" si="363">+G198</f>
        <v>265.47788579409945</v>
      </c>
      <c r="AA198" s="355">
        <f>+'Detailed Disclosure'!AA198/'Detailed Disclosures - USD'!AA$318</f>
        <v>479.5362726154915</v>
      </c>
      <c r="AB198" s="355">
        <f>+'Detailed Disclosure'!AB198/'Detailed Disclosures - USD'!AB$318</f>
        <v>896.85719817051267</v>
      </c>
      <c r="AC198" s="355">
        <f>+'Detailed Disclosure'!AC198/'Detailed Disclosures - USD'!AC$318</f>
        <v>0</v>
      </c>
      <c r="AD198" s="355">
        <f>+'Detailed Disclosure'!AD198/'Detailed Disclosures - USD'!AD$318</f>
        <v>0</v>
      </c>
      <c r="AE198" s="355">
        <f>+'Detailed Disclosure'!AE198/'Detailed Disclosures - USD'!AE$318</f>
        <v>0</v>
      </c>
      <c r="AF198" s="355">
        <f>+'Detailed Disclosure'!AF198/'Detailed Disclosures - USD'!AF$318</f>
        <v>0</v>
      </c>
      <c r="AG198" s="355">
        <f>+'Detailed Disclosure'!AG198/'Detailed Disclosures - USD'!AG$318</f>
        <v>0</v>
      </c>
      <c r="AH198" s="355"/>
      <c r="AI198" s="355"/>
      <c r="AJ198" s="355">
        <f>+'Detailed Disclosure'!AJ198/'Detailed Disclosures - USD'!AJ$318</f>
        <v>2.2189349112426036</v>
      </c>
      <c r="AK198" s="355">
        <f>+'Detailed Disclosure'!AK198/'Detailed Disclosures - USD'!AK$318</f>
        <v>92.553639040807752</v>
      </c>
      <c r="AL198" s="355">
        <f>+'Detailed Disclosure'!AL198/'Detailed Disclosures - USD'!AL$318</f>
        <v>102.77844393435883</v>
      </c>
      <c r="AM198" s="355">
        <f>+'Detailed Disclosure'!AM198/'Detailed Disclosures - USD'!AM$318</f>
        <v>478.2282282282282</v>
      </c>
      <c r="AN198" s="355">
        <f>+'Detailed Disclosure'!AN198/'Detailed Disclosures - USD'!AN$318</f>
        <v>0</v>
      </c>
      <c r="AO198" s="355">
        <f t="shared" si="349"/>
        <v>0</v>
      </c>
      <c r="AP198" s="355">
        <f t="shared" si="350"/>
        <v>0</v>
      </c>
      <c r="AQ198" s="355"/>
      <c r="AR198" s="355"/>
      <c r="AS198" s="355"/>
      <c r="AT198" s="355"/>
      <c r="AU198" s="355"/>
    </row>
    <row r="199" spans="1:47">
      <c r="A199" s="319" t="s">
        <v>41</v>
      </c>
      <c r="D199" s="355"/>
      <c r="E199" s="355">
        <v>0</v>
      </c>
      <c r="F199" s="355"/>
      <c r="G199" s="355">
        <v>0</v>
      </c>
      <c r="H199" s="355"/>
      <c r="I199" s="355">
        <f t="shared" ref="I199:I203" si="364">+AA199</f>
        <v>0</v>
      </c>
      <c r="J199" s="528"/>
      <c r="K199" s="355">
        <f t="shared" si="342"/>
        <v>0</v>
      </c>
      <c r="L199" s="528"/>
      <c r="M199" s="528">
        <f t="shared" si="343"/>
        <v>0</v>
      </c>
      <c r="N199" s="528"/>
      <c r="O199" s="528">
        <f t="shared" si="344"/>
        <v>0</v>
      </c>
      <c r="P199" s="528"/>
      <c r="Q199" s="528">
        <f t="shared" si="338"/>
        <v>0</v>
      </c>
      <c r="R199" s="528"/>
      <c r="S199" s="528">
        <f t="shared" si="339"/>
        <v>0</v>
      </c>
      <c r="T199" s="528"/>
      <c r="U199" s="528">
        <f t="shared" si="345"/>
        <v>0</v>
      </c>
      <c r="V199" s="528"/>
      <c r="X199" s="528"/>
      <c r="Y199" s="355">
        <v>0</v>
      </c>
      <c r="Z199" s="355">
        <v>0</v>
      </c>
      <c r="AA199" s="355">
        <v>0</v>
      </c>
      <c r="AB199" s="355">
        <v>0</v>
      </c>
      <c r="AC199" s="355">
        <v>0</v>
      </c>
      <c r="AD199" s="355">
        <v>0</v>
      </c>
      <c r="AE199" s="355">
        <v>0</v>
      </c>
      <c r="AF199" s="355">
        <v>0</v>
      </c>
      <c r="AG199" s="355">
        <v>0</v>
      </c>
      <c r="AH199" s="355"/>
      <c r="AI199" s="355"/>
      <c r="AJ199" s="355">
        <v>0</v>
      </c>
      <c r="AK199" s="355">
        <v>0</v>
      </c>
      <c r="AL199" s="355">
        <v>0</v>
      </c>
      <c r="AM199" s="355">
        <v>0</v>
      </c>
      <c r="AN199" s="355">
        <v>0</v>
      </c>
      <c r="AO199" s="355">
        <f t="shared" si="349"/>
        <v>0</v>
      </c>
      <c r="AP199" s="355">
        <f t="shared" si="350"/>
        <v>0</v>
      </c>
      <c r="AQ199" s="355"/>
      <c r="AR199" s="355"/>
      <c r="AS199" s="355"/>
      <c r="AT199" s="355"/>
      <c r="AU199" s="355"/>
    </row>
    <row r="200" spans="1:47">
      <c r="A200" s="319" t="s">
        <v>366</v>
      </c>
      <c r="D200" s="355"/>
      <c r="E200" s="355">
        <f t="shared" si="361"/>
        <v>1.3703792524581178</v>
      </c>
      <c r="F200" s="355"/>
      <c r="G200" s="355">
        <f>+'Detailed Disclosure'!G200/'Detailed Disclosures - USD'!G$313</f>
        <v>2.9443275536985567</v>
      </c>
      <c r="H200" s="355"/>
      <c r="I200" s="355">
        <f t="shared" si="364"/>
        <v>6.2573084740658791</v>
      </c>
      <c r="J200" s="528"/>
      <c r="K200" s="355">
        <f t="shared" si="342"/>
        <v>10.384531616775186</v>
      </c>
      <c r="L200" s="528"/>
      <c r="M200" s="528">
        <f t="shared" si="343"/>
        <v>14.218857536132139</v>
      </c>
      <c r="N200" s="528"/>
      <c r="O200" s="528">
        <f t="shared" si="344"/>
        <v>24.379120505675253</v>
      </c>
      <c r="P200" s="528"/>
      <c r="Q200" s="528">
        <f t="shared" si="338"/>
        <v>33.068234668792769</v>
      </c>
      <c r="R200" s="528"/>
      <c r="S200" s="528">
        <f t="shared" si="339"/>
        <v>56.194955691888204</v>
      </c>
      <c r="T200" s="528"/>
      <c r="U200" s="528">
        <f t="shared" si="345"/>
        <v>70.545102748865773</v>
      </c>
      <c r="V200" s="528"/>
      <c r="X200" s="528"/>
      <c r="Y200" s="355">
        <f t="shared" si="362"/>
        <v>1.3703792524581178</v>
      </c>
      <c r="Z200" s="355">
        <f t="shared" si="363"/>
        <v>2.9443275536985567</v>
      </c>
      <c r="AA200" s="355">
        <f>+'Detailed Disclosure'!AA200/'Detailed Disclosures - USD'!AA$318</f>
        <v>6.2573084740658791</v>
      </c>
      <c r="AB200" s="355">
        <f>+'Detailed Disclosure'!AB200/'Detailed Disclosures - USD'!AB$318</f>
        <v>10.384531616775186</v>
      </c>
      <c r="AC200" s="355">
        <f>+'Detailed Disclosure'!AC200/'Detailed Disclosures - USD'!AC$318</f>
        <v>14.218857536132139</v>
      </c>
      <c r="AD200" s="355">
        <f>+'Detailed Disclosure'!AD200/'Detailed Disclosures - USD'!AD$318</f>
        <v>24.379120505675253</v>
      </c>
      <c r="AE200" s="355">
        <f>+'Detailed Disclosure'!AE200/'Detailed Disclosures - USD'!AE$318</f>
        <v>33.068234668792769</v>
      </c>
      <c r="AF200" s="355">
        <f>+'Detailed Disclosure'!AF200/'Detailed Disclosures - USD'!AF$318</f>
        <v>56.194955691888204</v>
      </c>
      <c r="AG200" s="355">
        <f>+'Detailed Disclosure'!AG200/'Detailed Disclosures - USD'!AG$318</f>
        <v>70.545102748865773</v>
      </c>
      <c r="AH200" s="355"/>
      <c r="AI200" s="355"/>
      <c r="AJ200" s="355">
        <f>+'Detailed Disclosure'!AJ200/'Detailed Disclosures - USD'!AJ$318</f>
        <v>0</v>
      </c>
      <c r="AK200" s="355">
        <f>+'Detailed Disclosure'!AK200/'Detailed Disclosures - USD'!AK$318</f>
        <v>0</v>
      </c>
      <c r="AL200" s="355">
        <f>+'Detailed Disclosure'!AL200/'Detailed Disclosures - USD'!AL$318</f>
        <v>1.3703792524581178</v>
      </c>
      <c r="AM200" s="355">
        <f>+'Detailed Disclosure'!AM200/'Detailed Disclosures - USD'!AM$318</f>
        <v>6.2402402402402393</v>
      </c>
      <c r="AN200" s="355">
        <f>+'Detailed Disclosure'!AN200/'Detailed Disclosures - USD'!AN$318</f>
        <v>14.218857536132139</v>
      </c>
      <c r="AO200" s="355">
        <f t="shared" si="349"/>
        <v>33.068234668792769</v>
      </c>
      <c r="AP200" s="355">
        <f t="shared" si="350"/>
        <v>70.545102748865773</v>
      </c>
      <c r="AQ200" s="355"/>
      <c r="AR200" s="355"/>
      <c r="AS200" s="355"/>
      <c r="AT200" s="355"/>
      <c r="AU200" s="355"/>
    </row>
    <row r="201" spans="1:47" s="513" customFormat="1">
      <c r="A201" s="319" t="s">
        <v>367</v>
      </c>
      <c r="D201" s="535"/>
      <c r="E201" s="535">
        <f t="shared" si="361"/>
        <v>717.65528109904426</v>
      </c>
      <c r="F201" s="535"/>
      <c r="G201" s="535">
        <f>+'Detailed Disclosure'!G201/'Detailed Disclosures - USD'!G$313</f>
        <v>954.79270999108167</v>
      </c>
      <c r="H201" s="535"/>
      <c r="I201" s="535">
        <f t="shared" si="364"/>
        <v>1259.8554615944361</v>
      </c>
      <c r="J201" s="528"/>
      <c r="K201" s="535">
        <f t="shared" si="342"/>
        <v>1940.7951987997046</v>
      </c>
      <c r="L201" s="528"/>
      <c r="M201" s="528">
        <f t="shared" si="343"/>
        <v>1992.2002752924982</v>
      </c>
      <c r="N201" s="528"/>
      <c r="O201" s="528">
        <f t="shared" si="344"/>
        <v>1662.2694215999456</v>
      </c>
      <c r="P201" s="528"/>
      <c r="Q201" s="528">
        <f t="shared" si="338"/>
        <v>2605.5936482625739</v>
      </c>
      <c r="R201" s="528"/>
      <c r="S201" s="528">
        <f t="shared" si="339"/>
        <v>2908.5371506475799</v>
      </c>
      <c r="T201" s="528"/>
      <c r="U201" s="528">
        <f t="shared" si="345"/>
        <v>2287.2998398718978</v>
      </c>
      <c r="V201" s="528"/>
      <c r="X201" s="607"/>
      <c r="Y201" s="535">
        <f t="shared" si="362"/>
        <v>717.65528109904426</v>
      </c>
      <c r="Z201" s="535">
        <f t="shared" si="363"/>
        <v>954.79270999108167</v>
      </c>
      <c r="AA201" s="535">
        <f>+'Detailed Disclosure'!AA201/'Detailed Disclosures - USD'!AA$318</f>
        <v>1259.8554615944361</v>
      </c>
      <c r="AB201" s="535">
        <f>+'Detailed Disclosure'!AB201/'Detailed Disclosures - USD'!AB$318</f>
        <v>1940.7951987997046</v>
      </c>
      <c r="AC201" s="535">
        <f>+'Detailed Disclosure'!AC201/'Detailed Disclosures - USD'!AC$318</f>
        <v>1992.2002752924982</v>
      </c>
      <c r="AD201" s="535">
        <f>+'Detailed Disclosure'!AD201/'Detailed Disclosures - USD'!AD$318</f>
        <v>1662.2694215999456</v>
      </c>
      <c r="AE201" s="535">
        <f>+'Detailed Disclosure'!AE201/'Detailed Disclosures - USD'!AE$318</f>
        <v>2605.5936482625739</v>
      </c>
      <c r="AF201" s="535">
        <f>+'Detailed Disclosure'!AF201/'Detailed Disclosures - USD'!AF$318</f>
        <v>2908.5371506475799</v>
      </c>
      <c r="AG201" s="535">
        <f>+'Detailed Disclosure'!AG201/'Detailed Disclosures - USD'!AG$318</f>
        <v>2287.2998398718978</v>
      </c>
      <c r="AH201" s="535"/>
      <c r="AI201" s="535"/>
      <c r="AJ201" s="535">
        <f>+'Detailed Disclosure'!AJ201/'Detailed Disclosures - USD'!AJ$318</f>
        <v>562.13017751479288</v>
      </c>
      <c r="AK201" s="535">
        <f>+'Detailed Disclosure'!AK201/'Detailed Disclosures - USD'!AK$318</f>
        <v>682.93366989202082</v>
      </c>
      <c r="AL201" s="535">
        <f>+'Detailed Disclosure'!AL201/'Detailed Disclosures - USD'!AL$318</f>
        <v>717.65528109904426</v>
      </c>
      <c r="AM201" s="535">
        <f>+'Detailed Disclosure'!AM201/'Detailed Disclosures - USD'!AM$318</f>
        <v>1256.4189189189187</v>
      </c>
      <c r="AN201" s="535">
        <f>+'Detailed Disclosure'!AN201/'Detailed Disclosures - USD'!AN$318</f>
        <v>1992.2002752924982</v>
      </c>
      <c r="AO201" s="535">
        <f t="shared" si="349"/>
        <v>2605.5936482625739</v>
      </c>
      <c r="AP201" s="535">
        <f t="shared" si="350"/>
        <v>2287.2998398718978</v>
      </c>
      <c r="AQ201" s="535"/>
      <c r="AR201" s="535"/>
      <c r="AS201" s="535"/>
      <c r="AT201" s="535"/>
      <c r="AU201" s="535"/>
    </row>
    <row r="202" spans="1:47" s="513" customFormat="1">
      <c r="A202" s="527" t="s">
        <v>371</v>
      </c>
      <c r="D202" s="535"/>
      <c r="E202" s="535">
        <f t="shared" si="361"/>
        <v>821.80410428586117</v>
      </c>
      <c r="F202" s="535"/>
      <c r="G202" s="535">
        <f>+'Detailed Disclosure'!G202/'Detailed Disclosures - USD'!G$313</f>
        <v>1223.2149233388798</v>
      </c>
      <c r="H202" s="535"/>
      <c r="I202" s="535">
        <f t="shared" si="364"/>
        <v>1745.6490426839935</v>
      </c>
      <c r="J202" s="607"/>
      <c r="K202" s="535">
        <f t="shared" si="342"/>
        <v>2848.0369285869924</v>
      </c>
      <c r="L202" s="607"/>
      <c r="M202" s="607">
        <f t="shared" si="343"/>
        <v>2006.4191328286302</v>
      </c>
      <c r="N202" s="607"/>
      <c r="O202" s="607">
        <f t="shared" si="344"/>
        <v>1686.6485421056209</v>
      </c>
      <c r="P202" s="607"/>
      <c r="Q202" s="607">
        <f t="shared" si="338"/>
        <v>2638.6618829313666</v>
      </c>
      <c r="R202" s="607"/>
      <c r="S202" s="607">
        <f t="shared" si="339"/>
        <v>2964.7321063394679</v>
      </c>
      <c r="T202" s="607"/>
      <c r="U202" s="607">
        <f t="shared" si="345"/>
        <v>2357.8449426207635</v>
      </c>
      <c r="V202" s="607"/>
      <c r="X202" s="607"/>
      <c r="Y202" s="535">
        <f t="shared" si="362"/>
        <v>821.80410428586117</v>
      </c>
      <c r="Z202" s="535">
        <f t="shared" si="363"/>
        <v>1223.2149233388798</v>
      </c>
      <c r="AA202" s="535">
        <f>+'Detailed Disclosure'!AA202/'Detailed Disclosures - USD'!AA$318</f>
        <v>1745.6490426839935</v>
      </c>
      <c r="AB202" s="535">
        <f>+'Detailed Disclosure'!AB202/'Detailed Disclosures - USD'!AB$318</f>
        <v>2848.0369285869924</v>
      </c>
      <c r="AC202" s="535">
        <f>+'Detailed Disclosure'!AC202/'Detailed Disclosures - USD'!AC$318</f>
        <v>2006.4191328286302</v>
      </c>
      <c r="AD202" s="535">
        <f>+'Detailed Disclosure'!AD202/'Detailed Disclosures - USD'!AD$318</f>
        <v>1686.6485421056209</v>
      </c>
      <c r="AE202" s="535">
        <f>+'Detailed Disclosure'!AE202/'Detailed Disclosures - USD'!AE$318</f>
        <v>2638.6618829313666</v>
      </c>
      <c r="AF202" s="535">
        <f>+'Detailed Disclosure'!AF202/'Detailed Disclosures - USD'!AF$318</f>
        <v>2964.7321063394679</v>
      </c>
      <c r="AG202" s="535">
        <f>+'Detailed Disclosure'!AG202/'Detailed Disclosures - USD'!AG$318</f>
        <v>2357.8449426207635</v>
      </c>
      <c r="AH202" s="535"/>
      <c r="AI202" s="535"/>
      <c r="AJ202" s="535">
        <f>+'Detailed Disclosure'!AJ202/'Detailed Disclosures - USD'!AJ$318</f>
        <v>564.3491124260355</v>
      </c>
      <c r="AK202" s="535">
        <f>+'Detailed Disclosure'!AK202/'Detailed Disclosures - USD'!AK$318</f>
        <v>775.48730893282857</v>
      </c>
      <c r="AL202" s="535">
        <f>+'Detailed Disclosure'!AL202/'Detailed Disclosures - USD'!AL$318</f>
        <v>821.80410428586117</v>
      </c>
      <c r="AM202" s="535">
        <f>+'Detailed Disclosure'!AM202/'Detailed Disclosures - USD'!AM$318</f>
        <v>1740.8873873873874</v>
      </c>
      <c r="AN202" s="535">
        <f>+'Detailed Disclosure'!AN202/'Detailed Disclosures - USD'!AN$318</f>
        <v>2006.4191328286302</v>
      </c>
      <c r="AO202" s="535">
        <f t="shared" si="349"/>
        <v>2638.6618829313666</v>
      </c>
      <c r="AP202" s="535">
        <f t="shared" si="350"/>
        <v>2357.8449426207635</v>
      </c>
      <c r="AQ202" s="535"/>
      <c r="AR202" s="535"/>
      <c r="AS202" s="535"/>
      <c r="AT202" s="535"/>
      <c r="AU202" s="535"/>
    </row>
    <row r="203" spans="1:47">
      <c r="A203" s="319" t="s">
        <v>372</v>
      </c>
      <c r="D203" s="355"/>
      <c r="E203" s="355">
        <f t="shared" si="361"/>
        <v>5069.0143547226699</v>
      </c>
      <c r="F203" s="355"/>
      <c r="G203" s="355">
        <f>+'Detailed Disclosure'!G203/'Detailed Disclosures - USD'!G$313</f>
        <v>10194.220524160648</v>
      </c>
      <c r="H203" s="355"/>
      <c r="I203" s="355">
        <f t="shared" si="364"/>
        <v>16606.860555569456</v>
      </c>
      <c r="J203" s="528"/>
      <c r="K203" s="355">
        <f t="shared" si="342"/>
        <v>36694.449580137058</v>
      </c>
      <c r="L203" s="528"/>
      <c r="M203" s="528">
        <f t="shared" si="343"/>
        <v>25575.854783207153</v>
      </c>
      <c r="N203" s="528"/>
      <c r="O203" s="528">
        <f t="shared" si="344"/>
        <v>42709.729490926387</v>
      </c>
      <c r="P203" s="528"/>
      <c r="Q203" s="528">
        <f t="shared" si="338"/>
        <v>45027.958275197656</v>
      </c>
      <c r="R203" s="528"/>
      <c r="S203" s="528">
        <f t="shared" si="339"/>
        <v>72223.956373551453</v>
      </c>
      <c r="T203" s="528"/>
      <c r="U203" s="528">
        <f t="shared" si="345"/>
        <v>69555.821990926066</v>
      </c>
      <c r="V203" s="528"/>
      <c r="X203" s="528"/>
      <c r="Y203" s="355">
        <f t="shared" si="362"/>
        <v>5069.0143547226699</v>
      </c>
      <c r="Z203" s="355">
        <f t="shared" si="363"/>
        <v>10194.220524160648</v>
      </c>
      <c r="AA203" s="355">
        <f>+'Detailed Disclosure'!AA203/'Detailed Disclosures - USD'!AA$318</f>
        <v>16606.860555569456</v>
      </c>
      <c r="AB203" s="355">
        <f>+'Detailed Disclosure'!AB203/'Detailed Disclosures - USD'!AB$318</f>
        <v>36694.449580137058</v>
      </c>
      <c r="AC203" s="355">
        <f>+'Detailed Disclosure'!AC203/'Detailed Disclosures - USD'!AC$318</f>
        <v>25575.854783207153</v>
      </c>
      <c r="AD203" s="355">
        <f>+'Detailed Disclosure'!AD203/'Detailed Disclosures - USD'!AD$318</f>
        <v>42709.729490926387</v>
      </c>
      <c r="AE203" s="355">
        <f>+'Detailed Disclosure'!AE203/'Detailed Disclosures - USD'!AE$318</f>
        <v>45027.958275197656</v>
      </c>
      <c r="AF203" s="355">
        <f>+'Detailed Disclosure'!AF203/'Detailed Disclosures - USD'!AF$318</f>
        <v>72223.956373551453</v>
      </c>
      <c r="AG203" s="355">
        <f>+'Detailed Disclosure'!AG203/'Detailed Disclosures - USD'!AG$318</f>
        <v>69555.821990926066</v>
      </c>
      <c r="AH203" s="355"/>
      <c r="AI203" s="355"/>
      <c r="AJ203" s="355">
        <f>+'Detailed Disclosure'!AJ203/'Detailed Disclosures - USD'!AJ$318</f>
        <v>1803.2544378698224</v>
      </c>
      <c r="AK203" s="355">
        <f>+'Detailed Disclosure'!AK203/'Detailed Disclosures - USD'!AK$318</f>
        <v>2669.3310896087505</v>
      </c>
      <c r="AL203" s="355">
        <f>+'Detailed Disclosure'!AL203/'Detailed Disclosures - USD'!AL$318</f>
        <v>5069.0143547226699</v>
      </c>
      <c r="AM203" s="355">
        <f>+'Detailed Disclosure'!AM203/'Detailed Disclosures - USD'!AM$318</f>
        <v>16561.561561561561</v>
      </c>
      <c r="AN203" s="355">
        <f>+'Detailed Disclosure'!AN203/'Detailed Disclosures - USD'!AN$318</f>
        <v>25575.854783207153</v>
      </c>
      <c r="AO203" s="355">
        <f t="shared" si="349"/>
        <v>45027.958275197656</v>
      </c>
      <c r="AP203" s="355">
        <f t="shared" si="350"/>
        <v>69555.821990926066</v>
      </c>
      <c r="AQ203" s="355"/>
      <c r="AR203" s="355"/>
      <c r="AS203" s="355"/>
      <c r="AT203" s="355"/>
      <c r="AU203" s="355"/>
    </row>
    <row r="204" spans="1:47">
      <c r="D204" s="355"/>
      <c r="E204" s="355"/>
      <c r="F204" s="355"/>
      <c r="G204" s="355"/>
      <c r="H204" s="355"/>
      <c r="I204" s="355"/>
      <c r="J204" s="528"/>
      <c r="K204" s="355"/>
      <c r="L204" s="528"/>
      <c r="M204" s="528"/>
      <c r="N204" s="528"/>
      <c r="O204" s="528"/>
      <c r="P204" s="528"/>
      <c r="Q204" s="528"/>
      <c r="R204" s="528"/>
      <c r="S204" s="528"/>
      <c r="T204" s="528"/>
      <c r="U204" s="528"/>
      <c r="V204" s="528"/>
      <c r="X204" s="528"/>
      <c r="Y204" s="355"/>
      <c r="Z204" s="355"/>
      <c r="AA204" s="355"/>
      <c r="AB204" s="528"/>
      <c r="AC204" s="528"/>
      <c r="AD204" s="528"/>
      <c r="AE204" s="528"/>
      <c r="AF204" s="528"/>
      <c r="AG204" s="528"/>
      <c r="AH204" s="355"/>
      <c r="AI204" s="355"/>
      <c r="AJ204" s="355"/>
      <c r="AK204" s="355"/>
      <c r="AL204" s="355"/>
      <c r="AM204" s="355"/>
      <c r="AN204" s="355"/>
      <c r="AO204" s="355"/>
      <c r="AP204" s="355"/>
      <c r="AQ204" s="355"/>
      <c r="AR204" s="355"/>
      <c r="AS204" s="355"/>
      <c r="AT204" s="355"/>
      <c r="AU204" s="355"/>
    </row>
    <row r="205" spans="1:47">
      <c r="A205" s="319" t="s">
        <v>373</v>
      </c>
      <c r="D205" s="355"/>
      <c r="E205" s="355">
        <f>+AL205</f>
        <v>1043.5623008667649</v>
      </c>
      <c r="F205" s="355"/>
      <c r="G205" s="355">
        <f>+'Detailed Disclosure'!G205/'Detailed Disclosures - USD'!G$313</f>
        <v>27964.466368247638</v>
      </c>
      <c r="H205" s="355"/>
      <c r="I205" s="355">
        <f>+AA205</f>
        <v>26849.590090090085</v>
      </c>
      <c r="J205" s="355"/>
      <c r="K205" s="355">
        <f t="shared" si="342"/>
        <v>20115.498390726763</v>
      </c>
      <c r="L205" s="355"/>
      <c r="M205" s="355">
        <f t="shared" si="343"/>
        <v>11829.756366139027</v>
      </c>
      <c r="N205" s="355"/>
      <c r="O205" s="355">
        <f t="shared" si="344"/>
        <v>17319.688710664046</v>
      </c>
      <c r="P205" s="355"/>
      <c r="Q205" s="355">
        <f t="shared" si="338"/>
        <v>21925.089362833038</v>
      </c>
      <c r="R205" s="355"/>
      <c r="S205" s="355">
        <f t="shared" si="339"/>
        <v>15280.14616428085</v>
      </c>
      <c r="T205" s="355"/>
      <c r="U205" s="355">
        <f t="shared" si="345"/>
        <v>24067.28449426209</v>
      </c>
      <c r="V205" s="355"/>
      <c r="X205" s="355"/>
      <c r="Y205" s="355">
        <f>+AL205</f>
        <v>1043.5623008667649</v>
      </c>
      <c r="Z205" s="355">
        <f>+G205</f>
        <v>27964.466368247638</v>
      </c>
      <c r="AA205" s="355">
        <f>+AM205</f>
        <v>26849.590090090085</v>
      </c>
      <c r="AB205" s="355">
        <f>+'Detailed Disclosure'!AB205/'Detailed Disclosures - USD'!AB$318</f>
        <v>20115.498390726763</v>
      </c>
      <c r="AC205" s="355">
        <f>+'Detailed Disclosure'!AC205/'Detailed Disclosures - USD'!AC$318</f>
        <v>11829.756366139027</v>
      </c>
      <c r="AD205" s="355">
        <f>+'Detailed Disclosure'!AD205/'Detailed Disclosures - USD'!AD$318</f>
        <v>17319.688710664046</v>
      </c>
      <c r="AE205" s="355">
        <f>+'Detailed Disclosure'!AE205/'Detailed Disclosures - USD'!AE$318</f>
        <v>21925.089362833038</v>
      </c>
      <c r="AF205" s="355">
        <f>+'Detailed Disclosure'!AF205/'Detailed Disclosures - USD'!AF$318</f>
        <v>15280.14616428085</v>
      </c>
      <c r="AG205" s="355">
        <f>+'Detailed Disclosure'!AG205/'Detailed Disclosures - USD'!AG$318</f>
        <v>24067.28449426209</v>
      </c>
      <c r="AH205" s="355"/>
      <c r="AI205" s="355"/>
      <c r="AJ205" s="355">
        <f>+'Detailed Disclosure'!AJ205/'Detailed Disclosures - USD'!AJ$318</f>
        <v>-184.17159763313609</v>
      </c>
      <c r="AK205" s="355">
        <f>+'Detailed Disclosure'!AK205/'Detailed Disclosures - USD'!AK$318</f>
        <v>-5.6093114570186513</v>
      </c>
      <c r="AL205" s="355">
        <f>+'Detailed Disclosure'!AL205/'Detailed Disclosures - USD'!AL$318</f>
        <v>1043.5623008667649</v>
      </c>
      <c r="AM205" s="355">
        <f>+'Detailed Disclosure'!AM205/'Detailed Disclosures - USD'!AM$318</f>
        <v>26849.590090090085</v>
      </c>
      <c r="AN205" s="355">
        <f>+'Detailed Disclosure'!AN205/'Detailed Disclosures - USD'!AN$318</f>
        <v>11829.756366139027</v>
      </c>
      <c r="AO205" s="355">
        <f t="shared" si="349"/>
        <v>21925.089362833038</v>
      </c>
      <c r="AP205" s="355">
        <f t="shared" si="350"/>
        <v>24067.28449426209</v>
      </c>
      <c r="AQ205" s="355"/>
      <c r="AR205" s="355"/>
      <c r="AS205" s="355"/>
      <c r="AT205" s="355"/>
      <c r="AU205" s="355"/>
    </row>
    <row r="206" spans="1:47">
      <c r="D206" s="355"/>
      <c r="E206" s="355"/>
      <c r="F206" s="355"/>
      <c r="G206" s="355"/>
      <c r="H206" s="355"/>
      <c r="I206" s="355"/>
      <c r="J206" s="355"/>
      <c r="K206" s="355"/>
      <c r="L206" s="355"/>
      <c r="M206" s="355"/>
      <c r="N206" s="355"/>
      <c r="O206" s="355"/>
      <c r="P206" s="355"/>
      <c r="Q206" s="355"/>
      <c r="R206" s="355"/>
      <c r="S206" s="355"/>
      <c r="T206" s="355"/>
      <c r="U206" s="355"/>
      <c r="V206" s="355"/>
      <c r="X206" s="355"/>
      <c r="Y206" s="355"/>
      <c r="Z206" s="355"/>
      <c r="AA206" s="355"/>
      <c r="AB206" s="355"/>
      <c r="AC206" s="355"/>
      <c r="AD206" s="355"/>
      <c r="AE206" s="355"/>
      <c r="AF206" s="355"/>
      <c r="AG206" s="355"/>
      <c r="AH206" s="355"/>
      <c r="AI206" s="355"/>
      <c r="AJ206" s="355"/>
      <c r="AK206" s="355"/>
      <c r="AL206" s="355"/>
      <c r="AM206" s="355"/>
      <c r="AN206" s="355"/>
      <c r="AO206" s="355"/>
      <c r="AP206" s="355"/>
      <c r="AQ206" s="355"/>
      <c r="AR206" s="355"/>
      <c r="AS206" s="355"/>
      <c r="AT206" s="355"/>
      <c r="AU206" s="355"/>
    </row>
    <row r="207" spans="1:47">
      <c r="A207" s="319" t="s">
        <v>70</v>
      </c>
      <c r="D207" s="355"/>
      <c r="E207" s="355"/>
      <c r="F207" s="355"/>
      <c r="G207" s="355"/>
      <c r="H207" s="355"/>
      <c r="I207" s="355"/>
      <c r="J207" s="355"/>
      <c r="K207" s="355"/>
      <c r="L207" s="355"/>
      <c r="M207" s="355"/>
      <c r="N207" s="355"/>
      <c r="O207" s="355"/>
      <c r="P207" s="355"/>
      <c r="Q207" s="355"/>
      <c r="R207" s="355"/>
      <c r="S207" s="355"/>
      <c r="T207" s="355"/>
      <c r="U207" s="355"/>
      <c r="V207" s="355"/>
      <c r="X207" s="355"/>
      <c r="Y207" s="355"/>
      <c r="Z207" s="355"/>
      <c r="AA207" s="355"/>
      <c r="AB207" s="355"/>
      <c r="AC207" s="355"/>
      <c r="AD207" s="355"/>
      <c r="AE207" s="355"/>
      <c r="AF207" s="355"/>
      <c r="AG207" s="355"/>
      <c r="AH207" s="355"/>
      <c r="AI207" s="355"/>
      <c r="AJ207" s="355"/>
      <c r="AK207" s="355"/>
      <c r="AL207" s="355"/>
      <c r="AM207" s="355"/>
      <c r="AN207" s="355"/>
      <c r="AO207" s="355"/>
      <c r="AP207" s="355"/>
      <c r="AQ207" s="355"/>
      <c r="AR207" s="355"/>
      <c r="AS207" s="355"/>
      <c r="AT207" s="355"/>
      <c r="AU207" s="355"/>
    </row>
    <row r="208" spans="1:47">
      <c r="A208" s="319" t="s">
        <v>374</v>
      </c>
      <c r="D208" s="355"/>
      <c r="E208" s="355">
        <f t="shared" ref="E208:E212" si="365">+AL208</f>
        <v>6.8518962622905895E-4</v>
      </c>
      <c r="F208" s="355"/>
      <c r="G208" s="355">
        <f>+'Detailed Disclosure'!G208/'Detailed Disclosures - USD'!G$313</f>
        <v>137707.7570288429</v>
      </c>
      <c r="H208" s="355"/>
      <c r="I208" s="355">
        <f t="shared" ref="I208:I212" si="366">+AA208</f>
        <v>141400.15015015015</v>
      </c>
      <c r="J208" s="355"/>
      <c r="K208" s="355">
        <f t="shared" si="342"/>
        <v>136736.20017907736</v>
      </c>
      <c r="L208" s="355"/>
      <c r="M208" s="355">
        <f t="shared" si="343"/>
        <v>129624.85891259463</v>
      </c>
      <c r="N208" s="355"/>
      <c r="O208" s="355">
        <f t="shared" si="344"/>
        <v>128012.64188132943</v>
      </c>
      <c r="P208" s="355"/>
      <c r="Q208" s="355">
        <f t="shared" si="338"/>
        <v>124239.06584280112</v>
      </c>
      <c r="R208" s="355"/>
      <c r="S208" s="355">
        <f t="shared" si="339"/>
        <v>127465.72460804362</v>
      </c>
      <c r="T208" s="355"/>
      <c r="U208" s="355">
        <f t="shared" si="345"/>
        <v>118232.92233787029</v>
      </c>
      <c r="V208" s="355"/>
      <c r="X208" s="355"/>
      <c r="Y208" s="355">
        <f t="shared" ref="Y208:Y212" si="367">+AL208</f>
        <v>6.8518962622905895E-4</v>
      </c>
      <c r="Z208" s="355">
        <f t="shared" ref="Z208:Z212" si="368">+G208</f>
        <v>137707.7570288429</v>
      </c>
      <c r="AA208" s="355">
        <f t="shared" ref="AA208:AA212" si="369">+AM208</f>
        <v>141400.15015015015</v>
      </c>
      <c r="AB208" s="355">
        <f>+'Detailed Disclosure'!AB208/'Detailed Disclosures - USD'!AB$318</f>
        <v>136736.20017907736</v>
      </c>
      <c r="AC208" s="355">
        <f>+'Detailed Disclosure'!AC208/'Detailed Disclosures - USD'!AC$318</f>
        <v>129624.85891259463</v>
      </c>
      <c r="AD208" s="355">
        <f>+'Detailed Disclosure'!AD208/'Detailed Disclosures - USD'!AD$318</f>
        <v>128012.64188132943</v>
      </c>
      <c r="AE208" s="355">
        <f>+'Detailed Disclosure'!AE208/'Detailed Disclosures - USD'!AE$318</f>
        <v>124239.06584280112</v>
      </c>
      <c r="AF208" s="355">
        <f>+'Detailed Disclosure'!AF208/'Detailed Disclosures - USD'!AF$318</f>
        <v>127465.72460804362</v>
      </c>
      <c r="AG208" s="355">
        <f>+'Detailed Disclosure'!AG208/'Detailed Disclosures - USD'!AG$318</f>
        <v>118232.92233787029</v>
      </c>
      <c r="AH208" s="355"/>
      <c r="AI208" s="355"/>
      <c r="AJ208" s="355">
        <f>+'Detailed Disclosure'!AJ208/'Detailed Disclosures - USD'!AJ$318</f>
        <v>0</v>
      </c>
      <c r="AK208" s="355">
        <f>+'Detailed Disclosure'!AK208/'Detailed Disclosures - USD'!AK$318</f>
        <v>0</v>
      </c>
      <c r="AL208" s="355">
        <f>+'Detailed Disclosure'!AL208/'Detailed Disclosures - USD'!AL$318</f>
        <v>6.8518962622905895E-4</v>
      </c>
      <c r="AM208" s="355">
        <f>+'Detailed Disclosure'!AM208/'Detailed Disclosures - USD'!AM$318</f>
        <v>141400.15015015015</v>
      </c>
      <c r="AN208" s="355">
        <f>+'Detailed Disclosure'!AN208/'Detailed Disclosures - USD'!AN$318</f>
        <v>129624.85891259463</v>
      </c>
      <c r="AO208" s="355">
        <f t="shared" si="349"/>
        <v>124239.06584280112</v>
      </c>
      <c r="AP208" s="355">
        <f t="shared" si="350"/>
        <v>118232.92233787029</v>
      </c>
      <c r="AQ208" s="355"/>
      <c r="AR208" s="355"/>
      <c r="AS208" s="355"/>
      <c r="AT208" s="355"/>
      <c r="AU208" s="355"/>
    </row>
    <row r="209" spans="1:47">
      <c r="A209" s="319" t="s">
        <v>375</v>
      </c>
      <c r="D209" s="355"/>
      <c r="E209" s="355">
        <f t="shared" si="365"/>
        <v>0</v>
      </c>
      <c r="F209" s="355"/>
      <c r="G209" s="355">
        <f>+'Detailed Disclosure'!G209/'Detailed Disclosures - USD'!G$313</f>
        <v>-110124.65748362399</v>
      </c>
      <c r="H209" s="355"/>
      <c r="I209" s="355">
        <f t="shared" si="366"/>
        <v>-113077.32732732732</v>
      </c>
      <c r="J209" s="355"/>
      <c r="K209" s="355">
        <f t="shared" si="342"/>
        <v>-109347.57883019169</v>
      </c>
      <c r="L209" s="355"/>
      <c r="M209" s="355">
        <f t="shared" si="343"/>
        <v>-103660.70199587061</v>
      </c>
      <c r="N209" s="355"/>
      <c r="O209" s="355">
        <f t="shared" si="344"/>
        <v>-102371.37225582817</v>
      </c>
      <c r="P209" s="355"/>
      <c r="Q209" s="355">
        <f t="shared" si="338"/>
        <v>-100072.49352202509</v>
      </c>
      <c r="R209" s="355"/>
      <c r="S209" s="355">
        <f t="shared" si="339"/>
        <v>-102671.51329243352</v>
      </c>
      <c r="T209" s="355"/>
      <c r="U209" s="355">
        <f t="shared" si="345"/>
        <v>-100493.13450760608</v>
      </c>
      <c r="V209" s="355"/>
      <c r="X209" s="355"/>
      <c r="Y209" s="355">
        <f t="shared" si="367"/>
        <v>0</v>
      </c>
      <c r="Z209" s="355">
        <f t="shared" si="368"/>
        <v>-110124.65748362399</v>
      </c>
      <c r="AA209" s="355">
        <f t="shared" si="369"/>
        <v>-113077.32732732732</v>
      </c>
      <c r="AB209" s="355">
        <f>+'Detailed Disclosure'!AB209/'Detailed Disclosures - USD'!AB$318</f>
        <v>-109347.57883019169</v>
      </c>
      <c r="AC209" s="355">
        <f>+'Detailed Disclosure'!AC209/'Detailed Disclosures - USD'!AC$318</f>
        <v>-103660.70199587061</v>
      </c>
      <c r="AD209" s="355">
        <f>+'Detailed Disclosure'!AD209/'Detailed Disclosures - USD'!AD$318</f>
        <v>-102371.37225582817</v>
      </c>
      <c r="AE209" s="355">
        <f>+'Detailed Disclosure'!AE209/'Detailed Disclosures - USD'!AE$318</f>
        <v>-100072.49352202509</v>
      </c>
      <c r="AF209" s="355">
        <f>+'Detailed Disclosure'!AF209/'Detailed Disclosures - USD'!AF$318</f>
        <v>-102671.51329243352</v>
      </c>
      <c r="AG209" s="355">
        <f>+'Detailed Disclosure'!AG209/'Detailed Disclosures - USD'!AG$318</f>
        <v>-100493.13450760608</v>
      </c>
      <c r="AH209" s="355"/>
      <c r="AI209" s="355"/>
      <c r="AJ209" s="355">
        <f>+'Detailed Disclosure'!AJ209/'Detailed Disclosures - USD'!AJ$318</f>
        <v>0</v>
      </c>
      <c r="AK209" s="355">
        <f>+'Detailed Disclosure'!AK209/'Detailed Disclosures - USD'!AK$318</f>
        <v>0</v>
      </c>
      <c r="AL209" s="355">
        <f>+'Detailed Disclosure'!AL209/'Detailed Disclosures - USD'!AL$318</f>
        <v>0</v>
      </c>
      <c r="AM209" s="355">
        <f>+'Detailed Disclosure'!AM209/'Detailed Disclosures - USD'!AM$318</f>
        <v>-113077.32732732732</v>
      </c>
      <c r="AN209" s="355">
        <f>+'Detailed Disclosure'!AN209/'Detailed Disclosures - USD'!AN$318</f>
        <v>-103660.70199587061</v>
      </c>
      <c r="AO209" s="355">
        <f t="shared" si="349"/>
        <v>-100072.49352202509</v>
      </c>
      <c r="AP209" s="355">
        <f t="shared" si="350"/>
        <v>-100493.13450760608</v>
      </c>
      <c r="AQ209" s="355"/>
      <c r="AR209" s="355"/>
      <c r="AS209" s="355"/>
      <c r="AT209" s="355"/>
      <c r="AU209" s="355"/>
    </row>
    <row r="210" spans="1:47">
      <c r="A210" s="319" t="s">
        <v>376</v>
      </c>
      <c r="D210" s="355"/>
      <c r="E210" s="355">
        <v>0</v>
      </c>
      <c r="F210" s="355"/>
      <c r="G210" s="355">
        <v>0</v>
      </c>
      <c r="H210" s="355"/>
      <c r="I210" s="355">
        <f t="shared" si="366"/>
        <v>52.552552552552548</v>
      </c>
      <c r="J210" s="355"/>
      <c r="K210" s="355">
        <f t="shared" si="342"/>
        <v>227.69160031943525</v>
      </c>
      <c r="L210" s="355"/>
      <c r="M210" s="355">
        <f t="shared" si="343"/>
        <v>383.80316586373021</v>
      </c>
      <c r="N210" s="355"/>
      <c r="O210" s="355">
        <f t="shared" si="344"/>
        <v>561.92618772514095</v>
      </c>
      <c r="P210" s="355"/>
      <c r="Q210" s="355">
        <f t="shared" si="338"/>
        <v>1166.465351139459</v>
      </c>
      <c r="R210" s="355"/>
      <c r="S210" s="355">
        <f t="shared" si="339"/>
        <v>2016.7450579413769</v>
      </c>
      <c r="T210" s="355"/>
      <c r="U210" s="355">
        <f t="shared" si="345"/>
        <v>2761.1756071523887</v>
      </c>
      <c r="V210" s="355"/>
      <c r="X210" s="355"/>
      <c r="Y210" s="355">
        <v>0</v>
      </c>
      <c r="Z210" s="355">
        <v>0</v>
      </c>
      <c r="AA210" s="355">
        <f t="shared" si="369"/>
        <v>52.552552552552548</v>
      </c>
      <c r="AB210" s="355">
        <f>+'Detailed Disclosure'!AB210/'Detailed Disclosures - USD'!AB$318</f>
        <v>227.69160031943525</v>
      </c>
      <c r="AC210" s="355">
        <f>+'Detailed Disclosure'!AC210/'Detailed Disclosures - USD'!AC$318</f>
        <v>383.80316586373021</v>
      </c>
      <c r="AD210" s="355">
        <f>+'Detailed Disclosure'!AD210/'Detailed Disclosures - USD'!AD$318</f>
        <v>561.92618772514095</v>
      </c>
      <c r="AE210" s="355">
        <f>+'Detailed Disclosure'!AE210/'Detailed Disclosures - USD'!AE$318</f>
        <v>1166.465351139459</v>
      </c>
      <c r="AF210" s="355">
        <f>+'Detailed Disclosure'!AF210/'Detailed Disclosures - USD'!AF$318</f>
        <v>2016.7450579413769</v>
      </c>
      <c r="AG210" s="355">
        <f>+'Detailed Disclosure'!AG210/'Detailed Disclosures - USD'!AG$318</f>
        <v>2761.1756071523887</v>
      </c>
      <c r="AH210" s="355"/>
      <c r="AI210" s="355"/>
      <c r="AJ210" s="355">
        <v>0</v>
      </c>
      <c r="AK210" s="355">
        <v>0</v>
      </c>
      <c r="AL210" s="355">
        <v>0</v>
      </c>
      <c r="AM210" s="355">
        <f>+'Detailed Disclosure'!AM210/'Detailed Disclosures - USD'!AM$318</f>
        <v>52.552552552552548</v>
      </c>
      <c r="AN210" s="355">
        <f>+'Detailed Disclosure'!AN210/'Detailed Disclosures - USD'!AN$318</f>
        <v>383.80316586373021</v>
      </c>
      <c r="AO210" s="355">
        <f t="shared" si="349"/>
        <v>1166.465351139459</v>
      </c>
      <c r="AP210" s="355">
        <f t="shared" si="350"/>
        <v>2761.1756071523887</v>
      </c>
      <c r="AQ210" s="355"/>
      <c r="AR210" s="355"/>
      <c r="AS210" s="355"/>
      <c r="AT210" s="355"/>
      <c r="AU210" s="355"/>
    </row>
    <row r="211" spans="1:47" s="513" customFormat="1">
      <c r="A211" s="319" t="s">
        <v>377</v>
      </c>
      <c r="D211" s="535"/>
      <c r="E211" s="535">
        <f t="shared" si="365"/>
        <v>1044.2289903730857</v>
      </c>
      <c r="F211" s="535"/>
      <c r="G211" s="535">
        <f>+'Detailed Disclosure'!G211/'Detailed Disclosures - USD'!G$313</f>
        <v>381.36682302873623</v>
      </c>
      <c r="H211" s="535"/>
      <c r="I211" s="535">
        <f t="shared" si="366"/>
        <v>-1525.5255255255254</v>
      </c>
      <c r="J211" s="535"/>
      <c r="K211" s="535">
        <f t="shared" si="342"/>
        <v>-7500.6766207681139</v>
      </c>
      <c r="L211" s="535"/>
      <c r="M211" s="535">
        <f t="shared" si="343"/>
        <v>-14518.128011011699</v>
      </c>
      <c r="N211" s="535"/>
      <c r="O211" s="535">
        <f t="shared" si="344"/>
        <v>-8883.3439815129477</v>
      </c>
      <c r="P211" s="535"/>
      <c r="Q211" s="535">
        <f t="shared" si="338"/>
        <v>-3407.9496378978142</v>
      </c>
      <c r="R211" s="535"/>
      <c r="S211" s="535">
        <f t="shared" si="339"/>
        <v>5237.9686434901159</v>
      </c>
      <c r="T211" s="535"/>
      <c r="U211" s="535">
        <f t="shared" si="345"/>
        <v>3566.321056845477</v>
      </c>
      <c r="V211" s="535"/>
      <c r="X211" s="535"/>
      <c r="Y211" s="535">
        <f t="shared" si="367"/>
        <v>1044.2289903730857</v>
      </c>
      <c r="Z211" s="535">
        <f t="shared" si="368"/>
        <v>381.36682302873623</v>
      </c>
      <c r="AA211" s="535">
        <f t="shared" si="369"/>
        <v>-1525.5255255255254</v>
      </c>
      <c r="AB211" s="535">
        <f>+'Detailed Disclosure'!AB211/'Detailed Disclosures - USD'!AB$318</f>
        <v>-7500.6766207681139</v>
      </c>
      <c r="AC211" s="535">
        <f>+'Detailed Disclosure'!AC211/'Detailed Disclosures - USD'!AC$318</f>
        <v>-14518.128011011699</v>
      </c>
      <c r="AD211" s="535">
        <f>+'Detailed Disclosure'!AD211/'Detailed Disclosures - USD'!AD$318</f>
        <v>-8883.3439815129477</v>
      </c>
      <c r="AE211" s="535">
        <f>+'Detailed Disclosure'!AE211/'Detailed Disclosures - USD'!AE$318</f>
        <v>-3407.9496378978142</v>
      </c>
      <c r="AF211" s="535">
        <f>+'Detailed Disclosure'!AF211/'Detailed Disclosures - USD'!AF$318</f>
        <v>5237.9686434901159</v>
      </c>
      <c r="AG211" s="535">
        <f>+'Detailed Disclosure'!AG211/'Detailed Disclosures - USD'!AG$318</f>
        <v>3566.321056845477</v>
      </c>
      <c r="AH211" s="535"/>
      <c r="AI211" s="535"/>
      <c r="AJ211" s="535">
        <f>+'Detailed Disclosure'!AJ211/'Detailed Disclosures - USD'!AJ$318</f>
        <v>-184.17159763313609</v>
      </c>
      <c r="AK211" s="535">
        <f>+'Detailed Disclosure'!AK211/'Detailed Disclosures - USD'!AK$318</f>
        <v>-5.6093114570186513</v>
      </c>
      <c r="AL211" s="535">
        <f>+'Detailed Disclosure'!AL211/'Detailed Disclosures - USD'!AL$318</f>
        <v>1044.2289903730857</v>
      </c>
      <c r="AM211" s="535">
        <f>+'Detailed Disclosure'!AM211/'Detailed Disclosures - USD'!AM$318</f>
        <v>-1525.5255255255254</v>
      </c>
      <c r="AN211" s="535">
        <f>+'Detailed Disclosure'!AN211/'Detailed Disclosures - USD'!AN$318</f>
        <v>-14518.128011011699</v>
      </c>
      <c r="AO211" s="535">
        <f t="shared" si="349"/>
        <v>-3407.9496378978142</v>
      </c>
      <c r="AP211" s="535">
        <f t="shared" si="350"/>
        <v>3566.321056845477</v>
      </c>
      <c r="AQ211" s="535"/>
      <c r="AR211" s="535"/>
      <c r="AS211" s="535"/>
      <c r="AT211" s="535"/>
      <c r="AU211" s="535"/>
    </row>
    <row r="212" spans="1:47">
      <c r="A212" s="527" t="s">
        <v>378</v>
      </c>
      <c r="D212" s="355"/>
      <c r="E212" s="355">
        <f t="shared" si="365"/>
        <v>1044.2296755627119</v>
      </c>
      <c r="F212" s="355"/>
      <c r="G212" s="355">
        <f>+'Detailed Disclosure'!G212/'Detailed Disclosures - USD'!G$313</f>
        <v>27964.466368247668</v>
      </c>
      <c r="H212" s="355"/>
      <c r="I212" s="355">
        <f t="shared" si="366"/>
        <v>26849.849849849848</v>
      </c>
      <c r="J212" s="355"/>
      <c r="K212" s="355">
        <f t="shared" si="342"/>
        <v>20115.636328436995</v>
      </c>
      <c r="L212" s="355"/>
      <c r="M212" s="355">
        <f t="shared" si="343"/>
        <v>11829.832071576056</v>
      </c>
      <c r="N212" s="355"/>
      <c r="O212" s="355">
        <f t="shared" si="344"/>
        <v>17319.851831713451</v>
      </c>
      <c r="P212" s="355"/>
      <c r="Q212" s="355">
        <f>+AE212</f>
        <v>21925.088034017674</v>
      </c>
      <c r="R212" s="355"/>
      <c r="S212" s="355">
        <f t="shared" si="339"/>
        <v>32048.925017041587</v>
      </c>
      <c r="T212" s="355"/>
      <c r="U212" s="355">
        <f t="shared" si="345"/>
        <v>24067.28449426208</v>
      </c>
      <c r="V212" s="355"/>
      <c r="X212" s="355"/>
      <c r="Y212" s="355">
        <f t="shared" si="367"/>
        <v>1044.2296755627119</v>
      </c>
      <c r="Z212" s="355">
        <f t="shared" si="368"/>
        <v>27964.466368247668</v>
      </c>
      <c r="AA212" s="355">
        <f t="shared" si="369"/>
        <v>26849.849849849848</v>
      </c>
      <c r="AB212" s="355">
        <f>+'Detailed Disclosure'!AB212/'Detailed Disclosures - USD'!AB$318</f>
        <v>20115.636328436995</v>
      </c>
      <c r="AC212" s="355">
        <f>+'Detailed Disclosure'!AC212/'Detailed Disclosures - USD'!AC$318</f>
        <v>11829.832071576056</v>
      </c>
      <c r="AD212" s="355">
        <f>+'Detailed Disclosure'!AD212/'Detailed Disclosures - USD'!AD$318</f>
        <v>17319.851831713451</v>
      </c>
      <c r="AE212" s="355">
        <f>+'Detailed Disclosure'!AE212/'Detailed Disclosures - USD'!AE$318</f>
        <v>21925.088034017674</v>
      </c>
      <c r="AF212" s="355">
        <f>+'Detailed Disclosure'!AF212/'Detailed Disclosures - USD'!AF$318</f>
        <v>32048.925017041587</v>
      </c>
      <c r="AG212" s="355">
        <f>+'Detailed Disclosure'!AG212/'Detailed Disclosures - USD'!AG$318</f>
        <v>24067.28449426208</v>
      </c>
      <c r="AH212" s="355"/>
      <c r="AI212" s="355"/>
      <c r="AJ212" s="355">
        <f>+'Detailed Disclosure'!AJ212/'Detailed Disclosures - USD'!AJ$318</f>
        <v>-184.17159763313609</v>
      </c>
      <c r="AK212" s="355">
        <f>+'Detailed Disclosure'!AK212/'Detailed Disclosures - USD'!AK$318</f>
        <v>-5.6093114570186513</v>
      </c>
      <c r="AL212" s="355">
        <f>+'Detailed Disclosure'!AL212/'Detailed Disclosures - USD'!AL$318</f>
        <v>1044.2296755627119</v>
      </c>
      <c r="AM212" s="355">
        <f>+'Detailed Disclosure'!AM212/'Detailed Disclosures - USD'!AM$318</f>
        <v>26849.849849849848</v>
      </c>
      <c r="AN212" s="355">
        <f>+'Detailed Disclosure'!AN212/'Detailed Disclosures - USD'!AN$318</f>
        <v>11829.832071576056</v>
      </c>
      <c r="AO212" s="355">
        <f t="shared" si="349"/>
        <v>21925.088034017674</v>
      </c>
      <c r="AP212" s="355">
        <f t="shared" si="350"/>
        <v>24067.28449426208</v>
      </c>
      <c r="AQ212" s="355"/>
      <c r="AR212" s="355"/>
      <c r="AS212" s="355"/>
      <c r="AT212" s="355"/>
      <c r="AU212" s="355"/>
    </row>
    <row r="213" spans="1:47">
      <c r="D213" s="355"/>
      <c r="E213" s="355"/>
      <c r="F213" s="355"/>
      <c r="G213" s="355"/>
      <c r="H213" s="355"/>
      <c r="I213" s="355"/>
      <c r="J213" s="355"/>
      <c r="K213" s="355"/>
      <c r="L213" s="355"/>
      <c r="M213" s="355"/>
      <c r="N213" s="355"/>
      <c r="O213" s="355"/>
      <c r="P213" s="355"/>
      <c r="Q213" s="355"/>
      <c r="R213" s="355"/>
      <c r="S213" s="355"/>
      <c r="T213" s="355"/>
      <c r="U213" s="355"/>
      <c r="V213" s="355"/>
      <c r="X213" s="355"/>
      <c r="Y213" s="355"/>
      <c r="Z213" s="355"/>
      <c r="AA213" s="355"/>
      <c r="AB213" s="355"/>
      <c r="AC213" s="355"/>
      <c r="AD213" s="355"/>
      <c r="AE213" s="355"/>
      <c r="AF213" s="355"/>
      <c r="AG213" s="355"/>
      <c r="AH213" s="355"/>
      <c r="AI213" s="355"/>
      <c r="AJ213" s="355"/>
      <c r="AK213" s="355"/>
      <c r="AL213" s="355"/>
      <c r="AM213" s="355"/>
      <c r="AN213" s="355"/>
      <c r="AO213" s="355"/>
      <c r="AP213" s="355"/>
      <c r="AQ213" s="355"/>
      <c r="AR213" s="355"/>
      <c r="AS213" s="355"/>
      <c r="AT213" s="355"/>
      <c r="AU213" s="355"/>
    </row>
    <row r="214" spans="1:47">
      <c r="A214" s="319" t="s">
        <v>43</v>
      </c>
      <c r="D214" s="355"/>
      <c r="E214" s="355">
        <f>+AL214</f>
        <v>-3199.1503648634762</v>
      </c>
      <c r="F214" s="355"/>
      <c r="G214" s="355">
        <f>+'Detailed Disclosure'!G214/'Detailed Disclosures - USD'!G$313</f>
        <v>-32800.132846167224</v>
      </c>
      <c r="H214" s="355"/>
      <c r="I214" s="355">
        <f>+AA214</f>
        <v>-35383.633633633632</v>
      </c>
      <c r="J214" s="355"/>
      <c r="K214" s="355">
        <f t="shared" si="342"/>
        <v>-40287.806064419427</v>
      </c>
      <c r="L214" s="355"/>
      <c r="M214" s="355">
        <f t="shared" si="343"/>
        <v>-15604.571920165174</v>
      </c>
      <c r="N214" s="355">
        <f>+'Detailed Disclosure'!N214/'Detailed Disclosures - USD'!N$318</f>
        <v>-20504.522695943517</v>
      </c>
      <c r="O214" s="355">
        <f>AD214</f>
        <v>-36236.391626452794</v>
      </c>
      <c r="P214" s="608" t="s">
        <v>379</v>
      </c>
      <c r="Q214" s="355">
        <f>+AE214</f>
        <v>-30769.202710783335</v>
      </c>
      <c r="R214" s="355">
        <f>+'Detailed Disclosure'!R214/'Detailed Disclosures - USD'!R$318</f>
        <v>-38622.442499486926</v>
      </c>
      <c r="S214" s="355">
        <f>+AF214</f>
        <v>-68032.043626448532</v>
      </c>
      <c r="T214" s="355">
        <f>+'Detailed Disclosure'!T214/'Detailed Disclosures - USD'!T$318</f>
        <v>-59179.678608822236</v>
      </c>
      <c r="U214" s="355">
        <f t="shared" si="345"/>
        <v>-52680.38230584468</v>
      </c>
      <c r="V214" s="355"/>
      <c r="X214" s="355"/>
      <c r="Y214" s="355">
        <f>+AL214</f>
        <v>-3199.1503648634762</v>
      </c>
      <c r="Z214" s="355">
        <f>+G214</f>
        <v>-32800.132846167224</v>
      </c>
      <c r="AA214" s="355">
        <f>+AM214</f>
        <v>-35383.633633633632</v>
      </c>
      <c r="AB214" s="355">
        <f>+'Detailed Disclosure'!AB214/'Detailed Disclosures - USD'!AB$318</f>
        <v>-40287.806064419427</v>
      </c>
      <c r="AC214" s="355">
        <f>+'Detailed Disclosure'!AC214/'Detailed Disclosures - USD'!AC$318</f>
        <v>-15604.571920165174</v>
      </c>
      <c r="AD214" s="355">
        <f>+'Detailed Disclosure'!AD214/'Detailed Disclosures - USD'!AD$318</f>
        <v>-36236.391626452794</v>
      </c>
      <c r="AE214" s="355">
        <f>+'Detailed Disclosure'!AE214/'Detailed Disclosures - USD'!AE$318</f>
        <v>-30769.202710783335</v>
      </c>
      <c r="AF214" s="355">
        <f>+'Detailed Disclosure'!AF214/'Detailed Disclosures - USD'!AF$318</f>
        <v>-68032.043626448532</v>
      </c>
      <c r="AG214" s="355">
        <f>+'Detailed Disclosure'!AG214/'Detailed Disclosures - USD'!AG$318</f>
        <v>-52680.38230584468</v>
      </c>
      <c r="AH214" s="355"/>
      <c r="AI214" s="355"/>
      <c r="AJ214" s="355">
        <f>+'Detailed Disclosure'!AJ214/'Detailed Disclosures - USD'!AJ$318</f>
        <v>-233.72781065088756</v>
      </c>
      <c r="AK214" s="355">
        <f>+'Detailed Disclosure'!AK214/'Detailed Disclosures - USD'!AK$318</f>
        <v>-572.14976861590242</v>
      </c>
      <c r="AL214" s="355">
        <f>+'Detailed Disclosure'!AL214/'Detailed Disclosures - USD'!AL$318</f>
        <v>-3199.1503648634762</v>
      </c>
      <c r="AM214" s="355">
        <f>+'Detailed Disclosure'!AM214/'Detailed Disclosures - USD'!AM$318</f>
        <v>-35383.633633633632</v>
      </c>
      <c r="AN214" s="355">
        <f>+'Detailed Disclosure'!AN214/'Detailed Disclosures - USD'!AN$318</f>
        <v>-15604.571920165174</v>
      </c>
      <c r="AO214" s="355">
        <f t="shared" si="349"/>
        <v>-30769.202710783335</v>
      </c>
      <c r="AP214" s="355">
        <f t="shared" si="350"/>
        <v>-52680.38230584468</v>
      </c>
      <c r="AQ214" s="355"/>
      <c r="AR214" s="355"/>
      <c r="AS214" s="355"/>
      <c r="AT214" s="355"/>
      <c r="AU214" s="355"/>
    </row>
    <row r="215" spans="1:47">
      <c r="D215" s="355"/>
      <c r="E215" s="355"/>
      <c r="F215" s="355"/>
      <c r="G215" s="355"/>
      <c r="H215" s="355"/>
      <c r="I215" s="355"/>
      <c r="J215" s="355"/>
      <c r="K215" s="355"/>
      <c r="L215" s="355"/>
      <c r="M215" s="355"/>
      <c r="N215" s="355"/>
      <c r="O215" s="355"/>
      <c r="P215" s="355"/>
      <c r="Q215" s="355"/>
      <c r="R215" s="355"/>
      <c r="S215" s="355"/>
      <c r="T215" s="355"/>
      <c r="U215" s="355"/>
      <c r="V215" s="355"/>
      <c r="X215" s="355"/>
      <c r="Y215" s="355"/>
      <c r="Z215" s="355"/>
      <c r="AA215" s="355"/>
      <c r="AB215" s="355"/>
      <c r="AC215" s="355"/>
      <c r="AD215" s="355"/>
      <c r="AE215" s="355"/>
      <c r="AF215" s="355"/>
      <c r="AG215" s="355"/>
      <c r="AH215" s="355"/>
      <c r="AI215" s="355"/>
      <c r="AJ215" s="355"/>
      <c r="AK215" s="355"/>
      <c r="AL215" s="355"/>
      <c r="AM215" s="355"/>
      <c r="AN215" s="355"/>
      <c r="AO215" s="355"/>
      <c r="AP215" s="355"/>
      <c r="AQ215" s="355"/>
      <c r="AR215" s="355"/>
      <c r="AS215" s="355"/>
      <c r="AT215" s="355"/>
      <c r="AU215" s="355"/>
    </row>
    <row r="216" spans="1:47">
      <c r="A216" s="353" t="s">
        <v>380</v>
      </c>
      <c r="B216" s="609"/>
      <c r="D216" s="355"/>
      <c r="E216" s="355"/>
      <c r="F216" s="355"/>
      <c r="G216" s="355"/>
      <c r="H216" s="355"/>
      <c r="I216" s="355"/>
      <c r="J216" s="355"/>
      <c r="K216" s="355"/>
      <c r="L216" s="355"/>
      <c r="M216" s="355"/>
      <c r="N216" s="355"/>
      <c r="O216" s="355"/>
      <c r="P216" s="355"/>
      <c r="Q216" s="355"/>
      <c r="R216" s="355"/>
      <c r="S216" s="355"/>
      <c r="T216" s="355"/>
      <c r="U216" s="355"/>
      <c r="V216" s="355"/>
      <c r="X216" s="355"/>
      <c r="Y216" s="355"/>
      <c r="Z216" s="355"/>
      <c r="AA216" s="355"/>
      <c r="AB216" s="528"/>
      <c r="AC216" s="528"/>
      <c r="AD216" s="528"/>
      <c r="AE216" s="528"/>
      <c r="AF216" s="528"/>
      <c r="AG216" s="528"/>
      <c r="AH216" s="355"/>
      <c r="AI216" s="355"/>
      <c r="AJ216" s="355"/>
      <c r="AK216" s="355"/>
      <c r="AL216" s="355"/>
      <c r="AM216" s="355"/>
      <c r="AN216" s="355"/>
      <c r="AO216" s="355"/>
      <c r="AP216" s="355"/>
      <c r="AQ216" s="355"/>
      <c r="AR216" s="355"/>
      <c r="AS216" s="355"/>
      <c r="AT216" s="355"/>
      <c r="AU216" s="355"/>
    </row>
    <row r="217" spans="1:47">
      <c r="D217" s="355"/>
      <c r="E217" s="355"/>
      <c r="F217" s="355"/>
      <c r="G217" s="355"/>
      <c r="H217" s="355"/>
      <c r="I217" s="355"/>
      <c r="J217" s="355"/>
      <c r="K217" s="355"/>
      <c r="L217" s="355"/>
      <c r="M217" s="355"/>
      <c r="N217" s="355"/>
      <c r="O217" s="355"/>
      <c r="P217" s="355"/>
      <c r="Q217" s="355"/>
      <c r="R217" s="355"/>
      <c r="S217" s="355"/>
      <c r="T217" s="355"/>
      <c r="U217" s="355"/>
      <c r="V217" s="355"/>
      <c r="X217" s="355"/>
      <c r="Y217" s="355"/>
      <c r="Z217" s="355"/>
      <c r="AA217" s="355"/>
      <c r="AB217" s="528"/>
      <c r="AC217" s="528"/>
      <c r="AD217" s="528"/>
      <c r="AE217" s="528"/>
      <c r="AF217" s="528"/>
      <c r="AG217" s="528"/>
      <c r="AH217" s="355"/>
      <c r="AI217" s="355"/>
      <c r="AJ217" s="355"/>
      <c r="AK217" s="355"/>
      <c r="AL217" s="355"/>
      <c r="AM217" s="355"/>
      <c r="AN217" s="355"/>
      <c r="AO217" s="355"/>
      <c r="AP217" s="355"/>
      <c r="AQ217" s="355"/>
      <c r="AR217" s="355"/>
      <c r="AS217" s="355"/>
      <c r="AT217" s="355"/>
      <c r="AU217" s="355"/>
    </row>
    <row r="218" spans="1:47">
      <c r="A218" s="513" t="s">
        <v>381</v>
      </c>
      <c r="D218" s="355"/>
      <c r="E218" s="355"/>
      <c r="F218" s="355"/>
      <c r="G218" s="355"/>
      <c r="H218" s="355"/>
      <c r="I218" s="355"/>
      <c r="J218" s="355"/>
      <c r="K218" s="355"/>
      <c r="L218" s="355"/>
      <c r="M218" s="355"/>
      <c r="N218" s="355"/>
      <c r="O218" s="355"/>
      <c r="P218" s="355"/>
      <c r="Q218" s="355"/>
      <c r="R218" s="355"/>
      <c r="S218" s="355"/>
      <c r="T218" s="355"/>
      <c r="U218" s="355"/>
      <c r="V218" s="355"/>
      <c r="X218" s="355"/>
      <c r="Y218" s="355"/>
      <c r="Z218" s="355"/>
      <c r="AA218" s="355"/>
      <c r="AB218" s="528"/>
      <c r="AC218" s="528"/>
      <c r="AD218" s="528"/>
      <c r="AE218" s="528"/>
      <c r="AF218" s="528"/>
      <c r="AG218" s="528"/>
      <c r="AH218" s="355"/>
      <c r="AI218" s="355"/>
      <c r="AJ218" s="355"/>
      <c r="AK218" s="355"/>
      <c r="AL218" s="355"/>
      <c r="AM218" s="355"/>
      <c r="AN218" s="528"/>
      <c r="AO218" s="528"/>
      <c r="AP218" s="528"/>
      <c r="AQ218" s="355"/>
      <c r="AR218" s="355"/>
      <c r="AS218" s="355"/>
      <c r="AT218" s="355"/>
      <c r="AU218" s="355"/>
    </row>
    <row r="219" spans="1:47">
      <c r="A219" s="319" t="s">
        <v>382</v>
      </c>
      <c r="D219" s="355"/>
      <c r="E219" s="355"/>
      <c r="F219" s="355"/>
      <c r="G219" s="355"/>
      <c r="H219" s="355"/>
      <c r="I219" s="355"/>
      <c r="J219" s="355"/>
      <c r="K219" s="355"/>
      <c r="L219" s="355"/>
      <c r="M219" s="355"/>
      <c r="N219" s="355"/>
      <c r="O219" s="355"/>
      <c r="P219" s="355"/>
      <c r="Q219" s="355"/>
      <c r="R219" s="355"/>
      <c r="S219" s="355"/>
      <c r="T219" s="355"/>
      <c r="U219" s="355"/>
      <c r="V219" s="355"/>
      <c r="X219" s="355">
        <f>+'Detailed Disclosure'!X219/'Detailed Disclosures - USD'!X$313</f>
        <v>4895.2493849650136</v>
      </c>
      <c r="Y219" s="355">
        <f>+'Detailed Disclosure'!Y219/'Detailed Disclosures - USD'!Y$313</f>
        <v>10399.068472643727</v>
      </c>
      <c r="Z219" s="355">
        <f>+'Detailed Disclosure'!Z219/'Detailed Disclosures - USD'!Z$313</f>
        <v>29781.427740034545</v>
      </c>
      <c r="AA219" s="528">
        <f>+'Detailed Disclosure'!AA219/'Detailed Disclosures - USD'!AA$313</f>
        <v>41122.913301771085</v>
      </c>
      <c r="AB219" s="355">
        <f>+'Detailed Disclosure'!AB219/'Detailed Disclosures - USD'!AB$313</f>
        <v>87126.074416323201</v>
      </c>
      <c r="AC219" s="355">
        <f>+'Detailed Disclosure'!AC219/'Detailed Disclosures - USD'!AC$313</f>
        <v>66956.232394827952</v>
      </c>
      <c r="AD219" s="355">
        <f>+'Detailed Disclosure'!AD219/'Detailed Disclosures - USD'!AD$313</f>
        <v>131349.95975964659</v>
      </c>
      <c r="AE219" s="355">
        <f>+'Detailed Disclosure'!AE219/'Detailed Disclosures - USD'!AE$313</f>
        <v>172951.19926635749</v>
      </c>
      <c r="AF219" s="355">
        <f>+'Detailed Disclosure'!AF219/'Detailed Disclosures - USD'!AF$313</f>
        <v>232862.25838622192</v>
      </c>
      <c r="AG219" s="355">
        <f>+'Detailed Disclosure'!AG219/'Detailed Disclosures - USD'!AG$313</f>
        <v>292022.35341261112</v>
      </c>
      <c r="AH219" s="528"/>
      <c r="AI219" s="355"/>
      <c r="AJ219" s="610"/>
      <c r="AK219" s="610"/>
      <c r="AL219" s="528">
        <f t="shared" ref="AL219:AL227" si="370">+SUM(X219:Y219)</f>
        <v>15294.317857608741</v>
      </c>
      <c r="AM219" s="528">
        <f>+SUM(Z219:AA219)</f>
        <v>70904.34104180563</v>
      </c>
      <c r="AN219" s="528">
        <f>+SUM(AB219:AC219)</f>
        <v>154082.30681115115</v>
      </c>
      <c r="AO219" s="528">
        <f>+SUM(AD219:AE219)</f>
        <v>304301.15902600408</v>
      </c>
      <c r="AP219" s="528">
        <f>+SUM(AF219:AG219)</f>
        <v>524884.61179883301</v>
      </c>
      <c r="AQ219" s="355"/>
      <c r="AR219" s="355"/>
      <c r="AS219" s="355"/>
      <c r="AT219" s="355"/>
      <c r="AU219" s="355"/>
    </row>
    <row r="220" spans="1:47" ht="18.5">
      <c r="A220" s="319" t="s">
        <v>383</v>
      </c>
      <c r="D220" s="535"/>
      <c r="E220" s="535"/>
      <c r="F220" s="535"/>
      <c r="G220" s="535"/>
      <c r="H220" s="535"/>
      <c r="I220" s="535"/>
      <c r="J220" s="535"/>
      <c r="K220" s="535"/>
      <c r="L220" s="535"/>
      <c r="M220" s="535"/>
      <c r="N220" s="535"/>
      <c r="O220" s="535"/>
      <c r="P220" s="535"/>
      <c r="Q220" s="535"/>
      <c r="R220" s="535"/>
      <c r="S220" s="535"/>
      <c r="T220" s="535"/>
      <c r="U220" s="535"/>
      <c r="V220" s="535"/>
      <c r="X220" s="535">
        <f>+'Detailed Disclosure'!X220/'Detailed Disclosures - USD'!X$313</f>
        <v>-4229.6486301053819</v>
      </c>
      <c r="Y220" s="535">
        <f>+'Detailed Disclosure'!Y220/'Detailed Disclosures - USD'!Y$313</f>
        <v>-7416.9627381125429</v>
      </c>
      <c r="Z220" s="535">
        <f>+'Detailed Disclosure'!Z220/'Detailed Disclosures - USD'!Z$313</f>
        <v>-23248.034660066598</v>
      </c>
      <c r="AA220" s="611">
        <f>+'Detailed Disclosure'!AA220/'Detailed Disclosures - USD'!AA$313</f>
        <v>-37745.251333107946</v>
      </c>
      <c r="AB220" s="535">
        <f>+'Detailed Disclosure'!AB220/'Detailed Disclosures - USD'!AB$313</f>
        <v>-78150.324391177943</v>
      </c>
      <c r="AC220" s="535">
        <f>+'Detailed Disclosure'!AC220/'Detailed Disclosures - USD'!AC$313</f>
        <v>-86361.757456138948</v>
      </c>
      <c r="AD220" s="535">
        <f>+'Detailed Disclosure'!AD220/'Detailed Disclosures - USD'!AD$313</f>
        <v>-107386.63350292067</v>
      </c>
      <c r="AE220" s="535">
        <f>+'Detailed Disclosure'!AE220/'Detailed Disclosures - USD'!AE$313</f>
        <v>-172634.56442693039</v>
      </c>
      <c r="AF220" s="535">
        <f>+'Detailed Disclosure'!AF220/'Detailed Disclosures - USD'!AF$313</f>
        <v>-190890.6773327681</v>
      </c>
      <c r="AG220" s="535">
        <f>+'Detailed Disclosure'!AG220/'Detailed Disclosures - USD'!AG$313</f>
        <v>-294174.05667873222</v>
      </c>
      <c r="AH220" s="528"/>
      <c r="AI220" s="355"/>
      <c r="AJ220" s="610"/>
      <c r="AK220" s="610"/>
      <c r="AL220" s="611">
        <f t="shared" si="370"/>
        <v>-11646.611368217924</v>
      </c>
      <c r="AM220" s="611">
        <f t="shared" ref="AM220:AM228" si="371">+SUM(Z220:AA220)</f>
        <v>-60993.285993174548</v>
      </c>
      <c r="AN220" s="611">
        <f t="shared" ref="AN220:AN221" si="372">+SUM(AB220:AC220)</f>
        <v>-164512.08184731688</v>
      </c>
      <c r="AO220" s="611">
        <f t="shared" ref="AO220:AO244" si="373">+SUM(AD220:AE220)</f>
        <v>-280021.19792985107</v>
      </c>
      <c r="AP220" s="611">
        <f t="shared" ref="AP220:AP245" si="374">+SUM(AF220:AG220)</f>
        <v>-485064.73401150032</v>
      </c>
      <c r="AQ220" s="355"/>
      <c r="AR220" s="355"/>
      <c r="AS220" s="355"/>
      <c r="AT220" s="355"/>
      <c r="AU220" s="355"/>
    </row>
    <row r="221" spans="1:47">
      <c r="D221" s="355"/>
      <c r="E221" s="355"/>
      <c r="F221" s="355"/>
      <c r="G221" s="355"/>
      <c r="H221" s="355"/>
      <c r="I221" s="355"/>
      <c r="J221" s="355"/>
      <c r="K221" s="355"/>
      <c r="L221" s="355"/>
      <c r="M221" s="355"/>
      <c r="N221" s="355"/>
      <c r="O221" s="355"/>
      <c r="P221" s="355"/>
      <c r="Q221" s="355"/>
      <c r="R221" s="355"/>
      <c r="S221" s="355"/>
      <c r="T221" s="355"/>
      <c r="U221" s="355"/>
      <c r="V221" s="355"/>
      <c r="X221" s="355">
        <f>+'Detailed Disclosure'!X221/'Detailed Disclosures - USD'!X$313</f>
        <v>665.60075485963193</v>
      </c>
      <c r="Y221" s="355">
        <f>+'Detailed Disclosure'!Y221/'Detailed Disclosures - USD'!Y$313</f>
        <v>2982.1057345311838</v>
      </c>
      <c r="Z221" s="355">
        <f>+'Detailed Disclosure'!Z221/'Detailed Disclosures - USD'!Z$313</f>
        <v>6533.3930799679465</v>
      </c>
      <c r="AA221" s="528">
        <f>+'Detailed Disclosure'!AA221/'Detailed Disclosures - USD'!AA$313</f>
        <v>3377.6619686631393</v>
      </c>
      <c r="AB221" s="355">
        <f>+'Detailed Disclosure'!AB221/'Detailed Disclosures - USD'!AB$313</f>
        <v>8975.7500251452457</v>
      </c>
      <c r="AC221" s="355">
        <f>+'Detailed Disclosure'!AC221/'Detailed Disclosures - USD'!AC$313</f>
        <v>-19405.525061310989</v>
      </c>
      <c r="AD221" s="355">
        <f>+'Detailed Disclosure'!AD221/'Detailed Disclosures - USD'!AD$313</f>
        <v>23963.326256725919</v>
      </c>
      <c r="AE221" s="355">
        <f>+'Detailed Disclosure'!AE221/'Detailed Disclosures - USD'!AE$313</f>
        <v>316.63483942709541</v>
      </c>
      <c r="AF221" s="355">
        <f>+'Detailed Disclosure'!AF221/'Detailed Disclosures - USD'!AF$313</f>
        <v>41971.581053453825</v>
      </c>
      <c r="AG221" s="355">
        <f>+'Detailed Disclosure'!AG221/'Detailed Disclosures - USD'!AG$313</f>
        <v>-2151.7032661211156</v>
      </c>
      <c r="AH221" s="528"/>
      <c r="AI221" s="355"/>
      <c r="AJ221" s="610"/>
      <c r="AK221" s="610"/>
      <c r="AL221" s="528">
        <f t="shared" si="370"/>
        <v>3647.7064893908155</v>
      </c>
      <c r="AM221" s="528">
        <f t="shared" si="371"/>
        <v>9911.0550486310858</v>
      </c>
      <c r="AN221" s="528">
        <f t="shared" si="372"/>
        <v>-10429.775036165744</v>
      </c>
      <c r="AO221" s="528">
        <f t="shared" si="373"/>
        <v>24279.961096153016</v>
      </c>
      <c r="AP221" s="528">
        <f t="shared" si="374"/>
        <v>39819.877787332713</v>
      </c>
      <c r="AQ221" s="355"/>
      <c r="AR221" s="355"/>
      <c r="AS221" s="355"/>
      <c r="AT221" s="355"/>
      <c r="AU221" s="355"/>
    </row>
    <row r="222" spans="1:47">
      <c r="D222" s="355"/>
      <c r="E222" s="355"/>
      <c r="F222" s="355"/>
      <c r="G222" s="355"/>
      <c r="H222" s="355"/>
      <c r="I222" s="355"/>
      <c r="J222" s="355"/>
      <c r="K222" s="355"/>
      <c r="L222" s="355"/>
      <c r="M222" s="355"/>
      <c r="N222" s="355"/>
      <c r="O222" s="355"/>
      <c r="P222" s="355"/>
      <c r="Q222" s="355"/>
      <c r="R222" s="355"/>
      <c r="S222" s="355"/>
      <c r="T222" s="355"/>
      <c r="U222" s="355"/>
      <c r="V222" s="355"/>
      <c r="X222" s="355"/>
      <c r="Y222" s="355"/>
      <c r="Z222" s="355"/>
      <c r="AA222" s="528"/>
      <c r="AB222" s="355"/>
      <c r="AC222" s="355"/>
      <c r="AD222" s="355"/>
      <c r="AE222" s="355"/>
      <c r="AF222" s="355"/>
      <c r="AG222" s="355"/>
      <c r="AH222" s="528"/>
      <c r="AI222" s="355"/>
      <c r="AJ222" s="610"/>
      <c r="AK222" s="610"/>
      <c r="AL222" s="528"/>
      <c r="AM222" s="528"/>
      <c r="AN222" s="528"/>
      <c r="AO222" s="528"/>
      <c r="AP222" s="528"/>
      <c r="AQ222" s="355"/>
      <c r="AR222" s="355"/>
      <c r="AS222" s="355"/>
      <c r="AT222" s="355"/>
      <c r="AU222" s="355"/>
    </row>
    <row r="223" spans="1:47">
      <c r="A223" s="319" t="s">
        <v>384</v>
      </c>
      <c r="D223" s="355"/>
      <c r="E223" s="355"/>
      <c r="F223" s="355"/>
      <c r="G223" s="355"/>
      <c r="H223" s="355"/>
      <c r="I223" s="355"/>
      <c r="J223" s="355"/>
      <c r="K223" s="355"/>
      <c r="L223" s="355"/>
      <c r="M223" s="355"/>
      <c r="N223" s="355"/>
      <c r="O223" s="355"/>
      <c r="P223" s="355"/>
      <c r="Q223" s="355"/>
      <c r="R223" s="355"/>
      <c r="S223" s="355"/>
      <c r="T223" s="355"/>
      <c r="U223" s="355"/>
      <c r="V223" s="355"/>
      <c r="X223" s="355">
        <f>+'Detailed Disclosure'!X223/'Detailed Disclosures - USD'!X$313</f>
        <v>0</v>
      </c>
      <c r="Y223" s="355">
        <f>+'Detailed Disclosure'!Y223/'Detailed Disclosures - USD'!Y$313</f>
        <v>0</v>
      </c>
      <c r="Z223" s="355">
        <f>+'Detailed Disclosure'!Z223/'Detailed Disclosures - USD'!Z$313</f>
        <v>55.098695278217967</v>
      </c>
      <c r="AA223" s="528">
        <f>+'Detailed Disclosure'!AA223/'Detailed Disclosures - USD'!AA$313</f>
        <v>9.6378223505466867</v>
      </c>
      <c r="AB223" s="355">
        <f>+'Detailed Disclosure'!AB223/'Detailed Disclosures - USD'!AB$313</f>
        <v>4.6311087469970023</v>
      </c>
      <c r="AC223" s="355">
        <f>+'Detailed Disclosure'!AC223/'Detailed Disclosures - USD'!AC$313</f>
        <v>0</v>
      </c>
      <c r="AD223" s="355">
        <f>+'Detailed Disclosure'!AD223/'Detailed Disclosures - USD'!AD$313</f>
        <v>0</v>
      </c>
      <c r="AE223" s="355">
        <f>+'Detailed Disclosure'!AE223/'Detailed Disclosures - USD'!AE$313</f>
        <v>0</v>
      </c>
      <c r="AF223" s="355">
        <f>+'Detailed Disclosure'!AF223/'Detailed Disclosures - USD'!AF$313</f>
        <v>0</v>
      </c>
      <c r="AG223" s="355">
        <f>+'Detailed Disclosure'!AG223/'Detailed Disclosures - USD'!AG$313</f>
        <v>0</v>
      </c>
      <c r="AH223" s="528"/>
      <c r="AI223" s="355"/>
      <c r="AJ223" s="610"/>
      <c r="AK223" s="610"/>
      <c r="AL223" s="528">
        <f t="shared" si="370"/>
        <v>0</v>
      </c>
      <c r="AM223" s="528">
        <f t="shared" si="371"/>
        <v>64.736517628764659</v>
      </c>
      <c r="AN223" s="528">
        <f t="shared" ref="AN223:AN228" si="375">+SUM(AB223:AC223)</f>
        <v>4.6311087469970023</v>
      </c>
      <c r="AO223" s="528">
        <f t="shared" si="373"/>
        <v>0</v>
      </c>
      <c r="AP223" s="528">
        <f t="shared" si="374"/>
        <v>0</v>
      </c>
      <c r="AQ223" s="355"/>
      <c r="AR223" s="355"/>
      <c r="AS223" s="355"/>
      <c r="AT223" s="355"/>
      <c r="AU223" s="355"/>
    </row>
    <row r="224" spans="1:47">
      <c r="A224" s="319" t="s">
        <v>287</v>
      </c>
      <c r="D224" s="355"/>
      <c r="E224" s="355"/>
      <c r="F224" s="355"/>
      <c r="G224" s="355"/>
      <c r="H224" s="355"/>
      <c r="I224" s="355"/>
      <c r="J224" s="355"/>
      <c r="K224" s="355"/>
      <c r="L224" s="355"/>
      <c r="M224" s="355"/>
      <c r="N224" s="355"/>
      <c r="O224" s="355"/>
      <c r="P224" s="355"/>
      <c r="Q224" s="355"/>
      <c r="R224" s="355"/>
      <c r="S224" s="355"/>
      <c r="T224" s="355"/>
      <c r="U224" s="355"/>
      <c r="V224" s="355"/>
      <c r="X224" s="355">
        <f>+'Detailed Disclosure'!X224/'Detailed Disclosures - USD'!X$313</f>
        <v>0</v>
      </c>
      <c r="Y224" s="355">
        <f>+'Detailed Disclosure'!Y224/'Detailed Disclosures - USD'!Y$313</f>
        <v>0</v>
      </c>
      <c r="Z224" s="355">
        <f>+'Detailed Disclosure'!Z224/'Detailed Disclosures - USD'!Z$313</f>
        <v>-612.08276037622727</v>
      </c>
      <c r="AA224" s="528">
        <f>+'Detailed Disclosure'!AA224/'Detailed Disclosures - USD'!AA$313</f>
        <v>0</v>
      </c>
      <c r="AB224" s="355">
        <f>+'Detailed Disclosure'!AB224/'Detailed Disclosures - USD'!AB$313</f>
        <v>0</v>
      </c>
      <c r="AC224" s="355">
        <f>+'Detailed Disclosure'!AC224/'Detailed Disclosures - USD'!AC$313</f>
        <v>0</v>
      </c>
      <c r="AD224" s="355">
        <f>+'Detailed Disclosure'!AD224/'Detailed Disclosures - USD'!AD$313</f>
        <v>0</v>
      </c>
      <c r="AE224" s="355">
        <f>+'Detailed Disclosure'!AE224/'Detailed Disclosures - USD'!AE$313</f>
        <v>0</v>
      </c>
      <c r="AF224" s="355">
        <f>+'Detailed Disclosure'!AF224/'Detailed Disclosures - USD'!AF$313</f>
        <v>0</v>
      </c>
      <c r="AG224" s="355">
        <f>+'Detailed Disclosure'!AG224/'Detailed Disclosures - USD'!AG$313</f>
        <v>0</v>
      </c>
      <c r="AH224" s="528"/>
      <c r="AI224" s="355"/>
      <c r="AJ224" s="610"/>
      <c r="AK224" s="610"/>
      <c r="AL224" s="528">
        <f t="shared" si="370"/>
        <v>0</v>
      </c>
      <c r="AM224" s="528">
        <f t="shared" si="371"/>
        <v>-612.08276037622727</v>
      </c>
      <c r="AN224" s="528">
        <f t="shared" si="375"/>
        <v>0</v>
      </c>
      <c r="AO224" s="528">
        <f t="shared" si="373"/>
        <v>0</v>
      </c>
      <c r="AP224" s="528">
        <f t="shared" si="374"/>
        <v>0</v>
      </c>
      <c r="AQ224" s="355"/>
      <c r="AR224" s="355"/>
      <c r="AS224" s="355"/>
      <c r="AT224" s="355"/>
      <c r="AU224" s="355"/>
    </row>
    <row r="225" spans="1:47">
      <c r="A225" s="319" t="s">
        <v>385</v>
      </c>
      <c r="D225" s="355"/>
      <c r="E225" s="355"/>
      <c r="F225" s="355"/>
      <c r="G225" s="355"/>
      <c r="H225" s="355"/>
      <c r="I225" s="355"/>
      <c r="J225" s="355"/>
      <c r="K225" s="355"/>
      <c r="L225" s="355"/>
      <c r="M225" s="355"/>
      <c r="N225" s="355"/>
      <c r="O225" s="355"/>
      <c r="P225" s="355"/>
      <c r="Q225" s="355"/>
      <c r="R225" s="355"/>
      <c r="S225" s="355"/>
      <c r="T225" s="355"/>
      <c r="U225" s="355"/>
      <c r="V225" s="355"/>
      <c r="X225" s="355">
        <f>+'Detailed Disclosure'!X225/'Detailed Disclosures - USD'!X$313</f>
        <v>0.55042840367726142</v>
      </c>
      <c r="Y225" s="355">
        <f>+'Detailed Disclosure'!Y225/'Detailed Disclosures - USD'!Y$313</f>
        <v>0.9265589604010207</v>
      </c>
      <c r="Z225" s="355">
        <f>+'Detailed Disclosure'!Z225/'Detailed Disclosures - USD'!Z$313</f>
        <v>0.62450343990319068</v>
      </c>
      <c r="AA225" s="528">
        <f>+'Detailed Disclosure'!AA225/'Detailed Disclosures - USD'!AA$313</f>
        <v>6.4504017427738862</v>
      </c>
      <c r="AB225" s="355">
        <f>+'Detailed Disclosure'!AB225/'Detailed Disclosures - USD'!AB$313</f>
        <v>11.766863892622613</v>
      </c>
      <c r="AC225" s="355">
        <f>+'Detailed Disclosure'!AC225/'Detailed Disclosures - USD'!AC$313</f>
        <v>14.049486569196882</v>
      </c>
      <c r="AD225" s="355">
        <f>+'Detailed Disclosure'!AD225/'Detailed Disclosures - USD'!AD$313</f>
        <v>44.769047170403873</v>
      </c>
      <c r="AE225" s="355">
        <f>+'Detailed Disclosure'!AE225/'Detailed Disclosures - USD'!AE$313</f>
        <v>121.8587981102925</v>
      </c>
      <c r="AF225" s="355">
        <f>+'Detailed Disclosure'!AF225/'Detailed Disclosures - USD'!AF$313</f>
        <v>442.35549604448028</v>
      </c>
      <c r="AG225" s="355">
        <f>+'Detailed Disclosure'!AG225/'Detailed Disclosures - USD'!AG$313</f>
        <v>929.01703168472545</v>
      </c>
      <c r="AH225" s="528"/>
      <c r="AI225" s="355"/>
      <c r="AJ225" s="610"/>
      <c r="AK225" s="610"/>
      <c r="AL225" s="528">
        <f t="shared" si="370"/>
        <v>1.476987364078282</v>
      </c>
      <c r="AM225" s="528">
        <f t="shared" si="371"/>
        <v>7.0749051826770772</v>
      </c>
      <c r="AN225" s="528">
        <f t="shared" si="375"/>
        <v>25.816350461819496</v>
      </c>
      <c r="AO225" s="528">
        <f t="shared" si="373"/>
        <v>166.62784528069636</v>
      </c>
      <c r="AP225" s="528">
        <f t="shared" si="374"/>
        <v>1371.3725277292058</v>
      </c>
      <c r="AQ225" s="355"/>
      <c r="AR225" s="355"/>
      <c r="AS225" s="355"/>
      <c r="AT225" s="355"/>
      <c r="AU225" s="355"/>
    </row>
    <row r="226" spans="1:47">
      <c r="A226" s="319" t="str">
        <f>+'Detailed Disclosure'!A226</f>
        <v>Income Tax Refunded (Paid)</v>
      </c>
      <c r="D226" s="355"/>
      <c r="E226" s="355"/>
      <c r="F226" s="355"/>
      <c r="G226" s="355"/>
      <c r="H226" s="355"/>
      <c r="I226" s="355"/>
      <c r="J226" s="355"/>
      <c r="K226" s="355"/>
      <c r="L226" s="355"/>
      <c r="M226" s="355"/>
      <c r="N226" s="355"/>
      <c r="O226" s="355"/>
      <c r="P226" s="355"/>
      <c r="Q226" s="355"/>
      <c r="R226" s="355"/>
      <c r="S226" s="355"/>
      <c r="T226" s="355"/>
      <c r="U226" s="355"/>
      <c r="V226" s="355"/>
      <c r="X226" s="355">
        <f>+'Detailed Disclosure'!X226/'Detailed Disclosures - USD'!X$313</f>
        <v>0</v>
      </c>
      <c r="Y226" s="355">
        <f>+'Detailed Disclosure'!Y226/'Detailed Disclosures - USD'!Y$313</f>
        <v>0</v>
      </c>
      <c r="Z226" s="355">
        <f>+'Detailed Disclosure'!Z226/'Detailed Disclosures - USD'!Z$313</f>
        <v>0</v>
      </c>
      <c r="AA226" s="528">
        <f>+'Detailed Disclosure'!AA226/'Detailed Disclosures - USD'!AA$313</f>
        <v>-185.13023094139317</v>
      </c>
      <c r="AB226" s="355">
        <v>0</v>
      </c>
      <c r="AC226" s="355">
        <v>0</v>
      </c>
      <c r="AD226" s="355">
        <v>0</v>
      </c>
      <c r="AE226" s="355">
        <v>0</v>
      </c>
      <c r="AF226" s="355">
        <v>0</v>
      </c>
      <c r="AG226" s="355">
        <v>0</v>
      </c>
      <c r="AH226" s="528"/>
      <c r="AI226" s="355"/>
      <c r="AJ226" s="610"/>
      <c r="AK226" s="610"/>
      <c r="AL226" s="528">
        <f t="shared" si="370"/>
        <v>0</v>
      </c>
      <c r="AM226" s="528">
        <f t="shared" si="371"/>
        <v>-185.13023094139317</v>
      </c>
      <c r="AN226" s="528">
        <f t="shared" si="375"/>
        <v>0</v>
      </c>
      <c r="AO226" s="528">
        <f t="shared" si="373"/>
        <v>0</v>
      </c>
      <c r="AP226" s="528">
        <f t="shared" si="374"/>
        <v>0</v>
      </c>
      <c r="AQ226" s="355"/>
      <c r="AR226" s="355"/>
      <c r="AS226" s="355"/>
      <c r="AT226" s="355"/>
      <c r="AU226" s="355"/>
    </row>
    <row r="227" spans="1:47" s="513" customFormat="1" ht="18.5">
      <c r="A227" s="319" t="s">
        <v>386</v>
      </c>
      <c r="D227" s="535"/>
      <c r="E227" s="535"/>
      <c r="F227" s="535"/>
      <c r="G227" s="535"/>
      <c r="H227" s="535"/>
      <c r="I227" s="535"/>
      <c r="J227" s="535"/>
      <c r="K227" s="535"/>
      <c r="L227" s="535"/>
      <c r="M227" s="535"/>
      <c r="N227" s="535"/>
      <c r="O227" s="535"/>
      <c r="P227" s="535"/>
      <c r="Q227" s="535"/>
      <c r="R227" s="535"/>
      <c r="S227" s="535"/>
      <c r="T227" s="535"/>
      <c r="U227" s="535"/>
      <c r="V227" s="535"/>
      <c r="X227" s="525">
        <f>+'Detailed Disclosure'!X227/'Detailed Disclosures - USD'!X$313</f>
        <v>0</v>
      </c>
      <c r="Y227" s="525">
        <f>+'Detailed Disclosure'!Y227/'Detailed Disclosures - USD'!Y$313</f>
        <v>0</v>
      </c>
      <c r="Z227" s="535">
        <f>+'Detailed Disclosure'!Z227/'Detailed Disclosures - USD'!Z$313</f>
        <v>222.64776400891154</v>
      </c>
      <c r="AA227" s="535">
        <f>+'Detailed Disclosure'!AA227/'Detailed Disclosures - USD'!AA$313</f>
        <v>-2.5443851005455174E-2</v>
      </c>
      <c r="AB227" s="535">
        <f>+'Detailed Disclosure'!AB227/'Detailed Disclosures - USD'!AB$313</f>
        <v>0</v>
      </c>
      <c r="AC227" s="535">
        <f>+'Detailed Disclosure'!AC227/'Detailed Disclosures - USD'!AC$313</f>
        <v>0</v>
      </c>
      <c r="AD227" s="535">
        <f>+'Detailed Disclosure'!AD227/'Detailed Disclosures - USD'!AD$313</f>
        <v>0</v>
      </c>
      <c r="AE227" s="535">
        <f>+'Detailed Disclosure'!AE227/'Detailed Disclosures - USD'!AE$313</f>
        <v>0</v>
      </c>
      <c r="AF227" s="535">
        <f>+'Detailed Disclosure'!AF227/'Detailed Disclosures - USD'!AF$313</f>
        <v>0</v>
      </c>
      <c r="AG227" s="535">
        <f>+'Detailed Disclosure'!AG227/'Detailed Disclosures - USD'!AG$313</f>
        <v>0</v>
      </c>
      <c r="AH227" s="607"/>
      <c r="AI227" s="535"/>
      <c r="AJ227" s="612"/>
      <c r="AK227" s="612"/>
      <c r="AL227" s="607">
        <f t="shared" si="370"/>
        <v>0</v>
      </c>
      <c r="AM227" s="607">
        <f t="shared" si="371"/>
        <v>222.62232015790607</v>
      </c>
      <c r="AN227" s="607">
        <f t="shared" si="375"/>
        <v>0</v>
      </c>
      <c r="AO227" s="607">
        <f t="shared" si="373"/>
        <v>0</v>
      </c>
      <c r="AP227" s="607">
        <f t="shared" si="374"/>
        <v>0</v>
      </c>
      <c r="AQ227" s="535"/>
      <c r="AR227" s="535"/>
      <c r="AS227" s="535"/>
      <c r="AT227" s="535"/>
      <c r="AU227" s="535"/>
    </row>
    <row r="228" spans="1:47">
      <c r="A228" s="527" t="s">
        <v>387</v>
      </c>
      <c r="D228" s="355"/>
      <c r="E228" s="355"/>
      <c r="F228" s="355"/>
      <c r="G228" s="355"/>
      <c r="H228" s="355"/>
      <c r="I228" s="355"/>
      <c r="J228" s="355"/>
      <c r="K228" s="355"/>
      <c r="L228" s="355"/>
      <c r="M228" s="355"/>
      <c r="N228" s="355"/>
      <c r="O228" s="355"/>
      <c r="P228" s="355"/>
      <c r="Q228" s="355"/>
      <c r="R228" s="355"/>
      <c r="S228" s="355"/>
      <c r="T228" s="355"/>
      <c r="U228" s="355"/>
      <c r="V228" s="355"/>
      <c r="X228" s="355">
        <f>+'Detailed Disclosure'!X228/'Detailed Disclosures - USD'!X$313</f>
        <v>666.15118326330912</v>
      </c>
      <c r="Y228" s="355">
        <f>+'Detailed Disclosure'!Y228/'Detailed Disclosures - USD'!Y$313</f>
        <v>2983.0322934915853</v>
      </c>
      <c r="Z228" s="355">
        <f>+'Detailed Disclosure'!Z228/'Detailed Disclosures - USD'!Z$313</f>
        <v>6199.681282318752</v>
      </c>
      <c r="AA228" s="355">
        <f>+'Detailed Disclosure'!AA228/'Detailed Disclosures - USD'!AA$313</f>
        <v>3208.8134892878625</v>
      </c>
      <c r="AB228" s="355">
        <f>+'Detailed Disclosure'!AB228/'Detailed Disclosures - USD'!AB$313</f>
        <v>8992.1479977848649</v>
      </c>
      <c r="AC228" s="355">
        <f>+'Detailed Disclosure'!AC228/'Detailed Disclosures - USD'!AC$313</f>
        <v>-19391.475574741791</v>
      </c>
      <c r="AD228" s="355">
        <f>+'Detailed Disclosure'!AD228/'Detailed Disclosures - USD'!AD$313</f>
        <v>24008.09530389632</v>
      </c>
      <c r="AE228" s="355">
        <f>+'Detailed Disclosure'!AE228/'Detailed Disclosures - USD'!AE$313</f>
        <v>416.15113554095768</v>
      </c>
      <c r="AF228" s="355">
        <f>+'Detailed Disclosure'!AF228/'Detailed Disclosures - USD'!AF$313</f>
        <v>42413.936549498307</v>
      </c>
      <c r="AG228" s="355">
        <f>+'Detailed Disclosure'!AG228/'Detailed Disclosures - USD'!AG$313</f>
        <v>-1317.8184557596824</v>
      </c>
      <c r="AH228" s="528"/>
      <c r="AI228" s="355"/>
      <c r="AJ228" s="613">
        <f>+'Detailed Disclosure'!AJ228/'Detailed Disclosures - USD'!AJ$313</f>
        <v>-383.54473669629823</v>
      </c>
      <c r="AK228" s="613">
        <f>+'Detailed Disclosure'!AK228/'Detailed Disclosures - USD'!AK$313</f>
        <v>540.53721423956074</v>
      </c>
      <c r="AL228" s="355">
        <f>+SUM(X228:Y228)</f>
        <v>3649.1834767548944</v>
      </c>
      <c r="AM228" s="355">
        <f t="shared" si="371"/>
        <v>9408.4947716066144</v>
      </c>
      <c r="AN228" s="355">
        <f t="shared" si="375"/>
        <v>-10399.327576956926</v>
      </c>
      <c r="AO228" s="355">
        <f t="shared" si="373"/>
        <v>24424.246439437276</v>
      </c>
      <c r="AP228" s="355">
        <f t="shared" si="374"/>
        <v>41096.118093738623</v>
      </c>
      <c r="AQ228" s="355"/>
      <c r="AR228" s="355"/>
      <c r="AS228" s="355"/>
      <c r="AT228" s="355"/>
      <c r="AU228" s="355"/>
    </row>
    <row r="229" spans="1:47">
      <c r="D229" s="355"/>
      <c r="E229" s="355"/>
      <c r="F229" s="355"/>
      <c r="G229" s="355"/>
      <c r="H229" s="355"/>
      <c r="I229" s="355"/>
      <c r="J229" s="355"/>
      <c r="K229" s="355"/>
      <c r="L229" s="355"/>
      <c r="M229" s="355"/>
      <c r="N229" s="355"/>
      <c r="O229" s="355"/>
      <c r="P229" s="355"/>
      <c r="Q229" s="355"/>
      <c r="R229" s="355"/>
      <c r="S229" s="355"/>
      <c r="T229" s="355"/>
      <c r="U229" s="355"/>
      <c r="V229" s="355"/>
      <c r="X229" s="355"/>
      <c r="Y229" s="355"/>
      <c r="Z229" s="355"/>
      <c r="AA229" s="355"/>
      <c r="AB229" s="355"/>
      <c r="AC229" s="355"/>
      <c r="AD229" s="355"/>
      <c r="AE229" s="355"/>
      <c r="AF229" s="355"/>
      <c r="AG229" s="355"/>
      <c r="AH229" s="355"/>
      <c r="AI229" s="355"/>
      <c r="AJ229" s="355"/>
      <c r="AK229" s="355"/>
      <c r="AL229" s="355"/>
      <c r="AM229" s="355"/>
      <c r="AN229" s="355"/>
      <c r="AO229" s="355"/>
      <c r="AP229" s="355"/>
      <c r="AQ229" s="355"/>
      <c r="AR229" s="355"/>
      <c r="AS229" s="355"/>
      <c r="AT229" s="355"/>
      <c r="AU229" s="355"/>
    </row>
    <row r="230" spans="1:47">
      <c r="A230" s="513" t="s">
        <v>388</v>
      </c>
      <c r="D230" s="355"/>
      <c r="E230" s="355"/>
      <c r="F230" s="355"/>
      <c r="G230" s="355"/>
      <c r="H230" s="355"/>
      <c r="I230" s="355"/>
      <c r="J230" s="355"/>
      <c r="K230" s="355"/>
      <c r="L230" s="355"/>
      <c r="M230" s="355"/>
      <c r="N230" s="355"/>
      <c r="O230" s="355"/>
      <c r="P230" s="355"/>
      <c r="Q230" s="355"/>
      <c r="R230" s="355"/>
      <c r="S230" s="355"/>
      <c r="T230" s="355"/>
      <c r="U230" s="355"/>
      <c r="V230" s="355"/>
      <c r="X230" s="355"/>
      <c r="Y230" s="355"/>
      <c r="Z230" s="355"/>
      <c r="AA230" s="355"/>
      <c r="AB230" s="355"/>
      <c r="AC230" s="355"/>
      <c r="AD230" s="355"/>
      <c r="AE230" s="355"/>
      <c r="AF230" s="355"/>
      <c r="AG230" s="355"/>
      <c r="AH230" s="355"/>
      <c r="AI230" s="355"/>
      <c r="AJ230" s="355"/>
      <c r="AK230" s="355"/>
      <c r="AL230" s="355"/>
      <c r="AM230" s="355"/>
      <c r="AN230" s="355"/>
      <c r="AO230" s="355"/>
      <c r="AP230" s="355"/>
      <c r="AQ230" s="355"/>
      <c r="AR230" s="355"/>
      <c r="AS230" s="355"/>
      <c r="AT230" s="355"/>
      <c r="AU230" s="355"/>
    </row>
    <row r="231" spans="1:47" s="513" customFormat="1">
      <c r="A231" s="319" t="s">
        <v>389</v>
      </c>
      <c r="D231" s="535"/>
      <c r="E231" s="535"/>
      <c r="F231" s="535"/>
      <c r="G231" s="535"/>
      <c r="H231" s="535"/>
      <c r="I231" s="535"/>
      <c r="J231" s="535"/>
      <c r="K231" s="535"/>
      <c r="L231" s="535"/>
      <c r="M231" s="535"/>
      <c r="N231" s="535"/>
      <c r="O231" s="535"/>
      <c r="P231" s="535"/>
      <c r="Q231" s="535"/>
      <c r="R231" s="535"/>
      <c r="S231" s="535"/>
      <c r="T231" s="535"/>
      <c r="U231" s="535"/>
      <c r="V231" s="535"/>
      <c r="X231" s="607">
        <f>+'Detailed Disclosure'!X231/'Detailed Disclosures - USD'!X$313</f>
        <v>-375.45036336549492</v>
      </c>
      <c r="Y231" s="607">
        <f>+'Detailed Disclosure'!Y231/'Detailed Disclosures - USD'!Y$313</f>
        <v>-509.59889757857462</v>
      </c>
      <c r="Z231" s="535">
        <f>+'Detailed Disclosure'!Z231/'Detailed Disclosures - USD'!Z$313</f>
        <v>-786.13635046767172</v>
      </c>
      <c r="AA231" s="535">
        <f>+'Detailed Disclosure'!AA231/'Detailed Disclosures - USD'!AA$313</f>
        <v>-1248.5845116680516</v>
      </c>
      <c r="AB231" s="535">
        <f>+'Detailed Disclosure'!AB231/'Detailed Disclosures - USD'!AB$313</f>
        <v>-2594.912421100682</v>
      </c>
      <c r="AC231" s="535">
        <f>+'Detailed Disclosure'!AC231/'Detailed Disclosures - USD'!AC$313</f>
        <v>-3471.5844108686019</v>
      </c>
      <c r="AD231" s="535">
        <f>+'Detailed Disclosure'!AD231/'Detailed Disclosures - USD'!AD$313</f>
        <v>-3443.2704813349251</v>
      </c>
      <c r="AE231" s="535">
        <f>+'Detailed Disclosure'!AE231/'Detailed Disclosures - USD'!AE$313</f>
        <v>-4678.7525356559063</v>
      </c>
      <c r="AF231" s="535">
        <f>+'Detailed Disclosure'!AF231/'Detailed Disclosures - USD'!AF$313</f>
        <v>-4898.6108366500939</v>
      </c>
      <c r="AG231" s="535">
        <f>+'Detailed Disclosure'!AG231/'Detailed Disclosures - USD'!AG$313</f>
        <v>-4461.9156947338133</v>
      </c>
      <c r="AH231" s="535"/>
      <c r="AI231" s="535"/>
      <c r="AJ231" s="535"/>
      <c r="AK231" s="535"/>
      <c r="AL231" s="607">
        <f t="shared" ref="AL231:AL232" si="376">+SUM(X231:Y231)</f>
        <v>-885.0492609440696</v>
      </c>
      <c r="AM231" s="607">
        <f t="shared" ref="AM231:AM232" si="377">+SUM(Z231:AA231)</f>
        <v>-2034.7208621357233</v>
      </c>
      <c r="AN231" s="607">
        <f t="shared" ref="AN231:AN232" si="378">+SUM(AB231:AC231)</f>
        <v>-6066.4968319692834</v>
      </c>
      <c r="AO231" s="607">
        <f t="shared" si="373"/>
        <v>-8122.0230169908318</v>
      </c>
      <c r="AP231" s="607">
        <f t="shared" si="374"/>
        <v>-9360.5265313839082</v>
      </c>
      <c r="AQ231" s="535"/>
      <c r="AR231" s="535"/>
      <c r="AS231" s="535"/>
      <c r="AT231" s="535"/>
      <c r="AU231" s="535"/>
    </row>
    <row r="232" spans="1:47">
      <c r="A232" s="527" t="s">
        <v>390</v>
      </c>
      <c r="D232" s="355"/>
      <c r="E232" s="355"/>
      <c r="F232" s="355"/>
      <c r="G232" s="355"/>
      <c r="H232" s="355"/>
      <c r="I232" s="355"/>
      <c r="J232" s="355"/>
      <c r="K232" s="355"/>
      <c r="L232" s="355"/>
      <c r="M232" s="355"/>
      <c r="N232" s="355"/>
      <c r="O232" s="355"/>
      <c r="P232" s="355"/>
      <c r="Q232" s="355"/>
      <c r="R232" s="355"/>
      <c r="S232" s="355"/>
      <c r="T232" s="355"/>
      <c r="U232" s="355"/>
      <c r="V232" s="355"/>
      <c r="X232" s="355">
        <f>+'Detailed Disclosure'!X232/'Detailed Disclosures - USD'!X$313</f>
        <v>-375.45036336549492</v>
      </c>
      <c r="Y232" s="355">
        <f>+'Detailed Disclosure'!Y232/'Detailed Disclosures - USD'!Y$313</f>
        <v>-509.59889757857462</v>
      </c>
      <c r="Z232" s="355">
        <f>+'Detailed Disclosure'!Z232/'Detailed Disclosures - USD'!Z$313</f>
        <v>-786.13635046767172</v>
      </c>
      <c r="AA232" s="355">
        <f>+'Detailed Disclosure'!AA232/'Detailed Disclosures - USD'!AA$313</f>
        <v>-1248.5845116680516</v>
      </c>
      <c r="AB232" s="355">
        <f>+'Detailed Disclosure'!AB232/'Detailed Disclosures - USD'!AB$313</f>
        <v>-2594.912421100682</v>
      </c>
      <c r="AC232" s="355">
        <f>+'Detailed Disclosure'!AC232/'Detailed Disclosures - USD'!AC$313</f>
        <v>-3471.5844108686019</v>
      </c>
      <c r="AD232" s="355">
        <f>+'Detailed Disclosure'!AD232/'Detailed Disclosures - USD'!AD$313</f>
        <v>-3443.2704813349251</v>
      </c>
      <c r="AE232" s="355">
        <f>+'Detailed Disclosure'!AE232/'Detailed Disclosures - USD'!AE$313</f>
        <v>-4678.7525356559063</v>
      </c>
      <c r="AF232" s="355">
        <f>+'Detailed Disclosure'!AF232/'Detailed Disclosures - USD'!AF$313</f>
        <v>-4898.6108366500939</v>
      </c>
      <c r="AG232" s="355">
        <f>+'Detailed Disclosure'!AG232/'Detailed Disclosures - USD'!AG$313</f>
        <v>-4461.9156947338133</v>
      </c>
      <c r="AH232" s="355"/>
      <c r="AI232" s="355"/>
      <c r="AJ232" s="613">
        <f>+'Detailed Disclosure'!AJ232/'Detailed Disclosures - USD'!AJ$313</f>
        <v>-437.78338633011816</v>
      </c>
      <c r="AK232" s="613">
        <f>+'Detailed Disclosure'!AK232/'Detailed Disclosures - USD'!AK$313</f>
        <v>-806.515843468551</v>
      </c>
      <c r="AL232" s="355">
        <f t="shared" si="376"/>
        <v>-885.0492609440696</v>
      </c>
      <c r="AM232" s="355">
        <f t="shared" si="377"/>
        <v>-2034.7208621357233</v>
      </c>
      <c r="AN232" s="355">
        <f t="shared" si="378"/>
        <v>-6066.4968319692834</v>
      </c>
      <c r="AO232" s="355">
        <f t="shared" si="373"/>
        <v>-8122.0230169908318</v>
      </c>
      <c r="AP232" s="355">
        <f t="shared" si="374"/>
        <v>-9360.5265313839082</v>
      </c>
      <c r="AQ232" s="355"/>
      <c r="AR232" s="355"/>
      <c r="AS232" s="355"/>
      <c r="AT232" s="355"/>
      <c r="AU232" s="355"/>
    </row>
    <row r="233" spans="1:47">
      <c r="D233" s="355"/>
      <c r="E233" s="355"/>
      <c r="F233" s="355"/>
      <c r="G233" s="355"/>
      <c r="H233" s="355"/>
      <c r="I233" s="355"/>
      <c r="J233" s="355"/>
      <c r="K233" s="355"/>
      <c r="L233" s="355"/>
      <c r="M233" s="355"/>
      <c r="N233" s="355"/>
      <c r="O233" s="355"/>
      <c r="P233" s="355"/>
      <c r="Q233" s="355"/>
      <c r="R233" s="355"/>
      <c r="S233" s="355"/>
      <c r="T233" s="355"/>
      <c r="U233" s="355"/>
      <c r="V233" s="355"/>
      <c r="X233" s="355"/>
      <c r="Y233" s="355"/>
      <c r="Z233" s="355"/>
      <c r="AA233" s="355"/>
      <c r="AB233" s="355"/>
      <c r="AC233" s="355"/>
      <c r="AD233" s="355"/>
      <c r="AE233" s="355"/>
      <c r="AF233" s="355"/>
      <c r="AG233" s="355"/>
      <c r="AH233" s="355"/>
      <c r="AI233" s="355"/>
      <c r="AJ233" s="355"/>
      <c r="AK233" s="355"/>
      <c r="AL233" s="355"/>
      <c r="AM233" s="355"/>
      <c r="AN233" s="355"/>
      <c r="AO233" s="355"/>
      <c r="AP233" s="355"/>
      <c r="AQ233" s="355"/>
      <c r="AR233" s="355"/>
      <c r="AS233" s="355"/>
      <c r="AT233" s="355"/>
      <c r="AU233" s="355"/>
    </row>
    <row r="234" spans="1:47">
      <c r="A234" s="513" t="s">
        <v>391</v>
      </c>
      <c r="D234" s="355"/>
      <c r="E234" s="355"/>
      <c r="F234" s="355"/>
      <c r="G234" s="355"/>
      <c r="H234" s="355"/>
      <c r="I234" s="355"/>
      <c r="J234" s="355"/>
      <c r="K234" s="355"/>
      <c r="L234" s="355"/>
      <c r="M234" s="355"/>
      <c r="N234" s="355"/>
      <c r="O234" s="355"/>
      <c r="P234" s="355"/>
      <c r="Q234" s="355"/>
      <c r="R234" s="355"/>
      <c r="S234" s="355"/>
      <c r="T234" s="355"/>
      <c r="U234" s="355"/>
      <c r="V234" s="355"/>
      <c r="X234" s="355"/>
      <c r="Y234" s="355"/>
      <c r="Z234" s="355"/>
      <c r="AA234" s="355"/>
      <c r="AB234" s="355"/>
      <c r="AC234" s="355"/>
      <c r="AD234" s="355"/>
      <c r="AE234" s="355"/>
      <c r="AF234" s="355"/>
      <c r="AG234" s="355"/>
      <c r="AH234" s="355"/>
      <c r="AI234" s="355"/>
      <c r="AJ234" s="355"/>
      <c r="AK234" s="355"/>
      <c r="AL234" s="355"/>
      <c r="AM234" s="355"/>
      <c r="AN234" s="355"/>
      <c r="AO234" s="355"/>
      <c r="AP234" s="355"/>
      <c r="AQ234" s="355"/>
      <c r="AR234" s="355"/>
      <c r="AS234" s="355"/>
      <c r="AT234" s="355"/>
      <c r="AU234" s="355"/>
    </row>
    <row r="235" spans="1:47">
      <c r="A235" s="319" t="s">
        <v>392</v>
      </c>
      <c r="D235" s="355"/>
      <c r="E235" s="355"/>
      <c r="F235" s="355"/>
      <c r="G235" s="355"/>
      <c r="H235" s="355"/>
      <c r="I235" s="355"/>
      <c r="J235" s="355"/>
      <c r="K235" s="355"/>
      <c r="L235" s="355"/>
      <c r="M235" s="355"/>
      <c r="N235" s="355"/>
      <c r="O235" s="355"/>
      <c r="P235" s="355"/>
      <c r="Q235" s="355"/>
      <c r="R235" s="355"/>
      <c r="S235" s="355"/>
      <c r="T235" s="355"/>
      <c r="U235" s="355"/>
      <c r="V235" s="355"/>
      <c r="X235" s="355">
        <f>+'Detailed Disclosure'!X235/'Detailed Disclosures - USD'!X$313</f>
        <v>-67.80812396843038</v>
      </c>
      <c r="Y235" s="355">
        <f>+'Detailed Disclosure'!Y235/'Detailed Disclosures - USD'!Y$313</f>
        <v>-158.11479302016113</v>
      </c>
      <c r="Z235" s="355">
        <f>+'Detailed Disclosure'!Z235/'Detailed Disclosures - USD'!Z$313</f>
        <v>-537.6309637051761</v>
      </c>
      <c r="AA235" s="355">
        <f>+'Detailed Disclosure'!AA235/'Detailed Disclosures - USD'!AA$313</f>
        <v>-0.14495284815221304</v>
      </c>
      <c r="AB235" s="355">
        <f>+'Detailed Disclosure'!AB235/'Detailed Disclosures - USD'!AB$313</f>
        <v>0</v>
      </c>
      <c r="AC235" s="355">
        <f>+'Detailed Disclosure'!AC235/'Detailed Disclosures - USD'!AC$313</f>
        <v>0</v>
      </c>
      <c r="AD235" s="355">
        <f>+'Detailed Disclosure'!AD235/'Detailed Disclosures - USD'!AD$313</f>
        <v>0</v>
      </c>
      <c r="AE235" s="355">
        <f>+'Detailed Disclosure'!AE235/'Detailed Disclosures - USD'!AE$313</f>
        <v>0</v>
      </c>
      <c r="AF235" s="355">
        <f>+'Detailed Disclosure'!AF235/'Detailed Disclosures - USD'!AF$313</f>
        <v>0</v>
      </c>
      <c r="AG235" s="355">
        <f>+'Detailed Disclosure'!AG235/'Detailed Disclosures - USD'!AG$313</f>
        <v>0</v>
      </c>
      <c r="AH235" s="355"/>
      <c r="AI235" s="355"/>
      <c r="AJ235" s="610"/>
      <c r="AK235" s="610"/>
      <c r="AL235" s="355">
        <f t="shared" ref="AL235:AL240" si="379">+SUM(X235:Y235)</f>
        <v>-225.92291698859151</v>
      </c>
      <c r="AM235" s="355">
        <f t="shared" ref="AM235:AM240" si="380">+SUM(Z235:AA235)</f>
        <v>-537.77591655332833</v>
      </c>
      <c r="AN235" s="355">
        <f t="shared" ref="AN235:AN240" si="381">+SUM(AB235:AC235)</f>
        <v>0</v>
      </c>
      <c r="AO235" s="355">
        <f t="shared" si="373"/>
        <v>0</v>
      </c>
      <c r="AP235" s="355">
        <f t="shared" si="374"/>
        <v>0</v>
      </c>
      <c r="AQ235" s="355"/>
      <c r="AR235" s="355"/>
      <c r="AS235" s="355"/>
      <c r="AT235" s="355"/>
      <c r="AU235" s="355"/>
    </row>
    <row r="236" spans="1:47">
      <c r="A236" s="319" t="s">
        <v>393</v>
      </c>
      <c r="D236" s="355"/>
      <c r="E236" s="355"/>
      <c r="F236" s="355"/>
      <c r="G236" s="355"/>
      <c r="H236" s="355"/>
      <c r="I236" s="355"/>
      <c r="J236" s="355"/>
      <c r="K236" s="355"/>
      <c r="L236" s="355"/>
      <c r="M236" s="355"/>
      <c r="N236" s="355"/>
      <c r="O236" s="355"/>
      <c r="P236" s="355"/>
      <c r="Q236" s="355"/>
      <c r="R236" s="355"/>
      <c r="S236" s="355"/>
      <c r="T236" s="355"/>
      <c r="U236" s="355"/>
      <c r="V236" s="355"/>
      <c r="X236" s="355">
        <f>+'Detailed Disclosure'!X236/'Detailed Disclosures - USD'!X$313</f>
        <v>0</v>
      </c>
      <c r="Y236" s="355">
        <f>+'Detailed Disclosure'!Y236/'Detailed Disclosures - USD'!Y$313</f>
        <v>0</v>
      </c>
      <c r="Z236" s="355">
        <f>+'Detailed Disclosure'!Z236/'Detailed Disclosures - USD'!Z$313</f>
        <v>28912.196291814387</v>
      </c>
      <c r="AA236" s="355">
        <f>+'Detailed Disclosure'!AA236/'Detailed Disclosures - USD'!AA$313</f>
        <v>0</v>
      </c>
      <c r="AB236" s="355">
        <f>+'Detailed Disclosure'!AB236/'Detailed Disclosures - USD'!AB$313</f>
        <v>0</v>
      </c>
      <c r="AC236" s="355">
        <f>+'Detailed Disclosure'!AC236/'Detailed Disclosures - USD'!AC$313</f>
        <v>0</v>
      </c>
      <c r="AD236" s="355">
        <f>+'Detailed Disclosure'!AD236/'Detailed Disclosures - USD'!AD$313</f>
        <v>0</v>
      </c>
      <c r="AE236" s="355">
        <f>+'Detailed Disclosure'!AE236/'Detailed Disclosures - USD'!AE$313</f>
        <v>0</v>
      </c>
      <c r="AF236" s="355">
        <f>+'Detailed Disclosure'!AF236/'Detailed Disclosures - USD'!AF$313</f>
        <v>0</v>
      </c>
      <c r="AG236" s="355">
        <f>+'Detailed Disclosure'!AG236/'Detailed Disclosures - USD'!AG$313</f>
        <v>0</v>
      </c>
      <c r="AH236" s="355"/>
      <c r="AI236" s="355"/>
      <c r="AJ236" s="610"/>
      <c r="AK236" s="610"/>
      <c r="AL236" s="355">
        <f t="shared" si="379"/>
        <v>0</v>
      </c>
      <c r="AM236" s="355">
        <f t="shared" si="380"/>
        <v>28912.196291814387</v>
      </c>
      <c r="AN236" s="355">
        <f t="shared" si="381"/>
        <v>0</v>
      </c>
      <c r="AO236" s="355">
        <f t="shared" si="373"/>
        <v>0</v>
      </c>
      <c r="AP236" s="355">
        <f t="shared" si="374"/>
        <v>0</v>
      </c>
      <c r="AQ236" s="355"/>
      <c r="AR236" s="355"/>
      <c r="AS236" s="355"/>
      <c r="AT236" s="355"/>
      <c r="AU236" s="355"/>
    </row>
    <row r="237" spans="1:47">
      <c r="A237" s="319" t="s">
        <v>287</v>
      </c>
      <c r="D237" s="355"/>
      <c r="E237" s="355"/>
      <c r="F237" s="355"/>
      <c r="G237" s="355"/>
      <c r="H237" s="355"/>
      <c r="I237" s="355"/>
      <c r="J237" s="355"/>
      <c r="K237" s="355"/>
      <c r="L237" s="355"/>
      <c r="M237" s="355"/>
      <c r="N237" s="355"/>
      <c r="O237" s="355"/>
      <c r="P237" s="355"/>
      <c r="Q237" s="355"/>
      <c r="R237" s="355"/>
      <c r="S237" s="355"/>
      <c r="T237" s="355"/>
      <c r="U237" s="355"/>
      <c r="V237" s="355"/>
      <c r="X237" s="355">
        <f>+'Detailed Disclosure'!X237/'Detailed Disclosures - USD'!X$313</f>
        <v>0</v>
      </c>
      <c r="Y237" s="355">
        <f>+'Detailed Disclosure'!Y237/'Detailed Disclosures - USD'!Y$313</f>
        <v>0</v>
      </c>
      <c r="Z237" s="355">
        <f>+'Detailed Disclosure'!Z237/'Detailed Disclosures - USD'!Z$313</f>
        <v>-2348.2803862370856</v>
      </c>
      <c r="AA237" s="355">
        <f>+'Detailed Disclosure'!AA237/'Detailed Disclosures - USD'!AA$313</f>
        <v>-0.12028002293478338</v>
      </c>
      <c r="AB237" s="355">
        <f>+'Detailed Disclosure'!AB237/'Detailed Disclosures - USD'!AB$313</f>
        <v>0</v>
      </c>
      <c r="AC237" s="355">
        <f>+'Detailed Disclosure'!AC237/'Detailed Disclosures - USD'!AC$313</f>
        <v>0</v>
      </c>
      <c r="AD237" s="355">
        <f>+'Detailed Disclosure'!AD237/'Detailed Disclosures - USD'!AD$313</f>
        <v>0</v>
      </c>
      <c r="AE237" s="355">
        <f>+'Detailed Disclosure'!AE237/'Detailed Disclosures - USD'!AE$313</f>
        <v>0</v>
      </c>
      <c r="AF237" s="355">
        <f>+'Detailed Disclosure'!AF237/'Detailed Disclosures - USD'!AF$313</f>
        <v>0</v>
      </c>
      <c r="AG237" s="355">
        <f>+'Detailed Disclosure'!AG237/'Detailed Disclosures - USD'!AG$313</f>
        <v>0</v>
      </c>
      <c r="AH237" s="355"/>
      <c r="AI237" s="355"/>
      <c r="AJ237" s="610"/>
      <c r="AK237" s="610"/>
      <c r="AL237" s="355">
        <f t="shared" si="379"/>
        <v>0</v>
      </c>
      <c r="AM237" s="355">
        <f t="shared" si="380"/>
        <v>-2348.4006662600204</v>
      </c>
      <c r="AN237" s="355">
        <f t="shared" si="381"/>
        <v>0</v>
      </c>
      <c r="AO237" s="355">
        <f t="shared" si="373"/>
        <v>0</v>
      </c>
      <c r="AP237" s="355">
        <f t="shared" si="374"/>
        <v>0</v>
      </c>
      <c r="AQ237" s="355"/>
      <c r="AR237" s="355"/>
      <c r="AS237" s="355"/>
      <c r="AT237" s="355"/>
      <c r="AU237" s="355"/>
    </row>
    <row r="238" spans="1:47">
      <c r="A238" s="319" t="str">
        <f>+'Detailed Disclosure'!A238</f>
        <v>Purchase of Shares on Market</v>
      </c>
      <c r="D238" s="355"/>
      <c r="E238" s="355"/>
      <c r="F238" s="355"/>
      <c r="G238" s="355"/>
      <c r="H238" s="355"/>
      <c r="I238" s="355"/>
      <c r="J238" s="355"/>
      <c r="K238" s="355"/>
      <c r="L238" s="355"/>
      <c r="M238" s="355"/>
      <c r="N238" s="355"/>
      <c r="O238" s="355"/>
      <c r="P238" s="355"/>
      <c r="Q238" s="355"/>
      <c r="R238" s="355"/>
      <c r="S238" s="355"/>
      <c r="T238" s="355"/>
      <c r="U238" s="355"/>
      <c r="V238" s="355"/>
      <c r="X238" s="355">
        <f>+'Detailed Disclosure'!X238/'Detailed Disclosures - USD'!X$313</f>
        <v>0</v>
      </c>
      <c r="Y238" s="355">
        <f>+'Detailed Disclosure'!Y238/'Detailed Disclosures - USD'!Y$313</f>
        <v>0</v>
      </c>
      <c r="Z238" s="355">
        <f>+'Detailed Disclosure'!Z238/'Detailed Disclosures - USD'!Z$313</f>
        <v>0</v>
      </c>
      <c r="AA238" s="355">
        <f>+'Detailed Disclosure'!AA238/'Detailed Disclosures - USD'!AA$313</f>
        <v>0</v>
      </c>
      <c r="AB238" s="355">
        <f>+'Detailed Disclosure'!AB238/'Detailed Disclosures - USD'!AB$313</f>
        <v>0</v>
      </c>
      <c r="AC238" s="355">
        <f>+'Detailed Disclosure'!AC238/'Detailed Disclosures - USD'!AC$313</f>
        <v>0</v>
      </c>
      <c r="AD238" s="355">
        <f>+'Detailed Disclosure'!AD238/'Detailed Disclosures - USD'!AD$313</f>
        <v>0</v>
      </c>
      <c r="AE238" s="355">
        <f>+'Detailed Disclosure'!AE238/'Detailed Disclosures - USD'!AE$313</f>
        <v>-913.65359096642158</v>
      </c>
      <c r="AF238" s="355">
        <f>+'Detailed Disclosure'!AF238/'Detailed Disclosures - USD'!AF$313</f>
        <v>0</v>
      </c>
      <c r="AG238" s="355">
        <f>+'Detailed Disclosure'!AG238/'Detailed Disclosures - USD'!AG$313</f>
        <v>-6773.9402095389287</v>
      </c>
      <c r="AH238" s="355"/>
      <c r="AI238" s="355"/>
      <c r="AJ238" s="610"/>
      <c r="AK238" s="610"/>
      <c r="AL238" s="355">
        <f t="shared" si="379"/>
        <v>0</v>
      </c>
      <c r="AM238" s="355">
        <f t="shared" si="380"/>
        <v>0</v>
      </c>
      <c r="AN238" s="355">
        <f t="shared" ref="AN238" si="382">+SUM(AB238:AC238)</f>
        <v>0</v>
      </c>
      <c r="AO238" s="355">
        <f t="shared" ref="AO238" si="383">+SUM(AD238:AE238)</f>
        <v>-913.65359096642158</v>
      </c>
      <c r="AP238" s="355">
        <f t="shared" si="374"/>
        <v>-6773.9402095389287</v>
      </c>
      <c r="AQ238" s="355"/>
      <c r="AR238" s="355"/>
      <c r="AS238" s="355"/>
      <c r="AT238" s="355"/>
      <c r="AU238" s="355"/>
    </row>
    <row r="239" spans="1:47" s="513" customFormat="1">
      <c r="A239" s="319" t="s">
        <v>394</v>
      </c>
      <c r="D239" s="535"/>
      <c r="E239" s="535"/>
      <c r="F239" s="535"/>
      <c r="G239" s="535"/>
      <c r="H239" s="535"/>
      <c r="I239" s="535"/>
      <c r="J239" s="535"/>
      <c r="K239" s="535"/>
      <c r="L239" s="535"/>
      <c r="M239" s="535"/>
      <c r="N239" s="535"/>
      <c r="O239" s="535"/>
      <c r="P239" s="535"/>
      <c r="Q239" s="535"/>
      <c r="R239" s="535"/>
      <c r="S239" s="535"/>
      <c r="T239" s="535"/>
      <c r="U239" s="535"/>
      <c r="V239" s="535"/>
      <c r="X239" s="535">
        <f>+'Detailed Disclosure'!X239/'Detailed Disclosures - USD'!X$313</f>
        <v>0</v>
      </c>
      <c r="Y239" s="535">
        <f>+'Detailed Disclosure'!Y239/'Detailed Disclosures - USD'!Y$313</f>
        <v>0</v>
      </c>
      <c r="Z239" s="535">
        <f>+'Detailed Disclosure'!Z239/'Detailed Disclosures - USD'!Z$313</f>
        <v>-2388.8702186111636</v>
      </c>
      <c r="AA239" s="535">
        <f>+'Detailed Disclosure'!AA239/'Detailed Disclosures - USD'!AA$313</f>
        <v>0</v>
      </c>
      <c r="AB239" s="535">
        <f>+'Detailed Disclosure'!AB239/'Detailed Disclosures - USD'!AB$313</f>
        <v>0</v>
      </c>
      <c r="AC239" s="535">
        <f>+'Detailed Disclosure'!AC239/'Detailed Disclosures - USD'!AC$313</f>
        <v>0</v>
      </c>
      <c r="AD239" s="535">
        <f>+'Detailed Disclosure'!AD239/'Detailed Disclosures - USD'!AD$313</f>
        <v>0</v>
      </c>
      <c r="AE239" s="535">
        <f>+'Detailed Disclosure'!AE239/'Detailed Disclosures - USD'!AE$313</f>
        <v>0</v>
      </c>
      <c r="AF239" s="535">
        <f>+'Detailed Disclosure'!AF239/'Detailed Disclosures - USD'!AF$313</f>
        <v>0</v>
      </c>
      <c r="AG239" s="535">
        <f>+'Detailed Disclosure'!AG239/'Detailed Disclosures - USD'!AG$313</f>
        <v>0</v>
      </c>
      <c r="AH239" s="535"/>
      <c r="AI239" s="535"/>
      <c r="AJ239" s="610"/>
      <c r="AK239" s="610"/>
      <c r="AL239" s="535">
        <f t="shared" si="379"/>
        <v>0</v>
      </c>
      <c r="AM239" s="535">
        <f t="shared" si="380"/>
        <v>-2388.8702186111636</v>
      </c>
      <c r="AN239" s="535">
        <f t="shared" si="381"/>
        <v>0</v>
      </c>
      <c r="AO239" s="535">
        <f t="shared" si="373"/>
        <v>0</v>
      </c>
      <c r="AP239" s="535">
        <f t="shared" si="374"/>
        <v>0</v>
      </c>
      <c r="AQ239" s="535"/>
      <c r="AR239" s="535"/>
      <c r="AS239" s="535"/>
      <c r="AT239" s="535"/>
      <c r="AU239" s="535"/>
    </row>
    <row r="240" spans="1:47">
      <c r="A240" s="527" t="s">
        <v>395</v>
      </c>
      <c r="D240" s="355"/>
      <c r="E240" s="355"/>
      <c r="F240" s="355"/>
      <c r="G240" s="355"/>
      <c r="H240" s="355"/>
      <c r="I240" s="355"/>
      <c r="J240" s="355"/>
      <c r="K240" s="355"/>
      <c r="L240" s="355"/>
      <c r="M240" s="355"/>
      <c r="N240" s="355"/>
      <c r="O240" s="355"/>
      <c r="P240" s="355"/>
      <c r="Q240" s="355"/>
      <c r="R240" s="355"/>
      <c r="S240" s="355"/>
      <c r="T240" s="355"/>
      <c r="U240" s="355"/>
      <c r="V240" s="355"/>
      <c r="X240" s="355">
        <f>+'Detailed Disclosure'!X240/'Detailed Disclosures - USD'!X$313</f>
        <v>-67.80812396843038</v>
      </c>
      <c r="Y240" s="355">
        <f>+'Detailed Disclosure'!Y240/'Detailed Disclosures - USD'!Y$313</f>
        <v>-158.11479302016113</v>
      </c>
      <c r="Z240" s="355">
        <f>+'Detailed Disclosure'!Z240/'Detailed Disclosures - USD'!Z$313</f>
        <v>23637.414723260965</v>
      </c>
      <c r="AA240" s="355">
        <f>+'Detailed Disclosure'!AA240/'Detailed Disclosures - USD'!AA$313</f>
        <v>-0.26523287108699645</v>
      </c>
      <c r="AB240" s="355">
        <f>+'Detailed Disclosure'!AB240/'Detailed Disclosures - USD'!AB$313</f>
        <v>0</v>
      </c>
      <c r="AC240" s="355">
        <f>+'Detailed Disclosure'!AC240/'Detailed Disclosures - USD'!AC$313</f>
        <v>0</v>
      </c>
      <c r="AD240" s="355">
        <f>+'Detailed Disclosure'!AD240/'Detailed Disclosures - USD'!AD$313</f>
        <v>0</v>
      </c>
      <c r="AE240" s="355">
        <f>+'Detailed Disclosure'!AE240/'Detailed Disclosures - USD'!AE$313</f>
        <v>-913.65359096642158</v>
      </c>
      <c r="AF240" s="355">
        <f>+'Detailed Disclosure'!AF240/'Detailed Disclosures - USD'!AF$313</f>
        <v>0</v>
      </c>
      <c r="AG240" s="355">
        <f>+'Detailed Disclosure'!AG240/'Detailed Disclosures - USD'!AG$313</f>
        <v>-6773.9402095389287</v>
      </c>
      <c r="AH240" s="355"/>
      <c r="AI240" s="355"/>
      <c r="AJ240" s="613">
        <f>+'Detailed Disclosure'!AJ240/'Detailed Disclosures - USD'!AJ$313</f>
        <v>55.788325337643379</v>
      </c>
      <c r="AK240" s="613">
        <f>+'Detailed Disclosure'!AK240/'Detailed Disclosures - USD'!AK$313</f>
        <v>-145.85924828686561</v>
      </c>
      <c r="AL240" s="355">
        <f t="shared" si="379"/>
        <v>-225.92291698859151</v>
      </c>
      <c r="AM240" s="355">
        <f t="shared" si="380"/>
        <v>23637.149490389878</v>
      </c>
      <c r="AN240" s="355">
        <f t="shared" si="381"/>
        <v>0</v>
      </c>
      <c r="AO240" s="355">
        <f t="shared" si="373"/>
        <v>-913.65359096642158</v>
      </c>
      <c r="AP240" s="355">
        <f t="shared" si="374"/>
        <v>-6773.9402095389287</v>
      </c>
      <c r="AQ240" s="355"/>
      <c r="AR240" s="355"/>
      <c r="AS240" s="355"/>
      <c r="AT240" s="355"/>
      <c r="AU240" s="355"/>
    </row>
    <row r="241" spans="1:47">
      <c r="D241" s="355"/>
      <c r="E241" s="355"/>
      <c r="F241" s="355"/>
      <c r="G241" s="355"/>
      <c r="H241" s="355"/>
      <c r="I241" s="355"/>
      <c r="J241" s="355"/>
      <c r="K241" s="355"/>
      <c r="L241" s="355"/>
      <c r="M241" s="355"/>
      <c r="N241" s="355"/>
      <c r="O241" s="355"/>
      <c r="P241" s="355"/>
      <c r="Q241" s="355"/>
      <c r="R241" s="355"/>
      <c r="S241" s="355"/>
      <c r="T241" s="355"/>
      <c r="U241" s="355"/>
      <c r="V241" s="355"/>
      <c r="X241" s="355"/>
      <c r="Y241" s="355"/>
      <c r="Z241" s="355"/>
      <c r="AA241" s="355"/>
      <c r="AB241" s="355"/>
      <c r="AC241" s="355"/>
      <c r="AD241" s="355"/>
      <c r="AE241" s="355"/>
      <c r="AF241" s="355"/>
      <c r="AG241" s="355"/>
      <c r="AH241" s="355"/>
      <c r="AI241" s="355"/>
      <c r="AJ241" s="355"/>
      <c r="AK241" s="355"/>
      <c r="AL241" s="355"/>
      <c r="AM241" s="355"/>
      <c r="AN241" s="355"/>
      <c r="AO241" s="355"/>
      <c r="AP241" s="355"/>
      <c r="AQ241" s="355"/>
      <c r="AR241" s="355"/>
      <c r="AS241" s="355"/>
      <c r="AT241" s="355"/>
      <c r="AU241" s="355"/>
    </row>
    <row r="242" spans="1:47">
      <c r="A242" s="319" t="s">
        <v>396</v>
      </c>
      <c r="D242" s="355"/>
      <c r="E242" s="355"/>
      <c r="F242" s="355"/>
      <c r="G242" s="355"/>
      <c r="H242" s="355"/>
      <c r="I242" s="355"/>
      <c r="J242" s="355"/>
      <c r="K242" s="355"/>
      <c r="L242" s="355"/>
      <c r="M242" s="355"/>
      <c r="N242" s="355"/>
      <c r="O242" s="355"/>
      <c r="P242" s="355"/>
      <c r="Q242" s="355"/>
      <c r="R242" s="355"/>
      <c r="S242" s="355"/>
      <c r="T242" s="355"/>
      <c r="U242" s="355"/>
      <c r="V242" s="355"/>
      <c r="X242" s="355"/>
      <c r="Y242" s="355"/>
      <c r="Z242" s="355">
        <f>+'Detailed Disclosure'!Z242/'Detailed Disclosures - USD'!Z$313</f>
        <v>29050.959655112045</v>
      </c>
      <c r="AA242" s="355">
        <f>+'Detailed Disclosure'!AA242/'Detailed Disclosures - USD'!AA$313</f>
        <v>1959.9637447487239</v>
      </c>
      <c r="AB242" s="355">
        <f>+AB240+AB232+AB228</f>
        <v>6397.2355766841829</v>
      </c>
      <c r="AC242" s="355">
        <f>+AC240+AC232+AC228</f>
        <v>-22863.059985610395</v>
      </c>
      <c r="AD242" s="355">
        <f t="shared" ref="AD242:AE242" si="384">+AD240+AD232+AD228</f>
        <v>20564.824822561393</v>
      </c>
      <c r="AE242" s="355">
        <f t="shared" si="384"/>
        <v>-5176.2549910813705</v>
      </c>
      <c r="AF242" s="355">
        <f t="shared" ref="AF242:AG242" si="385">+AF240+AF232+AF228</f>
        <v>37515.325712848215</v>
      </c>
      <c r="AG242" s="355">
        <f t="shared" si="385"/>
        <v>-12553.674360032426</v>
      </c>
      <c r="AH242" s="355"/>
      <c r="AI242" s="355"/>
      <c r="AJ242" s="610"/>
      <c r="AK242" s="610"/>
      <c r="AL242" s="355"/>
      <c r="AM242" s="355">
        <f>+'Detailed Disclosure'!AM242/'Detailed Disclosures - USD'!AM$313</f>
        <v>31876.963774231379</v>
      </c>
      <c r="AN242" s="355">
        <f>+SUM(AB242:AC242)</f>
        <v>-16465.824408926212</v>
      </c>
      <c r="AO242" s="355">
        <f t="shared" si="373"/>
        <v>15388.569831480023</v>
      </c>
      <c r="AP242" s="355">
        <f t="shared" si="374"/>
        <v>24961.651352815788</v>
      </c>
      <c r="AQ242" s="355"/>
      <c r="AR242" s="355"/>
      <c r="AS242" s="355"/>
      <c r="AT242" s="355"/>
      <c r="AU242" s="355"/>
    </row>
    <row r="243" spans="1:47">
      <c r="A243" s="319" t="s">
        <v>397</v>
      </c>
      <c r="D243" s="355"/>
      <c r="E243" s="355"/>
      <c r="F243" s="355"/>
      <c r="G243" s="355"/>
      <c r="H243" s="355"/>
      <c r="I243" s="355"/>
      <c r="J243" s="355"/>
      <c r="K243" s="355"/>
      <c r="L243" s="355"/>
      <c r="M243" s="355"/>
      <c r="N243" s="355"/>
      <c r="O243" s="355"/>
      <c r="P243" s="355"/>
      <c r="Q243" s="355"/>
      <c r="R243" s="355"/>
      <c r="S243" s="355"/>
      <c r="T243" s="355"/>
      <c r="U243" s="355"/>
      <c r="V243" s="355"/>
      <c r="X243" s="355"/>
      <c r="Y243" s="355"/>
      <c r="Z243" s="355">
        <f>+'Detailed Disclosure'!Z243/'Detailed Disclosures - USD'!Z$313</f>
        <v>3177.9086307816251</v>
      </c>
      <c r="AA243" s="355">
        <f>+'Detailed Disclosure'!AA243/'Detailed Disclosures - USD'!AA$313</f>
        <v>34378.970476102128</v>
      </c>
      <c r="AB243" s="355">
        <f>+'Detailed Disclosure'!AB243/'Detailed Disclosures - USD'!AB$313</f>
        <v>34475.926610158633</v>
      </c>
      <c r="AC243" s="355">
        <f>+'Detailed Disclosure'!AC243/'Detailed Disclosures - USD'!AC$313</f>
        <v>39904.74419040748</v>
      </c>
      <c r="AD243" s="355">
        <f>+'Detailed Disclosure'!AD243/'Detailed Disclosures - USD'!AD$313</f>
        <v>15190.632414211837</v>
      </c>
      <c r="AE243" s="355">
        <f>+'Detailed Disclosure'!AE243/'Detailed Disclosures - USD'!AE$313</f>
        <v>36010.206595317482</v>
      </c>
      <c r="AF243" s="355">
        <f>+'Detailed Disclosure'!AF243/'Detailed Disclosures - USD'!AF$313</f>
        <v>30236.769795214987</v>
      </c>
      <c r="AG243" s="355">
        <f>+'Detailed Disclosure'!AG243/'Detailed Disclosures - USD'!AG$313</f>
        <v>65692.572741709402</v>
      </c>
      <c r="AH243" s="355"/>
      <c r="AI243" s="355"/>
      <c r="AJ243" s="610"/>
      <c r="AK243" s="610"/>
      <c r="AL243" s="355"/>
      <c r="AM243" s="355">
        <f>+'Detailed Disclosure'!AM243/'Detailed Disclosures - USD'!AM$313</f>
        <v>3279.6214430325726</v>
      </c>
      <c r="AN243" s="355">
        <f>+'Detailed Disclosure'!AN243/'Detailed Disclosures - USD'!AN$313</f>
        <v>34183.335221071975</v>
      </c>
      <c r="AO243" s="355">
        <f>+AD243</f>
        <v>15190.632414211837</v>
      </c>
      <c r="AP243" s="355">
        <f t="shared" si="374"/>
        <v>95929.342536924392</v>
      </c>
      <c r="AQ243" s="355"/>
      <c r="AR243" s="355"/>
      <c r="AS243" s="355"/>
      <c r="AT243" s="355"/>
      <c r="AU243" s="355"/>
    </row>
    <row r="244" spans="1:47" s="513" customFormat="1">
      <c r="A244" s="319" t="str">
        <f>+'Detailed Disclosure'!A244</f>
        <v>Effect of FX Changes on Cash and Cash Equivalents</v>
      </c>
      <c r="D244" s="535"/>
      <c r="E244" s="535"/>
      <c r="F244" s="535"/>
      <c r="G244" s="535"/>
      <c r="H244" s="535"/>
      <c r="I244" s="535"/>
      <c r="J244" s="535"/>
      <c r="K244" s="535"/>
      <c r="L244" s="535"/>
      <c r="M244" s="535"/>
      <c r="N244" s="535"/>
      <c r="O244" s="535"/>
      <c r="P244" s="535"/>
      <c r="Q244" s="535"/>
      <c r="R244" s="535"/>
      <c r="S244" s="535"/>
      <c r="T244" s="535"/>
      <c r="U244" s="535"/>
      <c r="V244" s="535"/>
      <c r="X244" s="355"/>
      <c r="Y244" s="355"/>
      <c r="Z244" s="535">
        <f>+'Detailed Disclosure'!Z244/'Detailed Disclosures - USD'!Z$313</f>
        <v>0</v>
      </c>
      <c r="AA244" s="535">
        <f>+'Detailed Disclosure'!AA244/'Detailed Disclosures - USD'!AA$313</f>
        <v>0</v>
      </c>
      <c r="AB244" s="535">
        <f>+'Detailed Disclosure'!AB244/'Detailed Disclosures - USD'!AB$313</f>
        <v>-279.62943306184548</v>
      </c>
      <c r="AC244" s="535">
        <f>+'Detailed Disclosure'!AC244/'Detailed Disclosures - USD'!AC$313</f>
        <v>-737.54698983388471</v>
      </c>
      <c r="AD244" s="535">
        <f>+'Detailed Disclosure'!AD244/'Detailed Disclosures - USD'!AD$313</f>
        <v>-36.023867847497016</v>
      </c>
      <c r="AE244" s="535">
        <f>+'Detailed Disclosure'!AE244/'Detailed Disclosures - USD'!AE$313</f>
        <v>445.63697019904566</v>
      </c>
      <c r="AF244" s="535">
        <f>+'Detailed Disclosure'!AF244/'Detailed Disclosures - USD'!AF$313</f>
        <v>-2589.6423734794848</v>
      </c>
      <c r="AG244" s="535">
        <f>+'Detailed Disclosure'!AG244/'Detailed Disclosures - USD'!AG$313</f>
        <v>-1167.3995044525827</v>
      </c>
      <c r="AH244" s="535"/>
      <c r="AI244" s="355"/>
      <c r="AJ244" s="610"/>
      <c r="AK244" s="610"/>
      <c r="AL244" s="535"/>
      <c r="AM244" s="535">
        <v>0</v>
      </c>
      <c r="AN244" s="535">
        <f>+SUM(AB244:AC244)</f>
        <v>-1017.1764228957302</v>
      </c>
      <c r="AO244" s="535">
        <f t="shared" si="373"/>
        <v>409.61310235154866</v>
      </c>
      <c r="AP244" s="535">
        <f t="shared" si="374"/>
        <v>-3757.0418779320676</v>
      </c>
      <c r="AQ244" s="535"/>
      <c r="AR244" s="535"/>
      <c r="AS244" s="535"/>
      <c r="AT244" s="535"/>
      <c r="AU244" s="535"/>
    </row>
    <row r="245" spans="1:47">
      <c r="A245" s="527" t="s">
        <v>398</v>
      </c>
      <c r="D245" s="355"/>
      <c r="E245" s="355"/>
      <c r="F245" s="355"/>
      <c r="G245" s="355"/>
      <c r="H245" s="355"/>
      <c r="I245" s="355"/>
      <c r="J245" s="355"/>
      <c r="K245" s="355"/>
      <c r="L245" s="355"/>
      <c r="M245" s="355"/>
      <c r="N245" s="355"/>
      <c r="O245" s="355"/>
      <c r="P245" s="355"/>
      <c r="Q245" s="355"/>
      <c r="R245" s="355"/>
      <c r="S245" s="355"/>
      <c r="T245" s="355"/>
      <c r="U245" s="355"/>
      <c r="V245" s="355"/>
      <c r="X245" s="355"/>
      <c r="Y245" s="355"/>
      <c r="Z245" s="355">
        <f>+'Detailed Disclosure'!Z245/'Detailed Disclosures - USD'!Z$313</f>
        <v>32228.86828589367</v>
      </c>
      <c r="AA245" s="355">
        <f>+'Detailed Disclosure'!AA245/'Detailed Disclosures - USD'!AA$313</f>
        <v>36338.934220850853</v>
      </c>
      <c r="AB245" s="355">
        <f>+'Detailed Disclosure'!AB245/'Detailed Disclosures - USD'!AB$313</f>
        <v>40593.532753780972</v>
      </c>
      <c r="AC245" s="355">
        <f>+'Detailed Disclosure'!AC245/'Detailed Disclosures - USD'!AC$313</f>
        <v>16304.137214963199</v>
      </c>
      <c r="AD245" s="355">
        <f>+'Detailed Disclosure'!AD245/'Detailed Disclosures - USD'!AD$313</f>
        <v>35719.433368925733</v>
      </c>
      <c r="AE245" s="355">
        <f>+'Detailed Disclosure'!AE245/'Detailed Disclosures - USD'!AE$313</f>
        <v>31279.588574435158</v>
      </c>
      <c r="AF245" s="355">
        <f>+'Detailed Disclosure'!AF245/'Detailed Disclosures - USD'!AF$313</f>
        <v>65162.453134583717</v>
      </c>
      <c r="AG245" s="355">
        <f>+'Detailed Disclosure'!AG245/'Detailed Disclosures - USD'!AG$313</f>
        <v>51971.498877224396</v>
      </c>
      <c r="AH245" s="355"/>
      <c r="AI245" s="355"/>
      <c r="AJ245" s="610"/>
      <c r="AK245" s="610"/>
      <c r="AL245" s="355">
        <f>+'Detailed Disclosure'!AL245/'Detailed Disclosures - USD'!AL$313</f>
        <v>2946.2505503204993</v>
      </c>
      <c r="AM245" s="355">
        <f>+'Detailed Disclosure'!AM245/'Detailed Disclosures - USD'!AM$313</f>
        <v>35156.58521726395</v>
      </c>
      <c r="AN245" s="355">
        <f>+AC245</f>
        <v>16304.137214963199</v>
      </c>
      <c r="AO245" s="355">
        <f>+AE245</f>
        <v>31279.588574435158</v>
      </c>
      <c r="AP245" s="355">
        <f t="shared" si="374"/>
        <v>117133.95201180811</v>
      </c>
      <c r="AQ245" s="535"/>
      <c r="AR245" s="355"/>
      <c r="AS245" s="355"/>
      <c r="AT245" s="355"/>
      <c r="AU245" s="355"/>
    </row>
    <row r="246" spans="1:47">
      <c r="D246" s="355"/>
      <c r="E246" s="355"/>
      <c r="F246" s="355"/>
      <c r="G246" s="355"/>
      <c r="H246" s="355"/>
      <c r="I246" s="355"/>
      <c r="J246" s="355"/>
      <c r="K246" s="355"/>
      <c r="L246" s="355"/>
      <c r="M246" s="355"/>
      <c r="N246" s="355"/>
      <c r="O246" s="355"/>
      <c r="P246" s="355"/>
      <c r="Q246" s="355"/>
      <c r="R246" s="355"/>
      <c r="S246" s="355"/>
      <c r="T246" s="355"/>
      <c r="U246" s="355"/>
      <c r="V246" s="355"/>
      <c r="X246" s="355"/>
      <c r="Y246" s="355"/>
      <c r="Z246" s="355"/>
      <c r="AA246" s="355"/>
      <c r="AB246" s="355"/>
      <c r="AC246" s="355"/>
      <c r="AD246" s="355"/>
      <c r="AE246" s="355"/>
      <c r="AF246" s="355"/>
      <c r="AG246" s="355"/>
      <c r="AH246" s="355"/>
      <c r="AI246" s="355"/>
      <c r="AJ246" s="355"/>
      <c r="AK246" s="355"/>
      <c r="AL246" s="355"/>
      <c r="AM246" s="355"/>
      <c r="AN246" s="355"/>
      <c r="AO246" s="355"/>
      <c r="AP246" s="355"/>
      <c r="AQ246" s="355"/>
      <c r="AR246" s="355"/>
      <c r="AS246" s="355"/>
      <c r="AT246" s="355"/>
      <c r="AU246" s="355"/>
    </row>
    <row r="247" spans="1:47">
      <c r="A247" s="513" t="s">
        <v>1562</v>
      </c>
      <c r="D247" s="355"/>
      <c r="E247" s="355"/>
      <c r="F247" s="355"/>
      <c r="G247" s="355"/>
      <c r="H247" s="355"/>
      <c r="I247" s="355"/>
      <c r="J247" s="355"/>
      <c r="K247" s="355"/>
      <c r="L247" s="355"/>
      <c r="M247" s="355"/>
      <c r="N247" s="355"/>
      <c r="O247" s="355"/>
      <c r="P247" s="355"/>
      <c r="Q247" s="355"/>
      <c r="R247" s="355"/>
      <c r="S247" s="355"/>
      <c r="T247" s="355"/>
      <c r="U247" s="355"/>
      <c r="V247" s="355"/>
      <c r="X247" s="355"/>
      <c r="Y247" s="355"/>
      <c r="Z247" s="355"/>
      <c r="AA247" s="355"/>
      <c r="AB247" s="355"/>
      <c r="AC247" s="355"/>
      <c r="AD247" s="355"/>
      <c r="AE247" s="355"/>
      <c r="AF247" s="355"/>
      <c r="AG247" s="355"/>
      <c r="AH247" s="355"/>
      <c r="AI247" s="355"/>
      <c r="AJ247" s="355"/>
      <c r="AK247" s="355"/>
      <c r="AL247" s="355"/>
      <c r="AM247" s="355"/>
      <c r="AN247" s="355"/>
      <c r="AO247" s="355"/>
      <c r="AP247" s="355"/>
      <c r="AQ247" s="355"/>
      <c r="AR247" s="355"/>
      <c r="AS247" s="355"/>
      <c r="AT247" s="355"/>
      <c r="AU247" s="355"/>
    </row>
    <row r="248" spans="1:47">
      <c r="A248" s="319" t="s">
        <v>1563</v>
      </c>
      <c r="D248" s="355"/>
      <c r="E248" s="355"/>
      <c r="F248" s="355"/>
      <c r="G248" s="355"/>
      <c r="H248" s="355"/>
      <c r="I248" s="355"/>
      <c r="J248" s="355"/>
      <c r="K248" s="355"/>
      <c r="L248" s="355"/>
      <c r="M248" s="355"/>
      <c r="N248" s="355"/>
      <c r="O248" s="355"/>
      <c r="P248" s="355"/>
      <c r="Q248" s="355"/>
      <c r="R248" s="355"/>
      <c r="S248" s="355"/>
      <c r="T248" s="355"/>
      <c r="U248" s="355"/>
      <c r="V248" s="355"/>
      <c r="X248" s="355"/>
      <c r="Y248" s="355"/>
      <c r="Z248" s="355"/>
      <c r="AA248" s="355"/>
      <c r="AB248" s="355"/>
      <c r="AC248" s="355"/>
      <c r="AD248" s="355"/>
      <c r="AE248" s="355"/>
      <c r="AF248" s="355"/>
      <c r="AG248" s="355"/>
      <c r="AH248" s="355"/>
      <c r="AI248" s="355"/>
      <c r="AJ248" s="355"/>
      <c r="AK248" s="355"/>
      <c r="AL248" s="355">
        <f>'Detailed Disclosure'!AL248*('Detailed Disclosures - USD'!$AL$228/'Detailed Disclosure'!$AL$228)</f>
        <v>1013.0660677145373</v>
      </c>
      <c r="AM248" s="355">
        <f>'Detailed Disclosure'!AM248*('Detailed Disclosures - USD'!$AM$228/'Detailed Disclosure'!$AM$228)</f>
        <v>-185.48080449379964</v>
      </c>
      <c r="AN248" s="355">
        <f>'Detailed Disclosure'!AN248*('Detailed Disclosures - USD'!$AN$228/'Detailed Disclosure'!$AN$228)</f>
        <v>-13509.242708388474</v>
      </c>
      <c r="AO248" s="355">
        <f>'Detailed Disclosure'!AO248*('Detailed Disclosures - USD'!$AO$228/'Detailed Disclosure'!$AO$228)</f>
        <v>10697.975827506974</v>
      </c>
      <c r="AP248" s="355">
        <f>'Detailed Disclosure'!AP248*('Detailed Disclosures - USD'!$AP$228/'Detailed Disclosure'!$AP$228)</f>
        <v>6837.1485933267431</v>
      </c>
      <c r="AQ248" s="355"/>
      <c r="AR248" s="355"/>
      <c r="AS248" s="355"/>
      <c r="AT248" s="355"/>
      <c r="AU248" s="355"/>
    </row>
    <row r="249" spans="1:47">
      <c r="A249" s="319" t="s">
        <v>1564</v>
      </c>
      <c r="D249" s="355"/>
      <c r="E249" s="355"/>
      <c r="F249" s="355"/>
      <c r="G249" s="355"/>
      <c r="H249" s="355"/>
      <c r="I249" s="355"/>
      <c r="J249" s="355"/>
      <c r="K249" s="355"/>
      <c r="L249" s="355"/>
      <c r="M249" s="355"/>
      <c r="N249" s="355"/>
      <c r="O249" s="355"/>
      <c r="P249" s="355"/>
      <c r="Q249" s="355"/>
      <c r="R249" s="355"/>
      <c r="S249" s="355"/>
      <c r="T249" s="355"/>
      <c r="U249" s="355"/>
      <c r="V249" s="355"/>
      <c r="X249" s="355"/>
      <c r="Y249" s="355"/>
      <c r="Z249" s="355"/>
      <c r="AA249" s="355"/>
      <c r="AB249" s="355"/>
      <c r="AC249" s="355"/>
      <c r="AD249" s="355"/>
      <c r="AE249" s="355"/>
      <c r="AF249" s="355"/>
      <c r="AG249" s="355"/>
      <c r="AH249" s="355"/>
      <c r="AI249" s="355"/>
      <c r="AJ249" s="355"/>
      <c r="AK249" s="355"/>
      <c r="AL249" s="355"/>
      <c r="AM249" s="355"/>
      <c r="AN249" s="355"/>
      <c r="AO249" s="355"/>
      <c r="AP249" s="355"/>
      <c r="AQ249" s="355"/>
      <c r="AR249" s="355"/>
      <c r="AS249" s="355"/>
      <c r="AT249" s="355"/>
      <c r="AU249" s="355"/>
    </row>
    <row r="250" spans="1:47">
      <c r="A250" s="527" t="s">
        <v>1578</v>
      </c>
      <c r="D250" s="355"/>
      <c r="E250" s="355"/>
      <c r="F250" s="355"/>
      <c r="G250" s="355"/>
      <c r="H250" s="355"/>
      <c r="I250" s="355"/>
      <c r="J250" s="355"/>
      <c r="K250" s="355"/>
      <c r="L250" s="355"/>
      <c r="M250" s="355"/>
      <c r="N250" s="355"/>
      <c r="O250" s="355"/>
      <c r="P250" s="355"/>
      <c r="Q250" s="355"/>
      <c r="R250" s="355"/>
      <c r="S250" s="355"/>
      <c r="T250" s="355"/>
      <c r="U250" s="355"/>
      <c r="V250" s="355"/>
      <c r="X250" s="355"/>
      <c r="Y250" s="355"/>
      <c r="Z250" s="355"/>
      <c r="AA250" s="355"/>
      <c r="AB250" s="355"/>
      <c r="AC250" s="355"/>
      <c r="AD250" s="355"/>
      <c r="AE250" s="355"/>
      <c r="AF250" s="355"/>
      <c r="AG250" s="355"/>
      <c r="AH250" s="355"/>
      <c r="AI250" s="355"/>
      <c r="AJ250" s="355"/>
      <c r="AK250" s="355"/>
      <c r="AL250" s="355">
        <f>'Detailed Disclosure'!AL250*('Detailed Disclosures - USD'!$AL$228/'Detailed Disclosure'!$AL$228)</f>
        <v>241.79068653200704</v>
      </c>
      <c r="AM250" s="355">
        <f>'Detailed Disclosure'!AM250*('Detailed Disclosures - USD'!$AM$228/'Detailed Disclosure'!$AM$228)</f>
        <v>489.97068521119411</v>
      </c>
      <c r="AN250" s="355">
        <f>'Detailed Disclosure'!AN250*('Detailed Disclosures - USD'!$AN$228/'Detailed Disclosure'!$AN$228)</f>
        <v>1259.7272599999208</v>
      </c>
      <c r="AO250" s="355">
        <f>'Detailed Disclosure'!AO250*('Detailed Disclosures - USD'!$AO$228/'Detailed Disclosure'!$AO$228)</f>
        <v>2726.929536072786</v>
      </c>
      <c r="AP250" s="355">
        <f>'Detailed Disclosure'!AP250*('Detailed Disclosures - USD'!$AP$228/'Detailed Disclosure'!$AP$228)</f>
        <v>4237.9026626097557</v>
      </c>
      <c r="AQ250" s="355"/>
      <c r="AR250" s="355"/>
      <c r="AS250" s="355"/>
      <c r="AT250" s="355"/>
      <c r="AU250" s="355"/>
    </row>
    <row r="251" spans="1:47">
      <c r="A251" s="527" t="s">
        <v>1565</v>
      </c>
      <c r="D251" s="355"/>
      <c r="E251" s="355"/>
      <c r="F251" s="355"/>
      <c r="G251" s="355"/>
      <c r="H251" s="355"/>
      <c r="I251" s="355"/>
      <c r="J251" s="355"/>
      <c r="K251" s="355"/>
      <c r="L251" s="355"/>
      <c r="M251" s="355"/>
      <c r="N251" s="355"/>
      <c r="O251" s="355"/>
      <c r="P251" s="355"/>
      <c r="Q251" s="355"/>
      <c r="R251" s="355"/>
      <c r="S251" s="355"/>
      <c r="T251" s="355"/>
      <c r="U251" s="355"/>
      <c r="V251" s="355"/>
      <c r="X251" s="355"/>
      <c r="Y251" s="355"/>
      <c r="Z251" s="355"/>
      <c r="AA251" s="355"/>
      <c r="AB251" s="355"/>
      <c r="AC251" s="355"/>
      <c r="AD251" s="355"/>
      <c r="AE251" s="355"/>
      <c r="AF251" s="355"/>
      <c r="AG251" s="355"/>
      <c r="AH251" s="355"/>
      <c r="AI251" s="355"/>
      <c r="AJ251" s="355"/>
      <c r="AK251" s="355"/>
      <c r="AL251" s="355">
        <f>'Detailed Disclosure'!AL251*('Detailed Disclosures - USD'!$AL$228/'Detailed Disclosure'!$AL$228)</f>
        <v>0.81130714009257499</v>
      </c>
      <c r="AM251" s="355">
        <f>'Detailed Disclosure'!AM251*('Detailed Disclosures - USD'!$AM$228/'Detailed Disclosure'!$AM$228)</f>
        <v>196.82579924901191</v>
      </c>
      <c r="AN251" s="355">
        <f>'Detailed Disclosure'!AN251*('Detailed Disclosures - USD'!$AN$228/'Detailed Disclosure'!$AN$228)</f>
        <v>524.48252463880135</v>
      </c>
      <c r="AO251" s="355">
        <f>'Detailed Disclosure'!AO251*('Detailed Disclosures - USD'!$AO$228/'Detailed Disclosure'!$AO$228)</f>
        <v>-235.99620623400975</v>
      </c>
      <c r="AP251" s="355">
        <f>'Detailed Disclosure'!AP251*('Detailed Disclosures - USD'!$AP$228/'Detailed Disclosure'!$AP$228)</f>
        <v>-422.70971747892855</v>
      </c>
      <c r="AQ251" s="355"/>
      <c r="AR251" s="355"/>
      <c r="AS251" s="355"/>
      <c r="AT251" s="355"/>
      <c r="AU251" s="355"/>
    </row>
    <row r="252" spans="1:47">
      <c r="A252" s="527" t="s">
        <v>1566</v>
      </c>
      <c r="D252" s="355"/>
      <c r="E252" s="355"/>
      <c r="F252" s="355"/>
      <c r="G252" s="355"/>
      <c r="H252" s="355"/>
      <c r="I252" s="355"/>
      <c r="J252" s="355"/>
      <c r="K252" s="355"/>
      <c r="L252" s="355"/>
      <c r="M252" s="355"/>
      <c r="N252" s="355"/>
      <c r="O252" s="355"/>
      <c r="P252" s="355"/>
      <c r="Q252" s="355"/>
      <c r="R252" s="355"/>
      <c r="S252" s="355"/>
      <c r="T252" s="355"/>
      <c r="U252" s="355"/>
      <c r="V252" s="355"/>
      <c r="X252" s="355"/>
      <c r="Y252" s="355"/>
      <c r="Z252" s="355"/>
      <c r="AA252" s="355"/>
      <c r="AB252" s="355"/>
      <c r="AC252" s="355"/>
      <c r="AD252" s="355"/>
      <c r="AE252" s="355"/>
      <c r="AF252" s="355"/>
      <c r="AG252" s="355"/>
      <c r="AH252" s="355"/>
      <c r="AI252" s="355"/>
      <c r="AJ252" s="355"/>
      <c r="AK252" s="355"/>
      <c r="AL252" s="355">
        <f>'Detailed Disclosure'!AL252*('Detailed Disclosures - USD'!$AL$228/'Detailed Disclosure'!$AL$228)</f>
        <v>0</v>
      </c>
      <c r="AM252" s="355">
        <f>'Detailed Disclosure'!AM252*('Detailed Disclosures - USD'!$AM$228/'Detailed Disclosure'!$AM$228)</f>
        <v>201.71136270879509</v>
      </c>
      <c r="AN252" s="355">
        <f>'Detailed Disclosure'!AN252*('Detailed Disclosures - USD'!$AN$228/'Detailed Disclosure'!$AN$228)</f>
        <v>997.79215063054676</v>
      </c>
      <c r="AO252" s="355">
        <f>'Detailed Disclosure'!AO252*('Detailed Disclosures - USD'!$AO$228/'Detailed Disclosure'!$AO$228)</f>
        <v>-406.07056519600746</v>
      </c>
      <c r="AP252" s="355">
        <f>'Detailed Disclosure'!AP252*('Detailed Disclosures - USD'!$AP$228/'Detailed Disclosure'!$AP$228)</f>
        <v>3746.6517920204924</v>
      </c>
      <c r="AQ252" s="355"/>
      <c r="AR252" s="355"/>
      <c r="AS252" s="355"/>
      <c r="AT252" s="355"/>
      <c r="AU252" s="355"/>
    </row>
    <row r="253" spans="1:47">
      <c r="A253" s="527" t="s">
        <v>1567</v>
      </c>
      <c r="D253" s="355"/>
      <c r="E253" s="355"/>
      <c r="F253" s="355"/>
      <c r="G253" s="355"/>
      <c r="H253" s="355"/>
      <c r="I253" s="355"/>
      <c r="J253" s="355"/>
      <c r="K253" s="355"/>
      <c r="L253" s="355"/>
      <c r="M253" s="355"/>
      <c r="N253" s="355"/>
      <c r="O253" s="355"/>
      <c r="P253" s="355"/>
      <c r="Q253" s="355"/>
      <c r="R253" s="355"/>
      <c r="S253" s="355"/>
      <c r="T253" s="355"/>
      <c r="U253" s="355"/>
      <c r="V253" s="355"/>
      <c r="X253" s="355"/>
      <c r="Y253" s="355"/>
      <c r="Z253" s="355"/>
      <c r="AA253" s="355"/>
      <c r="AB253" s="355"/>
      <c r="AC253" s="355"/>
      <c r="AD253" s="355"/>
      <c r="AE253" s="355"/>
      <c r="AF253" s="355"/>
      <c r="AG253" s="355"/>
      <c r="AH253" s="355"/>
      <c r="AI253" s="355"/>
      <c r="AJ253" s="355"/>
      <c r="AK253" s="355"/>
      <c r="AL253" s="355">
        <f>'Detailed Disclosure'!AL253*('Detailed Disclosures - USD'!$AL$228/'Detailed Disclosure'!$AL$228)</f>
        <v>0</v>
      </c>
      <c r="AM253" s="355">
        <f>'Detailed Disclosure'!AM253*('Detailed Disclosures - USD'!$AM$228/'Detailed Disclosure'!$AM$228)</f>
        <v>51.399229541972737</v>
      </c>
      <c r="AN253" s="355">
        <f>'Detailed Disclosure'!AN253*('Detailed Disclosures - USD'!$AN$228/'Detailed Disclosure'!$AN$228)</f>
        <v>345.89046904035405</v>
      </c>
      <c r="AO253" s="355">
        <f>'Detailed Disclosure'!AO253*('Detailed Disclosures - USD'!$AO$228/'Detailed Disclosure'!$AO$228)</f>
        <v>802.73138154578589</v>
      </c>
      <c r="AP253" s="355">
        <f>'Detailed Disclosure'!AP253*('Detailed Disclosures - USD'!$AP$228/'Detailed Disclosure'!$AP$228)</f>
        <v>1886.0014890986665</v>
      </c>
      <c r="AQ253" s="355"/>
      <c r="AR253" s="355"/>
      <c r="AS253" s="355"/>
      <c r="AT253" s="355"/>
      <c r="AU253" s="355"/>
    </row>
    <row r="254" spans="1:47">
      <c r="A254" s="319" t="s">
        <v>1568</v>
      </c>
      <c r="D254" s="355"/>
      <c r="E254" s="355"/>
      <c r="F254" s="355"/>
      <c r="G254" s="355"/>
      <c r="H254" s="355"/>
      <c r="I254" s="355"/>
      <c r="J254" s="355"/>
      <c r="K254" s="355"/>
      <c r="L254" s="355"/>
      <c r="M254" s="355"/>
      <c r="N254" s="355"/>
      <c r="O254" s="355"/>
      <c r="P254" s="355"/>
      <c r="Q254" s="355"/>
      <c r="R254" s="355"/>
      <c r="S254" s="355"/>
      <c r="T254" s="355"/>
      <c r="U254" s="355"/>
      <c r="V254" s="355"/>
      <c r="X254" s="355"/>
      <c r="Y254" s="355"/>
      <c r="Z254" s="355"/>
      <c r="AA254" s="355"/>
      <c r="AB254" s="355"/>
      <c r="AC254" s="355"/>
      <c r="AD254" s="355"/>
      <c r="AE254" s="355"/>
      <c r="AF254" s="355"/>
      <c r="AG254" s="355"/>
      <c r="AH254" s="355"/>
      <c r="AI254" s="355"/>
      <c r="AJ254" s="355"/>
      <c r="AK254" s="355"/>
      <c r="AL254" s="355"/>
      <c r="AM254" s="355"/>
      <c r="AN254" s="355"/>
      <c r="AO254" s="355"/>
      <c r="AP254" s="355">
        <f>'Detailed Disclosure'!AP254*('Detailed Disclosures - USD'!$AP$228/'Detailed Disclosure'!$AP$228)</f>
        <v>0</v>
      </c>
      <c r="AQ254" s="355"/>
      <c r="AR254" s="355"/>
      <c r="AS254" s="355"/>
      <c r="AT254" s="355"/>
      <c r="AU254" s="355"/>
    </row>
    <row r="255" spans="1:47">
      <c r="A255" s="527" t="s">
        <v>1569</v>
      </c>
      <c r="D255" s="355"/>
      <c r="E255" s="355"/>
      <c r="F255" s="355"/>
      <c r="G255" s="355"/>
      <c r="H255" s="355"/>
      <c r="I255" s="355"/>
      <c r="J255" s="355"/>
      <c r="K255" s="355"/>
      <c r="L255" s="355"/>
      <c r="M255" s="355"/>
      <c r="N255" s="355"/>
      <c r="O255" s="355"/>
      <c r="P255" s="355"/>
      <c r="Q255" s="355"/>
      <c r="R255" s="355"/>
      <c r="S255" s="355"/>
      <c r="T255" s="355"/>
      <c r="U255" s="355"/>
      <c r="V255" s="355"/>
      <c r="X255" s="355"/>
      <c r="Y255" s="355"/>
      <c r="Z255" s="355"/>
      <c r="AA255" s="355"/>
      <c r="AB255" s="355"/>
      <c r="AC255" s="355"/>
      <c r="AD255" s="355"/>
      <c r="AE255" s="355"/>
      <c r="AF255" s="355"/>
      <c r="AG255" s="355"/>
      <c r="AH255" s="355"/>
      <c r="AI255" s="355"/>
      <c r="AJ255" s="355"/>
      <c r="AK255" s="355"/>
      <c r="AL255" s="355">
        <f>'Detailed Disclosure'!AL255*('Detailed Disclosures - USD'!$AL$228/'Detailed Disclosure'!$AL$228)</f>
        <v>-124.71318142973173</v>
      </c>
      <c r="AM255" s="355">
        <f>'Detailed Disclosure'!AM255*('Detailed Disclosures - USD'!$AM$228/'Detailed Disclosure'!$AM$228)</f>
        <v>-1148.4456727715808</v>
      </c>
      <c r="AN255" s="355">
        <f>'Detailed Disclosure'!AN255*('Detailed Disclosures - USD'!$AN$228/'Detailed Disclosure'!$AN$228)</f>
        <v>-2622.3644324518732</v>
      </c>
      <c r="AO255" s="355">
        <f>'Detailed Disclosure'!AO255*('Detailed Disclosures - USD'!$AO$228/'Detailed Disclosure'!$AO$228)</f>
        <v>-11174.071729395653</v>
      </c>
      <c r="AP255" s="355">
        <f>'Detailed Disclosure'!AP255*('Detailed Disclosures - USD'!$AP$228/'Detailed Disclosure'!$AP$228)</f>
        <v>-1925.4225248568919</v>
      </c>
      <c r="AQ255" s="355"/>
      <c r="AR255" s="355"/>
      <c r="AS255" s="355"/>
      <c r="AT255" s="355"/>
      <c r="AU255" s="355"/>
    </row>
    <row r="256" spans="1:47">
      <c r="A256" s="527" t="s">
        <v>1570</v>
      </c>
      <c r="D256" s="355"/>
      <c r="E256" s="355"/>
      <c r="F256" s="355"/>
      <c r="G256" s="355"/>
      <c r="H256" s="355"/>
      <c r="I256" s="355"/>
      <c r="J256" s="355"/>
      <c r="K256" s="355"/>
      <c r="L256" s="355"/>
      <c r="M256" s="355"/>
      <c r="N256" s="355"/>
      <c r="O256" s="355"/>
      <c r="P256" s="355"/>
      <c r="Q256" s="355"/>
      <c r="R256" s="355"/>
      <c r="S256" s="355"/>
      <c r="T256" s="355"/>
      <c r="U256" s="355"/>
      <c r="V256" s="355"/>
      <c r="X256" s="355"/>
      <c r="Y256" s="355"/>
      <c r="Z256" s="355"/>
      <c r="AA256" s="355"/>
      <c r="AB256" s="355"/>
      <c r="AC256" s="355"/>
      <c r="AD256" s="355"/>
      <c r="AE256" s="355"/>
      <c r="AF256" s="355"/>
      <c r="AG256" s="355"/>
      <c r="AH256" s="355"/>
      <c r="AI256" s="355"/>
      <c r="AJ256" s="355"/>
      <c r="AK256" s="355"/>
      <c r="AL256" s="355">
        <f>'Detailed Disclosure'!AL256*('Detailed Disclosures - USD'!$AL$228/'Detailed Disclosure'!$AL$228)</f>
        <v>-41.169704784616208</v>
      </c>
      <c r="AM256" s="355">
        <f>'Detailed Disclosure'!AM256*('Detailed Disclosures - USD'!$AM$228/'Detailed Disclosure'!$AM$228)</f>
        <v>-285.95132767067986</v>
      </c>
      <c r="AN256" s="355">
        <f>'Detailed Disclosure'!AN256*('Detailed Disclosures - USD'!$AN$228/'Detailed Disclosure'!$AN$228)</f>
        <v>-190.65249750482332</v>
      </c>
      <c r="AO256" s="355">
        <f>'Detailed Disclosure'!AO256*('Detailed Disclosures - USD'!$AO$228/'Detailed Disclosure'!$AO$228)</f>
        <v>-1343.8706730594342</v>
      </c>
      <c r="AP256" s="355">
        <f>'Detailed Disclosure'!AP256*('Detailed Disclosures - USD'!$AP$228/'Detailed Disclosure'!$AP$228)</f>
        <v>-31.778081977272933</v>
      </c>
      <c r="AQ256" s="355"/>
      <c r="AR256" s="355"/>
      <c r="AS256" s="355"/>
      <c r="AT256" s="355"/>
      <c r="AU256" s="355"/>
    </row>
    <row r="257" spans="1:47">
      <c r="A257" s="527" t="s">
        <v>1571</v>
      </c>
      <c r="D257" s="355"/>
      <c r="E257" s="355"/>
      <c r="F257" s="355"/>
      <c r="G257" s="355"/>
      <c r="H257" s="355"/>
      <c r="I257" s="355"/>
      <c r="J257" s="355"/>
      <c r="K257" s="355"/>
      <c r="L257" s="355"/>
      <c r="M257" s="355"/>
      <c r="N257" s="355"/>
      <c r="O257" s="355"/>
      <c r="P257" s="355"/>
      <c r="Q257" s="355"/>
      <c r="R257" s="355"/>
      <c r="S257" s="355"/>
      <c r="T257" s="355"/>
      <c r="U257" s="355"/>
      <c r="V257" s="355"/>
      <c r="X257" s="355"/>
      <c r="Y257" s="355"/>
      <c r="Z257" s="355"/>
      <c r="AA257" s="355"/>
      <c r="AB257" s="355"/>
      <c r="AC257" s="355"/>
      <c r="AD257" s="355"/>
      <c r="AE257" s="355"/>
      <c r="AF257" s="355"/>
      <c r="AG257" s="355"/>
      <c r="AH257" s="355"/>
      <c r="AI257" s="355"/>
      <c r="AJ257" s="355"/>
      <c r="AK257" s="355"/>
      <c r="AL257" s="355">
        <f>'Detailed Disclosure'!AL257*('Detailed Disclosures - USD'!$AL$228/'Detailed Disclosure'!$AL$228)</f>
        <v>-39.888275903198597</v>
      </c>
      <c r="AM257" s="355">
        <f>'Detailed Disclosure'!AM257*('Detailed Disclosures - USD'!$AM$228/'Detailed Disclosure'!$AM$228)</f>
        <v>-1017.6477282267374</v>
      </c>
      <c r="AN257" s="355">
        <f>'Detailed Disclosure'!AN257*('Detailed Disclosures - USD'!$AN$228/'Detailed Disclosure'!$AN$228)</f>
        <v>-6688.1032476144765</v>
      </c>
      <c r="AO257" s="355">
        <f>'Detailed Disclosure'!AO257*('Detailed Disclosures - USD'!$AO$228/'Detailed Disclosure'!$AO$228)</f>
        <v>2226.7949857572426</v>
      </c>
      <c r="AP257" s="355">
        <f>'Detailed Disclosure'!AP257*('Detailed Disclosures - USD'!$AP$228/'Detailed Disclosure'!$AP$228)</f>
        <v>2882.8739938301396</v>
      </c>
      <c r="AQ257" s="355"/>
      <c r="AR257" s="355"/>
      <c r="AS257" s="355"/>
      <c r="AT257" s="355"/>
      <c r="AU257" s="355"/>
    </row>
    <row r="258" spans="1:47">
      <c r="A258" s="527" t="s">
        <v>1572</v>
      </c>
      <c r="D258" s="355"/>
      <c r="E258" s="355"/>
      <c r="F258" s="355"/>
      <c r="G258" s="355"/>
      <c r="H258" s="355"/>
      <c r="I258" s="355"/>
      <c r="J258" s="355"/>
      <c r="K258" s="355"/>
      <c r="L258" s="355"/>
      <c r="M258" s="355"/>
      <c r="N258" s="355"/>
      <c r="O258" s="355"/>
      <c r="P258" s="355"/>
      <c r="Q258" s="355"/>
      <c r="R258" s="355"/>
      <c r="S258" s="355"/>
      <c r="T258" s="355"/>
      <c r="U258" s="355"/>
      <c r="V258" s="355"/>
      <c r="X258" s="355"/>
      <c r="Y258" s="355"/>
      <c r="Z258" s="355"/>
      <c r="AA258" s="355"/>
      <c r="AB258" s="355"/>
      <c r="AC258" s="355"/>
      <c r="AD258" s="355"/>
      <c r="AE258" s="355"/>
      <c r="AF258" s="355"/>
      <c r="AG258" s="355"/>
      <c r="AH258" s="355"/>
      <c r="AI258" s="355"/>
      <c r="AJ258" s="355"/>
      <c r="AK258" s="355"/>
      <c r="AL258" s="355">
        <f>'Detailed Disclosure'!AL258*('Detailed Disclosures - USD'!$AL$228/'Detailed Disclosure'!$AL$228)</f>
        <v>-0.47937870950865269</v>
      </c>
      <c r="AM258" s="355">
        <f>'Detailed Disclosure'!AM258*('Detailed Disclosures - USD'!$AM$228/'Detailed Disclosure'!$AM$228)</f>
        <v>-307.41900311822599</v>
      </c>
      <c r="AN258" s="355">
        <f>'Detailed Disclosure'!AN258*('Detailed Disclosures - USD'!$AN$228/'Detailed Disclosure'!$AN$228)</f>
        <v>-1146.0849857997309</v>
      </c>
      <c r="AO258" s="355">
        <f>'Detailed Disclosure'!AO258*('Detailed Disclosures - USD'!$AO$228/'Detailed Disclosure'!$AO$228)</f>
        <v>383.17572089080511</v>
      </c>
      <c r="AP258" s="355">
        <f>'Detailed Disclosure'!AP258*('Detailed Disclosures - USD'!$AP$228/'Detailed Disclosure'!$AP$228)</f>
        <v>-348.42182552774426</v>
      </c>
      <c r="AQ258" s="355"/>
      <c r="AR258" s="355"/>
      <c r="AS258" s="355"/>
      <c r="AT258" s="355"/>
      <c r="AU258" s="355"/>
    </row>
    <row r="259" spans="1:47">
      <c r="A259" s="527" t="s">
        <v>1579</v>
      </c>
      <c r="D259" s="355"/>
      <c r="E259" s="355"/>
      <c r="F259" s="355"/>
      <c r="G259" s="355"/>
      <c r="H259" s="355"/>
      <c r="I259" s="355"/>
      <c r="J259" s="355"/>
      <c r="K259" s="355"/>
      <c r="L259" s="355"/>
      <c r="M259" s="355"/>
      <c r="N259" s="355"/>
      <c r="O259" s="355"/>
      <c r="P259" s="355"/>
      <c r="Q259" s="355"/>
      <c r="R259" s="355"/>
      <c r="S259" s="355"/>
      <c r="T259" s="355"/>
      <c r="U259" s="355"/>
      <c r="V259" s="355"/>
      <c r="X259" s="355"/>
      <c r="Y259" s="355"/>
      <c r="Z259" s="355"/>
      <c r="AA259" s="355"/>
      <c r="AB259" s="355"/>
      <c r="AC259" s="355"/>
      <c r="AD259" s="355"/>
      <c r="AE259" s="355"/>
      <c r="AF259" s="355"/>
      <c r="AG259" s="355"/>
      <c r="AH259" s="355"/>
      <c r="AI259" s="355"/>
      <c r="AJ259" s="355"/>
      <c r="AK259" s="355"/>
      <c r="AL259" s="355">
        <f>'Detailed Disclosure'!AL259*('Detailed Disclosures - USD'!$AL$228/'Detailed Disclosure'!$AL$228)</f>
        <v>0</v>
      </c>
      <c r="AM259" s="355">
        <f>'Detailed Disclosure'!AM259*('Detailed Disclosures - USD'!$AM$228/'Detailed Disclosure'!$AM$228)</f>
        <v>227.50034303966561</v>
      </c>
      <c r="AN259" s="355">
        <f>'Detailed Disclosure'!AN259*('Detailed Disclosures - USD'!$AN$228/'Detailed Disclosure'!$AN$228)</f>
        <v>0</v>
      </c>
      <c r="AO259" s="355">
        <f>'Detailed Disclosure'!AO259*('Detailed Disclosures - USD'!$AO$228/'Detailed Disclosure'!$AO$228)</f>
        <v>0</v>
      </c>
      <c r="AP259" s="355">
        <f>'Detailed Disclosure'!AP259*('Detailed Disclosures - USD'!$AP$228/'Detailed Disclosure'!$AP$228)</f>
        <v>0</v>
      </c>
      <c r="AQ259" s="355"/>
      <c r="AR259" s="355"/>
      <c r="AS259" s="355"/>
      <c r="AT259" s="355"/>
      <c r="AU259" s="355"/>
    </row>
    <row r="260" spans="1:47">
      <c r="A260" s="527" t="s">
        <v>1573</v>
      </c>
      <c r="D260" s="355"/>
      <c r="E260" s="355"/>
      <c r="F260" s="355"/>
      <c r="G260" s="355"/>
      <c r="H260" s="355"/>
      <c r="I260" s="355"/>
      <c r="J260" s="355"/>
      <c r="K260" s="355"/>
      <c r="L260" s="355"/>
      <c r="M260" s="355"/>
      <c r="N260" s="355"/>
      <c r="O260" s="355"/>
      <c r="P260" s="355"/>
      <c r="Q260" s="355"/>
      <c r="R260" s="355"/>
      <c r="S260" s="355"/>
      <c r="T260" s="355"/>
      <c r="U260" s="355"/>
      <c r="V260" s="355"/>
      <c r="X260" s="355"/>
      <c r="Y260" s="355"/>
      <c r="Z260" s="355"/>
      <c r="AA260" s="355"/>
      <c r="AB260" s="355"/>
      <c r="AC260" s="355"/>
      <c r="AD260" s="355"/>
      <c r="AE260" s="355"/>
      <c r="AF260" s="355"/>
      <c r="AG260" s="355"/>
      <c r="AH260" s="355"/>
      <c r="AI260" s="355"/>
      <c r="AJ260" s="355"/>
      <c r="AK260" s="355"/>
      <c r="AL260" s="355">
        <f>'Detailed Disclosure'!AL260*('Detailed Disclosures - USD'!$AL$228/'Detailed Disclosure'!$AL$228)</f>
        <v>2168.0242661715574</v>
      </c>
      <c r="AM260" s="355">
        <f>'Detailed Disclosure'!AM260*('Detailed Disclosures - USD'!$AM$228/'Detailed Disclosure'!$AM$228)</f>
        <v>9831.5542863316441</v>
      </c>
      <c r="AN260" s="355">
        <f>'Detailed Disclosure'!AN260*('Detailed Disclosures - USD'!$AN$228/'Detailed Disclosure'!$AN$228)</f>
        <v>8962.8565180568639</v>
      </c>
      <c r="AO260" s="355">
        <f>'Detailed Disclosure'!AO260*('Detailed Disclosures - USD'!$AO$228/'Detailed Disclosure'!$AO$228)</f>
        <v>17602.84658257573</v>
      </c>
      <c r="AP260" s="355">
        <f>'Detailed Disclosure'!AP260*('Detailed Disclosures - USD'!$AP$228/'Detailed Disclosure'!$AP$228)</f>
        <v>21885.951611444092</v>
      </c>
      <c r="AQ260" s="355"/>
      <c r="AR260" s="355"/>
      <c r="AS260" s="355"/>
      <c r="AT260" s="355"/>
      <c r="AU260" s="355"/>
    </row>
    <row r="261" spans="1:47">
      <c r="A261" s="527" t="s">
        <v>1574</v>
      </c>
      <c r="D261" s="355"/>
      <c r="E261" s="355"/>
      <c r="F261" s="355"/>
      <c r="G261" s="355"/>
      <c r="H261" s="355"/>
      <c r="I261" s="355"/>
      <c r="J261" s="355"/>
      <c r="K261" s="355"/>
      <c r="L261" s="355"/>
      <c r="M261" s="355"/>
      <c r="N261" s="355"/>
      <c r="O261" s="355"/>
      <c r="P261" s="355"/>
      <c r="Q261" s="355"/>
      <c r="R261" s="355"/>
      <c r="S261" s="355"/>
      <c r="T261" s="355"/>
      <c r="U261" s="355"/>
      <c r="V261" s="355"/>
      <c r="X261" s="355"/>
      <c r="Y261" s="355"/>
      <c r="Z261" s="355"/>
      <c r="AA261" s="355"/>
      <c r="AB261" s="355"/>
      <c r="AC261" s="355"/>
      <c r="AD261" s="355"/>
      <c r="AE261" s="355"/>
      <c r="AF261" s="355"/>
      <c r="AG261" s="355"/>
      <c r="AH261" s="355"/>
      <c r="AI261" s="355"/>
      <c r="AJ261" s="355"/>
      <c r="AK261" s="355"/>
      <c r="AL261" s="355">
        <f>'Detailed Disclosure'!AL261*('Detailed Disclosures - USD'!$AL$228/'Detailed Disclosure'!$AL$228)</f>
        <v>55.998045390741787</v>
      </c>
      <c r="AM261" s="355">
        <f>'Detailed Disclosure'!AM261*('Detailed Disclosures - USD'!$AM$228/'Detailed Disclosure'!$AM$228)</f>
        <v>465.19131413951084</v>
      </c>
      <c r="AN261" s="355">
        <f>'Detailed Disclosure'!AN261*('Detailed Disclosures - USD'!$AN$228/'Detailed Disclosure'!$AN$228)</f>
        <v>312.01166863288523</v>
      </c>
      <c r="AO261" s="355">
        <f>'Detailed Disclosure'!AO261*('Detailed Disclosures - USD'!$AO$228/'Detailed Disclosure'!$AO$228)</f>
        <v>2055.8086658054481</v>
      </c>
      <c r="AP261" s="355">
        <f>'Detailed Disclosure'!AP261*('Detailed Disclosures - USD'!$AP$228/'Detailed Disclosure'!$AP$228)</f>
        <v>49.040491721151</v>
      </c>
      <c r="AQ261" s="355"/>
      <c r="AR261" s="355"/>
      <c r="AS261" s="355"/>
      <c r="AT261" s="355"/>
      <c r="AU261" s="355"/>
    </row>
    <row r="262" spans="1:47">
      <c r="A262" s="527" t="s">
        <v>1580</v>
      </c>
      <c r="D262" s="355"/>
      <c r="E262" s="355"/>
      <c r="F262" s="355"/>
      <c r="G262" s="355"/>
      <c r="H262" s="355"/>
      <c r="I262" s="355"/>
      <c r="J262" s="355"/>
      <c r="K262" s="355"/>
      <c r="L262" s="355"/>
      <c r="M262" s="355"/>
      <c r="N262" s="355"/>
      <c r="O262" s="355"/>
      <c r="P262" s="355"/>
      <c r="Q262" s="355"/>
      <c r="R262" s="355"/>
      <c r="S262" s="355"/>
      <c r="T262" s="355"/>
      <c r="U262" s="355"/>
      <c r="V262" s="355"/>
      <c r="X262" s="355"/>
      <c r="Y262" s="355"/>
      <c r="Z262" s="355"/>
      <c r="AA262" s="355"/>
      <c r="AB262" s="355"/>
      <c r="AC262" s="355"/>
      <c r="AD262" s="355"/>
      <c r="AE262" s="355"/>
      <c r="AF262" s="355"/>
      <c r="AG262" s="355"/>
      <c r="AH262" s="355"/>
      <c r="AI262" s="355"/>
      <c r="AJ262" s="355"/>
      <c r="AK262" s="355"/>
      <c r="AL262" s="355">
        <f>'Detailed Disclosure'!AL262*('Detailed Disclosures - USD'!$AL$228/'Detailed Disclosure'!$AL$228)</f>
        <v>123.21421379599917</v>
      </c>
      <c r="AM262" s="355">
        <f>'Detailed Disclosure'!AM262*('Detailed Disclosures - USD'!$AM$228/'Detailed Disclosure'!$AM$228)</f>
        <v>-137.62739357169372</v>
      </c>
      <c r="AN262" s="355">
        <f>'Detailed Disclosure'!AN262*('Detailed Disclosures - USD'!$AN$228/'Detailed Disclosure'!$AN$228)</f>
        <v>0</v>
      </c>
      <c r="AO262" s="355">
        <f>'Detailed Disclosure'!AO262*('Detailed Disclosures - USD'!$AO$228/'Detailed Disclosure'!$AO$228)</f>
        <v>0</v>
      </c>
      <c r="AP262" s="355">
        <f>'Detailed Disclosure'!AP262*('Detailed Disclosures - USD'!$AP$228/'Detailed Disclosure'!$AP$228)</f>
        <v>2359.6446495298301</v>
      </c>
      <c r="AQ262" s="355"/>
      <c r="AR262" s="355"/>
      <c r="AS262" s="355"/>
      <c r="AT262" s="355"/>
      <c r="AU262" s="355"/>
    </row>
    <row r="263" spans="1:47">
      <c r="A263" s="527" t="s">
        <v>1581</v>
      </c>
      <c r="D263" s="355"/>
      <c r="E263" s="355"/>
      <c r="F263" s="355"/>
      <c r="G263" s="355"/>
      <c r="H263" s="355"/>
      <c r="I263" s="355"/>
      <c r="J263" s="355"/>
      <c r="K263" s="355"/>
      <c r="L263" s="355"/>
      <c r="M263" s="355"/>
      <c r="N263" s="355"/>
      <c r="O263" s="355"/>
      <c r="P263" s="355"/>
      <c r="Q263" s="355"/>
      <c r="R263" s="355"/>
      <c r="S263" s="355"/>
      <c r="T263" s="355"/>
      <c r="U263" s="355"/>
      <c r="V263" s="355"/>
      <c r="X263" s="355"/>
      <c r="Y263" s="355"/>
      <c r="Z263" s="355"/>
      <c r="AA263" s="355"/>
      <c r="AB263" s="355"/>
      <c r="AC263" s="355"/>
      <c r="AD263" s="355"/>
      <c r="AE263" s="355"/>
      <c r="AF263" s="355"/>
      <c r="AG263" s="355"/>
      <c r="AH263" s="355"/>
      <c r="AI263" s="355"/>
      <c r="AJ263" s="355"/>
      <c r="AK263" s="355"/>
      <c r="AL263" s="355">
        <f>'Detailed Disclosure'!AL263*('Detailed Disclosures - USD'!$AL$228/'Detailed Disclosure'!$AL$228)</f>
        <v>12.274078599460854</v>
      </c>
      <c r="AM263" s="355">
        <f>'Detailed Disclosure'!AM263*('Detailed Disclosures - USD'!$AM$228/'Detailed Disclosure'!$AM$228)</f>
        <v>359.24438082592729</v>
      </c>
      <c r="AN263" s="355">
        <f>'Detailed Disclosure'!AN263*('Detailed Disclosures - USD'!$AN$228/'Detailed Disclosure'!$AN$228)</f>
        <v>0</v>
      </c>
      <c r="AO263" s="355">
        <f>'Detailed Disclosure'!AO263*('Detailed Disclosures - USD'!$AO$228/'Detailed Disclosure'!$AO$228)</f>
        <v>0</v>
      </c>
      <c r="AP263" s="355">
        <f>'Detailed Disclosure'!AP263*('Detailed Disclosures - USD'!$AP$228/'Detailed Disclosure'!$AP$228)</f>
        <v>0</v>
      </c>
      <c r="AQ263" s="355"/>
      <c r="AR263" s="355"/>
      <c r="AS263" s="355"/>
      <c r="AT263" s="355"/>
      <c r="AU263" s="355"/>
    </row>
    <row r="264" spans="1:47">
      <c r="A264" s="527" t="s">
        <v>1575</v>
      </c>
      <c r="D264" s="355"/>
      <c r="E264" s="355"/>
      <c r="F264" s="355"/>
      <c r="G264" s="355"/>
      <c r="H264" s="355"/>
      <c r="I264" s="355"/>
      <c r="J264" s="355"/>
      <c r="K264" s="355"/>
      <c r="L264" s="355"/>
      <c r="M264" s="355"/>
      <c r="N264" s="355"/>
      <c r="O264" s="355"/>
      <c r="P264" s="355"/>
      <c r="Q264" s="355"/>
      <c r="R264" s="355"/>
      <c r="S264" s="355"/>
      <c r="T264" s="355"/>
      <c r="U264" s="355"/>
      <c r="V264" s="355"/>
      <c r="X264" s="355"/>
      <c r="Y264" s="355"/>
      <c r="Z264" s="355"/>
      <c r="AA264" s="355"/>
      <c r="AB264" s="355"/>
      <c r="AC264" s="355"/>
      <c r="AD264" s="355"/>
      <c r="AE264" s="355"/>
      <c r="AF264" s="355"/>
      <c r="AG264" s="355"/>
      <c r="AH264" s="355"/>
      <c r="AI264" s="355"/>
      <c r="AJ264" s="355"/>
      <c r="AK264" s="355"/>
      <c r="AL264" s="355">
        <f>'Detailed Disclosure'!AL264*('Detailed Disclosures - USD'!$AL$228/'Detailed Disclosure'!$AL$228)</f>
        <v>16.860245122429152</v>
      </c>
      <c r="AM264" s="355">
        <f>'Detailed Disclosure'!AM264*('Detailed Disclosures - USD'!$AM$228/'Detailed Disclosure'!$AM$228)</f>
        <v>97.103435676781757</v>
      </c>
      <c r="AN264" s="355">
        <f>'Detailed Disclosure'!AN264*('Detailed Disclosures - USD'!$AN$228/'Detailed Disclosure'!$AN$228)</f>
        <v>67.589641904853565</v>
      </c>
      <c r="AO264" s="355">
        <f>'Detailed Disclosure'!AO264*('Detailed Disclosures - USD'!$AO$228/'Detailed Disclosure'!$AO$228)</f>
        <v>113.13006741467245</v>
      </c>
      <c r="AP264" s="355">
        <f>'Detailed Disclosure'!AP264*('Detailed Disclosures - USD'!$AP$228/'Detailed Disclosure'!$AP$228)</f>
        <v>135.72264504330846</v>
      </c>
      <c r="AQ264" s="355"/>
      <c r="AR264" s="355"/>
      <c r="AS264" s="355"/>
      <c r="AT264" s="355"/>
      <c r="AU264" s="355"/>
    </row>
    <row r="265" spans="1:47" ht="18.5">
      <c r="A265" s="527" t="s">
        <v>1576</v>
      </c>
      <c r="D265" s="355"/>
      <c r="E265" s="355"/>
      <c r="F265" s="355"/>
      <c r="G265" s="355"/>
      <c r="H265" s="355"/>
      <c r="I265" s="355"/>
      <c r="J265" s="355"/>
      <c r="K265" s="355"/>
      <c r="L265" s="355"/>
      <c r="M265" s="355"/>
      <c r="N265" s="355"/>
      <c r="O265" s="355"/>
      <c r="P265" s="355"/>
      <c r="Q265" s="355"/>
      <c r="R265" s="355"/>
      <c r="S265" s="355"/>
      <c r="T265" s="355"/>
      <c r="U265" s="355"/>
      <c r="V265" s="355"/>
      <c r="X265" s="355"/>
      <c r="Y265" s="355"/>
      <c r="Z265" s="355"/>
      <c r="AA265" s="355"/>
      <c r="AB265" s="355"/>
      <c r="AC265" s="355"/>
      <c r="AD265" s="355"/>
      <c r="AE265" s="355"/>
      <c r="AF265" s="355"/>
      <c r="AG265" s="355"/>
      <c r="AH265" s="355"/>
      <c r="AI265" s="355"/>
      <c r="AJ265" s="355"/>
      <c r="AK265" s="355"/>
      <c r="AL265" s="525">
        <f>'Detailed Disclosure'!AL265*('Detailed Disclosures - USD'!$AL$228/'Detailed Disclosure'!$AL$228)</f>
        <v>223.39510711512398</v>
      </c>
      <c r="AM265" s="525">
        <f>'Detailed Disclosure'!AM265*('Detailed Disclosures - USD'!$AM$228/'Detailed Disclosure'!$AM$228)</f>
        <v>570.38048658994433</v>
      </c>
      <c r="AN265" s="525">
        <f>'Detailed Disclosure'!AN265*('Detailed Disclosures - USD'!$AN$228/'Detailed Disclosure'!$AN$228)</f>
        <v>1286.8054962674446</v>
      </c>
      <c r="AO265" s="525">
        <f>'Detailed Disclosure'!AO265*('Detailed Disclosures - USD'!$AO$228/'Detailed Disclosure'!$AO$228)</f>
        <v>974.86686615408428</v>
      </c>
      <c r="AP265" s="525">
        <f>'Detailed Disclosure'!AP265*('Detailed Disclosures - USD'!$AP$228/'Detailed Disclosure'!$AP$228)</f>
        <v>-196.48768504471121</v>
      </c>
      <c r="AQ265" s="355"/>
      <c r="AR265" s="355"/>
      <c r="AS265" s="355"/>
      <c r="AT265" s="355"/>
      <c r="AU265" s="355"/>
    </row>
    <row r="266" spans="1:47">
      <c r="A266" s="614" t="s">
        <v>1577</v>
      </c>
      <c r="D266" s="355"/>
      <c r="E266" s="355"/>
      <c r="F266" s="355"/>
      <c r="G266" s="355"/>
      <c r="H266" s="355"/>
      <c r="I266" s="355"/>
      <c r="J266" s="355"/>
      <c r="K266" s="355"/>
      <c r="L266" s="355"/>
      <c r="M266" s="355"/>
      <c r="N266" s="355"/>
      <c r="O266" s="355"/>
      <c r="P266" s="355"/>
      <c r="Q266" s="355"/>
      <c r="R266" s="355"/>
      <c r="S266" s="355"/>
      <c r="T266" s="355"/>
      <c r="U266" s="355"/>
      <c r="V266" s="355"/>
      <c r="X266" s="355"/>
      <c r="Y266" s="355"/>
      <c r="Z266" s="355"/>
      <c r="AA266" s="355"/>
      <c r="AB266" s="355"/>
      <c r="AC266" s="355"/>
      <c r="AD266" s="355"/>
      <c r="AE266" s="355"/>
      <c r="AF266" s="355"/>
      <c r="AG266" s="355"/>
      <c r="AH266" s="355"/>
      <c r="AI266" s="355"/>
      <c r="AJ266" s="355"/>
      <c r="AK266" s="355"/>
      <c r="AL266" s="355">
        <f>'Detailed Disclosure'!AL266*('Detailed Disclosures - USD'!$AL$228/'Detailed Disclosure'!$AL$228)</f>
        <v>3649.1834767548935</v>
      </c>
      <c r="AM266" s="355">
        <f>'Detailed Disclosure'!AM266*('Detailed Disclosures - USD'!$AM$228/'Detailed Disclosure'!$AM$228)</f>
        <v>9408.30939346173</v>
      </c>
      <c r="AN266" s="355">
        <f>'Detailed Disclosure'!AN266*('Detailed Disclosures - USD'!$AN$228/'Detailed Disclosure'!$AN$228)</f>
        <v>-10399.292142587707</v>
      </c>
      <c r="AO266" s="355">
        <f>'Detailed Disclosure'!AO266*('Detailed Disclosures - USD'!$AO$228/'Detailed Disclosure'!$AO$228)</f>
        <v>24424.250459838426</v>
      </c>
      <c r="AP266" s="355">
        <f>'Detailed Disclosure'!AP266*('Detailed Disclosures - USD'!$AP$228/'Detailed Disclosure'!$AP$228)</f>
        <v>41096.118093738631</v>
      </c>
      <c r="AQ266" s="355"/>
      <c r="AR266" s="355"/>
      <c r="AS266" s="355"/>
      <c r="AT266" s="355"/>
      <c r="AU266" s="355"/>
    </row>
    <row r="267" spans="1:47">
      <c r="D267" s="355"/>
      <c r="E267" s="355"/>
      <c r="F267" s="355"/>
      <c r="G267" s="355"/>
      <c r="H267" s="355"/>
      <c r="I267" s="355"/>
      <c r="J267" s="355"/>
      <c r="K267" s="355"/>
      <c r="L267" s="355"/>
      <c r="M267" s="355"/>
      <c r="N267" s="355"/>
      <c r="O267" s="355"/>
      <c r="P267" s="355"/>
      <c r="Q267" s="355"/>
      <c r="R267" s="355"/>
      <c r="S267" s="355"/>
      <c r="T267" s="355"/>
      <c r="U267" s="355"/>
      <c r="V267" s="355"/>
      <c r="X267" s="355"/>
      <c r="Y267" s="355"/>
      <c r="Z267" s="355"/>
      <c r="AA267" s="355"/>
      <c r="AB267" s="355"/>
      <c r="AC267" s="355"/>
      <c r="AD267" s="355"/>
      <c r="AE267" s="355"/>
      <c r="AF267" s="355"/>
      <c r="AG267" s="355"/>
      <c r="AH267" s="355"/>
      <c r="AI267" s="355"/>
      <c r="AJ267" s="355"/>
      <c r="AK267" s="355"/>
      <c r="AL267" s="355"/>
      <c r="AM267" s="355"/>
      <c r="AN267" s="355"/>
      <c r="AO267" s="355"/>
      <c r="AP267" s="355"/>
      <c r="AQ267" s="355"/>
      <c r="AR267" s="355"/>
      <c r="AS267" s="355"/>
      <c r="AT267" s="355"/>
      <c r="AU267" s="355"/>
    </row>
    <row r="268" spans="1:47">
      <c r="A268" s="513" t="s">
        <v>247</v>
      </c>
      <c r="D268" s="355"/>
      <c r="E268" s="355"/>
      <c r="F268" s="355"/>
      <c r="G268" s="355"/>
      <c r="H268" s="355"/>
      <c r="I268" s="355"/>
      <c r="J268" s="355"/>
      <c r="K268" s="355"/>
      <c r="L268" s="355"/>
      <c r="M268" s="355"/>
      <c r="N268" s="355"/>
      <c r="O268" s="355"/>
      <c r="P268" s="355"/>
      <c r="Q268" s="355"/>
      <c r="R268" s="355"/>
      <c r="S268" s="355"/>
      <c r="T268" s="355"/>
      <c r="U268" s="355"/>
      <c r="V268" s="355"/>
      <c r="X268" s="355"/>
      <c r="Y268" s="355"/>
      <c r="Z268" s="355"/>
      <c r="AA268" s="355"/>
      <c r="AB268" s="355"/>
      <c r="AC268" s="355"/>
      <c r="AD268" s="355"/>
      <c r="AE268" s="355"/>
      <c r="AF268" s="355"/>
      <c r="AG268" s="355"/>
      <c r="AH268" s="355"/>
      <c r="AI268" s="355"/>
      <c r="AJ268" s="355"/>
      <c r="AK268" s="355"/>
      <c r="AL268" s="355"/>
      <c r="AM268" s="355"/>
      <c r="AN268" s="355"/>
      <c r="AO268" s="355"/>
      <c r="AP268" s="355"/>
      <c r="AQ268" s="355"/>
      <c r="AR268" s="355"/>
      <c r="AS268" s="355"/>
      <c r="AT268" s="355"/>
      <c r="AU268" s="355"/>
    </row>
    <row r="269" spans="1:47">
      <c r="A269" s="319" t="s">
        <v>4206</v>
      </c>
      <c r="D269" s="355"/>
      <c r="E269" s="355"/>
      <c r="F269" s="355"/>
      <c r="G269" s="355"/>
      <c r="H269" s="355"/>
      <c r="I269" s="355"/>
      <c r="J269" s="355"/>
      <c r="K269" s="355"/>
      <c r="L269" s="355"/>
      <c r="M269" s="355"/>
      <c r="N269" s="355"/>
      <c r="O269" s="355"/>
      <c r="P269" s="355"/>
      <c r="Q269" s="355"/>
      <c r="R269" s="355"/>
      <c r="S269" s="355"/>
      <c r="T269" s="355"/>
      <c r="U269" s="355"/>
      <c r="V269" s="355"/>
      <c r="X269" s="355"/>
      <c r="Y269" s="355"/>
      <c r="Z269" s="355"/>
      <c r="AA269" s="355"/>
      <c r="AB269" s="355"/>
      <c r="AC269" s="355"/>
      <c r="AD269" s="355"/>
      <c r="AE269" s="355"/>
      <c r="AF269" s="355"/>
      <c r="AG269" s="355"/>
      <c r="AH269" s="355"/>
      <c r="AI269" s="355"/>
      <c r="AJ269" s="355"/>
      <c r="AK269" s="355"/>
      <c r="AL269" s="355">
        <f>'Detailed Disclosure'!AL269</f>
        <v>0</v>
      </c>
      <c r="AM269" s="355">
        <f>'Detailed Disclosure'!AM269</f>
        <v>0</v>
      </c>
      <c r="AN269" s="355">
        <f>'Detailed Disclosure'!AN269</f>
        <v>0</v>
      </c>
      <c r="AO269" s="355">
        <f>'Detailed Disclosure'!AO269</f>
        <v>675000</v>
      </c>
      <c r="AP269" s="355">
        <f>'Detailed Disclosure'!AP269</f>
        <v>2674440</v>
      </c>
      <c r="AQ269" s="355"/>
      <c r="AR269" s="355"/>
      <c r="AS269" s="355"/>
      <c r="AT269" s="355"/>
      <c r="AU269" s="355"/>
    </row>
    <row r="270" spans="1:47">
      <c r="A270" s="319" t="s">
        <v>4207</v>
      </c>
      <c r="D270" s="355"/>
      <c r="E270" s="355"/>
      <c r="F270" s="355"/>
      <c r="G270" s="355"/>
      <c r="H270" s="355"/>
      <c r="I270" s="355"/>
      <c r="J270" s="355"/>
      <c r="K270" s="355"/>
      <c r="L270" s="355"/>
      <c r="M270" s="355"/>
      <c r="N270" s="355"/>
      <c r="O270" s="355"/>
      <c r="P270" s="355"/>
      <c r="Q270" s="355"/>
      <c r="R270" s="355"/>
      <c r="S270" s="355"/>
      <c r="T270" s="355"/>
      <c r="U270" s="355"/>
      <c r="V270" s="355"/>
      <c r="X270" s="355"/>
      <c r="Y270" s="355"/>
      <c r="Z270" s="355"/>
      <c r="AA270" s="355"/>
      <c r="AB270" s="355"/>
      <c r="AC270" s="355"/>
      <c r="AD270" s="355"/>
      <c r="AE270" s="355"/>
      <c r="AF270" s="355"/>
      <c r="AG270" s="355"/>
      <c r="AH270" s="355"/>
      <c r="AI270" s="355"/>
      <c r="AJ270" s="355"/>
      <c r="AK270" s="355"/>
      <c r="AL270" s="355">
        <f>'Detailed Disclosure'!AL270</f>
        <v>0</v>
      </c>
      <c r="AM270" s="355">
        <f>'Detailed Disclosure'!AM270*('Detailed Disclosures - USD'!$AM$228/'Detailed Disclosure'!$AM$228)</f>
        <v>0</v>
      </c>
      <c r="AN270" s="355">
        <f>'Detailed Disclosure'!AN270*('Detailed Disclosures - USD'!$AN$228/'Detailed Disclosure'!$AN$228)</f>
        <v>0</v>
      </c>
      <c r="AO270" s="355">
        <f>-AO238</f>
        <v>913.65359096642158</v>
      </c>
      <c r="AP270" s="355">
        <f>-AP238</f>
        <v>6773.9402095389287</v>
      </c>
      <c r="AQ270" s="355"/>
      <c r="AR270" s="355"/>
      <c r="AS270" s="355"/>
      <c r="AT270" s="355"/>
      <c r="AU270" s="355"/>
    </row>
    <row r="271" spans="1:47">
      <c r="D271" s="355"/>
      <c r="E271" s="355"/>
      <c r="F271" s="355"/>
      <c r="G271" s="355"/>
      <c r="H271" s="355"/>
      <c r="I271" s="355"/>
      <c r="J271" s="355"/>
      <c r="K271" s="355"/>
      <c r="L271" s="355"/>
      <c r="M271" s="355"/>
      <c r="N271" s="355"/>
      <c r="O271" s="355"/>
      <c r="P271" s="355"/>
      <c r="Q271" s="355"/>
      <c r="R271" s="355"/>
      <c r="S271" s="355"/>
      <c r="T271" s="355"/>
      <c r="U271" s="355"/>
      <c r="V271" s="355"/>
      <c r="X271" s="355"/>
      <c r="Y271" s="355"/>
      <c r="Z271" s="355"/>
      <c r="AA271" s="355"/>
      <c r="AB271" s="355"/>
      <c r="AC271" s="355"/>
      <c r="AD271" s="355"/>
      <c r="AE271" s="355"/>
      <c r="AF271" s="355"/>
      <c r="AG271" s="355"/>
      <c r="AH271" s="355"/>
      <c r="AI271" s="355"/>
      <c r="AJ271" s="355"/>
      <c r="AK271" s="355"/>
      <c r="AL271" s="355"/>
      <c r="AM271" s="355"/>
      <c r="AN271" s="355"/>
      <c r="AO271" s="355"/>
      <c r="AP271" s="355"/>
      <c r="AQ271" s="355"/>
      <c r="AR271" s="355"/>
      <c r="AS271" s="355"/>
      <c r="AT271" s="355"/>
      <c r="AU271" s="355"/>
    </row>
    <row r="272" spans="1:47">
      <c r="A272" s="513" t="s">
        <v>4208</v>
      </c>
      <c r="D272" s="355"/>
      <c r="E272" s="355"/>
      <c r="F272" s="355"/>
      <c r="G272" s="355"/>
      <c r="H272" s="355"/>
      <c r="I272" s="355"/>
      <c r="J272" s="355"/>
      <c r="K272" s="355"/>
      <c r="L272" s="355"/>
      <c r="M272" s="355"/>
      <c r="N272" s="355"/>
      <c r="O272" s="355"/>
      <c r="P272" s="355"/>
      <c r="Q272" s="355"/>
      <c r="R272" s="355"/>
      <c r="S272" s="355"/>
      <c r="T272" s="355"/>
      <c r="U272" s="355"/>
      <c r="V272" s="355"/>
      <c r="X272" s="355"/>
      <c r="Y272" s="355"/>
      <c r="Z272" s="355"/>
      <c r="AA272" s="355"/>
      <c r="AB272" s="355"/>
      <c r="AC272" s="355"/>
      <c r="AD272" s="355"/>
      <c r="AE272" s="355"/>
      <c r="AF272" s="355"/>
      <c r="AG272" s="355"/>
      <c r="AH272" s="355"/>
      <c r="AI272" s="355"/>
      <c r="AJ272" s="355"/>
      <c r="AK272" s="355"/>
      <c r="AL272" s="355"/>
      <c r="AM272" s="355"/>
      <c r="AN272" s="355"/>
      <c r="AO272" s="355"/>
      <c r="AP272" s="355"/>
      <c r="AQ272" s="355"/>
      <c r="AR272" s="355"/>
      <c r="AS272" s="355"/>
      <c r="AT272" s="355"/>
      <c r="AU272" s="355"/>
    </row>
    <row r="273" spans="1:47">
      <c r="A273" s="319" t="s">
        <v>4209</v>
      </c>
      <c r="D273" s="355"/>
      <c r="E273" s="355"/>
      <c r="F273" s="355"/>
      <c r="G273" s="355"/>
      <c r="H273" s="355"/>
      <c r="I273" s="355"/>
      <c r="J273" s="355"/>
      <c r="K273" s="355"/>
      <c r="L273" s="355"/>
      <c r="M273" s="355"/>
      <c r="N273" s="355"/>
      <c r="O273" s="355"/>
      <c r="P273" s="355"/>
      <c r="Q273" s="355"/>
      <c r="R273" s="355"/>
      <c r="S273" s="355"/>
      <c r="T273" s="355"/>
      <c r="U273" s="355"/>
      <c r="V273" s="355"/>
      <c r="X273" s="355"/>
      <c r="Y273" s="355"/>
      <c r="Z273" s="355"/>
      <c r="AA273" s="355"/>
      <c r="AB273" s="355"/>
      <c r="AC273" s="355"/>
      <c r="AD273" s="355"/>
      <c r="AE273" s="355"/>
      <c r="AF273" s="355"/>
      <c r="AG273" s="355"/>
      <c r="AH273" s="355"/>
      <c r="AI273" s="355"/>
      <c r="AJ273" s="355"/>
      <c r="AK273" s="355"/>
      <c r="AL273" s="355">
        <f>'Detailed Disclosure'!AL273</f>
        <v>0</v>
      </c>
      <c r="AM273" s="355">
        <f>'Detailed Disclosure'!AM273</f>
        <v>833333</v>
      </c>
      <c r="AN273" s="355">
        <f>'Detailed Disclosure'!AN273</f>
        <v>0</v>
      </c>
      <c r="AO273" s="355">
        <f>'Detailed Disclosure'!AO273</f>
        <v>0</v>
      </c>
      <c r="AP273" s="355">
        <f>'Detailed Disclosure'!AP273</f>
        <v>0</v>
      </c>
      <c r="AQ273" s="355"/>
      <c r="AR273" s="355"/>
      <c r="AS273" s="355"/>
      <c r="AT273" s="355"/>
      <c r="AU273" s="355"/>
    </row>
    <row r="274" spans="1:47">
      <c r="A274" s="319" t="s">
        <v>4209</v>
      </c>
      <c r="D274" s="355"/>
      <c r="E274" s="355"/>
      <c r="F274" s="355"/>
      <c r="G274" s="355"/>
      <c r="H274" s="355"/>
      <c r="I274" s="355"/>
      <c r="J274" s="355"/>
      <c r="K274" s="355"/>
      <c r="L274" s="355"/>
      <c r="M274" s="355"/>
      <c r="N274" s="355"/>
      <c r="O274" s="355"/>
      <c r="P274" s="355"/>
      <c r="Q274" s="355"/>
      <c r="R274" s="355"/>
      <c r="S274" s="355"/>
      <c r="T274" s="355"/>
      <c r="U274" s="355"/>
      <c r="V274" s="355"/>
      <c r="X274" s="355"/>
      <c r="Y274" s="355"/>
      <c r="Z274" s="355"/>
      <c r="AA274" s="355"/>
      <c r="AB274" s="355"/>
      <c r="AC274" s="355"/>
      <c r="AD274" s="355"/>
      <c r="AE274" s="355"/>
      <c r="AF274" s="355"/>
      <c r="AG274" s="355"/>
      <c r="AH274" s="355"/>
      <c r="AI274" s="355"/>
      <c r="AJ274" s="355"/>
      <c r="AK274" s="355"/>
      <c r="AL274" s="355">
        <f>'Detailed Disclosure'!AL274</f>
        <v>0</v>
      </c>
      <c r="AM274" s="355">
        <f>'Detailed Disclosure'!AM274</f>
        <v>833333</v>
      </c>
      <c r="AN274" s="355">
        <f>'Detailed Disclosure'!AN274</f>
        <v>0</v>
      </c>
      <c r="AO274" s="355">
        <f>'Detailed Disclosure'!AO274</f>
        <v>0</v>
      </c>
      <c r="AP274" s="355">
        <f>'Detailed Disclosure'!AP274</f>
        <v>0</v>
      </c>
      <c r="AQ274" s="355"/>
      <c r="AR274" s="355"/>
      <c r="AS274" s="355"/>
      <c r="AT274" s="355"/>
      <c r="AU274" s="355"/>
    </row>
    <row r="275" spans="1:47">
      <c r="A275" s="319" t="s">
        <v>4209</v>
      </c>
      <c r="D275" s="355"/>
      <c r="E275" s="355"/>
      <c r="F275" s="355"/>
      <c r="G275" s="355"/>
      <c r="H275" s="355"/>
      <c r="I275" s="355"/>
      <c r="J275" s="355"/>
      <c r="K275" s="355"/>
      <c r="L275" s="355"/>
      <c r="M275" s="355"/>
      <c r="N275" s="355"/>
      <c r="O275" s="355"/>
      <c r="P275" s="355"/>
      <c r="Q275" s="355"/>
      <c r="R275" s="355"/>
      <c r="S275" s="355"/>
      <c r="T275" s="355"/>
      <c r="U275" s="355"/>
      <c r="V275" s="355"/>
      <c r="X275" s="355"/>
      <c r="Y275" s="355"/>
      <c r="Z275" s="355"/>
      <c r="AA275" s="355"/>
      <c r="AB275" s="355"/>
      <c r="AC275" s="355"/>
      <c r="AD275" s="355"/>
      <c r="AE275" s="355"/>
      <c r="AF275" s="355"/>
      <c r="AG275" s="355"/>
      <c r="AH275" s="355"/>
      <c r="AI275" s="355"/>
      <c r="AJ275" s="355"/>
      <c r="AK275" s="355"/>
      <c r="AL275" s="355">
        <f>'Detailed Disclosure'!AL275</f>
        <v>0</v>
      </c>
      <c r="AM275" s="355">
        <f>'Detailed Disclosure'!AM275</f>
        <v>833334</v>
      </c>
      <c r="AN275" s="355">
        <f>'Detailed Disclosure'!AN275</f>
        <v>0</v>
      </c>
      <c r="AO275" s="355">
        <f>'Detailed Disclosure'!AO275</f>
        <v>0</v>
      </c>
      <c r="AP275" s="355">
        <f>'Detailed Disclosure'!AP275</f>
        <v>0</v>
      </c>
      <c r="AQ275" s="355"/>
      <c r="AR275" s="355"/>
      <c r="AS275" s="355"/>
      <c r="AT275" s="355"/>
      <c r="AU275" s="355"/>
    </row>
    <row r="276" spans="1:47">
      <c r="D276" s="355"/>
      <c r="E276" s="355"/>
      <c r="F276" s="355"/>
      <c r="G276" s="355"/>
      <c r="H276" s="355"/>
      <c r="I276" s="355"/>
      <c r="J276" s="355"/>
      <c r="K276" s="355"/>
      <c r="L276" s="355"/>
      <c r="M276" s="355"/>
      <c r="N276" s="355"/>
      <c r="O276" s="355"/>
      <c r="P276" s="355"/>
      <c r="Q276" s="355"/>
      <c r="R276" s="355"/>
      <c r="S276" s="355"/>
      <c r="T276" s="355"/>
      <c r="U276" s="355"/>
      <c r="V276" s="355"/>
      <c r="X276" s="355"/>
      <c r="Y276" s="355"/>
      <c r="Z276" s="355"/>
      <c r="AA276" s="355"/>
      <c r="AB276" s="355"/>
      <c r="AC276" s="355"/>
      <c r="AD276" s="355"/>
      <c r="AE276" s="355"/>
      <c r="AF276" s="355"/>
      <c r="AG276" s="355"/>
      <c r="AH276" s="355"/>
      <c r="AI276" s="355"/>
      <c r="AJ276" s="355"/>
      <c r="AK276" s="355"/>
      <c r="AL276" s="355"/>
      <c r="AM276" s="355"/>
      <c r="AN276" s="355"/>
      <c r="AO276" s="355"/>
      <c r="AP276" s="355"/>
      <c r="AQ276" s="355"/>
      <c r="AR276" s="355"/>
      <c r="AS276" s="355"/>
      <c r="AT276" s="355"/>
      <c r="AU276" s="355"/>
    </row>
    <row r="277" spans="1:47">
      <c r="A277" s="513" t="s">
        <v>4210</v>
      </c>
      <c r="D277" s="355"/>
      <c r="E277" s="355"/>
      <c r="F277" s="355"/>
      <c r="G277" s="355"/>
      <c r="H277" s="355"/>
      <c r="I277" s="355"/>
      <c r="J277" s="355"/>
      <c r="K277" s="355"/>
      <c r="L277" s="355"/>
      <c r="M277" s="355"/>
      <c r="N277" s="355"/>
      <c r="O277" s="355"/>
      <c r="P277" s="355"/>
      <c r="Q277" s="355"/>
      <c r="R277" s="355"/>
      <c r="S277" s="355"/>
      <c r="T277" s="355"/>
      <c r="U277" s="355"/>
      <c r="V277" s="355"/>
      <c r="X277" s="355"/>
      <c r="Y277" s="355"/>
      <c r="Z277" s="355"/>
      <c r="AA277" s="355"/>
      <c r="AB277" s="355"/>
      <c r="AC277" s="355"/>
      <c r="AD277" s="355"/>
      <c r="AE277" s="355"/>
      <c r="AF277" s="355"/>
      <c r="AG277" s="355"/>
      <c r="AH277" s="355"/>
      <c r="AI277" s="355"/>
      <c r="AJ277" s="355"/>
      <c r="AK277" s="355"/>
      <c r="AL277" s="355"/>
      <c r="AM277" s="355"/>
      <c r="AN277" s="355"/>
      <c r="AO277" s="355"/>
      <c r="AP277" s="355"/>
      <c r="AQ277" s="355"/>
      <c r="AR277" s="355"/>
      <c r="AS277" s="355"/>
      <c r="AT277" s="355"/>
      <c r="AU277" s="355"/>
    </row>
    <row r="278" spans="1:47">
      <c r="A278" s="319" t="s">
        <v>4211</v>
      </c>
      <c r="D278" s="355"/>
      <c r="E278" s="355"/>
      <c r="F278" s="355"/>
      <c r="G278" s="355"/>
      <c r="H278" s="355"/>
      <c r="I278" s="355"/>
      <c r="J278" s="355"/>
      <c r="K278" s="355"/>
      <c r="L278" s="355"/>
      <c r="M278" s="355"/>
      <c r="N278" s="355"/>
      <c r="O278" s="355"/>
      <c r="P278" s="355"/>
      <c r="Q278" s="355"/>
      <c r="R278" s="355"/>
      <c r="S278" s="355"/>
      <c r="T278" s="355"/>
      <c r="U278" s="355"/>
      <c r="V278" s="355"/>
      <c r="X278" s="355"/>
      <c r="Y278" s="355"/>
      <c r="Z278" s="355"/>
      <c r="AA278" s="355"/>
      <c r="AB278" s="355"/>
      <c r="AC278" s="355"/>
      <c r="AD278" s="355"/>
      <c r="AE278" s="355"/>
      <c r="AF278" s="355"/>
      <c r="AG278" s="355"/>
      <c r="AH278" s="355"/>
      <c r="AI278" s="355"/>
      <c r="AJ278" s="355"/>
      <c r="AK278" s="355"/>
      <c r="AL278" s="355">
        <f>'Detailed Disclosure'!AL278</f>
        <v>0</v>
      </c>
      <c r="AM278" s="355">
        <f>'Detailed Disclosure'!AM278</f>
        <v>233052</v>
      </c>
      <c r="AN278" s="355">
        <f>'Detailed Disclosure'!AN278</f>
        <v>0</v>
      </c>
      <c r="AO278" s="355">
        <f>'Detailed Disclosure'!AO278</f>
        <v>0</v>
      </c>
      <c r="AP278" s="355">
        <f>'Detailed Disclosure'!AP278</f>
        <v>0</v>
      </c>
      <c r="AQ278" s="355"/>
      <c r="AR278" s="355"/>
      <c r="AS278" s="355"/>
      <c r="AT278" s="355"/>
      <c r="AU278" s="355"/>
    </row>
    <row r="279" spans="1:47">
      <c r="A279" s="319" t="s">
        <v>4212</v>
      </c>
      <c r="D279" s="355"/>
      <c r="E279" s="355"/>
      <c r="F279" s="355"/>
      <c r="G279" s="355"/>
      <c r="H279" s="355"/>
      <c r="I279" s="355"/>
      <c r="J279" s="355"/>
      <c r="K279" s="355"/>
      <c r="L279" s="355"/>
      <c r="M279" s="355"/>
      <c r="N279" s="355"/>
      <c r="O279" s="355"/>
      <c r="P279" s="355"/>
      <c r="Q279" s="355"/>
      <c r="R279" s="355"/>
      <c r="S279" s="355"/>
      <c r="T279" s="355"/>
      <c r="U279" s="355"/>
      <c r="V279" s="355"/>
      <c r="X279" s="355"/>
      <c r="Y279" s="355"/>
      <c r="Z279" s="355"/>
      <c r="AA279" s="355"/>
      <c r="AB279" s="355"/>
      <c r="AC279" s="355"/>
      <c r="AD279" s="355"/>
      <c r="AE279" s="355"/>
      <c r="AF279" s="355"/>
      <c r="AG279" s="355"/>
      <c r="AH279" s="355"/>
      <c r="AI279" s="355"/>
      <c r="AJ279" s="355"/>
      <c r="AK279" s="355"/>
      <c r="AL279" s="355">
        <f>'Detailed Disclosure'!AL279</f>
        <v>0</v>
      </c>
      <c r="AM279" s="355">
        <f>'Detailed Disclosure'!AM279</f>
        <v>105932</v>
      </c>
      <c r="AN279" s="355">
        <f>'Detailed Disclosure'!AN279</f>
        <v>0</v>
      </c>
      <c r="AO279" s="355">
        <f>'Detailed Disclosure'!AO279</f>
        <v>0</v>
      </c>
      <c r="AP279" s="355">
        <f>'Detailed Disclosure'!AP279</f>
        <v>0</v>
      </c>
      <c r="AQ279" s="355"/>
      <c r="AR279" s="355"/>
      <c r="AS279" s="355"/>
      <c r="AT279" s="355"/>
      <c r="AU279" s="355"/>
    </row>
    <row r="280" spans="1:47">
      <c r="A280" s="319" t="s">
        <v>4213</v>
      </c>
      <c r="D280" s="355"/>
      <c r="E280" s="355"/>
      <c r="F280" s="355"/>
      <c r="G280" s="355"/>
      <c r="H280" s="355"/>
      <c r="I280" s="355"/>
      <c r="J280" s="355"/>
      <c r="K280" s="355"/>
      <c r="L280" s="355"/>
      <c r="M280" s="355"/>
      <c r="N280" s="355"/>
      <c r="O280" s="355"/>
      <c r="P280" s="355"/>
      <c r="Q280" s="355"/>
      <c r="R280" s="355"/>
      <c r="S280" s="355"/>
      <c r="T280" s="355"/>
      <c r="U280" s="355"/>
      <c r="V280" s="355"/>
      <c r="X280" s="355"/>
      <c r="Y280" s="355"/>
      <c r="Z280" s="355"/>
      <c r="AA280" s="355"/>
      <c r="AB280" s="355"/>
      <c r="AC280" s="355"/>
      <c r="AD280" s="355"/>
      <c r="AE280" s="355"/>
      <c r="AF280" s="355"/>
      <c r="AG280" s="355"/>
      <c r="AH280" s="355"/>
      <c r="AI280" s="355"/>
      <c r="AJ280" s="355"/>
      <c r="AK280" s="355"/>
      <c r="AL280" s="355">
        <f>'Detailed Disclosure'!AL280</f>
        <v>0</v>
      </c>
      <c r="AM280" s="355">
        <f>'Detailed Disclosure'!AM280</f>
        <v>0</v>
      </c>
      <c r="AN280" s="355">
        <f>'Detailed Disclosure'!AN280</f>
        <v>48077</v>
      </c>
      <c r="AO280" s="355">
        <f>'Detailed Disclosure'!AO280</f>
        <v>0</v>
      </c>
      <c r="AP280" s="355">
        <f>'Detailed Disclosure'!AP280</f>
        <v>0</v>
      </c>
      <c r="AQ280" s="355"/>
      <c r="AR280" s="355"/>
      <c r="AS280" s="355"/>
      <c r="AT280" s="355"/>
      <c r="AU280" s="355"/>
    </row>
    <row r="281" spans="1:47">
      <c r="A281" s="319" t="s">
        <v>4214</v>
      </c>
      <c r="D281" s="355"/>
      <c r="E281" s="355"/>
      <c r="F281" s="355"/>
      <c r="G281" s="355"/>
      <c r="H281" s="355"/>
      <c r="I281" s="355"/>
      <c r="J281" s="355"/>
      <c r="K281" s="355"/>
      <c r="L281" s="355"/>
      <c r="M281" s="355"/>
      <c r="N281" s="355"/>
      <c r="O281" s="355"/>
      <c r="P281" s="355"/>
      <c r="Q281" s="355"/>
      <c r="R281" s="355"/>
      <c r="S281" s="355"/>
      <c r="T281" s="355"/>
      <c r="U281" s="355"/>
      <c r="V281" s="355"/>
      <c r="X281" s="355"/>
      <c r="Y281" s="355"/>
      <c r="Z281" s="355"/>
      <c r="AA281" s="355"/>
      <c r="AB281" s="355"/>
      <c r="AC281" s="355"/>
      <c r="AD281" s="355"/>
      <c r="AE281" s="355"/>
      <c r="AF281" s="355"/>
      <c r="AG281" s="355"/>
      <c r="AH281" s="355"/>
      <c r="AI281" s="355"/>
      <c r="AJ281" s="355"/>
      <c r="AK281" s="355"/>
      <c r="AL281" s="355">
        <f>'Detailed Disclosure'!AL281</f>
        <v>0</v>
      </c>
      <c r="AM281" s="355">
        <f>'Detailed Disclosure'!AM281</f>
        <v>0</v>
      </c>
      <c r="AN281" s="355">
        <f>'Detailed Disclosure'!AN281</f>
        <v>0</v>
      </c>
      <c r="AO281" s="355">
        <f>'Detailed Disclosure'!AO281</f>
        <v>407238</v>
      </c>
      <c r="AP281" s="355">
        <f>'Detailed Disclosure'!AP281</f>
        <v>0</v>
      </c>
      <c r="AQ281" s="355"/>
      <c r="AR281" s="355"/>
      <c r="AS281" s="355"/>
      <c r="AT281" s="355"/>
      <c r="AU281" s="355"/>
    </row>
    <row r="282" spans="1:47">
      <c r="A282" s="319" t="s">
        <v>4215</v>
      </c>
      <c r="D282" s="355"/>
      <c r="E282" s="355"/>
      <c r="F282" s="355"/>
      <c r="G282" s="355"/>
      <c r="H282" s="355"/>
      <c r="I282" s="355"/>
      <c r="J282" s="355"/>
      <c r="K282" s="355"/>
      <c r="L282" s="355"/>
      <c r="M282" s="355"/>
      <c r="N282" s="355"/>
      <c r="O282" s="355"/>
      <c r="P282" s="355"/>
      <c r="Q282" s="355"/>
      <c r="R282" s="355"/>
      <c r="S282" s="355"/>
      <c r="T282" s="355"/>
      <c r="U282" s="355"/>
      <c r="V282" s="355"/>
      <c r="X282" s="355"/>
      <c r="Y282" s="355"/>
      <c r="Z282" s="355"/>
      <c r="AA282" s="355"/>
      <c r="AB282" s="355"/>
      <c r="AC282" s="355"/>
      <c r="AD282" s="355"/>
      <c r="AE282" s="355"/>
      <c r="AF282" s="355"/>
      <c r="AG282" s="355"/>
      <c r="AH282" s="355"/>
      <c r="AI282" s="355"/>
      <c r="AJ282" s="355"/>
      <c r="AK282" s="355"/>
      <c r="AL282" s="355">
        <f>'Detailed Disclosure'!AL282</f>
        <v>0</v>
      </c>
      <c r="AM282" s="355">
        <f>'Detailed Disclosure'!AM282</f>
        <v>0</v>
      </c>
      <c r="AN282" s="355">
        <f>'Detailed Disclosure'!AN282</f>
        <v>0</v>
      </c>
      <c r="AO282" s="355">
        <f>'Detailed Disclosure'!AO282</f>
        <v>4184732</v>
      </c>
      <c r="AP282" s="355">
        <f>'Detailed Disclosure'!AP282</f>
        <v>0</v>
      </c>
      <c r="AQ282" s="355"/>
      <c r="AR282" s="355"/>
      <c r="AS282" s="355"/>
      <c r="AT282" s="355"/>
      <c r="AU282" s="355"/>
    </row>
    <row r="283" spans="1:47">
      <c r="A283" s="319" t="s">
        <v>4216</v>
      </c>
      <c r="D283" s="355"/>
      <c r="E283" s="355"/>
      <c r="F283" s="355"/>
      <c r="G283" s="355"/>
      <c r="H283" s="355"/>
      <c r="I283" s="355"/>
      <c r="J283" s="355"/>
      <c r="K283" s="355"/>
      <c r="L283" s="355"/>
      <c r="M283" s="355"/>
      <c r="N283" s="355"/>
      <c r="O283" s="355"/>
      <c r="P283" s="355"/>
      <c r="Q283" s="355"/>
      <c r="R283" s="355"/>
      <c r="S283" s="355"/>
      <c r="T283" s="355"/>
      <c r="U283" s="355"/>
      <c r="V283" s="355"/>
      <c r="X283" s="355"/>
      <c r="Y283" s="355"/>
      <c r="Z283" s="355"/>
      <c r="AA283" s="355"/>
      <c r="AB283" s="355"/>
      <c r="AC283" s="355"/>
      <c r="AD283" s="355"/>
      <c r="AE283" s="355"/>
      <c r="AF283" s="355"/>
      <c r="AG283" s="355"/>
      <c r="AH283" s="355"/>
      <c r="AI283" s="355"/>
      <c r="AJ283" s="355"/>
      <c r="AK283" s="355"/>
      <c r="AL283" s="355">
        <f>'Detailed Disclosure'!AL283</f>
        <v>0</v>
      </c>
      <c r="AM283" s="355">
        <f>'Detailed Disclosure'!AM283</f>
        <v>0</v>
      </c>
      <c r="AN283" s="355">
        <f>'Detailed Disclosure'!AN283</f>
        <v>0</v>
      </c>
      <c r="AO283" s="355">
        <f>'Detailed Disclosure'!AO283</f>
        <v>0</v>
      </c>
      <c r="AP283" s="355">
        <f>'Detailed Disclosure'!AP283</f>
        <v>966940</v>
      </c>
      <c r="AQ283" s="355"/>
      <c r="AR283" s="355"/>
      <c r="AS283" s="355"/>
      <c r="AT283" s="355"/>
      <c r="AU283" s="355"/>
    </row>
    <row r="284" spans="1:47">
      <c r="D284" s="355"/>
      <c r="E284" s="355"/>
      <c r="F284" s="355"/>
      <c r="G284" s="355"/>
      <c r="H284" s="355"/>
      <c r="I284" s="355"/>
      <c r="J284" s="355"/>
      <c r="K284" s="355"/>
      <c r="L284" s="355"/>
      <c r="M284" s="355"/>
      <c r="N284" s="355"/>
      <c r="O284" s="355"/>
      <c r="P284" s="355"/>
      <c r="Q284" s="355"/>
      <c r="R284" s="355"/>
      <c r="S284" s="355"/>
      <c r="T284" s="355"/>
      <c r="U284" s="355"/>
      <c r="V284" s="355"/>
      <c r="X284" s="355"/>
      <c r="Y284" s="355"/>
      <c r="Z284" s="355"/>
      <c r="AA284" s="355"/>
      <c r="AB284" s="355"/>
      <c r="AC284" s="355"/>
      <c r="AD284" s="355"/>
      <c r="AE284" s="355"/>
      <c r="AF284" s="355"/>
      <c r="AG284" s="355"/>
      <c r="AH284" s="355"/>
      <c r="AI284" s="355"/>
      <c r="AJ284" s="355"/>
      <c r="AK284" s="355"/>
      <c r="AL284" s="355"/>
      <c r="AM284" s="355"/>
      <c r="AN284" s="355"/>
      <c r="AO284" s="355"/>
      <c r="AP284" s="355"/>
      <c r="AQ284" s="355"/>
      <c r="AR284" s="355"/>
      <c r="AS284" s="355"/>
      <c r="AT284" s="355"/>
      <c r="AU284" s="355"/>
    </row>
    <row r="285" spans="1:47">
      <c r="A285" s="513" t="s">
        <v>4217</v>
      </c>
      <c r="D285" s="355"/>
      <c r="E285" s="355"/>
      <c r="F285" s="355"/>
      <c r="G285" s="355"/>
      <c r="H285" s="355"/>
      <c r="I285" s="355"/>
      <c r="J285" s="355"/>
      <c r="K285" s="355"/>
      <c r="L285" s="355"/>
      <c r="M285" s="355"/>
      <c r="N285" s="355"/>
      <c r="O285" s="355"/>
      <c r="P285" s="355"/>
      <c r="Q285" s="355"/>
      <c r="R285" s="355"/>
      <c r="S285" s="355"/>
      <c r="T285" s="355"/>
      <c r="U285" s="355"/>
      <c r="V285" s="355"/>
      <c r="X285" s="355"/>
      <c r="Y285" s="355"/>
      <c r="Z285" s="355"/>
      <c r="AA285" s="355"/>
      <c r="AB285" s="355"/>
      <c r="AC285" s="355"/>
      <c r="AD285" s="355"/>
      <c r="AE285" s="355"/>
      <c r="AF285" s="355"/>
      <c r="AG285" s="355"/>
      <c r="AH285" s="355"/>
      <c r="AI285" s="355"/>
      <c r="AJ285" s="355"/>
      <c r="AK285" s="355"/>
      <c r="AL285" s="355"/>
      <c r="AM285" s="355"/>
      <c r="AN285" s="355"/>
      <c r="AO285" s="355"/>
      <c r="AP285" s="355"/>
      <c r="AQ285" s="355"/>
      <c r="AR285" s="355"/>
      <c r="AS285" s="355"/>
      <c r="AT285" s="355"/>
      <c r="AU285" s="355"/>
    </row>
    <row r="286" spans="1:47">
      <c r="A286" s="319" t="s">
        <v>4211</v>
      </c>
      <c r="D286" s="355"/>
      <c r="E286" s="355"/>
      <c r="F286" s="355"/>
      <c r="G286" s="355"/>
      <c r="H286" s="355"/>
      <c r="I286" s="355"/>
      <c r="J286" s="355"/>
      <c r="K286" s="355"/>
      <c r="L286" s="355"/>
      <c r="M286" s="355"/>
      <c r="N286" s="355"/>
      <c r="O286" s="355"/>
      <c r="P286" s="355"/>
      <c r="Q286" s="355"/>
      <c r="R286" s="355"/>
      <c r="S286" s="355"/>
      <c r="T286" s="355"/>
      <c r="U286" s="355"/>
      <c r="V286" s="355"/>
      <c r="X286" s="355"/>
      <c r="Y286" s="355"/>
      <c r="Z286" s="355"/>
      <c r="AA286" s="355"/>
      <c r="AB286" s="355"/>
      <c r="AC286" s="355"/>
      <c r="AD286" s="355"/>
      <c r="AE286" s="355"/>
      <c r="AF286" s="355"/>
      <c r="AG286" s="355"/>
      <c r="AH286" s="355"/>
      <c r="AI286" s="355"/>
      <c r="AJ286" s="355"/>
      <c r="AK286" s="355"/>
      <c r="AL286" s="355">
        <f>'Detailed Disclosure'!AL286*('Detailed Disclosures - USD'!$AL$228/'Detailed Disclosure'!$AL$228)</f>
        <v>0</v>
      </c>
      <c r="AM286" s="355">
        <f>'Detailed Disclosure'!AM286*('Detailed Disclosures - USD'!$AM$228/'Detailed Disclosure'!$AM$228)</f>
        <v>421.69982880976761</v>
      </c>
      <c r="AN286" s="355">
        <f>'Detailed Disclosure'!AN286*('Detailed Disclosures - USD'!$AN$228/'Detailed Disclosure'!$AN$228)</f>
        <v>0</v>
      </c>
      <c r="AO286" s="355">
        <f>'Detailed Disclosure'!AO286*('Detailed Disclosures - USD'!$AO$228/'Detailed Disclosure'!$AO$228)</f>
        <v>0</v>
      </c>
      <c r="AP286" s="355">
        <f>'Detailed Disclosure'!AP286*('Detailed Disclosures - USD'!$AP$228/'Detailed Disclosure'!$AP$228)</f>
        <v>0</v>
      </c>
      <c r="AQ286" s="355"/>
      <c r="AR286" s="355"/>
      <c r="AS286" s="355"/>
      <c r="AT286" s="355"/>
      <c r="AU286" s="355"/>
    </row>
    <row r="287" spans="1:47">
      <c r="A287" s="319" t="s">
        <v>4212</v>
      </c>
      <c r="D287" s="355"/>
      <c r="E287" s="355"/>
      <c r="F287" s="355"/>
      <c r="G287" s="355"/>
      <c r="H287" s="355"/>
      <c r="I287" s="355"/>
      <c r="J287" s="355"/>
      <c r="K287" s="355"/>
      <c r="L287" s="355"/>
      <c r="M287" s="355"/>
      <c r="N287" s="355"/>
      <c r="O287" s="355"/>
      <c r="P287" s="355"/>
      <c r="Q287" s="355"/>
      <c r="R287" s="355"/>
      <c r="S287" s="355"/>
      <c r="T287" s="355"/>
      <c r="U287" s="355"/>
      <c r="V287" s="355"/>
      <c r="X287" s="355"/>
      <c r="Y287" s="355"/>
      <c r="Z287" s="355"/>
      <c r="AA287" s="355"/>
      <c r="AB287" s="355"/>
      <c r="AC287" s="355"/>
      <c r="AD287" s="355"/>
      <c r="AE287" s="355"/>
      <c r="AF287" s="355"/>
      <c r="AG287" s="355"/>
      <c r="AH287" s="355"/>
      <c r="AI287" s="355"/>
      <c r="AJ287" s="355"/>
      <c r="AK287" s="355"/>
      <c r="AL287" s="355">
        <f>'Detailed Disclosure'!AL287*('Detailed Disclosures - USD'!$AL$228/'Detailed Disclosure'!$AL$228)</f>
        <v>0</v>
      </c>
      <c r="AM287" s="355">
        <f>'Detailed Disclosure'!AM287*('Detailed Disclosures - USD'!$AM$228/'Detailed Disclosure'!$AM$228)</f>
        <v>183.85671469061546</v>
      </c>
      <c r="AN287" s="355">
        <f>'Detailed Disclosure'!AN287*('Detailed Disclosures - USD'!$AN$228/'Detailed Disclosure'!$AN$228)</f>
        <v>0</v>
      </c>
      <c r="AO287" s="355">
        <f>'Detailed Disclosure'!AO287*('Detailed Disclosures - USD'!$AO$228/'Detailed Disclosure'!$AO$228)</f>
        <v>0</v>
      </c>
      <c r="AP287" s="355">
        <f>'Detailed Disclosure'!AP287*('Detailed Disclosures - USD'!$AP$228/'Detailed Disclosure'!$AP$228)</f>
        <v>0</v>
      </c>
      <c r="AQ287" s="355"/>
      <c r="AR287" s="355"/>
      <c r="AS287" s="355"/>
      <c r="AT287" s="355"/>
      <c r="AU287" s="355"/>
    </row>
    <row r="288" spans="1:47">
      <c r="A288" s="319" t="s">
        <v>4213</v>
      </c>
      <c r="D288" s="355"/>
      <c r="E288" s="355"/>
      <c r="F288" s="355"/>
      <c r="G288" s="355"/>
      <c r="H288" s="355"/>
      <c r="I288" s="355"/>
      <c r="J288" s="355"/>
      <c r="K288" s="355"/>
      <c r="L288" s="355"/>
      <c r="M288" s="355"/>
      <c r="N288" s="355"/>
      <c r="O288" s="355"/>
      <c r="P288" s="355"/>
      <c r="Q288" s="355"/>
      <c r="R288" s="355"/>
      <c r="S288" s="355"/>
      <c r="T288" s="355"/>
      <c r="U288" s="355"/>
      <c r="V288" s="355"/>
      <c r="X288" s="355"/>
      <c r="Y288" s="355"/>
      <c r="Z288" s="355"/>
      <c r="AA288" s="355"/>
      <c r="AB288" s="355"/>
      <c r="AC288" s="355"/>
      <c r="AD288" s="355"/>
      <c r="AE288" s="355"/>
      <c r="AF288" s="355"/>
      <c r="AG288" s="355"/>
      <c r="AH288" s="355"/>
      <c r="AI288" s="355"/>
      <c r="AJ288" s="355"/>
      <c r="AK288" s="355"/>
      <c r="AL288" s="355">
        <f>'Detailed Disclosure'!AL288*('Detailed Disclosures - USD'!$AL$228/'Detailed Disclosure'!$AL$228)</f>
        <v>0</v>
      </c>
      <c r="AM288" s="355">
        <f>'Detailed Disclosure'!AM288*('Detailed Disclosures - USD'!$AM$228/'Detailed Disclosure'!$AM$228)</f>
        <v>0</v>
      </c>
      <c r="AN288" s="355">
        <f>'Detailed Disclosure'!AN288*('Detailed Disclosures - USD'!$AN$228/'Detailed Disclosure'!$AN$228)</f>
        <v>68.143126752008314</v>
      </c>
      <c r="AO288" s="355">
        <f>'Detailed Disclosure'!AO288*('Detailed Disclosures - USD'!$AO$228/'Detailed Disclosure'!$AO$228)</f>
        <v>0</v>
      </c>
      <c r="AP288" s="355">
        <f>'Detailed Disclosure'!AP288*('Detailed Disclosures - USD'!$AP$228/'Detailed Disclosure'!$AP$228)</f>
        <v>0</v>
      </c>
      <c r="AQ288" s="355"/>
      <c r="AR288" s="355"/>
      <c r="AS288" s="355"/>
      <c r="AT288" s="355"/>
      <c r="AU288" s="355"/>
    </row>
    <row r="289" spans="1:47">
      <c r="A289" s="319" t="s">
        <v>4214</v>
      </c>
      <c r="D289" s="355"/>
      <c r="E289" s="355"/>
      <c r="F289" s="355"/>
      <c r="G289" s="355"/>
      <c r="H289" s="355"/>
      <c r="I289" s="355"/>
      <c r="J289" s="355"/>
      <c r="K289" s="355"/>
      <c r="L289" s="355"/>
      <c r="M289" s="355"/>
      <c r="N289" s="355"/>
      <c r="O289" s="355"/>
      <c r="P289" s="355"/>
      <c r="Q289" s="355"/>
      <c r="R289" s="355"/>
      <c r="S289" s="355"/>
      <c r="T289" s="355"/>
      <c r="U289" s="355"/>
      <c r="V289" s="355"/>
      <c r="X289" s="355"/>
      <c r="Y289" s="355"/>
      <c r="Z289" s="355"/>
      <c r="AA289" s="355"/>
      <c r="AB289" s="355"/>
      <c r="AC289" s="355"/>
      <c r="AD289" s="355"/>
      <c r="AE289" s="355"/>
      <c r="AF289" s="355"/>
      <c r="AG289" s="355"/>
      <c r="AH289" s="355"/>
      <c r="AI289" s="355"/>
      <c r="AJ289" s="355"/>
      <c r="AK289" s="355"/>
      <c r="AL289" s="355">
        <f>'Detailed Disclosure'!AL289*('Detailed Disclosures - USD'!$AL$228/'Detailed Disclosure'!$AL$228)</f>
        <v>0</v>
      </c>
      <c r="AM289" s="355">
        <f>'Detailed Disclosure'!AM289*('Detailed Disclosures - USD'!$AM$228/'Detailed Disclosure'!$AM$228)</f>
        <v>0</v>
      </c>
      <c r="AN289" s="355">
        <f>'Detailed Disclosure'!AN289*('Detailed Disclosures - USD'!$AN$228/'Detailed Disclosure'!$AN$228)</f>
        <v>0</v>
      </c>
      <c r="AO289" s="355">
        <f>'Detailed Disclosure'!AO289*('Detailed Disclosures - USD'!$AO$228/'Detailed Disclosure'!$AO$228)</f>
        <v>125.52295389982572</v>
      </c>
      <c r="AP289" s="355">
        <f>'Detailed Disclosure'!AP289*('Detailed Disclosures - USD'!$AP$228/'Detailed Disclosure'!$AP$228)</f>
        <v>0</v>
      </c>
      <c r="AQ289" s="355"/>
      <c r="AR289" s="355"/>
      <c r="AS289" s="355"/>
      <c r="AT289" s="355"/>
      <c r="AU289" s="355"/>
    </row>
    <row r="290" spans="1:47">
      <c r="A290" s="319" t="s">
        <v>4215</v>
      </c>
      <c r="D290" s="355"/>
      <c r="E290" s="355"/>
      <c r="F290" s="355"/>
      <c r="G290" s="355"/>
      <c r="H290" s="355"/>
      <c r="I290" s="355"/>
      <c r="J290" s="355"/>
      <c r="K290" s="355"/>
      <c r="L290" s="355"/>
      <c r="M290" s="355"/>
      <c r="N290" s="355"/>
      <c r="O290" s="355"/>
      <c r="P290" s="355"/>
      <c r="Q290" s="355"/>
      <c r="R290" s="355"/>
      <c r="S290" s="355"/>
      <c r="T290" s="355"/>
      <c r="U290" s="355"/>
      <c r="V290" s="355"/>
      <c r="X290" s="355"/>
      <c r="Y290" s="355"/>
      <c r="Z290" s="355"/>
      <c r="AA290" s="355"/>
      <c r="AB290" s="355"/>
      <c r="AC290" s="355"/>
      <c r="AD290" s="355"/>
      <c r="AE290" s="355"/>
      <c r="AF290" s="355"/>
      <c r="AG290" s="355"/>
      <c r="AH290" s="355"/>
      <c r="AI290" s="355"/>
      <c r="AJ290" s="355"/>
      <c r="AK290" s="355"/>
      <c r="AL290" s="355">
        <f>'Detailed Disclosure'!AL290*('Detailed Disclosures - USD'!$AL$228/'Detailed Disclosure'!$AL$228)</f>
        <v>0</v>
      </c>
      <c r="AM290" s="355">
        <f>'Detailed Disclosure'!AM290*('Detailed Disclosures - USD'!$AM$228/'Detailed Disclosure'!$AM$228)</f>
        <v>0</v>
      </c>
      <c r="AN290" s="355">
        <f>'Detailed Disclosure'!AN290*('Detailed Disclosures - USD'!$AN$228/'Detailed Disclosure'!$AN$228)</f>
        <v>0</v>
      </c>
      <c r="AO290" s="355">
        <f>'Detailed Disclosure'!AO290*('Detailed Disclosures - USD'!$AO$228/'Detailed Disclosure'!$AO$228)</f>
        <v>3645.2655419291441</v>
      </c>
      <c r="AP290" s="355">
        <f>'Detailed Disclosure'!AP290*('Detailed Disclosures - USD'!$AP$228/'Detailed Disclosure'!$AP$228)</f>
        <v>0</v>
      </c>
      <c r="AQ290" s="355"/>
      <c r="AR290" s="355"/>
      <c r="AS290" s="355"/>
      <c r="AT290" s="355"/>
      <c r="AU290" s="355"/>
    </row>
    <row r="291" spans="1:47">
      <c r="A291" s="319" t="s">
        <v>4216</v>
      </c>
      <c r="D291" s="355"/>
      <c r="E291" s="355"/>
      <c r="F291" s="355"/>
      <c r="G291" s="355"/>
      <c r="H291" s="355"/>
      <c r="I291" s="355"/>
      <c r="J291" s="355"/>
      <c r="K291" s="355"/>
      <c r="L291" s="355"/>
      <c r="M291" s="355"/>
      <c r="N291" s="355"/>
      <c r="O291" s="355"/>
      <c r="P291" s="355"/>
      <c r="Q291" s="355"/>
      <c r="R291" s="355"/>
      <c r="S291" s="355"/>
      <c r="T291" s="355"/>
      <c r="U291" s="355"/>
      <c r="V291" s="355"/>
      <c r="X291" s="355"/>
      <c r="Y291" s="355"/>
      <c r="Z291" s="355"/>
      <c r="AA291" s="355"/>
      <c r="AB291" s="355"/>
      <c r="AC291" s="355"/>
      <c r="AD291" s="355"/>
      <c r="AE291" s="355"/>
      <c r="AF291" s="355"/>
      <c r="AG291" s="355"/>
      <c r="AH291" s="355"/>
      <c r="AI291" s="355"/>
      <c r="AJ291" s="355"/>
      <c r="AK291" s="355"/>
      <c r="AL291" s="355">
        <f>'Detailed Disclosure'!AL291*('Detailed Disclosures - USD'!$AL$228/'Detailed Disclosure'!$AL$228)</f>
        <v>0</v>
      </c>
      <c r="AM291" s="355">
        <f>'Detailed Disclosure'!AM291*('Detailed Disclosures - USD'!$AM$228/'Detailed Disclosure'!$AM$228)</f>
        <v>0</v>
      </c>
      <c r="AN291" s="355">
        <f>'Detailed Disclosure'!AN291*('Detailed Disclosures - USD'!$AN$228/'Detailed Disclosure'!$AN$228)</f>
        <v>0</v>
      </c>
      <c r="AO291" s="355">
        <f>'Detailed Disclosure'!AO291*('Detailed Disclosures - USD'!$AO$228/'Detailed Disclosure'!$AO$228)</f>
        <v>0</v>
      </c>
      <c r="AP291" s="355">
        <f>'Detailed Disclosure'!AP291*('Detailed Disclosures - USD'!$AP$228/'Detailed Disclosure'!$AP$228)</f>
        <v>1729.3845789150141</v>
      </c>
      <c r="AQ291" s="355"/>
      <c r="AR291" s="355"/>
      <c r="AS291" s="355"/>
      <c r="AT291" s="355"/>
      <c r="AU291" s="355"/>
    </row>
    <row r="292" spans="1:47">
      <c r="D292" s="355"/>
      <c r="E292" s="355"/>
      <c r="F292" s="355"/>
      <c r="G292" s="355"/>
      <c r="H292" s="355"/>
      <c r="I292" s="355"/>
      <c r="J292" s="355"/>
      <c r="K292" s="355"/>
      <c r="L292" s="355"/>
      <c r="M292" s="355"/>
      <c r="N292" s="355"/>
      <c r="O292" s="355"/>
      <c r="P292" s="355"/>
      <c r="Q292" s="355"/>
      <c r="R292" s="355"/>
      <c r="S292" s="355"/>
      <c r="T292" s="355"/>
      <c r="U292" s="355"/>
      <c r="V292" s="355"/>
      <c r="X292" s="355"/>
      <c r="Y292" s="355"/>
      <c r="Z292" s="355"/>
      <c r="AA292" s="355"/>
      <c r="AB292" s="355"/>
      <c r="AC292" s="355"/>
      <c r="AD292" s="355"/>
      <c r="AE292" s="355"/>
      <c r="AF292" s="355"/>
      <c r="AG292" s="355"/>
      <c r="AH292" s="355"/>
      <c r="AI292" s="355"/>
      <c r="AJ292" s="355"/>
      <c r="AK292" s="355"/>
      <c r="AL292" s="355"/>
      <c r="AM292" s="355"/>
      <c r="AN292" s="355"/>
      <c r="AO292" s="355"/>
      <c r="AP292" s="355"/>
      <c r="AQ292" s="355"/>
      <c r="AR292" s="355"/>
      <c r="AS292" s="355"/>
      <c r="AT292" s="355"/>
      <c r="AU292" s="355"/>
    </row>
    <row r="293" spans="1:47">
      <c r="D293" s="355"/>
      <c r="E293" s="355"/>
      <c r="F293" s="355"/>
      <c r="G293" s="355"/>
      <c r="H293" s="355"/>
      <c r="I293" s="355"/>
      <c r="J293" s="355"/>
      <c r="K293" s="355"/>
      <c r="L293" s="355"/>
      <c r="M293" s="355"/>
      <c r="N293" s="355"/>
      <c r="O293" s="355"/>
      <c r="P293" s="355"/>
      <c r="Q293" s="355"/>
      <c r="R293" s="355"/>
      <c r="S293" s="355"/>
      <c r="T293" s="355"/>
      <c r="U293" s="355"/>
      <c r="V293" s="355"/>
      <c r="X293" s="355"/>
      <c r="Y293" s="355"/>
      <c r="Z293" s="355"/>
      <c r="AA293" s="355"/>
      <c r="AB293" s="355"/>
      <c r="AC293" s="355"/>
      <c r="AD293" s="355"/>
      <c r="AE293" s="355"/>
      <c r="AF293" s="355"/>
      <c r="AG293" s="355"/>
      <c r="AH293" s="355"/>
      <c r="AI293" s="355"/>
      <c r="AJ293" s="355"/>
      <c r="AK293" s="355"/>
      <c r="AL293" s="355"/>
      <c r="AM293" s="355"/>
      <c r="AN293" s="355"/>
      <c r="AO293" s="355"/>
      <c r="AP293" s="355"/>
      <c r="AQ293" s="355"/>
      <c r="AR293" s="355"/>
      <c r="AS293" s="355"/>
      <c r="AT293" s="355"/>
      <c r="AU293" s="355"/>
    </row>
    <row r="294" spans="1:47">
      <c r="A294" s="353" t="s">
        <v>176</v>
      </c>
      <c r="B294" s="354"/>
      <c r="D294" s="355"/>
      <c r="E294" s="355"/>
      <c r="F294" s="355"/>
      <c r="G294" s="355"/>
      <c r="H294" s="355"/>
      <c r="I294" s="355"/>
      <c r="J294" s="355"/>
      <c r="K294" s="355"/>
      <c r="L294" s="355"/>
      <c r="M294" s="355"/>
      <c r="N294" s="355"/>
      <c r="O294" s="355"/>
      <c r="P294" s="355"/>
      <c r="Q294" s="355"/>
      <c r="R294" s="355"/>
      <c r="S294" s="355"/>
      <c r="T294" s="355"/>
      <c r="U294" s="355"/>
      <c r="V294" s="355"/>
      <c r="X294" s="355"/>
      <c r="Y294" s="355"/>
      <c r="Z294" s="355"/>
      <c r="AA294" s="355"/>
      <c r="AB294" s="355"/>
      <c r="AC294" s="355"/>
      <c r="AD294" s="355"/>
      <c r="AE294" s="355"/>
      <c r="AF294" s="355"/>
      <c r="AG294" s="355"/>
      <c r="AH294" s="355"/>
      <c r="AI294" s="355"/>
      <c r="AJ294" s="355"/>
      <c r="AK294" s="355"/>
      <c r="AL294" s="355"/>
      <c r="AM294" s="355"/>
      <c r="AN294" s="355"/>
      <c r="AO294" s="355"/>
      <c r="AP294" s="355"/>
      <c r="AQ294" s="355"/>
      <c r="AR294" s="355"/>
      <c r="AS294" s="355"/>
      <c r="AT294" s="355"/>
      <c r="AU294" s="355"/>
    </row>
    <row r="295" spans="1:47" ht="18.5">
      <c r="D295" s="355"/>
      <c r="E295" s="355"/>
      <c r="F295" s="355"/>
      <c r="G295" s="355"/>
      <c r="H295" s="355"/>
      <c r="I295" s="355"/>
      <c r="J295" s="355"/>
      <c r="K295" s="355"/>
      <c r="L295" s="355"/>
      <c r="M295" s="355"/>
      <c r="N295" s="355"/>
      <c r="O295" s="355"/>
      <c r="P295" s="355"/>
      <c r="Q295" s="355"/>
      <c r="R295" s="355"/>
      <c r="S295" s="562"/>
      <c r="T295" s="562"/>
      <c r="U295" s="562"/>
      <c r="V295" s="562"/>
      <c r="X295" s="355"/>
      <c r="Y295" s="355"/>
      <c r="Z295" s="355"/>
      <c r="AA295" s="355"/>
      <c r="AB295" s="355"/>
      <c r="AC295" s="355"/>
      <c r="AD295" s="355"/>
      <c r="AE295" s="355"/>
      <c r="AF295" s="355"/>
      <c r="AG295" s="355"/>
      <c r="AH295" s="355"/>
      <c r="AI295" s="355"/>
      <c r="AJ295" s="355"/>
      <c r="AK295" s="355"/>
      <c r="AL295" s="355"/>
      <c r="AM295" s="356"/>
      <c r="AN295" s="356"/>
      <c r="AO295" s="356"/>
      <c r="AP295" s="356"/>
      <c r="AQ295" s="355"/>
      <c r="AR295" s="355"/>
      <c r="AS295" s="355"/>
      <c r="AT295" s="355"/>
      <c r="AU295" s="355"/>
    </row>
    <row r="296" spans="1:47">
      <c r="A296" s="319" t="s">
        <v>179</v>
      </c>
      <c r="D296" s="357">
        <v>43831</v>
      </c>
      <c r="E296" s="357">
        <f>+D297+1</f>
        <v>43922</v>
      </c>
      <c r="F296" s="357">
        <f>+E297+1</f>
        <v>44013</v>
      </c>
      <c r="G296" s="357">
        <f>+F297+1</f>
        <v>44105</v>
      </c>
      <c r="H296" s="357">
        <f>+G297+1</f>
        <v>44197</v>
      </c>
      <c r="I296" s="357">
        <f>+H297+1</f>
        <v>44287</v>
      </c>
      <c r="J296" s="357">
        <f t="shared" ref="J296" si="386">+I297+1</f>
        <v>44378</v>
      </c>
      <c r="K296" s="357">
        <f t="shared" ref="K296" si="387">+J297+1</f>
        <v>44470</v>
      </c>
      <c r="L296" s="357">
        <f>+L310</f>
        <v>44562</v>
      </c>
      <c r="M296" s="357">
        <f t="shared" ref="M296:N297" si="388">+M310</f>
        <v>44652</v>
      </c>
      <c r="N296" s="357">
        <f t="shared" si="388"/>
        <v>44743</v>
      </c>
      <c r="O296" s="357">
        <f t="shared" ref="O296:P296" si="389">+O310</f>
        <v>44835</v>
      </c>
      <c r="P296" s="357">
        <f t="shared" si="389"/>
        <v>44927</v>
      </c>
      <c r="Q296" s="357">
        <f t="shared" ref="Q296:S296" si="390">+Q310</f>
        <v>45017</v>
      </c>
      <c r="R296" s="357">
        <f t="shared" si="390"/>
        <v>45108</v>
      </c>
      <c r="S296" s="357">
        <f t="shared" si="390"/>
        <v>45200</v>
      </c>
      <c r="T296" s="357">
        <f t="shared" ref="T296:U296" si="391">+T310</f>
        <v>45292</v>
      </c>
      <c r="U296" s="357">
        <f t="shared" si="391"/>
        <v>45383</v>
      </c>
      <c r="V296" s="357">
        <f>+U297+1</f>
        <v>45474</v>
      </c>
      <c r="W296" s="358"/>
      <c r="X296" s="357">
        <v>43647</v>
      </c>
      <c r="Y296" s="357">
        <f>+X297+1</f>
        <v>43831</v>
      </c>
      <c r="Z296" s="357">
        <f>+Y297+1</f>
        <v>44013</v>
      </c>
      <c r="AA296" s="357">
        <f t="shared" ref="AA296" si="392">+Z297+1</f>
        <v>44197</v>
      </c>
      <c r="AB296" s="357">
        <f>+AB310</f>
        <v>44378</v>
      </c>
      <c r="AC296" s="357">
        <f t="shared" ref="AC296:AD296" si="393">+AC310</f>
        <v>44562</v>
      </c>
      <c r="AD296" s="357">
        <f t="shared" si="393"/>
        <v>44743</v>
      </c>
      <c r="AE296" s="357">
        <f t="shared" ref="AE296:AF296" si="394">+AE310</f>
        <v>44927</v>
      </c>
      <c r="AF296" s="357">
        <f t="shared" si="394"/>
        <v>45108</v>
      </c>
      <c r="AG296" s="357">
        <f t="shared" ref="AG296" si="395">+AG310</f>
        <v>45292</v>
      </c>
      <c r="AH296" s="357"/>
      <c r="AI296" s="357"/>
      <c r="AJ296" s="357">
        <v>42917</v>
      </c>
      <c r="AK296" s="357">
        <f>+AJ297+1</f>
        <v>43282</v>
      </c>
      <c r="AL296" s="357">
        <f>+AK297+1</f>
        <v>43647</v>
      </c>
      <c r="AM296" s="357">
        <f>+Z296</f>
        <v>44013</v>
      </c>
      <c r="AN296" s="357">
        <f>+AB296</f>
        <v>44378</v>
      </c>
      <c r="AO296" s="357">
        <f>+AN297+1</f>
        <v>44743</v>
      </c>
      <c r="AP296" s="357">
        <f t="shared" ref="AP296" si="396">+AO297+1</f>
        <v>45108</v>
      </c>
      <c r="AQ296" s="357"/>
      <c r="AR296" s="355"/>
      <c r="AS296" s="355"/>
      <c r="AT296" s="355"/>
      <c r="AU296" s="355"/>
    </row>
    <row r="297" spans="1:47">
      <c r="A297" s="319" t="s">
        <v>180</v>
      </c>
      <c r="D297" s="357">
        <f>+D296+90</f>
        <v>43921</v>
      </c>
      <c r="E297" s="357">
        <f>+E296+90</f>
        <v>44012</v>
      </c>
      <c r="F297" s="357">
        <f>+F296+91</f>
        <v>44104</v>
      </c>
      <c r="G297" s="357">
        <f>+G296+91</f>
        <v>44196</v>
      </c>
      <c r="H297" s="357">
        <f>+H296+89</f>
        <v>44286</v>
      </c>
      <c r="I297" s="357">
        <f>+I296+90</f>
        <v>44377</v>
      </c>
      <c r="J297" s="357">
        <f>+J296+91</f>
        <v>44469</v>
      </c>
      <c r="K297" s="357">
        <f t="shared" ref="K297" si="397">+K296+91</f>
        <v>44561</v>
      </c>
      <c r="L297" s="357">
        <f>+L311</f>
        <v>44651</v>
      </c>
      <c r="M297" s="357">
        <f t="shared" si="388"/>
        <v>44742</v>
      </c>
      <c r="N297" s="357">
        <f t="shared" si="388"/>
        <v>44834</v>
      </c>
      <c r="O297" s="357">
        <f t="shared" ref="O297:P297" si="398">+O311</f>
        <v>44926</v>
      </c>
      <c r="P297" s="357">
        <f t="shared" si="398"/>
        <v>45016</v>
      </c>
      <c r="Q297" s="357">
        <f t="shared" ref="Q297:S297" si="399">+Q311</f>
        <v>45107</v>
      </c>
      <c r="R297" s="357">
        <f t="shared" si="399"/>
        <v>45199</v>
      </c>
      <c r="S297" s="357">
        <f t="shared" si="399"/>
        <v>45291</v>
      </c>
      <c r="T297" s="357">
        <f t="shared" ref="T297:U297" si="400">+T311</f>
        <v>45382</v>
      </c>
      <c r="U297" s="357">
        <f t="shared" si="400"/>
        <v>45473</v>
      </c>
      <c r="V297" s="357">
        <f>+V296+91</f>
        <v>45565</v>
      </c>
      <c r="W297" s="358"/>
      <c r="X297" s="357">
        <f>+X296+183</f>
        <v>43830</v>
      </c>
      <c r="Y297" s="357">
        <f>+Y296+181</f>
        <v>44012</v>
      </c>
      <c r="Z297" s="357">
        <f>+Z296+183</f>
        <v>44196</v>
      </c>
      <c r="AA297" s="357">
        <f>+AA296+180</f>
        <v>44377</v>
      </c>
      <c r="AB297" s="357">
        <f t="shared" ref="AB297:AD297" si="401">+AB311</f>
        <v>44561</v>
      </c>
      <c r="AC297" s="357">
        <f t="shared" si="401"/>
        <v>44742</v>
      </c>
      <c r="AD297" s="357">
        <f t="shared" si="401"/>
        <v>44926</v>
      </c>
      <c r="AE297" s="357">
        <f t="shared" ref="AE297:AF297" si="402">+AE311</f>
        <v>45107</v>
      </c>
      <c r="AF297" s="357">
        <f t="shared" si="402"/>
        <v>45291</v>
      </c>
      <c r="AG297" s="357">
        <f t="shared" ref="AG297" si="403">+AG311</f>
        <v>45473</v>
      </c>
      <c r="AH297" s="357"/>
      <c r="AI297" s="357"/>
      <c r="AJ297" s="357">
        <f>+AJ296+364</f>
        <v>43281</v>
      </c>
      <c r="AK297" s="357">
        <f>+AK296+364</f>
        <v>43646</v>
      </c>
      <c r="AL297" s="357">
        <f>+AL296+365</f>
        <v>44012</v>
      </c>
      <c r="AM297" s="357">
        <f>+AM296+364</f>
        <v>44377</v>
      </c>
      <c r="AN297" s="357">
        <f t="shared" ref="AN297:AO297" si="404">+AN296+364</f>
        <v>44742</v>
      </c>
      <c r="AO297" s="357">
        <f t="shared" si="404"/>
        <v>45107</v>
      </c>
      <c r="AP297" s="357">
        <f t="shared" ref="AP297" si="405">+AP296+364</f>
        <v>45472</v>
      </c>
      <c r="AQ297" s="357"/>
      <c r="AR297" s="355"/>
      <c r="AS297" s="355"/>
      <c r="AT297" s="355"/>
      <c r="AU297" s="355"/>
    </row>
    <row r="298" spans="1:47">
      <c r="D298" s="355"/>
      <c r="E298" s="355"/>
      <c r="F298" s="355"/>
      <c r="G298" s="355"/>
      <c r="H298" s="355"/>
      <c r="I298" s="355"/>
      <c r="J298" s="355"/>
      <c r="K298" s="355"/>
      <c r="L298" s="355"/>
      <c r="M298" s="355"/>
      <c r="N298" s="355"/>
      <c r="O298" s="355"/>
      <c r="P298" s="355"/>
      <c r="Q298" s="355"/>
      <c r="R298" s="355"/>
      <c r="S298" s="355"/>
      <c r="T298" s="355"/>
      <c r="U298" s="355"/>
      <c r="V298" s="355"/>
      <c r="X298" s="355"/>
      <c r="Y298" s="355"/>
      <c r="Z298" s="355"/>
      <c r="AA298" s="357"/>
      <c r="AB298" s="357"/>
      <c r="AC298" s="357"/>
      <c r="AD298" s="357"/>
      <c r="AE298" s="357"/>
      <c r="AF298" s="357"/>
      <c r="AG298" s="357"/>
      <c r="AH298" s="355"/>
      <c r="AI298" s="355"/>
      <c r="AJ298" s="355"/>
      <c r="AK298" s="355"/>
      <c r="AL298" s="355"/>
      <c r="AM298" s="355"/>
      <c r="AN298" s="355"/>
      <c r="AO298" s="355"/>
      <c r="AP298" s="355"/>
      <c r="AQ298" s="355"/>
      <c r="AR298" s="355"/>
      <c r="AS298" s="355"/>
      <c r="AT298" s="355"/>
      <c r="AU298" s="355"/>
    </row>
    <row r="299" spans="1:47">
      <c r="A299" s="319" t="s">
        <v>181</v>
      </c>
      <c r="D299" s="351">
        <f>1/D313</f>
        <v>0.65653344568953254</v>
      </c>
      <c r="E299" s="351">
        <f t="shared" ref="E299:I299" si="406">1/E313</f>
        <v>0.65587334581174217</v>
      </c>
      <c r="F299" s="351">
        <f t="shared" si="406"/>
        <v>0.71465136277023933</v>
      </c>
      <c r="G299" s="351">
        <f t="shared" si="406"/>
        <v>0.73114664854694733</v>
      </c>
      <c r="H299" s="351">
        <f t="shared" si="406"/>
        <v>0.77239627361709018</v>
      </c>
      <c r="I299" s="351">
        <f t="shared" si="406"/>
        <v>0.76967513788603259</v>
      </c>
      <c r="J299" s="351">
        <f t="shared" ref="J299" si="407">1/J313</f>
        <v>0.73473742720509005</v>
      </c>
      <c r="K299" s="351">
        <f t="shared" ref="K299:L299" si="408">1/K313</f>
        <v>0.72828541822185999</v>
      </c>
      <c r="L299" s="351">
        <f t="shared" si="408"/>
        <v>0.72413801426873847</v>
      </c>
      <c r="M299" s="351">
        <f t="shared" ref="M299:N299" si="409">1/M313</f>
        <v>0.71415678488184886</v>
      </c>
      <c r="N299" s="351">
        <f t="shared" si="409"/>
        <v>0.68348408986478393</v>
      </c>
      <c r="O299" s="351">
        <f t="shared" ref="O299:P299" si="410">1/O313</f>
        <v>0.65698893402117353</v>
      </c>
      <c r="P299" s="351">
        <f t="shared" si="410"/>
        <v>0.68322344822874326</v>
      </c>
      <c r="Q299" s="351">
        <f t="shared" ref="Q299:S299" si="411">1/Q313</f>
        <v>0.66789235923801682</v>
      </c>
      <c r="R299" s="351">
        <f t="shared" si="411"/>
        <v>0.65461766948282918</v>
      </c>
      <c r="S299" s="351">
        <f t="shared" si="411"/>
        <v>0.65121263579022381</v>
      </c>
      <c r="T299" s="351">
        <f t="shared" ref="T299:U299" si="412">1/T313</f>
        <v>0.65755198454246933</v>
      </c>
      <c r="U299" s="351">
        <f t="shared" si="412"/>
        <v>0.65889412947052239</v>
      </c>
      <c r="V299" s="351">
        <f t="shared" ref="V299" si="413">1/V313</f>
        <v>0.66981528387426903</v>
      </c>
      <c r="W299" s="351"/>
      <c r="X299" s="351">
        <f t="shared" ref="X299:AA299" si="414">1/X313</f>
        <v>0.68461244238465335</v>
      </c>
      <c r="Y299" s="351">
        <f t="shared" si="414"/>
        <v>0.65620322974576528</v>
      </c>
      <c r="Z299" s="351">
        <f t="shared" si="414"/>
        <v>0.72280490729535962</v>
      </c>
      <c r="AA299" s="351">
        <f t="shared" si="414"/>
        <v>0.77102578804373501</v>
      </c>
      <c r="AB299" s="351">
        <f t="shared" ref="AB299:AC299" si="415">1/AB313</f>
        <v>0.73149719586115969</v>
      </c>
      <c r="AC299" s="351">
        <f t="shared" si="415"/>
        <v>0.71908519649897018</v>
      </c>
      <c r="AD299" s="351">
        <f t="shared" ref="AD299:AE299" si="416">1/AD313</f>
        <v>0.66997466658291982</v>
      </c>
      <c r="AE299" s="351">
        <f t="shared" si="416"/>
        <v>0.6754285799580555</v>
      </c>
      <c r="AF299" s="351">
        <f t="shared" ref="AF299:AG299" si="417">1/AF313</f>
        <v>0.65291071321801974</v>
      </c>
      <c r="AG299" s="351">
        <f t="shared" si="417"/>
        <v>0.65822237283378693</v>
      </c>
      <c r="AH299" s="355"/>
      <c r="AI299" s="355"/>
      <c r="AJ299" s="351">
        <f t="shared" ref="AJ299:AM299" si="418">1/AJ313</f>
        <v>0.77483785191171362</v>
      </c>
      <c r="AK299" s="351">
        <f t="shared" si="418"/>
        <v>0.71499631513169415</v>
      </c>
      <c r="AL299" s="351">
        <f t="shared" si="418"/>
        <v>0.67011503580250265</v>
      </c>
      <c r="AM299" s="351">
        <f t="shared" si="418"/>
        <v>0.74593915323235316</v>
      </c>
      <c r="AN299" s="351">
        <f t="shared" ref="AN299:AO299" si="419">1/AN313</f>
        <v>0.72528910222323717</v>
      </c>
      <c r="AO299" s="351">
        <f t="shared" si="419"/>
        <v>0.67266815667270741</v>
      </c>
      <c r="AP299" s="351">
        <f t="shared" ref="AP299" si="420">1/AP313</f>
        <v>0.65554127156200381</v>
      </c>
      <c r="AQ299" s="355"/>
      <c r="AR299" s="355"/>
      <c r="AS299" s="355"/>
      <c r="AT299" s="355"/>
      <c r="AU299" s="355"/>
    </row>
    <row r="300" spans="1:47" s="544" customFormat="1">
      <c r="A300" s="615" t="s">
        <v>237</v>
      </c>
      <c r="D300" s="616"/>
      <c r="E300" s="616"/>
      <c r="F300" s="616"/>
      <c r="G300" s="616"/>
      <c r="H300" s="339">
        <f>+H299/D299-1</f>
        <v>0.17647665734054296</v>
      </c>
      <c r="I300" s="339">
        <f t="shared" ref="I300" si="421">+I299/E299-1</f>
        <v>0.1735118415788699</v>
      </c>
      <c r="J300" s="339">
        <f t="shared" ref="J300" si="422">+J299/F299-1</f>
        <v>2.8106102473505645E-2</v>
      </c>
      <c r="K300" s="339">
        <f t="shared" ref="K300" si="423">+K299/G299-1</f>
        <v>-3.913346701066911E-3</v>
      </c>
      <c r="L300" s="339">
        <f t="shared" ref="L300" si="424">+L299/H299-1</f>
        <v>-6.2478627871106696E-2</v>
      </c>
      <c r="M300" s="339">
        <f t="shared" ref="M300" si="425">+M299/I299-1</f>
        <v>-7.2132189636096133E-2</v>
      </c>
      <c r="N300" s="339">
        <f t="shared" ref="N300" si="426">+N299/J299-1</f>
        <v>-6.9757352004336637E-2</v>
      </c>
      <c r="O300" s="339">
        <f t="shared" ref="O300" si="427">+O299/K299-1</f>
        <v>-9.7896349997999232E-2</v>
      </c>
      <c r="P300" s="339">
        <f t="shared" ref="P300" si="428">+P299/L299-1</f>
        <v>-5.6501060894189159E-2</v>
      </c>
      <c r="Q300" s="339">
        <f t="shared" ref="Q300" si="429">+Q299/M299-1</f>
        <v>-6.4781889107846435E-2</v>
      </c>
      <c r="R300" s="339">
        <f t="shared" ref="R300" si="430">+R299/N299-1</f>
        <v>-4.223422433675883E-2</v>
      </c>
      <c r="S300" s="339">
        <f t="shared" ref="S300" si="431">+S299/O299-1</f>
        <v>-8.7920784229884585E-3</v>
      </c>
      <c r="T300" s="339">
        <f t="shared" ref="T300" si="432">+T299/P299-1</f>
        <v>-3.7574037824414819E-2</v>
      </c>
      <c r="U300" s="339">
        <f t="shared" ref="U300:V300" si="433">+U299/Q299-1</f>
        <v>-1.3472574798969572E-2</v>
      </c>
      <c r="V300" s="339">
        <f t="shared" si="433"/>
        <v>2.3216016157105113E-2</v>
      </c>
      <c r="W300" s="339"/>
      <c r="X300" s="339"/>
      <c r="Y300" s="339"/>
      <c r="Z300" s="339">
        <f>+Z299/X299-1</f>
        <v>5.5786986251189941E-2</v>
      </c>
      <c r="AA300" s="339">
        <f>+AA299/Y299-1</f>
        <v>0.17498017853776138</v>
      </c>
      <c r="AB300" s="339">
        <f t="shared" ref="AB300" si="434">+AB299/Z299-1</f>
        <v>1.2025774144679646E-2</v>
      </c>
      <c r="AC300" s="339">
        <f t="shared" ref="AC300" si="435">+AC299/AA299-1</f>
        <v>-6.736556980350783E-2</v>
      </c>
      <c r="AD300" s="339">
        <f t="shared" ref="AD300" si="436">+AD299/AB299-1</f>
        <v>-8.4104942064490151E-2</v>
      </c>
      <c r="AE300" s="339">
        <f t="shared" ref="AE300" si="437">+AE299/AC299-1</f>
        <v>-6.0711327049238206E-2</v>
      </c>
      <c r="AF300" s="339">
        <f t="shared" ref="AF300" si="438">+AF299/AD299-1</f>
        <v>-2.5469550142741326E-2</v>
      </c>
      <c r="AG300" s="339">
        <f t="shared" ref="AG300" si="439">+AG299/AE299-1</f>
        <v>-2.5474502611863237E-2</v>
      </c>
      <c r="AH300" s="339"/>
      <c r="AI300" s="339"/>
      <c r="AJ300" s="339"/>
      <c r="AK300" s="339">
        <f>+AK299/AJ299-1</f>
        <v>-7.7231044704870633E-2</v>
      </c>
      <c r="AL300" s="339">
        <f>+AL299/AK299-1</f>
        <v>-6.277134354311309E-2</v>
      </c>
      <c r="AM300" s="339">
        <f>+AM299/AL299-1</f>
        <v>0.11315089705314052</v>
      </c>
      <c r="AN300" s="339">
        <f t="shared" ref="AN300" si="440">+AN299/AM299-1</f>
        <v>-2.7683291485148365E-2</v>
      </c>
      <c r="AO300" s="339">
        <f t="shared" ref="AO300" si="441">+AO299/AN299-1</f>
        <v>-7.2551683720643467E-2</v>
      </c>
      <c r="AP300" s="339">
        <f t="shared" ref="AP300" si="442">+AP299/AO299-1</f>
        <v>-2.5461120674152626E-2</v>
      </c>
      <c r="AQ300" s="616"/>
    </row>
    <row r="301" spans="1:47">
      <c r="D301" s="355"/>
      <c r="E301" s="355"/>
      <c r="F301" s="355"/>
      <c r="G301" s="355"/>
      <c r="H301" s="355"/>
      <c r="I301" s="355"/>
      <c r="J301" s="355"/>
      <c r="K301" s="355"/>
      <c r="L301" s="355"/>
      <c r="M301" s="355"/>
      <c r="N301" s="355"/>
      <c r="O301" s="355"/>
      <c r="P301" s="355"/>
      <c r="Q301" s="355"/>
      <c r="R301" s="355"/>
      <c r="S301" s="355"/>
      <c r="T301" s="355"/>
      <c r="U301" s="355"/>
      <c r="V301" s="355"/>
      <c r="X301" s="355"/>
      <c r="Y301" s="355"/>
      <c r="Z301" s="355"/>
      <c r="AA301" s="355"/>
      <c r="AB301" s="355"/>
      <c r="AC301" s="355"/>
      <c r="AD301" s="355"/>
      <c r="AE301" s="355"/>
      <c r="AF301" s="355"/>
      <c r="AG301" s="355"/>
      <c r="AH301" s="355"/>
      <c r="AI301" s="355"/>
      <c r="AJ301" s="355"/>
      <c r="AK301" s="355"/>
      <c r="AL301" s="355"/>
      <c r="AM301" s="355"/>
      <c r="AN301" s="355"/>
      <c r="AO301" s="355"/>
      <c r="AP301" s="355"/>
      <c r="AQ301" s="355"/>
      <c r="AR301" s="355"/>
      <c r="AS301" s="355"/>
      <c r="AT301" s="355"/>
      <c r="AU301" s="355"/>
    </row>
    <row r="302" spans="1:47">
      <c r="A302" s="319" t="s">
        <v>179</v>
      </c>
      <c r="D302" s="357"/>
      <c r="E302" s="357"/>
      <c r="F302" s="357"/>
      <c r="G302" s="357"/>
      <c r="H302" s="357"/>
      <c r="I302" s="357"/>
      <c r="J302" s="357"/>
      <c r="K302" s="357"/>
      <c r="L302" s="357"/>
      <c r="M302" s="357"/>
      <c r="N302" s="357"/>
      <c r="O302" s="357"/>
      <c r="P302" s="357"/>
      <c r="Q302" s="357"/>
      <c r="R302" s="357"/>
      <c r="S302" s="357"/>
      <c r="T302" s="357"/>
      <c r="U302" s="357"/>
      <c r="V302" s="357"/>
      <c r="W302" s="358"/>
      <c r="X302" s="357"/>
      <c r="Y302" s="357"/>
      <c r="Z302" s="357"/>
      <c r="AA302" s="357"/>
      <c r="AB302" s="357"/>
      <c r="AC302" s="357"/>
      <c r="AD302" s="357"/>
      <c r="AE302" s="357"/>
      <c r="AF302" s="357"/>
      <c r="AG302" s="357"/>
      <c r="AH302" s="357"/>
      <c r="AI302" s="357"/>
      <c r="AJ302" s="357">
        <f>+AJ303-1</f>
        <v>43280</v>
      </c>
      <c r="AK302" s="357">
        <f>+AJ302+365</f>
        <v>43645</v>
      </c>
      <c r="AL302" s="357">
        <f>+AK302+366</f>
        <v>44011</v>
      </c>
      <c r="AM302" s="357">
        <f>+AL302+365</f>
        <v>44376</v>
      </c>
      <c r="AN302" s="357">
        <f t="shared" ref="AN302:AN303" si="443">+AM302+365</f>
        <v>44741</v>
      </c>
      <c r="AO302" s="357">
        <f t="shared" ref="AO302:AO303" si="444">+AN302+365</f>
        <v>45106</v>
      </c>
      <c r="AP302" s="357">
        <f>+AP315</f>
        <v>45472</v>
      </c>
      <c r="AQ302" s="357"/>
      <c r="AR302" s="355"/>
      <c r="AS302" s="355"/>
      <c r="AT302" s="355"/>
      <c r="AU302" s="355"/>
    </row>
    <row r="303" spans="1:47">
      <c r="A303" s="319" t="s">
        <v>180</v>
      </c>
      <c r="D303" s="357"/>
      <c r="E303" s="357"/>
      <c r="F303" s="357"/>
      <c r="G303" s="357"/>
      <c r="H303" s="357"/>
      <c r="I303" s="357"/>
      <c r="J303" s="357"/>
      <c r="K303" s="357"/>
      <c r="L303" s="357"/>
      <c r="M303" s="357"/>
      <c r="N303" s="357"/>
      <c r="O303" s="357"/>
      <c r="P303" s="357"/>
      <c r="Q303" s="357"/>
      <c r="R303" s="357"/>
      <c r="S303" s="357"/>
      <c r="T303" s="357"/>
      <c r="U303" s="357"/>
      <c r="V303" s="357"/>
      <c r="W303" s="358"/>
      <c r="X303" s="357"/>
      <c r="Y303" s="357"/>
      <c r="Z303" s="357"/>
      <c r="AA303" s="357"/>
      <c r="AB303" s="357"/>
      <c r="AC303" s="357"/>
      <c r="AD303" s="357"/>
      <c r="AE303" s="357"/>
      <c r="AF303" s="357"/>
      <c r="AG303" s="357"/>
      <c r="AH303" s="357"/>
      <c r="AI303" s="357"/>
      <c r="AJ303" s="357">
        <v>43281</v>
      </c>
      <c r="AK303" s="357">
        <f>+AJ303+365</f>
        <v>43646</v>
      </c>
      <c r="AL303" s="357">
        <f>+AK303+366</f>
        <v>44012</v>
      </c>
      <c r="AM303" s="357">
        <f>+AL303+365</f>
        <v>44377</v>
      </c>
      <c r="AN303" s="357">
        <f t="shared" si="443"/>
        <v>44742</v>
      </c>
      <c r="AO303" s="357">
        <f t="shared" si="444"/>
        <v>45107</v>
      </c>
      <c r="AP303" s="357">
        <f>+AP316</f>
        <v>45473</v>
      </c>
      <c r="AQ303" s="357"/>
      <c r="AR303" s="355"/>
      <c r="AS303" s="355"/>
      <c r="AT303" s="355"/>
      <c r="AU303" s="355"/>
    </row>
    <row r="304" spans="1:47">
      <c r="D304" s="355"/>
      <c r="E304" s="355"/>
      <c r="F304" s="355"/>
      <c r="G304" s="355"/>
      <c r="H304" s="355"/>
      <c r="I304" s="355"/>
      <c r="J304" s="355"/>
      <c r="K304" s="355"/>
      <c r="L304" s="355"/>
      <c r="M304" s="355"/>
      <c r="N304" s="355"/>
      <c r="O304" s="355"/>
      <c r="P304" s="355"/>
      <c r="Q304" s="355"/>
      <c r="R304" s="355"/>
      <c r="S304" s="355"/>
      <c r="T304" s="355"/>
      <c r="U304" s="355"/>
      <c r="V304" s="355"/>
      <c r="X304" s="355"/>
      <c r="Y304" s="355"/>
      <c r="Z304" s="355"/>
      <c r="AA304" s="355"/>
      <c r="AB304" s="355"/>
      <c r="AC304" s="355"/>
      <c r="AD304" s="355"/>
      <c r="AE304" s="355"/>
      <c r="AF304" s="355"/>
      <c r="AG304" s="355"/>
      <c r="AH304" s="355"/>
      <c r="AI304" s="355"/>
      <c r="AJ304" s="355"/>
      <c r="AK304" s="355"/>
      <c r="AL304" s="355"/>
      <c r="AM304" s="355"/>
      <c r="AN304" s="355"/>
      <c r="AO304" s="355"/>
      <c r="AP304" s="355"/>
      <c r="AQ304" s="355"/>
      <c r="AR304" s="355"/>
      <c r="AS304" s="355"/>
      <c r="AT304" s="355"/>
      <c r="AU304" s="355"/>
    </row>
    <row r="305" spans="1:47">
      <c r="A305" s="319" t="s">
        <v>181</v>
      </c>
      <c r="D305" s="355"/>
      <c r="E305" s="355"/>
      <c r="F305" s="355"/>
      <c r="G305" s="355"/>
      <c r="H305" s="355"/>
      <c r="I305" s="355"/>
      <c r="J305" s="355"/>
      <c r="K305" s="355"/>
      <c r="L305" s="355"/>
      <c r="M305" s="355"/>
      <c r="N305" s="355"/>
      <c r="O305" s="355"/>
      <c r="P305" s="355"/>
      <c r="Q305" s="355"/>
      <c r="R305" s="355"/>
      <c r="S305" s="355"/>
      <c r="T305" s="355"/>
      <c r="U305" s="355"/>
      <c r="V305" s="355"/>
      <c r="X305" s="355"/>
      <c r="Y305" s="355"/>
      <c r="Z305" s="355"/>
      <c r="AA305" s="355"/>
      <c r="AB305" s="355"/>
      <c r="AC305" s="355"/>
      <c r="AD305" s="355"/>
      <c r="AE305" s="355"/>
      <c r="AF305" s="355"/>
      <c r="AG305" s="355"/>
      <c r="AH305" s="355"/>
      <c r="AI305" s="355"/>
      <c r="AJ305" s="351">
        <f t="shared" ref="AJ305:AL305" si="445">1/AJ318</f>
        <v>0.73964497041420119</v>
      </c>
      <c r="AK305" s="351">
        <f t="shared" si="445"/>
        <v>0.70116393212733141</v>
      </c>
      <c r="AL305" s="351">
        <f t="shared" si="445"/>
        <v>0.68518962622905888</v>
      </c>
      <c r="AM305" s="351">
        <f t="shared" ref="AM305:AN305" si="446">1/AM318</f>
        <v>0.75075075075075071</v>
      </c>
      <c r="AN305" s="351">
        <f t="shared" si="446"/>
        <v>0.68823124569855465</v>
      </c>
      <c r="AO305" s="351">
        <f t="shared" ref="AO305:AP305" si="447">1/AO318</f>
        <v>0.66440768055278709</v>
      </c>
      <c r="AP305" s="351">
        <f t="shared" si="447"/>
        <v>0.66720042700827331</v>
      </c>
      <c r="AQ305" s="355"/>
      <c r="AR305" s="355"/>
      <c r="AS305" s="355"/>
      <c r="AT305" s="355"/>
      <c r="AU305" s="355"/>
    </row>
    <row r="306" spans="1:47" s="350" customFormat="1">
      <c r="A306" s="615" t="s">
        <v>237</v>
      </c>
      <c r="D306" s="360"/>
      <c r="E306" s="360"/>
      <c r="F306" s="360"/>
      <c r="G306" s="360"/>
      <c r="H306" s="360"/>
      <c r="I306" s="360"/>
      <c r="J306" s="360"/>
      <c r="K306" s="360"/>
      <c r="L306" s="360"/>
      <c r="M306" s="360"/>
      <c r="N306" s="360"/>
      <c r="O306" s="360"/>
      <c r="P306" s="360"/>
      <c r="Q306" s="360"/>
      <c r="R306" s="360"/>
      <c r="S306" s="360"/>
      <c r="T306" s="360"/>
      <c r="U306" s="360"/>
      <c r="V306" s="360"/>
      <c r="X306" s="360"/>
      <c r="Y306" s="360"/>
      <c r="Z306" s="360"/>
      <c r="AA306" s="360"/>
      <c r="AB306" s="360"/>
      <c r="AC306" s="360"/>
      <c r="AD306" s="360"/>
      <c r="AE306" s="360"/>
      <c r="AF306" s="360"/>
      <c r="AG306" s="360"/>
      <c r="AH306" s="360"/>
      <c r="AI306" s="360"/>
      <c r="AJ306" s="360"/>
      <c r="AK306" s="339">
        <f>+AK305/AJ305-1</f>
        <v>-5.2026363763847949E-2</v>
      </c>
      <c r="AL306" s="339">
        <f>+AL305/AK305-1</f>
        <v>-2.278255507211624E-2</v>
      </c>
      <c r="AM306" s="339">
        <f>+AM305/AL305-1</f>
        <v>9.5683183183183029E-2</v>
      </c>
      <c r="AN306" s="339">
        <f t="shared" ref="AN306" si="448">+AN305/AM305-1</f>
        <v>-8.3275980729525134E-2</v>
      </c>
      <c r="AO306" s="339">
        <f t="shared" ref="AO306" si="449">+AO305/AN305-1</f>
        <v>-3.4615640156800298E-2</v>
      </c>
      <c r="AP306" s="339">
        <f t="shared" ref="AP306" si="450">+AP305/AO305-1</f>
        <v>4.2033626901523125E-3</v>
      </c>
      <c r="AQ306" s="360"/>
      <c r="AR306" s="360"/>
      <c r="AS306" s="360"/>
      <c r="AT306" s="360"/>
      <c r="AU306" s="360"/>
    </row>
    <row r="307" spans="1:47">
      <c r="D307" s="355"/>
      <c r="E307" s="355"/>
      <c r="F307" s="355"/>
      <c r="G307" s="355"/>
      <c r="H307" s="355"/>
      <c r="I307" s="355"/>
      <c r="J307" s="355"/>
      <c r="K307" s="355"/>
      <c r="L307" s="355"/>
      <c r="M307" s="355"/>
      <c r="N307" s="355"/>
      <c r="O307" s="355"/>
      <c r="P307" s="355"/>
      <c r="Q307" s="355"/>
      <c r="R307" s="355"/>
      <c r="S307" s="355"/>
      <c r="T307" s="355"/>
      <c r="U307" s="355"/>
      <c r="V307" s="355"/>
      <c r="X307" s="355"/>
      <c r="Y307" s="355"/>
      <c r="Z307" s="355"/>
      <c r="AA307" s="355"/>
      <c r="AB307" s="355"/>
      <c r="AC307" s="355"/>
      <c r="AD307" s="355"/>
      <c r="AE307" s="355"/>
      <c r="AF307" s="355"/>
      <c r="AG307" s="355"/>
      <c r="AH307" s="355"/>
      <c r="AI307" s="355"/>
      <c r="AJ307" s="355"/>
      <c r="AK307" s="355"/>
      <c r="AL307" s="355"/>
      <c r="AM307" s="355"/>
      <c r="AN307" s="355"/>
      <c r="AO307" s="355"/>
      <c r="AP307" s="355"/>
      <c r="AQ307" s="355"/>
      <c r="AR307" s="355"/>
      <c r="AS307" s="355"/>
      <c r="AT307" s="355"/>
      <c r="AU307" s="355"/>
    </row>
    <row r="308" spans="1:47">
      <c r="A308" s="353" t="s">
        <v>176</v>
      </c>
      <c r="B308" s="354"/>
      <c r="D308" s="355"/>
      <c r="E308" s="355"/>
      <c r="F308" s="355"/>
      <c r="G308" s="355"/>
      <c r="H308" s="355"/>
      <c r="I308" s="355"/>
      <c r="J308" s="355"/>
      <c r="K308" s="355"/>
      <c r="L308" s="355"/>
      <c r="M308" s="355"/>
      <c r="N308" s="355"/>
      <c r="O308" s="355"/>
      <c r="P308" s="355"/>
      <c r="Q308" s="355"/>
      <c r="R308" s="355"/>
      <c r="S308" s="355"/>
      <c r="T308" s="355"/>
      <c r="U308" s="355"/>
      <c r="V308" s="355"/>
      <c r="X308" s="355"/>
      <c r="Y308" s="355"/>
      <c r="Z308" s="355"/>
      <c r="AA308" s="355"/>
      <c r="AB308" s="355"/>
      <c r="AC308" s="355"/>
      <c r="AD308" s="355"/>
      <c r="AE308" s="355"/>
      <c r="AF308" s="355"/>
      <c r="AG308" s="355"/>
      <c r="AH308" s="355"/>
      <c r="AI308" s="355"/>
      <c r="AJ308" s="355"/>
      <c r="AK308" s="355"/>
      <c r="AL308" s="355"/>
      <c r="AM308" s="355"/>
      <c r="AN308" s="355"/>
      <c r="AO308" s="355"/>
      <c r="AP308" s="355"/>
      <c r="AQ308" s="355"/>
      <c r="AR308" s="355"/>
      <c r="AS308" s="355"/>
      <c r="AT308" s="355"/>
      <c r="AU308" s="355"/>
    </row>
    <row r="309" spans="1:47">
      <c r="D309" s="355"/>
      <c r="E309" s="355"/>
      <c r="F309" s="355"/>
      <c r="G309" s="355"/>
      <c r="H309" s="355"/>
      <c r="I309" s="355"/>
      <c r="J309" s="355"/>
      <c r="K309" s="355"/>
      <c r="L309" s="355"/>
      <c r="M309" s="355"/>
      <c r="N309" s="355"/>
      <c r="O309" s="355"/>
      <c r="P309" s="355"/>
      <c r="Q309" s="355"/>
      <c r="R309" s="355"/>
      <c r="S309" s="355"/>
      <c r="T309" s="355"/>
      <c r="U309" s="355"/>
      <c r="V309" s="355"/>
      <c r="X309" s="355"/>
      <c r="Y309" s="355"/>
      <c r="Z309" s="355"/>
      <c r="AA309" s="355"/>
      <c r="AB309" s="355"/>
      <c r="AC309" s="355"/>
      <c r="AD309" s="355"/>
      <c r="AE309" s="355"/>
      <c r="AF309" s="355"/>
      <c r="AG309" s="355"/>
      <c r="AH309" s="355"/>
      <c r="AI309" s="355"/>
      <c r="AJ309" s="355"/>
      <c r="AK309" s="355"/>
      <c r="AL309" s="355"/>
      <c r="AM309" s="355"/>
      <c r="AN309" s="355"/>
      <c r="AO309" s="355"/>
      <c r="AP309" s="355"/>
      <c r="AQ309" s="355"/>
      <c r="AR309" s="355"/>
      <c r="AS309" s="355"/>
      <c r="AT309" s="355"/>
      <c r="AU309" s="355"/>
    </row>
    <row r="310" spans="1:47">
      <c r="A310" s="319" t="s">
        <v>179</v>
      </c>
      <c r="D310" s="357">
        <v>43831</v>
      </c>
      <c r="E310" s="357">
        <f>+D311+1</f>
        <v>43922</v>
      </c>
      <c r="F310" s="357">
        <f>+E311+1</f>
        <v>44013</v>
      </c>
      <c r="G310" s="357">
        <f>+F311+1</f>
        <v>44105</v>
      </c>
      <c r="H310" s="357">
        <f>+G311+1</f>
        <v>44197</v>
      </c>
      <c r="I310" s="357">
        <f>+H311+1</f>
        <v>44287</v>
      </c>
      <c r="J310" s="357">
        <f t="shared" ref="J310" si="451">+I311+1</f>
        <v>44378</v>
      </c>
      <c r="K310" s="357">
        <f t="shared" ref="K310" si="452">+J311+1</f>
        <v>44470</v>
      </c>
      <c r="L310" s="357">
        <f t="shared" ref="L310" si="453">+K311+1</f>
        <v>44562</v>
      </c>
      <c r="M310" s="357">
        <f t="shared" ref="M310" si="454">+L311+1</f>
        <v>44652</v>
      </c>
      <c r="N310" s="357">
        <f t="shared" ref="N310" si="455">+M311+1</f>
        <v>44743</v>
      </c>
      <c r="O310" s="357">
        <f t="shared" ref="O310" si="456">+N311+1</f>
        <v>44835</v>
      </c>
      <c r="P310" s="357">
        <f t="shared" ref="P310" si="457">+O311+1</f>
        <v>44927</v>
      </c>
      <c r="Q310" s="357">
        <f t="shared" ref="Q310" si="458">+P311+1</f>
        <v>45017</v>
      </c>
      <c r="R310" s="357">
        <f t="shared" ref="R310" si="459">+Q311+1</f>
        <v>45108</v>
      </c>
      <c r="S310" s="357">
        <f t="shared" ref="S310" si="460">+R311+1</f>
        <v>45200</v>
      </c>
      <c r="T310" s="357">
        <f t="shared" ref="T310" si="461">+S311+1</f>
        <v>45292</v>
      </c>
      <c r="U310" s="357">
        <f t="shared" ref="U310" si="462">+T311+1</f>
        <v>45383</v>
      </c>
      <c r="V310" s="357">
        <f>+U311+1</f>
        <v>45474</v>
      </c>
      <c r="W310" s="358"/>
      <c r="X310" s="357">
        <v>43647</v>
      </c>
      <c r="Y310" s="357">
        <f>+X311+1</f>
        <v>43831</v>
      </c>
      <c r="Z310" s="357">
        <f>+Y311+1</f>
        <v>44013</v>
      </c>
      <c r="AA310" s="357">
        <f t="shared" ref="AA310" si="463">+Z311+1</f>
        <v>44197</v>
      </c>
      <c r="AB310" s="357">
        <f t="shared" ref="AB310" si="464">+AA311+1</f>
        <v>44378</v>
      </c>
      <c r="AC310" s="357">
        <f t="shared" ref="AC310" si="465">+AB311+1</f>
        <v>44562</v>
      </c>
      <c r="AD310" s="357">
        <f t="shared" ref="AD310" si="466">+AC311+1</f>
        <v>44743</v>
      </c>
      <c r="AE310" s="357">
        <f t="shared" ref="AE310" si="467">+AD311+1</f>
        <v>44927</v>
      </c>
      <c r="AF310" s="357">
        <f t="shared" ref="AF310" si="468">+AE311+1</f>
        <v>45108</v>
      </c>
      <c r="AG310" s="357">
        <f t="shared" ref="AG310" si="469">+AF311+1</f>
        <v>45292</v>
      </c>
      <c r="AH310" s="357"/>
      <c r="AI310" s="357"/>
      <c r="AJ310" s="357">
        <v>42917</v>
      </c>
      <c r="AK310" s="357">
        <f>+AJ311+1</f>
        <v>43282</v>
      </c>
      <c r="AL310" s="357">
        <f>+AK311+1</f>
        <v>43648</v>
      </c>
      <c r="AM310" s="357">
        <f>+AL311+1</f>
        <v>44013</v>
      </c>
      <c r="AN310" s="357">
        <f>+AM311+1</f>
        <v>44378</v>
      </c>
      <c r="AO310" s="357">
        <f t="shared" ref="AO310" si="470">+AN311+1</f>
        <v>44743</v>
      </c>
      <c r="AP310" s="357">
        <f>+AO311+1</f>
        <v>45108</v>
      </c>
      <c r="AQ310" s="357"/>
      <c r="AR310" s="355"/>
      <c r="AS310" s="355"/>
      <c r="AT310" s="355"/>
      <c r="AU310" s="355"/>
    </row>
    <row r="311" spans="1:47">
      <c r="A311" s="319" t="s">
        <v>180</v>
      </c>
      <c r="D311" s="357">
        <f>+D310+90</f>
        <v>43921</v>
      </c>
      <c r="E311" s="357">
        <f>+E310+90</f>
        <v>44012</v>
      </c>
      <c r="F311" s="357">
        <f>+F310+91</f>
        <v>44104</v>
      </c>
      <c r="G311" s="357">
        <f>+G310+91</f>
        <v>44196</v>
      </c>
      <c r="H311" s="357">
        <f>+H310+89</f>
        <v>44286</v>
      </c>
      <c r="I311" s="357">
        <f>+I310+90</f>
        <v>44377</v>
      </c>
      <c r="J311" s="357">
        <f>+J310+91</f>
        <v>44469</v>
      </c>
      <c r="K311" s="357">
        <f t="shared" ref="K311" si="471">+K310+91</f>
        <v>44561</v>
      </c>
      <c r="L311" s="357">
        <f>+L310+89</f>
        <v>44651</v>
      </c>
      <c r="M311" s="357">
        <f>+M310+90</f>
        <v>44742</v>
      </c>
      <c r="N311" s="357">
        <f>+N310+91</f>
        <v>44834</v>
      </c>
      <c r="O311" s="357">
        <f t="shared" ref="O311" si="472">+O310+91</f>
        <v>44926</v>
      </c>
      <c r="P311" s="357">
        <f>+P310+89</f>
        <v>45016</v>
      </c>
      <c r="Q311" s="357">
        <f>+Q310+90</f>
        <v>45107</v>
      </c>
      <c r="R311" s="357">
        <f>+R310+91</f>
        <v>45199</v>
      </c>
      <c r="S311" s="357">
        <f t="shared" ref="S311" si="473">+S310+91</f>
        <v>45291</v>
      </c>
      <c r="T311" s="357">
        <f>+T310+90</f>
        <v>45382</v>
      </c>
      <c r="U311" s="357">
        <f t="shared" ref="U311" si="474">+U310+90</f>
        <v>45473</v>
      </c>
      <c r="V311" s="357">
        <f>+V310+91</f>
        <v>45565</v>
      </c>
      <c r="W311" s="358"/>
      <c r="X311" s="357">
        <f>+X310+183</f>
        <v>43830</v>
      </c>
      <c r="Y311" s="357">
        <f>+Y310+181</f>
        <v>44012</v>
      </c>
      <c r="Z311" s="357">
        <f>+Z310+183</f>
        <v>44196</v>
      </c>
      <c r="AA311" s="357">
        <f>+AA310+180</f>
        <v>44377</v>
      </c>
      <c r="AB311" s="357">
        <f>+AB310+183</f>
        <v>44561</v>
      </c>
      <c r="AC311" s="357">
        <f>+AC310+180</f>
        <v>44742</v>
      </c>
      <c r="AD311" s="357">
        <f>+AD310+183</f>
        <v>44926</v>
      </c>
      <c r="AE311" s="357">
        <f>+AE310+180</f>
        <v>45107</v>
      </c>
      <c r="AF311" s="357">
        <f>+AF310+183</f>
        <v>45291</v>
      </c>
      <c r="AG311" s="357">
        <f>+AG310+181</f>
        <v>45473</v>
      </c>
      <c r="AH311" s="357"/>
      <c r="AI311" s="357"/>
      <c r="AJ311" s="357">
        <f>+AJ310+364</f>
        <v>43281</v>
      </c>
      <c r="AK311" s="357">
        <f>+AK310+365</f>
        <v>43647</v>
      </c>
      <c r="AL311" s="357">
        <f>+AL310+364</f>
        <v>44012</v>
      </c>
      <c r="AM311" s="357">
        <f>+AM310+364</f>
        <v>44377</v>
      </c>
      <c r="AN311" s="357">
        <f>+AN310+364</f>
        <v>44742</v>
      </c>
      <c r="AO311" s="357">
        <f t="shared" ref="AO311" si="475">+AO310+364</f>
        <v>45107</v>
      </c>
      <c r="AP311" s="357">
        <f>+AP310+365</f>
        <v>45473</v>
      </c>
      <c r="AQ311" s="357"/>
      <c r="AR311" s="355"/>
      <c r="AS311" s="355"/>
      <c r="AT311" s="355"/>
      <c r="AU311" s="355"/>
    </row>
    <row r="312" spans="1:47">
      <c r="D312" s="355"/>
      <c r="E312" s="355"/>
      <c r="F312" s="355"/>
      <c r="G312" s="355"/>
      <c r="H312" s="355"/>
      <c r="I312" s="355"/>
      <c r="J312" s="355"/>
      <c r="K312" s="355"/>
      <c r="L312" s="355"/>
      <c r="M312" s="355"/>
      <c r="N312" s="355"/>
      <c r="O312" s="355"/>
      <c r="P312" s="355"/>
      <c r="Q312" s="355"/>
      <c r="R312" s="355"/>
      <c r="S312" s="355"/>
      <c r="T312" s="355"/>
      <c r="U312" s="355"/>
      <c r="V312" s="355"/>
      <c r="X312" s="355"/>
      <c r="Y312" s="355"/>
      <c r="Z312" s="355"/>
      <c r="AA312" s="355"/>
      <c r="AB312" s="355"/>
      <c r="AC312" s="355"/>
      <c r="AD312" s="355"/>
      <c r="AE312" s="355"/>
      <c r="AF312" s="355"/>
      <c r="AG312" s="355"/>
      <c r="AH312" s="355"/>
      <c r="AI312" s="355"/>
      <c r="AJ312" s="355"/>
      <c r="AK312" s="355"/>
      <c r="AL312" s="355"/>
      <c r="AM312" s="355"/>
      <c r="AN312" s="355"/>
      <c r="AO312" s="355"/>
      <c r="AP312" s="355"/>
      <c r="AQ312" s="355"/>
      <c r="AR312" s="355"/>
      <c r="AS312" s="355"/>
      <c r="AT312" s="355"/>
      <c r="AU312" s="355"/>
    </row>
    <row r="313" spans="1:47">
      <c r="A313" s="319" t="s">
        <v>181</v>
      </c>
      <c r="D313" s="351">
        <f>_xll.ciqfunctions.udf.CIQAVG("$"&amp;$AR313&amp;$AS313,"iq_lastsaleprice",D$310,D$311)</f>
        <v>1.5231516483516501</v>
      </c>
      <c r="E313" s="351">
        <f>_xll.ciqfunctions.udf.CIQAVG("$"&amp;$AR313&amp;$AS313,"iq_lastsaleprice",E$310,E$311)</f>
        <v>1.5246846153846201</v>
      </c>
      <c r="F313" s="351">
        <f>_xll.ciqfunctions.udf.CIQAVG("$"&amp;$AR313&amp;$AS313,"iq_lastsaleprice",F$310,F$311)</f>
        <v>1.3992836956521699</v>
      </c>
      <c r="G313" s="351">
        <f>_xll.ciqfunctions.udf.CIQAVG("$"&amp;$AR313&amp;$AS313,"iq_lastsaleprice",G$310,G$311)</f>
        <v>1.3677146739130399</v>
      </c>
      <c r="H313" s="351">
        <f>_xll.ciqfunctions.udf.CIQAVG("$"&amp;$AR313&amp;$AS313,"iq_lastsaleprice",H$310,H$311)</f>
        <v>1.29467222222222</v>
      </c>
      <c r="I313" s="351">
        <f>_xll.ciqfunctions.udf.CIQAVG("$"&amp;$AR313&amp;$AS313,"iq_lastsaleprice",I$310,I$311)</f>
        <v>1.2992494505494501</v>
      </c>
      <c r="J313" s="351">
        <f>_xll.ciqfunctions.udf.CIQAVG("$"&amp;$AR313&amp;$AS313,"iq_lastsaleprice",J$310,J$311)</f>
        <v>1.3610304347826101</v>
      </c>
      <c r="K313" s="351">
        <f>_xll.ciqfunctions.udf.CIQAVG("$"&amp;$AR313&amp;$AS313,"iq_lastsaleprice",K$310,K$311)</f>
        <v>1.37308804347826</v>
      </c>
      <c r="L313" s="351">
        <f>_xll.ciqfunctions.udf.CIQAVG("$"&amp;$AR313&amp;$AS313,"iq_lastsaleprice",L$310,L$311)</f>
        <v>1.3809522222222199</v>
      </c>
      <c r="M313" s="351">
        <f>_xll.ciqfunctions.udf.CIQAVG("$"&amp;$AR313&amp;$AS313,"iq_lastsaleprice",M$310,M$311)</f>
        <v>1.40025274725275</v>
      </c>
      <c r="N313" s="351">
        <f>_xll.ciqfunctions.udf.CIQAVG("$"&amp;$AR313&amp;$AS313,"iq_lastsaleprice",N$310,N$311)</f>
        <v>1.4630918478260899</v>
      </c>
      <c r="O313" s="351">
        <f>_xll.ciqfunctions.udf.CIQAVG("$"&amp;$AR313&amp;$AS313,"iq_lastsaleprice",O$310,O$311)</f>
        <v>1.52209565217391</v>
      </c>
      <c r="P313" s="351">
        <f>_xll.ciqfunctions.udf.CIQAVG("$"&amp;$AR313&amp;$AS313,"iq_lastsaleprice",P$310,P$311)</f>
        <v>1.4636499999999999</v>
      </c>
      <c r="Q313" s="351">
        <f>_xll.ciqfunctions.udf.CIQAVG("$"&amp;$AR313&amp;$AS313,"iq_lastsaleprice",Q$310,Q$311)</f>
        <v>1.49724725274725</v>
      </c>
      <c r="R313" s="351">
        <f>_xll.ciqfunctions.udf.CIQAVG("$"&amp;$AR313&amp;$AS313,"iq_lastsaleprice",R$310,R$311)</f>
        <v>1.5276092391304299</v>
      </c>
      <c r="S313" s="351">
        <f>_xll.ciqfunctions.udf.CIQAVG("$"&amp;$AR313&amp;$AS313,"iq_lastsaleprice",S$310,S$311)</f>
        <v>1.5355967391304299</v>
      </c>
      <c r="T313" s="351">
        <f>_xll.ciqfunctions.udf.CIQAVG("$"&amp;$AR313&amp;$AS313,"iq_lastsaleprice",T$310,T$311)</f>
        <v>1.52079230769231</v>
      </c>
      <c r="U313" s="351">
        <f>_xll.ciqfunctions.udf.CIQAVG("$"&amp;$AR313&amp;$AS313,"iq_lastsaleprice",U$310,U$311)</f>
        <v>1.5176945054945099</v>
      </c>
      <c r="V313" s="351">
        <f>_xll.ciqfunctions.udf.CIQAVG("$"&amp;$AR313&amp;$AS313,"iq_lastsaleprice",V$310,V$311)</f>
        <v>1.4929489130434801</v>
      </c>
      <c r="W313" s="351"/>
      <c r="X313" s="351">
        <f>_xll.ciqfunctions.udf.CIQAVG("$"&amp;$AR313&amp;$AS313,"iq_lastsaleprice",X$310,X$311)</f>
        <v>1.4606804347826099</v>
      </c>
      <c r="Y313" s="351">
        <f>_xll.ciqfunctions.udf.CIQAVG("$"&amp;$AR313&amp;$AS313,"iq_lastsaleprice",Y$310,Y$311)</f>
        <v>1.5239181318681301</v>
      </c>
      <c r="Z313" s="351">
        <f>_xll.ciqfunctions.udf.CIQAVG("$"&amp;$AR313&amp;$AS313,"iq_lastsaleprice",Z$310,Z$311)</f>
        <v>1.3834991847826099</v>
      </c>
      <c r="AA313" s="351">
        <f>_xll.ciqfunctions.udf.CIQAVG("$"&amp;$AR313&amp;$AS313,"iq_lastsaleprice",AA$310,AA$311)</f>
        <v>1.29697348066298</v>
      </c>
      <c r="AB313" s="351">
        <f>_xll.ciqfunctions.udf.CIQAVG("$"&amp;$AR313&amp;$AS313,"iq_lastsaleprice",AB$310,AB$311)</f>
        <v>1.3670592391304299</v>
      </c>
      <c r="AC313" s="351">
        <f>_xll.ciqfunctions.udf.CIQAVG("$"&amp;$AR313&amp;$AS313,"iq_lastsaleprice",AC$310,AC$311)</f>
        <v>1.3906558011049699</v>
      </c>
      <c r="AD313" s="351">
        <f>_xll.ciqfunctions.udf.CIQAVG("$"&amp;$AR313&amp;$AS313,"iq_lastsaleprice",AD$310,AD$311)</f>
        <v>1.4925937499999999</v>
      </c>
      <c r="AE313" s="351">
        <f>_xll.ciqfunctions.udf.CIQAVG("$"&amp;$AR313&amp;$AS313,"iq_lastsaleprice",AE$310,AE$311)</f>
        <v>1.4805414364640901</v>
      </c>
      <c r="AF313" s="351">
        <f>_xll.ciqfunctions.udf.CIQAVG("$"&amp;$AR313&amp;$AS313,"iq_lastsaleprice",AF$310,AF$311)</f>
        <v>1.5316029891304299</v>
      </c>
      <c r="AG313" s="351">
        <f>_xll.ciqfunctions.udf.CIQAVG("$"&amp;$AR313&amp;$AS313,"iq_lastsaleprice",AG$310,AG$311)</f>
        <v>1.51924340659341</v>
      </c>
      <c r="AH313" s="355"/>
      <c r="AI313" s="355"/>
      <c r="AJ313" s="351">
        <f>_xll.ciqfunctions.udf.CIQAVG("$"&amp;$AR313&amp;$AS313,"iq_lastsaleprice",AJ$310,AJ$311)</f>
        <v>1.2905926027397301</v>
      </c>
      <c r="AK313" s="351">
        <f>_xll.ciqfunctions.udf.CIQAVG("$"&amp;$AR313&amp;$AS313,"iq_lastsaleprice",AK$310,AK$311)</f>
        <v>1.39860860655738</v>
      </c>
      <c r="AL313" s="351">
        <f>_xll.ciqfunctions.udf.CIQAVG("$"&amp;$AR313&amp;$AS313,"iq_lastsaleprice",AL$310,AL$311)</f>
        <v>1.49228109589041</v>
      </c>
      <c r="AM313" s="351">
        <f>_xll.ciqfunctions.udf.CIQAVG("$"&amp;$AR313&amp;$AS313,"iq_lastsaleprice",AM$310,AM$311)</f>
        <v>1.34059191780822</v>
      </c>
      <c r="AN313" s="351">
        <f>_xll.ciqfunctions.udf.CIQAVG("$"&amp;$AR313&amp;$AS313,"iq_lastsaleprice",AN$310,AN$311)</f>
        <v>1.3787605479452101</v>
      </c>
      <c r="AO313" s="351">
        <f>_xll.ciqfunctions.udf.CIQAVG("$"&amp;$AR313&amp;$AS313,"iq_lastsaleprice",AO$310,AO$311)</f>
        <v>1.4866171232876699</v>
      </c>
      <c r="AP313" s="351">
        <f>_xll.ciqfunctions.udf.CIQAVG("$"&amp;$AR313&amp;$AS313,"iq_lastsaleprice",AP$310,AP$311)</f>
        <v>1.52545696721311</v>
      </c>
      <c r="AQ313" s="355"/>
      <c r="AR313" s="355" t="s">
        <v>67</v>
      </c>
      <c r="AS313" s="355" t="s">
        <v>68</v>
      </c>
      <c r="AT313" s="355"/>
      <c r="AU313" s="355"/>
    </row>
    <row r="314" spans="1:47">
      <c r="D314" s="355"/>
      <c r="E314" s="355"/>
      <c r="F314" s="360"/>
      <c r="G314" s="355"/>
      <c r="H314" s="355"/>
      <c r="I314" s="355"/>
      <c r="J314" s="355"/>
      <c r="K314" s="355"/>
      <c r="L314" s="355"/>
      <c r="M314" s="355"/>
      <c r="N314" s="355"/>
      <c r="O314" s="355"/>
      <c r="P314" s="355"/>
      <c r="Q314" s="355"/>
      <c r="R314" s="355"/>
      <c r="S314" s="355"/>
      <c r="T314" s="355"/>
      <c r="U314" s="355"/>
      <c r="V314" s="355"/>
      <c r="X314" s="355"/>
      <c r="Y314" s="355"/>
      <c r="Z314" s="355"/>
      <c r="AA314" s="355"/>
      <c r="AB314" s="355"/>
      <c r="AC314" s="355"/>
      <c r="AD314" s="355"/>
      <c r="AE314" s="355"/>
      <c r="AF314" s="355"/>
      <c r="AG314" s="355"/>
      <c r="AH314" s="355"/>
      <c r="AI314" s="355"/>
      <c r="AJ314" s="355"/>
      <c r="AK314" s="355"/>
      <c r="AL314" s="355"/>
      <c r="AM314" s="355"/>
      <c r="AN314" s="355"/>
      <c r="AO314" s="355"/>
      <c r="AP314" s="355"/>
      <c r="AQ314" s="355"/>
      <c r="AR314" s="355"/>
      <c r="AS314" s="355"/>
      <c r="AT314" s="355"/>
      <c r="AU314" s="355"/>
    </row>
    <row r="315" spans="1:47">
      <c r="A315" s="319" t="s">
        <v>179</v>
      </c>
      <c r="D315" s="355"/>
      <c r="E315" s="355"/>
      <c r="F315" s="355"/>
      <c r="G315" s="355"/>
      <c r="H315" s="355"/>
      <c r="I315" s="355"/>
      <c r="J315" s="355"/>
      <c r="K315" s="355"/>
      <c r="L315" s="355"/>
      <c r="M315" s="355"/>
      <c r="N315" s="355"/>
      <c r="O315" s="355"/>
      <c r="P315" s="355"/>
      <c r="Q315" s="355"/>
      <c r="R315" s="355"/>
      <c r="S315" s="355"/>
      <c r="T315" s="355"/>
      <c r="U315" s="355"/>
      <c r="V315" s="355"/>
      <c r="X315" s="357">
        <f t="shared" ref="X315:AA315" si="476">+X316-2</f>
        <v>43828</v>
      </c>
      <c r="Y315" s="357">
        <f t="shared" si="476"/>
        <v>44010</v>
      </c>
      <c r="Z315" s="357">
        <f t="shared" si="476"/>
        <v>44194</v>
      </c>
      <c r="AA315" s="357">
        <f t="shared" si="476"/>
        <v>44375</v>
      </c>
      <c r="AB315" s="357">
        <f>+AB316-2</f>
        <v>44559</v>
      </c>
      <c r="AC315" s="357">
        <f>+AB316+180</f>
        <v>44741</v>
      </c>
      <c r="AD315" s="357">
        <f>+AC316+183</f>
        <v>44925</v>
      </c>
      <c r="AE315" s="357">
        <f>+AD316+180</f>
        <v>45106</v>
      </c>
      <c r="AF315" s="357">
        <f>+AE316+183</f>
        <v>45290</v>
      </c>
      <c r="AG315" s="357">
        <f>+AF316+181</f>
        <v>45472</v>
      </c>
      <c r="AH315" s="355"/>
      <c r="AI315" s="355"/>
      <c r="AJ315" s="357">
        <f>+AJ316-1</f>
        <v>43280</v>
      </c>
      <c r="AK315" s="357">
        <f>+AJ315+365</f>
        <v>43645</v>
      </c>
      <c r="AL315" s="357">
        <f t="shared" ref="AL315:AL316" si="477">+AK315+365</f>
        <v>44010</v>
      </c>
      <c r="AM315" s="357">
        <f>+AM302</f>
        <v>44376</v>
      </c>
      <c r="AN315" s="357">
        <f>+AC315</f>
        <v>44741</v>
      </c>
      <c r="AO315" s="357">
        <f>+AE315</f>
        <v>45106</v>
      </c>
      <c r="AP315" s="357">
        <f>+AG315</f>
        <v>45472</v>
      </c>
      <c r="AQ315" s="558"/>
      <c r="AR315" s="355"/>
      <c r="AS315" s="355"/>
      <c r="AT315" s="355"/>
      <c r="AU315" s="355"/>
    </row>
    <row r="316" spans="1:47">
      <c r="A316" s="319" t="s">
        <v>180</v>
      </c>
      <c r="D316" s="355"/>
      <c r="E316" s="355"/>
      <c r="F316" s="355"/>
      <c r="G316" s="355"/>
      <c r="H316" s="355"/>
      <c r="I316" s="355"/>
      <c r="J316" s="355"/>
      <c r="K316" s="355"/>
      <c r="L316" s="355"/>
      <c r="M316" s="355"/>
      <c r="N316" s="355"/>
      <c r="O316" s="355"/>
      <c r="P316" s="355"/>
      <c r="Q316" s="355"/>
      <c r="R316" s="355"/>
      <c r="S316" s="355"/>
      <c r="T316" s="355"/>
      <c r="U316" s="355"/>
      <c r="V316" s="355"/>
      <c r="X316" s="357">
        <f t="shared" ref="X316:AA316" si="478">+X311</f>
        <v>43830</v>
      </c>
      <c r="Y316" s="357">
        <f t="shared" si="478"/>
        <v>44012</v>
      </c>
      <c r="Z316" s="357">
        <f t="shared" si="478"/>
        <v>44196</v>
      </c>
      <c r="AA316" s="357">
        <f t="shared" si="478"/>
        <v>44377</v>
      </c>
      <c r="AB316" s="357">
        <f>+AB311</f>
        <v>44561</v>
      </c>
      <c r="AC316" s="357">
        <f>+AC315+1</f>
        <v>44742</v>
      </c>
      <c r="AD316" s="357">
        <f t="shared" ref="AD316:AE316" si="479">+AD315+1</f>
        <v>44926</v>
      </c>
      <c r="AE316" s="357">
        <f t="shared" si="479"/>
        <v>45107</v>
      </c>
      <c r="AF316" s="357">
        <f t="shared" ref="AF316:AG316" si="480">+AF315+1</f>
        <v>45291</v>
      </c>
      <c r="AG316" s="357">
        <f t="shared" si="480"/>
        <v>45473</v>
      </c>
      <c r="AH316" s="355"/>
      <c r="AI316" s="355"/>
      <c r="AJ316" s="357">
        <v>43281</v>
      </c>
      <c r="AK316" s="357">
        <f>+AJ316+365</f>
        <v>43646</v>
      </c>
      <c r="AL316" s="357">
        <f t="shared" si="477"/>
        <v>44011</v>
      </c>
      <c r="AM316" s="357">
        <f>+AL316+366</f>
        <v>44377</v>
      </c>
      <c r="AN316" s="357">
        <f>+AC316</f>
        <v>44742</v>
      </c>
      <c r="AO316" s="357">
        <f>+AE316</f>
        <v>45107</v>
      </c>
      <c r="AP316" s="357">
        <f>+AG316</f>
        <v>45473</v>
      </c>
      <c r="AQ316" s="355"/>
      <c r="AR316" s="355"/>
      <c r="AS316" s="355"/>
      <c r="AT316" s="355"/>
      <c r="AU316" s="355"/>
    </row>
    <row r="317" spans="1:47">
      <c r="D317" s="355"/>
      <c r="E317" s="355"/>
      <c r="F317" s="355"/>
      <c r="G317" s="355"/>
      <c r="H317" s="355"/>
      <c r="I317" s="355"/>
      <c r="J317" s="355"/>
      <c r="K317" s="355"/>
      <c r="L317" s="355"/>
      <c r="M317" s="355"/>
      <c r="N317" s="355"/>
      <c r="O317" s="355"/>
      <c r="P317" s="355"/>
      <c r="Q317" s="355"/>
      <c r="R317" s="355"/>
      <c r="S317" s="355"/>
      <c r="T317" s="355"/>
      <c r="U317" s="355"/>
      <c r="V317" s="355"/>
      <c r="X317" s="355"/>
      <c r="Y317" s="355"/>
      <c r="Z317" s="355"/>
      <c r="AA317" s="355"/>
      <c r="AB317" s="355"/>
      <c r="AC317" s="355"/>
      <c r="AD317" s="355"/>
      <c r="AE317" s="355"/>
      <c r="AF317" s="355"/>
      <c r="AG317" s="355"/>
      <c r="AH317" s="355"/>
      <c r="AI317" s="355"/>
      <c r="AJ317" s="355"/>
      <c r="AK317" s="355"/>
      <c r="AL317" s="355"/>
      <c r="AM317" s="355"/>
      <c r="AN317" s="355"/>
      <c r="AO317" s="355"/>
      <c r="AP317" s="355"/>
      <c r="AQ317" s="355"/>
      <c r="AR317" s="355"/>
      <c r="AS317" s="355"/>
      <c r="AT317" s="355"/>
      <c r="AU317" s="355"/>
    </row>
    <row r="318" spans="1:47">
      <c r="A318" s="319" t="s">
        <v>181</v>
      </c>
      <c r="D318" s="355"/>
      <c r="E318" s="355"/>
      <c r="F318" s="355"/>
      <c r="G318" s="355"/>
      <c r="H318" s="355"/>
      <c r="I318" s="355"/>
      <c r="J318" s="355"/>
      <c r="K318" s="355"/>
      <c r="L318" s="355"/>
      <c r="M318" s="355"/>
      <c r="N318" s="351">
        <f>+N313</f>
        <v>1.4630918478260899</v>
      </c>
      <c r="O318" s="351">
        <f t="shared" ref="O318:P318" si="481">+O313</f>
        <v>1.52209565217391</v>
      </c>
      <c r="P318" s="351">
        <f t="shared" si="481"/>
        <v>1.4636499999999999</v>
      </c>
      <c r="Q318" s="351">
        <f t="shared" ref="Q318:R318" si="482">+Q313</f>
        <v>1.49724725274725</v>
      </c>
      <c r="R318" s="351">
        <f t="shared" si="482"/>
        <v>1.5276092391304299</v>
      </c>
      <c r="S318" s="351">
        <f t="shared" ref="S318:T318" si="483">+S313</f>
        <v>1.5355967391304299</v>
      </c>
      <c r="T318" s="351">
        <f t="shared" si="483"/>
        <v>1.52079230769231</v>
      </c>
      <c r="U318" s="351">
        <f t="shared" ref="U318:V318" si="484">+U313</f>
        <v>1.5176945054945099</v>
      </c>
      <c r="V318" s="351">
        <f t="shared" si="484"/>
        <v>1.4929489130434801</v>
      </c>
      <c r="X318" s="351">
        <f>_xll.ciqfunctions.udf.CIQAVG("$"&amp;$AR313&amp;$AS313,"iq_lastsaleprice",X$315,X$316)</f>
        <v>1.4280333333333299</v>
      </c>
      <c r="Y318" s="351">
        <f>_xll.ciqfunctions.udf.CIQAVG("$"&amp;$AR313&amp;$AS313,"iq_lastsaleprice",Y$315,Y$316)</f>
        <v>1.45576666666667</v>
      </c>
      <c r="Z318" s="351">
        <f>_xll.ciqfunctions.udf.CIQAVG("$"&amp;$AR313&amp;$AS313,"iq_lastsaleprice",Z$315,Z$316)</f>
        <v>1.3033999999999999</v>
      </c>
      <c r="AA318" s="351">
        <f>_xll.ciqfunctions.udf.CIQAVG("$"&amp;$AR313&amp;$AS313,"iq_lastsaleprice",AA$315,AA$316)</f>
        <v>1.32836666666667</v>
      </c>
      <c r="AB318" s="351">
        <f>_xll.ciqfunctions.udf.CIQAVG("$"&amp;$AR313&amp;$AS313,"iq_lastsaleprice",AB$315,AB$316)</f>
        <v>1.37743333333333</v>
      </c>
      <c r="AC318" s="351">
        <f>_xll.ciqfunctions.udf.CIQAVG("$"&amp;$AR313&amp;$AS313,"iq_lastsaleprice",AC$315,AC$316)</f>
        <v>1.4530000000000001</v>
      </c>
      <c r="AD318" s="351">
        <f>_xll.ciqfunctions.udf.CIQAVG("$"&amp;$AR313&amp;$AS313,"iq_lastsaleprice",AD$315,AD$316)</f>
        <v>1.4713000000000001</v>
      </c>
      <c r="AE318" s="351">
        <f>_xll.ciqfunctions.udf.CIQAVG("$"&amp;$AR313&amp;$AS313,"iq_lastsaleprice",AE$315,AE$316)</f>
        <v>1.5051000000000001</v>
      </c>
      <c r="AF318" s="351">
        <f>_xll.ciqfunctions.udf.CIQAVG("$"&amp;$AR313&amp;$AS313,"iq_lastsaleprice",AF$315,AF$316)</f>
        <v>1.4670000000000001</v>
      </c>
      <c r="AG318" s="351">
        <f>_xll.ciqfunctions.udf.CIQAVG("$"&amp;$AR313&amp;$AS313,"iq_lastsaleprice",AG$315,AG$316)</f>
        <v>1.4987999999999999</v>
      </c>
      <c r="AH318" s="355"/>
      <c r="AI318" s="355"/>
      <c r="AJ318" s="351">
        <f>_xll.ciqfunctions.udf.CIQAVG("$"&amp;$AR313&amp;$AS313,"iq_lastsaleprice",AJ$315,AJ$316)</f>
        <v>1.3520000000000001</v>
      </c>
      <c r="AK318" s="351">
        <f>_xll.ciqfunctions.udf.CIQAVG("$"&amp;$AR313&amp;$AS313,"iq_lastsaleprice",AK$315,AK$316)</f>
        <v>1.4261999999999999</v>
      </c>
      <c r="AL318" s="351">
        <f>_xll.ciqfunctions.udf.CIQAVG("$"&amp;$AR313&amp;$AS313,"iq_lastsaleprice",AL$315,AL$316)</f>
        <v>1.4594499999999999</v>
      </c>
      <c r="AM318" s="351">
        <f>_xll.ciqfunctions.udf.CIQAVG("$"&amp;$AR313&amp;$AS313,"iq_lastsaleprice",AM$315,AM$316)</f>
        <v>1.3320000000000001</v>
      </c>
      <c r="AN318" s="351">
        <f>_xll.ciqfunctions.udf.CIQAVG("$"&amp;$AR313&amp;$AS313,"iq_lastsaleprice",AN$315,AN$316)</f>
        <v>1.4530000000000001</v>
      </c>
      <c r="AO318" s="351">
        <f>_xll.ciqfunctions.udf.CIQAVG("$"&amp;$AR313&amp;$AS313,"iq_lastsaleprice",AO$315,AO$316)</f>
        <v>1.5051000000000001</v>
      </c>
      <c r="AP318" s="351">
        <f>_xll.ciqfunctions.udf.CIQAVG("$"&amp;$AR313&amp;$AS313,"iq_lastsaleprice",AP$315,AP$316)</f>
        <v>1.4987999999999999</v>
      </c>
      <c r="AQ318" s="355"/>
      <c r="AR318" s="355"/>
      <c r="AS318" s="355"/>
      <c r="AT318" s="355"/>
      <c r="AU318" s="355"/>
    </row>
    <row r="319" spans="1:47">
      <c r="D319" s="355"/>
      <c r="E319" s="355"/>
      <c r="F319" s="355"/>
      <c r="G319" s="355"/>
      <c r="H319" s="355"/>
      <c r="I319" s="355"/>
      <c r="J319" s="355"/>
      <c r="K319" s="355"/>
      <c r="L319" s="558"/>
      <c r="M319" s="355"/>
      <c r="N319" s="355"/>
      <c r="O319" s="355"/>
      <c r="P319" s="355"/>
      <c r="Q319" s="355"/>
      <c r="R319" s="355"/>
      <c r="S319" s="355"/>
      <c r="T319" s="355"/>
      <c r="U319" s="355"/>
      <c r="V319" s="355"/>
      <c r="X319" s="355"/>
      <c r="Y319" s="355"/>
      <c r="Z319" s="355"/>
      <c r="AA319" s="355"/>
      <c r="AB319" s="355"/>
      <c r="AC319" s="355"/>
      <c r="AD319" s="355"/>
      <c r="AE319" s="355"/>
      <c r="AF319" s="355"/>
      <c r="AG319" s="355"/>
      <c r="AH319" s="355"/>
      <c r="AI319" s="355"/>
      <c r="AJ319" s="355"/>
      <c r="AK319" s="355"/>
      <c r="AL319" s="355"/>
      <c r="AM319" s="355"/>
      <c r="AN319" s="355"/>
      <c r="AO319" s="355"/>
      <c r="AP319" s="355"/>
      <c r="AQ319" s="355"/>
      <c r="AR319" s="355"/>
      <c r="AS319" s="355"/>
      <c r="AT319" s="355"/>
      <c r="AU319" s="355"/>
    </row>
    <row r="320" spans="1:47">
      <c r="D320" s="355"/>
      <c r="E320" s="355"/>
      <c r="F320" s="355"/>
      <c r="G320" s="355"/>
      <c r="H320" s="355"/>
      <c r="I320" s="355"/>
      <c r="J320" s="355"/>
      <c r="K320" s="355"/>
      <c r="L320" s="558"/>
      <c r="M320" s="355"/>
      <c r="N320" s="355"/>
      <c r="O320" s="355"/>
      <c r="P320" s="355"/>
      <c r="Q320" s="355"/>
      <c r="R320" s="355"/>
      <c r="S320" s="355"/>
      <c r="T320" s="355"/>
      <c r="U320" s="355"/>
      <c r="V320" s="355"/>
      <c r="X320" s="355"/>
      <c r="Y320" s="355"/>
      <c r="Z320" s="355"/>
      <c r="AA320" s="355"/>
      <c r="AB320" s="355"/>
      <c r="AC320" s="355"/>
      <c r="AD320" s="355"/>
      <c r="AE320" s="355"/>
      <c r="AF320" s="355"/>
      <c r="AG320" s="355"/>
      <c r="AH320" s="355"/>
      <c r="AI320" s="355"/>
      <c r="AJ320" s="355"/>
      <c r="AK320" s="355"/>
      <c r="AL320" s="355"/>
      <c r="AM320" s="355"/>
      <c r="AN320" s="355"/>
      <c r="AO320" s="355"/>
      <c r="AP320" s="355"/>
      <c r="AQ320" s="355"/>
      <c r="AR320" s="355"/>
      <c r="AS320" s="355"/>
      <c r="AT320" s="355"/>
      <c r="AU320" s="355"/>
    </row>
    <row r="321" spans="1:47">
      <c r="A321" s="319" t="s">
        <v>179</v>
      </c>
      <c r="D321" s="357"/>
      <c r="E321" s="357"/>
      <c r="F321" s="357"/>
      <c r="G321" s="357"/>
      <c r="H321" s="357"/>
      <c r="I321" s="357"/>
      <c r="J321" s="357"/>
      <c r="K321" s="357"/>
      <c r="L321" s="357"/>
      <c r="M321" s="357"/>
      <c r="N321" s="357"/>
      <c r="O321" s="357"/>
      <c r="P321" s="357"/>
      <c r="Q321" s="357"/>
      <c r="R321" s="357"/>
      <c r="S321" s="357"/>
      <c r="T321" s="357"/>
      <c r="U321" s="357"/>
      <c r="V321" s="357"/>
      <c r="W321" s="358"/>
      <c r="X321" s="357">
        <v>43647</v>
      </c>
      <c r="Y321" s="357">
        <f>+X322+1</f>
        <v>43831</v>
      </c>
      <c r="Z321" s="357">
        <f>+Y322+1</f>
        <v>44013</v>
      </c>
      <c r="AA321" s="357">
        <f t="shared" ref="AA321" si="485">+Z322+1</f>
        <v>44197</v>
      </c>
      <c r="AB321" s="357">
        <f t="shared" ref="AB321" si="486">+AA322+1</f>
        <v>44378</v>
      </c>
      <c r="AC321" s="357">
        <f t="shared" ref="AC321" si="487">+AB322+1</f>
        <v>44561</v>
      </c>
      <c r="AD321" s="357">
        <f t="shared" ref="AD321" si="488">+AC322+1</f>
        <v>44744</v>
      </c>
      <c r="AE321" s="357">
        <f t="shared" ref="AE321" si="489">+AD322+1</f>
        <v>44927</v>
      </c>
      <c r="AF321" s="357">
        <f t="shared" ref="AF321" si="490">+AE322+1</f>
        <v>45108</v>
      </c>
      <c r="AG321" s="357">
        <f>+AG310</f>
        <v>45292</v>
      </c>
      <c r="AH321" s="357"/>
      <c r="AI321" s="357"/>
      <c r="AJ321" s="357">
        <v>42917</v>
      </c>
      <c r="AK321" s="357">
        <f>+AJ322+1</f>
        <v>43282</v>
      </c>
      <c r="AL321" s="357">
        <f>+AK322+1</f>
        <v>43648</v>
      </c>
      <c r="AM321" s="357">
        <f>+AL322+1</f>
        <v>44013</v>
      </c>
      <c r="AN321" s="357">
        <f>+AM322+1</f>
        <v>44378</v>
      </c>
      <c r="AO321" s="357">
        <f t="shared" ref="AO321" si="491">+AN322+1</f>
        <v>44743</v>
      </c>
      <c r="AP321" s="357">
        <f>+AP310</f>
        <v>45108</v>
      </c>
      <c r="AQ321" s="357"/>
      <c r="AR321" s="355"/>
      <c r="AS321" s="355"/>
      <c r="AT321" s="355"/>
      <c r="AU321" s="355"/>
    </row>
    <row r="322" spans="1:47">
      <c r="A322" s="319" t="s">
        <v>180</v>
      </c>
      <c r="D322" s="357"/>
      <c r="E322" s="357"/>
      <c r="F322" s="357"/>
      <c r="G322" s="357"/>
      <c r="H322" s="357"/>
      <c r="I322" s="357"/>
      <c r="J322" s="357"/>
      <c r="K322" s="357"/>
      <c r="L322" s="357"/>
      <c r="M322" s="357"/>
      <c r="N322" s="357"/>
      <c r="O322" s="357"/>
      <c r="P322" s="357"/>
      <c r="Q322" s="357"/>
      <c r="R322" s="357"/>
      <c r="S322" s="357"/>
      <c r="T322" s="357"/>
      <c r="U322" s="357"/>
      <c r="V322" s="357"/>
      <c r="W322" s="358"/>
      <c r="X322" s="357">
        <f>+X321+183</f>
        <v>43830</v>
      </c>
      <c r="Y322" s="357">
        <f>+Y321+181</f>
        <v>44012</v>
      </c>
      <c r="Z322" s="357">
        <f>+Z321+183</f>
        <v>44196</v>
      </c>
      <c r="AA322" s="357">
        <f>+AA321+180</f>
        <v>44377</v>
      </c>
      <c r="AB322" s="357">
        <f>+AB321+182</f>
        <v>44560</v>
      </c>
      <c r="AC322" s="357">
        <f t="shared" ref="AC322:AD322" si="492">+AC321+182</f>
        <v>44743</v>
      </c>
      <c r="AD322" s="357">
        <f t="shared" si="492"/>
        <v>44926</v>
      </c>
      <c r="AE322" s="357">
        <f>+AE321+180</f>
        <v>45107</v>
      </c>
      <c r="AF322" s="357">
        <f>+AF321+183</f>
        <v>45291</v>
      </c>
      <c r="AG322" s="357">
        <f>+AG311</f>
        <v>45473</v>
      </c>
      <c r="AH322" s="357"/>
      <c r="AI322" s="357"/>
      <c r="AJ322" s="357">
        <f>+AJ321+364</f>
        <v>43281</v>
      </c>
      <c r="AK322" s="357">
        <f>+AK321+365</f>
        <v>43647</v>
      </c>
      <c r="AL322" s="357">
        <f>+AL321+364</f>
        <v>44012</v>
      </c>
      <c r="AM322" s="357">
        <f>+AM321+364</f>
        <v>44377</v>
      </c>
      <c r="AN322" s="357">
        <f>+AN321+364</f>
        <v>44742</v>
      </c>
      <c r="AO322" s="357">
        <f t="shared" ref="AO322" si="493">+AO321+364</f>
        <v>45107</v>
      </c>
      <c r="AP322" s="357">
        <f>+AP311</f>
        <v>45473</v>
      </c>
      <c r="AQ322" s="357"/>
      <c r="AR322" s="355"/>
      <c r="AS322" s="355"/>
      <c r="AT322" s="355"/>
      <c r="AU322" s="355"/>
    </row>
    <row r="323" spans="1:47">
      <c r="D323" s="355"/>
      <c r="E323" s="355"/>
      <c r="F323" s="355"/>
      <c r="G323" s="355"/>
      <c r="H323" s="355"/>
      <c r="I323" s="355"/>
      <c r="J323" s="355"/>
      <c r="K323" s="355"/>
      <c r="L323" s="355"/>
      <c r="M323" s="355"/>
      <c r="N323" s="355"/>
      <c r="O323" s="355"/>
      <c r="P323" s="355"/>
      <c r="Q323" s="355"/>
      <c r="R323" s="355"/>
      <c r="S323" s="355"/>
      <c r="T323" s="355"/>
      <c r="U323" s="355"/>
      <c r="V323" s="355"/>
      <c r="X323" s="355"/>
      <c r="Y323" s="355"/>
      <c r="Z323" s="355"/>
      <c r="AA323" s="355"/>
      <c r="AB323" s="355"/>
      <c r="AC323" s="355"/>
      <c r="AD323" s="355"/>
      <c r="AE323" s="355"/>
      <c r="AF323" s="355"/>
      <c r="AG323" s="355"/>
      <c r="AH323" s="355"/>
      <c r="AI323" s="355"/>
      <c r="AJ323" s="355"/>
      <c r="AK323" s="355"/>
      <c r="AL323" s="355"/>
      <c r="AM323" s="355"/>
      <c r="AN323" s="355"/>
      <c r="AO323" s="355"/>
      <c r="AP323" s="355"/>
      <c r="AQ323" s="355"/>
      <c r="AR323" s="355"/>
      <c r="AS323" s="355"/>
      <c r="AT323" s="355"/>
      <c r="AU323" s="355"/>
    </row>
    <row r="324" spans="1:47">
      <c r="A324" s="319" t="s">
        <v>181</v>
      </c>
      <c r="D324" s="351"/>
      <c r="E324" s="351"/>
      <c r="F324" s="351"/>
      <c r="G324" s="351"/>
      <c r="H324" s="351"/>
      <c r="I324" s="351"/>
      <c r="J324" s="351"/>
      <c r="K324" s="351"/>
      <c r="L324" s="351"/>
      <c r="M324" s="351"/>
      <c r="N324" s="351"/>
      <c r="O324" s="351"/>
      <c r="P324" s="351"/>
      <c r="Q324" s="351"/>
      <c r="R324" s="351"/>
      <c r="S324" s="351"/>
      <c r="T324" s="351"/>
      <c r="U324" s="351"/>
      <c r="V324" s="351"/>
      <c r="W324" s="351"/>
      <c r="X324" s="351">
        <f>_xll.ciqfunctions.udf.CIQAVG("$"&amp;$AR324&amp;$AS324,"iq_lastsaleprice",X$310,X$311)</f>
        <v>1.4606804347826099</v>
      </c>
      <c r="Y324" s="351">
        <f>_xll.ciqfunctions.udf.CIQAVG("$"&amp;$AR324&amp;$AS324,"iq_lastsaleprice",Y$310,Y$311)</f>
        <v>1.5239181318681301</v>
      </c>
      <c r="Z324" s="351">
        <f>_xll.ciqfunctions.udf.CIQAVG("$"&amp;$AR324&amp;$AS324,"iq_lastsaleprice",Z$310,Z$311)</f>
        <v>1.3834991847826099</v>
      </c>
      <c r="AA324" s="351">
        <f>_xll.ciqfunctions.udf.CIQAVG("$"&amp;$AR324&amp;$AS324,"iq_lastsaleprice",AA$310,AA$311)</f>
        <v>1.29697348066298</v>
      </c>
      <c r="AB324" s="351">
        <f>_xll.ciqfunctions.udf.CIQAVG("$"&amp;$AR324&amp;$AS324,"iq_lastsaleprice",AB$310,AB$311)</f>
        <v>1.3670592391304299</v>
      </c>
      <c r="AC324" s="351">
        <f>_xll.ciqfunctions.udf.CIQAVG("$"&amp;$AR324&amp;$AS324,"iq_lastsaleprice",AC$310,AC$311)</f>
        <v>1.3906558011049699</v>
      </c>
      <c r="AD324" s="351">
        <f>_xll.ciqfunctions.udf.CIQAVG("$"&amp;$AR324&amp;$AS324,"iq_lastsaleprice",AD$310,AD$311)</f>
        <v>1.4925937499999999</v>
      </c>
      <c r="AE324" s="351">
        <f>_xll.ciqfunctions.udf.CIQAVG("$"&amp;$AR324&amp;$AS324,"iq_lastsaleprice",AE$310,AE$311)</f>
        <v>1.4805414364640901</v>
      </c>
      <c r="AF324" s="351">
        <f>_xll.ciqfunctions.udf.CIQAVG("$"&amp;$AR324&amp;$AS324,"iq_lastsaleprice",AF$310,AF$311)</f>
        <v>1.5316029891304299</v>
      </c>
      <c r="AG324" s="351">
        <f>_xll.ciqfunctions.udf.CIQAVG("$"&amp;$AR324&amp;$AS324,"iq_lastsaleprice",AG$310,AG$311)</f>
        <v>1.51924340659341</v>
      </c>
      <c r="AH324" s="355"/>
      <c r="AI324" s="355"/>
      <c r="AJ324" s="351">
        <f>_xll.ciqfunctions.udf.CIQAVG("$"&amp;$AR324&amp;$AS324,"iq_lastsaleprice",AJ$310,AJ$311)</f>
        <v>1.2905926027397301</v>
      </c>
      <c r="AK324" s="351">
        <f>_xll.ciqfunctions.udf.CIQAVG("$"&amp;$AR324&amp;$AS324,"iq_lastsaleprice",AK$310,AK$311)</f>
        <v>1.39860860655738</v>
      </c>
      <c r="AL324" s="351">
        <f>_xll.ciqfunctions.udf.CIQAVG("$"&amp;$AR324&amp;$AS324,"iq_lastsaleprice",AL$310,AL$311)</f>
        <v>1.49228109589041</v>
      </c>
      <c r="AM324" s="351">
        <f>_xll.ciqfunctions.udf.CIQAVG("$"&amp;$AR324&amp;$AS324,"iq_lastsaleprice",AM$310,AM$311)</f>
        <v>1.34059191780822</v>
      </c>
      <c r="AN324" s="351">
        <f>_xll.ciqfunctions.udf.CIQAVG("$"&amp;$AR324&amp;$AS324,"iq_lastsaleprice",AN$310,AN$311)</f>
        <v>1.3787605479452101</v>
      </c>
      <c r="AO324" s="351">
        <f>_xll.ciqfunctions.udf.CIQAVG("$"&amp;$AR324&amp;$AS324,"iq_lastsaleprice",AO$310,AO$311)</f>
        <v>1.4866171232876699</v>
      </c>
      <c r="AP324" s="351">
        <f>_xll.ciqfunctions.udf.CIQAVG("$"&amp;$AR324&amp;$AS324,"iq_lastsaleprice",AP$310,AP$311)</f>
        <v>1.52545696721311</v>
      </c>
      <c r="AQ324" s="355"/>
      <c r="AR324" s="355" t="s">
        <v>67</v>
      </c>
      <c r="AS324" s="355" t="s">
        <v>68</v>
      </c>
      <c r="AT324" s="355"/>
      <c r="AU324" s="355"/>
    </row>
    <row r="325" spans="1:47">
      <c r="D325" s="355"/>
      <c r="E325" s="355"/>
      <c r="F325" s="355"/>
      <c r="G325" s="355"/>
      <c r="H325" s="355"/>
      <c r="I325" s="355"/>
      <c r="J325" s="355"/>
      <c r="K325" s="359"/>
      <c r="L325" s="355"/>
      <c r="M325" s="355"/>
      <c r="N325" s="355"/>
      <c r="O325" s="355"/>
      <c r="P325" s="355"/>
      <c r="Q325" s="355"/>
      <c r="R325" s="355"/>
      <c r="S325" s="355"/>
      <c r="T325" s="355"/>
      <c r="U325" s="355"/>
      <c r="V325" s="355"/>
      <c r="X325" s="355"/>
      <c r="Y325" s="355"/>
      <c r="Z325" s="355"/>
      <c r="AA325" s="355"/>
      <c r="AB325" s="355"/>
      <c r="AC325" s="355"/>
      <c r="AD325" s="355"/>
      <c r="AE325" s="355"/>
      <c r="AF325" s="355"/>
      <c r="AG325" s="355"/>
      <c r="AH325" s="355"/>
      <c r="AI325" s="355"/>
      <c r="AJ325" s="355"/>
      <c r="AK325" s="355"/>
      <c r="AL325" s="355"/>
      <c r="AM325" s="355"/>
      <c r="AN325" s="355"/>
      <c r="AO325" s="355"/>
      <c r="AP325" s="355"/>
      <c r="AQ325" s="355"/>
      <c r="AR325" s="355"/>
      <c r="AS325" s="355"/>
      <c r="AT325" s="355"/>
      <c r="AU325" s="355"/>
    </row>
    <row r="326" spans="1:47">
      <c r="D326" s="355"/>
      <c r="E326" s="355"/>
      <c r="F326" s="355"/>
      <c r="G326" s="355"/>
      <c r="H326" s="355"/>
      <c r="I326" s="355"/>
      <c r="J326" s="355"/>
      <c r="K326" s="355"/>
      <c r="L326" s="355"/>
      <c r="M326" s="355"/>
      <c r="N326" s="355"/>
      <c r="O326" s="355"/>
      <c r="P326" s="355"/>
      <c r="Q326" s="355"/>
      <c r="R326" s="355"/>
      <c r="S326" s="355"/>
      <c r="T326" s="355"/>
      <c r="U326" s="355"/>
      <c r="V326" s="355"/>
      <c r="X326" s="355"/>
      <c r="Y326" s="355"/>
      <c r="Z326" s="355"/>
      <c r="AA326" s="355"/>
      <c r="AB326" s="355"/>
      <c r="AC326" s="355"/>
      <c r="AD326" s="355"/>
      <c r="AE326" s="355"/>
      <c r="AF326" s="355"/>
      <c r="AG326" s="355"/>
      <c r="AH326" s="355"/>
      <c r="AI326" s="355"/>
      <c r="AJ326" s="355"/>
      <c r="AK326" s="355"/>
      <c r="AL326" s="355"/>
      <c r="AM326" s="355"/>
      <c r="AN326" s="355"/>
      <c r="AO326" s="355"/>
      <c r="AP326" s="355"/>
      <c r="AQ326" s="355"/>
      <c r="AR326" s="355"/>
      <c r="AS326" s="355"/>
      <c r="AT326" s="355"/>
      <c r="AU326" s="355"/>
    </row>
    <row r="327" spans="1:47">
      <c r="D327" s="355"/>
      <c r="E327" s="355"/>
      <c r="F327" s="355"/>
      <c r="G327" s="355"/>
      <c r="H327" s="355"/>
      <c r="I327" s="355"/>
      <c r="J327" s="355"/>
      <c r="K327" s="355"/>
      <c r="L327" s="355"/>
      <c r="M327" s="355"/>
      <c r="N327" s="355"/>
      <c r="O327" s="355"/>
      <c r="P327" s="355"/>
      <c r="Q327" s="355"/>
      <c r="R327" s="355"/>
      <c r="S327" s="355"/>
      <c r="T327" s="355"/>
      <c r="U327" s="355"/>
      <c r="V327" s="355"/>
      <c r="X327" s="355"/>
      <c r="Y327" s="355"/>
      <c r="Z327" s="355"/>
      <c r="AA327" s="355"/>
      <c r="AB327" s="355"/>
      <c r="AC327" s="355"/>
      <c r="AD327" s="355"/>
      <c r="AE327" s="355"/>
      <c r="AF327" s="355"/>
      <c r="AG327" s="355"/>
      <c r="AH327" s="355"/>
      <c r="AI327" s="355"/>
      <c r="AJ327" s="355"/>
      <c r="AK327" s="355"/>
      <c r="AL327" s="355"/>
      <c r="AM327" s="355"/>
      <c r="AN327" s="355"/>
      <c r="AO327" s="355"/>
      <c r="AP327" s="355"/>
      <c r="AQ327" s="355"/>
      <c r="AR327" s="355"/>
      <c r="AS327" s="355"/>
      <c r="AT327" s="355"/>
      <c r="AU327" s="355"/>
    </row>
    <row r="328" spans="1:47">
      <c r="D328" s="355"/>
      <c r="E328" s="355"/>
      <c r="F328" s="355"/>
      <c r="G328" s="355"/>
      <c r="H328" s="355"/>
      <c r="I328" s="355"/>
      <c r="J328" s="355"/>
      <c r="K328" s="355"/>
      <c r="L328" s="355"/>
      <c r="M328" s="355"/>
      <c r="N328" s="355"/>
      <c r="O328" s="355"/>
      <c r="P328" s="355"/>
      <c r="Q328" s="355"/>
      <c r="R328" s="355"/>
      <c r="S328" s="355"/>
      <c r="T328" s="355"/>
      <c r="U328" s="355"/>
      <c r="V328" s="355"/>
      <c r="X328" s="355"/>
      <c r="Y328" s="355"/>
      <c r="Z328" s="355"/>
      <c r="AA328" s="355"/>
      <c r="AB328" s="355"/>
      <c r="AC328" s="355"/>
      <c r="AD328" s="355"/>
      <c r="AE328" s="355"/>
      <c r="AF328" s="355"/>
      <c r="AG328" s="355"/>
      <c r="AH328" s="355"/>
      <c r="AI328" s="355"/>
      <c r="AJ328" s="355"/>
      <c r="AK328" s="355"/>
      <c r="AL328" s="355"/>
      <c r="AM328" s="355"/>
      <c r="AN328" s="355"/>
      <c r="AO328" s="355"/>
      <c r="AP328" s="355"/>
      <c r="AQ328" s="355"/>
      <c r="AR328" s="355"/>
      <c r="AS328" s="355"/>
      <c r="AT328" s="355"/>
      <c r="AU328" s="355"/>
    </row>
    <row r="329" spans="1:47">
      <c r="D329" s="355"/>
      <c r="E329" s="355"/>
      <c r="F329" s="355"/>
      <c r="G329" s="355"/>
      <c r="H329" s="355"/>
      <c r="I329" s="355"/>
      <c r="J329" s="355"/>
      <c r="K329" s="355"/>
      <c r="L329" s="355"/>
      <c r="M329" s="355"/>
      <c r="N329" s="355"/>
      <c r="O329" s="355"/>
      <c r="P329" s="355"/>
      <c r="Q329" s="355"/>
      <c r="R329" s="355"/>
      <c r="S329" s="355"/>
      <c r="T329" s="355"/>
      <c r="U329" s="355"/>
      <c r="V329" s="355"/>
      <c r="X329" s="355"/>
      <c r="Y329" s="355"/>
      <c r="Z329" s="355"/>
      <c r="AA329" s="355"/>
      <c r="AB329" s="355"/>
      <c r="AC329" s="355"/>
      <c r="AD329" s="355"/>
      <c r="AE329" s="355"/>
      <c r="AF329" s="355"/>
      <c r="AG329" s="355"/>
      <c r="AH329" s="355"/>
      <c r="AI329" s="355"/>
      <c r="AJ329" s="355"/>
      <c r="AK329" s="355"/>
      <c r="AL329" s="355"/>
      <c r="AM329" s="355"/>
      <c r="AN329" s="355"/>
      <c r="AO329" s="355"/>
      <c r="AP329" s="355"/>
      <c r="AQ329" s="355"/>
      <c r="AR329" s="355"/>
      <c r="AS329" s="355"/>
      <c r="AT329" s="355"/>
      <c r="AU329" s="355"/>
    </row>
    <row r="330" spans="1:47">
      <c r="D330" s="355"/>
      <c r="E330" s="355"/>
      <c r="F330" s="355"/>
      <c r="G330" s="355"/>
      <c r="H330" s="355"/>
      <c r="I330" s="355"/>
      <c r="J330" s="355"/>
      <c r="K330" s="355"/>
      <c r="L330" s="355"/>
      <c r="M330" s="355"/>
      <c r="N330" s="355"/>
      <c r="O330" s="355"/>
      <c r="P330" s="355"/>
      <c r="Q330" s="355"/>
      <c r="R330" s="355"/>
      <c r="S330" s="355"/>
      <c r="T330" s="355"/>
      <c r="U330" s="355"/>
      <c r="V330" s="355"/>
      <c r="X330" s="355"/>
      <c r="Y330" s="355"/>
      <c r="Z330" s="355"/>
      <c r="AA330" s="355"/>
      <c r="AB330" s="355"/>
      <c r="AC330" s="355"/>
      <c r="AD330" s="355"/>
      <c r="AE330" s="355"/>
      <c r="AF330" s="355"/>
      <c r="AG330" s="355"/>
      <c r="AH330" s="355"/>
      <c r="AI330" s="355"/>
      <c r="AJ330" s="355"/>
      <c r="AK330" s="355"/>
      <c r="AL330" s="355"/>
      <c r="AM330" s="355"/>
      <c r="AN330" s="355"/>
      <c r="AO330" s="355"/>
      <c r="AP330" s="355"/>
      <c r="AQ330" s="355"/>
      <c r="AR330" s="355"/>
      <c r="AS330" s="355"/>
      <c r="AT330" s="355"/>
      <c r="AU330" s="355"/>
    </row>
    <row r="331" spans="1:47">
      <c r="D331" s="355"/>
      <c r="E331" s="355"/>
      <c r="F331" s="355"/>
      <c r="G331" s="355"/>
      <c r="H331" s="355"/>
      <c r="I331" s="355"/>
      <c r="J331" s="355"/>
      <c r="K331" s="355"/>
      <c r="L331" s="355"/>
      <c r="M331" s="355"/>
      <c r="N331" s="355"/>
      <c r="O331" s="355"/>
      <c r="P331" s="355"/>
      <c r="Q331" s="355"/>
      <c r="R331" s="355"/>
      <c r="S331" s="355"/>
      <c r="T331" s="355"/>
      <c r="U331" s="355"/>
      <c r="V331" s="355"/>
      <c r="X331" s="355"/>
      <c r="Y331" s="355"/>
      <c r="Z331" s="355"/>
      <c r="AA331" s="355"/>
      <c r="AB331" s="355"/>
      <c r="AC331" s="355"/>
      <c r="AD331" s="355"/>
      <c r="AE331" s="355"/>
      <c r="AF331" s="355"/>
      <c r="AG331" s="355"/>
      <c r="AH331" s="355"/>
      <c r="AI331" s="355"/>
      <c r="AJ331" s="355"/>
      <c r="AK331" s="355"/>
      <c r="AL331" s="355"/>
      <c r="AM331" s="355"/>
      <c r="AN331" s="355"/>
      <c r="AO331" s="355"/>
      <c r="AP331" s="355"/>
      <c r="AQ331" s="355"/>
      <c r="AR331" s="355"/>
      <c r="AS331" s="355"/>
      <c r="AT331" s="355"/>
      <c r="AU331" s="355"/>
    </row>
    <row r="332" spans="1:47">
      <c r="D332" s="355"/>
      <c r="E332" s="355"/>
      <c r="F332" s="355"/>
      <c r="G332" s="355"/>
      <c r="H332" s="355"/>
      <c r="I332" s="355"/>
      <c r="J332" s="355"/>
      <c r="K332" s="355"/>
      <c r="L332" s="355"/>
      <c r="M332" s="355"/>
      <c r="N332" s="355"/>
      <c r="O332" s="355"/>
      <c r="P332" s="355"/>
      <c r="Q332" s="355"/>
      <c r="R332" s="355"/>
      <c r="S332" s="355"/>
      <c r="T332" s="355"/>
      <c r="U332" s="355"/>
      <c r="V332" s="355"/>
      <c r="X332" s="355"/>
      <c r="Y332" s="355"/>
      <c r="Z332" s="355"/>
      <c r="AA332" s="355"/>
      <c r="AB332" s="355"/>
      <c r="AC332" s="355"/>
      <c r="AD332" s="355"/>
      <c r="AE332" s="355"/>
      <c r="AF332" s="355"/>
      <c r="AG332" s="355"/>
      <c r="AH332" s="355"/>
      <c r="AI332" s="355"/>
      <c r="AJ332" s="355"/>
      <c r="AK332" s="355"/>
      <c r="AL332" s="355"/>
      <c r="AM332" s="355"/>
      <c r="AN332" s="355"/>
      <c r="AO332" s="355"/>
      <c r="AP332" s="355"/>
      <c r="AQ332" s="355"/>
      <c r="AR332" s="355"/>
      <c r="AS332" s="355"/>
      <c r="AT332" s="355"/>
      <c r="AU332" s="355"/>
    </row>
    <row r="333" spans="1:47">
      <c r="D333" s="355"/>
      <c r="E333" s="355"/>
      <c r="F333" s="355"/>
      <c r="G333" s="355"/>
      <c r="H333" s="355"/>
      <c r="I333" s="355"/>
      <c r="J333" s="355"/>
      <c r="K333" s="355"/>
      <c r="L333" s="355"/>
      <c r="M333" s="355"/>
      <c r="N333" s="355"/>
      <c r="O333" s="355"/>
      <c r="P333" s="355"/>
      <c r="Q333" s="355"/>
      <c r="R333" s="355"/>
      <c r="S333" s="355"/>
      <c r="T333" s="355"/>
      <c r="U333" s="355"/>
      <c r="V333" s="355"/>
      <c r="X333" s="355"/>
      <c r="Y333" s="355"/>
      <c r="Z333" s="355"/>
      <c r="AA333" s="355"/>
      <c r="AB333" s="355"/>
      <c r="AC333" s="355"/>
      <c r="AD333" s="355"/>
      <c r="AE333" s="355"/>
      <c r="AF333" s="355"/>
      <c r="AG333" s="355"/>
      <c r="AH333" s="355"/>
      <c r="AI333" s="355"/>
      <c r="AJ333" s="355"/>
      <c r="AK333" s="355"/>
      <c r="AL333" s="355"/>
      <c r="AM333" s="355"/>
      <c r="AN333" s="355"/>
      <c r="AO333" s="355"/>
      <c r="AP333" s="355"/>
      <c r="AQ333" s="355"/>
      <c r="AR333" s="355"/>
      <c r="AS333" s="355"/>
      <c r="AT333" s="355"/>
      <c r="AU333" s="355"/>
    </row>
    <row r="334" spans="1:47">
      <c r="D334" s="355"/>
      <c r="E334" s="355"/>
      <c r="F334" s="355"/>
      <c r="G334" s="355"/>
      <c r="H334" s="355"/>
      <c r="I334" s="355"/>
      <c r="J334" s="355"/>
      <c r="K334" s="355"/>
      <c r="L334" s="355"/>
      <c r="M334" s="355"/>
      <c r="N334" s="355"/>
      <c r="O334" s="355"/>
      <c r="P334" s="355"/>
      <c r="Q334" s="355"/>
      <c r="R334" s="355"/>
      <c r="S334" s="355"/>
      <c r="T334" s="355"/>
      <c r="U334" s="355"/>
      <c r="V334" s="355"/>
      <c r="X334" s="355"/>
      <c r="Y334" s="355"/>
      <c r="Z334" s="355"/>
      <c r="AA334" s="355"/>
      <c r="AB334" s="355"/>
      <c r="AC334" s="355"/>
      <c r="AD334" s="355"/>
      <c r="AE334" s="355"/>
      <c r="AF334" s="355"/>
      <c r="AG334" s="355"/>
      <c r="AH334" s="355"/>
      <c r="AI334" s="355"/>
      <c r="AJ334" s="355"/>
      <c r="AK334" s="355"/>
      <c r="AL334" s="355"/>
      <c r="AM334" s="355"/>
      <c r="AN334" s="355"/>
      <c r="AO334" s="355"/>
      <c r="AP334" s="355"/>
      <c r="AQ334" s="355"/>
      <c r="AR334" s="355"/>
      <c r="AS334" s="355"/>
      <c r="AT334" s="355"/>
      <c r="AU334" s="355"/>
    </row>
    <row r="335" spans="1:47">
      <c r="D335" s="355"/>
      <c r="E335" s="355"/>
      <c r="F335" s="355"/>
      <c r="G335" s="355"/>
      <c r="H335" s="355"/>
      <c r="I335" s="355"/>
      <c r="J335" s="355"/>
      <c r="K335" s="355"/>
      <c r="L335" s="355"/>
      <c r="M335" s="355"/>
      <c r="N335" s="355"/>
      <c r="O335" s="355"/>
      <c r="P335" s="355"/>
      <c r="Q335" s="355"/>
      <c r="R335" s="355"/>
      <c r="S335" s="355"/>
      <c r="T335" s="355"/>
      <c r="U335" s="355"/>
      <c r="V335" s="355"/>
      <c r="X335" s="355"/>
      <c r="Y335" s="355"/>
      <c r="Z335" s="355"/>
      <c r="AA335" s="355"/>
      <c r="AB335" s="355"/>
      <c r="AC335" s="355"/>
      <c r="AD335" s="355"/>
      <c r="AE335" s="355"/>
      <c r="AF335" s="355"/>
      <c r="AG335" s="355"/>
      <c r="AH335" s="355"/>
      <c r="AI335" s="355"/>
      <c r="AJ335" s="355"/>
      <c r="AK335" s="355"/>
      <c r="AL335" s="355"/>
      <c r="AM335" s="355"/>
      <c r="AN335" s="355"/>
      <c r="AO335" s="355"/>
      <c r="AP335" s="355"/>
      <c r="AQ335" s="355"/>
      <c r="AR335" s="355"/>
      <c r="AS335" s="355"/>
      <c r="AT335" s="355"/>
      <c r="AU335" s="355"/>
    </row>
    <row r="336" spans="1:47">
      <c r="D336" s="355"/>
      <c r="E336" s="355"/>
      <c r="F336" s="355"/>
      <c r="G336" s="355"/>
      <c r="H336" s="355"/>
      <c r="I336" s="355"/>
      <c r="J336" s="355"/>
      <c r="K336" s="355"/>
      <c r="L336" s="355"/>
      <c r="M336" s="355"/>
      <c r="N336" s="355"/>
      <c r="O336" s="355"/>
      <c r="P336" s="355"/>
      <c r="Q336" s="355"/>
      <c r="R336" s="355"/>
      <c r="S336" s="355"/>
      <c r="T336" s="355"/>
      <c r="U336" s="355"/>
      <c r="V336" s="355"/>
      <c r="X336" s="355"/>
      <c r="Y336" s="355"/>
      <c r="Z336" s="355"/>
      <c r="AA336" s="355"/>
      <c r="AB336" s="355"/>
      <c r="AC336" s="355"/>
      <c r="AD336" s="355"/>
      <c r="AE336" s="355"/>
      <c r="AF336" s="355"/>
      <c r="AG336" s="355"/>
      <c r="AH336" s="355"/>
      <c r="AI336" s="355"/>
      <c r="AJ336" s="355"/>
      <c r="AK336" s="355"/>
      <c r="AL336" s="355"/>
      <c r="AM336" s="355"/>
      <c r="AN336" s="355"/>
      <c r="AO336" s="355"/>
      <c r="AP336" s="355"/>
      <c r="AQ336" s="355"/>
      <c r="AR336" s="355"/>
      <c r="AS336" s="355"/>
      <c r="AT336" s="355"/>
      <c r="AU336" s="355"/>
    </row>
    <row r="337" spans="4:47">
      <c r="D337" s="355"/>
      <c r="E337" s="355"/>
      <c r="F337" s="355"/>
      <c r="G337" s="355"/>
      <c r="H337" s="355"/>
      <c r="I337" s="355"/>
      <c r="J337" s="355"/>
      <c r="K337" s="355"/>
      <c r="L337" s="355"/>
      <c r="M337" s="355"/>
      <c r="N337" s="355"/>
      <c r="O337" s="355"/>
      <c r="P337" s="355"/>
      <c r="Q337" s="355"/>
      <c r="R337" s="355"/>
      <c r="S337" s="355"/>
      <c r="T337" s="355"/>
      <c r="U337" s="355"/>
      <c r="V337" s="355"/>
      <c r="X337" s="355"/>
      <c r="Y337" s="355"/>
      <c r="Z337" s="355"/>
      <c r="AA337" s="355"/>
      <c r="AB337" s="355"/>
      <c r="AC337" s="355"/>
      <c r="AD337" s="355"/>
      <c r="AE337" s="355"/>
      <c r="AF337" s="355"/>
      <c r="AG337" s="355"/>
      <c r="AH337" s="355"/>
      <c r="AI337" s="355"/>
      <c r="AJ337" s="355"/>
      <c r="AK337" s="355"/>
      <c r="AL337" s="355"/>
      <c r="AM337" s="355"/>
      <c r="AN337" s="355"/>
      <c r="AO337" s="355"/>
      <c r="AP337" s="355"/>
      <c r="AQ337" s="355"/>
      <c r="AR337" s="355"/>
      <c r="AS337" s="355"/>
      <c r="AT337" s="355"/>
      <c r="AU337" s="355"/>
    </row>
    <row r="338" spans="4:47">
      <c r="D338" s="355"/>
      <c r="E338" s="355"/>
      <c r="F338" s="355"/>
      <c r="G338" s="355"/>
      <c r="H338" s="355"/>
      <c r="I338" s="355"/>
      <c r="J338" s="355"/>
      <c r="K338" s="355"/>
      <c r="L338" s="355"/>
      <c r="M338" s="355"/>
      <c r="N338" s="355"/>
      <c r="O338" s="355"/>
      <c r="P338" s="355"/>
      <c r="Q338" s="355"/>
      <c r="R338" s="355"/>
      <c r="S338" s="355"/>
      <c r="T338" s="355"/>
      <c r="U338" s="355"/>
      <c r="V338" s="355"/>
      <c r="X338" s="355"/>
      <c r="Y338" s="355"/>
      <c r="Z338" s="355"/>
      <c r="AA338" s="355"/>
      <c r="AB338" s="355"/>
      <c r="AC338" s="355"/>
      <c r="AD338" s="355"/>
      <c r="AE338" s="355"/>
      <c r="AF338" s="355"/>
      <c r="AG338" s="355"/>
      <c r="AH338" s="355"/>
      <c r="AI338" s="355"/>
      <c r="AJ338" s="355"/>
      <c r="AK338" s="355"/>
      <c r="AL338" s="355"/>
      <c r="AM338" s="355"/>
      <c r="AN338" s="355"/>
      <c r="AO338" s="355"/>
      <c r="AP338" s="355"/>
      <c r="AQ338" s="355"/>
      <c r="AR338" s="355"/>
      <c r="AS338" s="355"/>
      <c r="AT338" s="355"/>
      <c r="AU338" s="355"/>
    </row>
    <row r="339" spans="4:47">
      <c r="D339" s="355"/>
      <c r="E339" s="355"/>
      <c r="F339" s="355"/>
      <c r="G339" s="355"/>
      <c r="H339" s="355"/>
      <c r="I339" s="355"/>
      <c r="J339" s="355"/>
      <c r="K339" s="355"/>
      <c r="L339" s="355"/>
      <c r="M339" s="355"/>
      <c r="N339" s="355"/>
      <c r="O339" s="355"/>
      <c r="P339" s="355"/>
      <c r="Q339" s="355"/>
      <c r="R339" s="355"/>
      <c r="S339" s="355"/>
      <c r="T339" s="355"/>
      <c r="U339" s="355"/>
      <c r="V339" s="355"/>
      <c r="X339" s="355"/>
      <c r="Y339" s="355"/>
      <c r="Z339" s="355"/>
      <c r="AA339" s="355"/>
      <c r="AB339" s="355"/>
      <c r="AC339" s="355"/>
      <c r="AD339" s="355"/>
      <c r="AE339" s="355"/>
      <c r="AF339" s="355"/>
      <c r="AG339" s="355"/>
      <c r="AH339" s="355"/>
      <c r="AI339" s="355"/>
      <c r="AJ339" s="355"/>
      <c r="AK339" s="355"/>
      <c r="AL339" s="355"/>
      <c r="AM339" s="355"/>
      <c r="AN339" s="355"/>
      <c r="AO339" s="355"/>
      <c r="AP339" s="355"/>
      <c r="AQ339" s="355"/>
      <c r="AR339" s="355"/>
      <c r="AS339" s="355"/>
      <c r="AT339" s="355"/>
      <c r="AU339" s="355"/>
    </row>
    <row r="340" spans="4:47">
      <c r="D340" s="355"/>
      <c r="E340" s="355"/>
      <c r="F340" s="355"/>
      <c r="G340" s="355"/>
      <c r="H340" s="355"/>
      <c r="I340" s="355"/>
      <c r="J340" s="355"/>
      <c r="K340" s="355"/>
      <c r="L340" s="355"/>
      <c r="M340" s="355"/>
      <c r="N340" s="355"/>
      <c r="O340" s="355"/>
      <c r="P340" s="355"/>
      <c r="Q340" s="355"/>
      <c r="R340" s="355"/>
      <c r="S340" s="355"/>
      <c r="T340" s="355"/>
      <c r="U340" s="355"/>
      <c r="V340" s="355"/>
      <c r="X340" s="355"/>
      <c r="Y340" s="355"/>
      <c r="Z340" s="355"/>
      <c r="AA340" s="355"/>
      <c r="AB340" s="355"/>
      <c r="AC340" s="355"/>
      <c r="AD340" s="355"/>
      <c r="AE340" s="355"/>
      <c r="AF340" s="355"/>
      <c r="AG340" s="355"/>
      <c r="AH340" s="355"/>
      <c r="AI340" s="355"/>
      <c r="AJ340" s="355"/>
      <c r="AK340" s="355"/>
      <c r="AL340" s="355"/>
      <c r="AM340" s="355"/>
      <c r="AN340" s="355"/>
      <c r="AO340" s="355"/>
      <c r="AP340" s="355"/>
      <c r="AQ340" s="355"/>
      <c r="AR340" s="355"/>
      <c r="AS340" s="355"/>
      <c r="AT340" s="355"/>
      <c r="AU340" s="355"/>
    </row>
  </sheetData>
  <printOptions horizontalCentered="1"/>
  <pageMargins left="0.3" right="0.3" top="0.3" bottom="0.3" header="0.3" footer="0.3"/>
  <pageSetup scale="31" fitToHeight="0" orientation="landscape" r:id="rId1"/>
  <headerFooter>
    <oddFooter>Page &amp;P of &amp;N</oddFooter>
  </headerFooter>
  <rowBreaks count="3" manualBreakCount="3">
    <brk id="93" max="40" man="1"/>
    <brk id="167" max="40" man="1"/>
    <brk id="215" max="40"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EA681-7FCE-4B57-A3C5-84BD831C3C0F}">
  <sheetPr>
    <tabColor theme="1"/>
    <pageSetUpPr fitToPage="1"/>
  </sheetPr>
  <dimension ref="A1"/>
  <sheetViews>
    <sheetView view="pageBreakPreview" zoomScale="115" zoomScaleNormal="100" zoomScaleSheetLayoutView="115" workbookViewId="0">
      <selection activeCell="D86" sqref="D86"/>
    </sheetView>
  </sheetViews>
  <sheetFormatPr defaultRowHeight="14.5"/>
  <sheetData>
    <row r="1" spans="1:1" ht="33.5">
      <c r="A1" s="123" t="s">
        <v>399</v>
      </c>
    </row>
  </sheetData>
  <printOptions horizontalCentered="1"/>
  <pageMargins left="0.3" right="0.3" top="0.3" bottom="0.3" header="0.3" footer="0.3"/>
  <pageSetup fitToHeight="0" orientation="landscape" r:id="rId1"/>
  <headerFooter>
    <oddFooter>Page &amp;P of &amp;N</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A65C4-DE0A-4167-8B3F-00E4D3557426}">
  <sheetPr>
    <pageSetUpPr fitToPage="1"/>
  </sheetPr>
  <dimension ref="A1:AG173"/>
  <sheetViews>
    <sheetView view="pageBreakPreview" zoomScale="40" zoomScaleNormal="55" zoomScaleSheetLayoutView="40" workbookViewId="0">
      <pane xSplit="1" ySplit="5" topLeftCell="B9" activePane="bottomRight" state="frozen"/>
      <selection activeCell="D86" sqref="D86"/>
      <selection pane="topRight" activeCell="D86" sqref="D86"/>
      <selection pane="bottomLeft" activeCell="D86" sqref="D86"/>
      <selection pane="bottomRight" activeCell="X1" sqref="X1"/>
    </sheetView>
  </sheetViews>
  <sheetFormatPr defaultRowHeight="18.5" outlineLevelRow="1" outlineLevelCol="1"/>
  <cols>
    <col min="1" max="1" width="41.1796875" style="401" customWidth="1"/>
    <col min="2" max="2" width="3.81640625" style="401" customWidth="1"/>
    <col min="3" max="4" width="14.1796875" style="401" hidden="1" customWidth="1" outlineLevel="1"/>
    <col min="5" max="5" width="14.1796875" style="401" customWidth="1" collapsed="1"/>
    <col min="6" max="14" width="14.1796875" style="401" customWidth="1"/>
    <col min="15" max="15" width="6" style="401" customWidth="1"/>
    <col min="16" max="16" width="10.1796875" style="401" customWidth="1"/>
    <col min="17" max="24" width="14.1796875" style="401" customWidth="1"/>
    <col min="25" max="25" width="11.54296875" style="401" customWidth="1"/>
    <col min="26" max="29" width="8.81640625" style="402" bestFit="1" customWidth="1"/>
    <col min="30" max="30" width="8.7265625" style="402"/>
    <col min="31" max="31" width="8.81640625" style="402" bestFit="1" customWidth="1"/>
    <col min="32" max="32" width="9.54296875" style="402" bestFit="1" customWidth="1"/>
    <col min="33" max="219" width="8.7265625" style="402"/>
    <col min="220" max="220" width="22" style="402" customWidth="1"/>
    <col min="221" max="221" width="1.7265625" style="402" customWidth="1"/>
    <col min="222" max="241" width="10.81640625" style="402" customWidth="1"/>
    <col min="242" max="242" width="1.81640625" style="402" customWidth="1"/>
    <col min="243" max="243" width="2.1796875" style="402" customWidth="1"/>
    <col min="244" max="250" width="10.54296875" style="402" customWidth="1"/>
    <col min="251" max="251" width="3.7265625" style="402" customWidth="1"/>
    <col min="252" max="252" width="12.81640625" style="402" customWidth="1"/>
    <col min="253" max="253" width="30.7265625" style="402" customWidth="1"/>
    <col min="254" max="475" width="8.7265625" style="402"/>
    <col min="476" max="476" width="22" style="402" customWidth="1"/>
    <col min="477" max="477" width="1.7265625" style="402" customWidth="1"/>
    <col min="478" max="497" width="10.81640625" style="402" customWidth="1"/>
    <col min="498" max="498" width="1.81640625" style="402" customWidth="1"/>
    <col min="499" max="499" width="2.1796875" style="402" customWidth="1"/>
    <col min="500" max="506" width="10.54296875" style="402" customWidth="1"/>
    <col min="507" max="507" width="3.7265625" style="402" customWidth="1"/>
    <col min="508" max="508" width="12.81640625" style="402" customWidth="1"/>
    <col min="509" max="509" width="30.7265625" style="402" customWidth="1"/>
    <col min="510" max="731" width="8.7265625" style="402"/>
    <col min="732" max="732" width="22" style="402" customWidth="1"/>
    <col min="733" max="733" width="1.7265625" style="402" customWidth="1"/>
    <col min="734" max="753" width="10.81640625" style="402" customWidth="1"/>
    <col min="754" max="754" width="1.81640625" style="402" customWidth="1"/>
    <col min="755" max="755" width="2.1796875" style="402" customWidth="1"/>
    <col min="756" max="762" width="10.54296875" style="402" customWidth="1"/>
    <col min="763" max="763" width="3.7265625" style="402" customWidth="1"/>
    <col min="764" max="764" width="12.81640625" style="402" customWidth="1"/>
    <col min="765" max="765" width="30.7265625" style="402" customWidth="1"/>
    <col min="766" max="987" width="8.7265625" style="402"/>
    <col min="988" max="988" width="22" style="402" customWidth="1"/>
    <col min="989" max="989" width="1.7265625" style="402" customWidth="1"/>
    <col min="990" max="1009" width="10.81640625" style="402" customWidth="1"/>
    <col min="1010" max="1010" width="1.81640625" style="402" customWidth="1"/>
    <col min="1011" max="1011" width="2.1796875" style="402" customWidth="1"/>
    <col min="1012" max="1018" width="10.54296875" style="402" customWidth="1"/>
    <col min="1019" max="1019" width="3.7265625" style="402" customWidth="1"/>
    <col min="1020" max="1020" width="12.81640625" style="402" customWidth="1"/>
    <col min="1021" max="1021" width="30.7265625" style="402" customWidth="1"/>
    <col min="1022" max="1243" width="8.7265625" style="402"/>
    <col min="1244" max="1244" width="22" style="402" customWidth="1"/>
    <col min="1245" max="1245" width="1.7265625" style="402" customWidth="1"/>
    <col min="1246" max="1265" width="10.81640625" style="402" customWidth="1"/>
    <col min="1266" max="1266" width="1.81640625" style="402" customWidth="1"/>
    <col min="1267" max="1267" width="2.1796875" style="402" customWidth="1"/>
    <col min="1268" max="1274" width="10.54296875" style="402" customWidth="1"/>
    <col min="1275" max="1275" width="3.7265625" style="402" customWidth="1"/>
    <col min="1276" max="1276" width="12.81640625" style="402" customWidth="1"/>
    <col min="1277" max="1277" width="30.7265625" style="402" customWidth="1"/>
    <col min="1278" max="1499" width="8.7265625" style="402"/>
    <col min="1500" max="1500" width="22" style="402" customWidth="1"/>
    <col min="1501" max="1501" width="1.7265625" style="402" customWidth="1"/>
    <col min="1502" max="1521" width="10.81640625" style="402" customWidth="1"/>
    <col min="1522" max="1522" width="1.81640625" style="402" customWidth="1"/>
    <col min="1523" max="1523" width="2.1796875" style="402" customWidth="1"/>
    <col min="1524" max="1530" width="10.54296875" style="402" customWidth="1"/>
    <col min="1531" max="1531" width="3.7265625" style="402" customWidth="1"/>
    <col min="1532" max="1532" width="12.81640625" style="402" customWidth="1"/>
    <col min="1533" max="1533" width="30.7265625" style="402" customWidth="1"/>
    <col min="1534" max="1755" width="8.7265625" style="402"/>
    <col min="1756" max="1756" width="22" style="402" customWidth="1"/>
    <col min="1757" max="1757" width="1.7265625" style="402" customWidth="1"/>
    <col min="1758" max="1777" width="10.81640625" style="402" customWidth="1"/>
    <col min="1778" max="1778" width="1.81640625" style="402" customWidth="1"/>
    <col min="1779" max="1779" width="2.1796875" style="402" customWidth="1"/>
    <col min="1780" max="1786" width="10.54296875" style="402" customWidth="1"/>
    <col min="1787" max="1787" width="3.7265625" style="402" customWidth="1"/>
    <col min="1788" max="1788" width="12.81640625" style="402" customWidth="1"/>
    <col min="1789" max="1789" width="30.7265625" style="402" customWidth="1"/>
    <col min="1790" max="2011" width="8.7265625" style="402"/>
    <col min="2012" max="2012" width="22" style="402" customWidth="1"/>
    <col min="2013" max="2013" width="1.7265625" style="402" customWidth="1"/>
    <col min="2014" max="2033" width="10.81640625" style="402" customWidth="1"/>
    <col min="2034" max="2034" width="1.81640625" style="402" customWidth="1"/>
    <col min="2035" max="2035" width="2.1796875" style="402" customWidth="1"/>
    <col min="2036" max="2042" width="10.54296875" style="402" customWidth="1"/>
    <col min="2043" max="2043" width="3.7265625" style="402" customWidth="1"/>
    <col min="2044" max="2044" width="12.81640625" style="402" customWidth="1"/>
    <col min="2045" max="2045" width="30.7265625" style="402" customWidth="1"/>
    <col min="2046" max="2267" width="8.7265625" style="402"/>
    <col min="2268" max="2268" width="22" style="402" customWidth="1"/>
    <col min="2269" max="2269" width="1.7265625" style="402" customWidth="1"/>
    <col min="2270" max="2289" width="10.81640625" style="402" customWidth="1"/>
    <col min="2290" max="2290" width="1.81640625" style="402" customWidth="1"/>
    <col min="2291" max="2291" width="2.1796875" style="402" customWidth="1"/>
    <col min="2292" max="2298" width="10.54296875" style="402" customWidth="1"/>
    <col min="2299" max="2299" width="3.7265625" style="402" customWidth="1"/>
    <col min="2300" max="2300" width="12.81640625" style="402" customWidth="1"/>
    <col min="2301" max="2301" width="30.7265625" style="402" customWidth="1"/>
    <col min="2302" max="2523" width="8.7265625" style="402"/>
    <col min="2524" max="2524" width="22" style="402" customWidth="1"/>
    <col min="2525" max="2525" width="1.7265625" style="402" customWidth="1"/>
    <col min="2526" max="2545" width="10.81640625" style="402" customWidth="1"/>
    <col min="2546" max="2546" width="1.81640625" style="402" customWidth="1"/>
    <col min="2547" max="2547" width="2.1796875" style="402" customWidth="1"/>
    <col min="2548" max="2554" width="10.54296875" style="402" customWidth="1"/>
    <col min="2555" max="2555" width="3.7265625" style="402" customWidth="1"/>
    <col min="2556" max="2556" width="12.81640625" style="402" customWidth="1"/>
    <col min="2557" max="2557" width="30.7265625" style="402" customWidth="1"/>
    <col min="2558" max="2779" width="8.7265625" style="402"/>
    <col min="2780" max="2780" width="22" style="402" customWidth="1"/>
    <col min="2781" max="2781" width="1.7265625" style="402" customWidth="1"/>
    <col min="2782" max="2801" width="10.81640625" style="402" customWidth="1"/>
    <col min="2802" max="2802" width="1.81640625" style="402" customWidth="1"/>
    <col min="2803" max="2803" width="2.1796875" style="402" customWidth="1"/>
    <col min="2804" max="2810" width="10.54296875" style="402" customWidth="1"/>
    <col min="2811" max="2811" width="3.7265625" style="402" customWidth="1"/>
    <col min="2812" max="2812" width="12.81640625" style="402" customWidth="1"/>
    <col min="2813" max="2813" width="30.7265625" style="402" customWidth="1"/>
    <col min="2814" max="3035" width="8.7265625" style="402"/>
    <col min="3036" max="3036" width="22" style="402" customWidth="1"/>
    <col min="3037" max="3037" width="1.7265625" style="402" customWidth="1"/>
    <col min="3038" max="3057" width="10.81640625" style="402" customWidth="1"/>
    <col min="3058" max="3058" width="1.81640625" style="402" customWidth="1"/>
    <col min="3059" max="3059" width="2.1796875" style="402" customWidth="1"/>
    <col min="3060" max="3066" width="10.54296875" style="402" customWidth="1"/>
    <col min="3067" max="3067" width="3.7265625" style="402" customWidth="1"/>
    <col min="3068" max="3068" width="12.81640625" style="402" customWidth="1"/>
    <col min="3069" max="3069" width="30.7265625" style="402" customWidth="1"/>
    <col min="3070" max="3291" width="8.7265625" style="402"/>
    <col min="3292" max="3292" width="22" style="402" customWidth="1"/>
    <col min="3293" max="3293" width="1.7265625" style="402" customWidth="1"/>
    <col min="3294" max="3313" width="10.81640625" style="402" customWidth="1"/>
    <col min="3314" max="3314" width="1.81640625" style="402" customWidth="1"/>
    <col min="3315" max="3315" width="2.1796875" style="402" customWidth="1"/>
    <col min="3316" max="3322" width="10.54296875" style="402" customWidth="1"/>
    <col min="3323" max="3323" width="3.7265625" style="402" customWidth="1"/>
    <col min="3324" max="3324" width="12.81640625" style="402" customWidth="1"/>
    <col min="3325" max="3325" width="30.7265625" style="402" customWidth="1"/>
    <col min="3326" max="3547" width="8.7265625" style="402"/>
    <col min="3548" max="3548" width="22" style="402" customWidth="1"/>
    <col min="3549" max="3549" width="1.7265625" style="402" customWidth="1"/>
    <col min="3550" max="3569" width="10.81640625" style="402" customWidth="1"/>
    <col min="3570" max="3570" width="1.81640625" style="402" customWidth="1"/>
    <col min="3571" max="3571" width="2.1796875" style="402" customWidth="1"/>
    <col min="3572" max="3578" width="10.54296875" style="402" customWidth="1"/>
    <col min="3579" max="3579" width="3.7265625" style="402" customWidth="1"/>
    <col min="3580" max="3580" width="12.81640625" style="402" customWidth="1"/>
    <col min="3581" max="3581" width="30.7265625" style="402" customWidth="1"/>
    <col min="3582" max="3803" width="8.7265625" style="402"/>
    <col min="3804" max="3804" width="22" style="402" customWidth="1"/>
    <col min="3805" max="3805" width="1.7265625" style="402" customWidth="1"/>
    <col min="3806" max="3825" width="10.81640625" style="402" customWidth="1"/>
    <col min="3826" max="3826" width="1.81640625" style="402" customWidth="1"/>
    <col min="3827" max="3827" width="2.1796875" style="402" customWidth="1"/>
    <col min="3828" max="3834" width="10.54296875" style="402" customWidth="1"/>
    <col min="3835" max="3835" width="3.7265625" style="402" customWidth="1"/>
    <col min="3836" max="3836" width="12.81640625" style="402" customWidth="1"/>
    <col min="3837" max="3837" width="30.7265625" style="402" customWidth="1"/>
    <col min="3838" max="4059" width="8.7265625" style="402"/>
    <col min="4060" max="4060" width="22" style="402" customWidth="1"/>
    <col min="4061" max="4061" width="1.7265625" style="402" customWidth="1"/>
    <col min="4062" max="4081" width="10.81640625" style="402" customWidth="1"/>
    <col min="4082" max="4082" width="1.81640625" style="402" customWidth="1"/>
    <col min="4083" max="4083" width="2.1796875" style="402" customWidth="1"/>
    <col min="4084" max="4090" width="10.54296875" style="402" customWidth="1"/>
    <col min="4091" max="4091" width="3.7265625" style="402" customWidth="1"/>
    <col min="4092" max="4092" width="12.81640625" style="402" customWidth="1"/>
    <col min="4093" max="4093" width="30.7265625" style="402" customWidth="1"/>
    <col min="4094" max="4315" width="8.7265625" style="402"/>
    <col min="4316" max="4316" width="22" style="402" customWidth="1"/>
    <col min="4317" max="4317" width="1.7265625" style="402" customWidth="1"/>
    <col min="4318" max="4337" width="10.81640625" style="402" customWidth="1"/>
    <col min="4338" max="4338" width="1.81640625" style="402" customWidth="1"/>
    <col min="4339" max="4339" width="2.1796875" style="402" customWidth="1"/>
    <col min="4340" max="4346" width="10.54296875" style="402" customWidth="1"/>
    <col min="4347" max="4347" width="3.7265625" style="402" customWidth="1"/>
    <col min="4348" max="4348" width="12.81640625" style="402" customWidth="1"/>
    <col min="4349" max="4349" width="30.7265625" style="402" customWidth="1"/>
    <col min="4350" max="4571" width="8.7265625" style="402"/>
    <col min="4572" max="4572" width="22" style="402" customWidth="1"/>
    <col min="4573" max="4573" width="1.7265625" style="402" customWidth="1"/>
    <col min="4574" max="4593" width="10.81640625" style="402" customWidth="1"/>
    <col min="4594" max="4594" width="1.81640625" style="402" customWidth="1"/>
    <col min="4595" max="4595" width="2.1796875" style="402" customWidth="1"/>
    <col min="4596" max="4602" width="10.54296875" style="402" customWidth="1"/>
    <col min="4603" max="4603" width="3.7265625" style="402" customWidth="1"/>
    <col min="4604" max="4604" width="12.81640625" style="402" customWidth="1"/>
    <col min="4605" max="4605" width="30.7265625" style="402" customWidth="1"/>
    <col min="4606" max="4827" width="8.7265625" style="402"/>
    <col min="4828" max="4828" width="22" style="402" customWidth="1"/>
    <col min="4829" max="4829" width="1.7265625" style="402" customWidth="1"/>
    <col min="4830" max="4849" width="10.81640625" style="402" customWidth="1"/>
    <col min="4850" max="4850" width="1.81640625" style="402" customWidth="1"/>
    <col min="4851" max="4851" width="2.1796875" style="402" customWidth="1"/>
    <col min="4852" max="4858" width="10.54296875" style="402" customWidth="1"/>
    <col min="4859" max="4859" width="3.7265625" style="402" customWidth="1"/>
    <col min="4860" max="4860" width="12.81640625" style="402" customWidth="1"/>
    <col min="4861" max="4861" width="30.7265625" style="402" customWidth="1"/>
    <col min="4862" max="5083" width="8.7265625" style="402"/>
    <col min="5084" max="5084" width="22" style="402" customWidth="1"/>
    <col min="5085" max="5085" width="1.7265625" style="402" customWidth="1"/>
    <col min="5086" max="5105" width="10.81640625" style="402" customWidth="1"/>
    <col min="5106" max="5106" width="1.81640625" style="402" customWidth="1"/>
    <col min="5107" max="5107" width="2.1796875" style="402" customWidth="1"/>
    <col min="5108" max="5114" width="10.54296875" style="402" customWidth="1"/>
    <col min="5115" max="5115" width="3.7265625" style="402" customWidth="1"/>
    <col min="5116" max="5116" width="12.81640625" style="402" customWidth="1"/>
    <col min="5117" max="5117" width="30.7265625" style="402" customWidth="1"/>
    <col min="5118" max="5339" width="8.7265625" style="402"/>
    <col min="5340" max="5340" width="22" style="402" customWidth="1"/>
    <col min="5341" max="5341" width="1.7265625" style="402" customWidth="1"/>
    <col min="5342" max="5361" width="10.81640625" style="402" customWidth="1"/>
    <col min="5362" max="5362" width="1.81640625" style="402" customWidth="1"/>
    <col min="5363" max="5363" width="2.1796875" style="402" customWidth="1"/>
    <col min="5364" max="5370" width="10.54296875" style="402" customWidth="1"/>
    <col min="5371" max="5371" width="3.7265625" style="402" customWidth="1"/>
    <col min="5372" max="5372" width="12.81640625" style="402" customWidth="1"/>
    <col min="5373" max="5373" width="30.7265625" style="402" customWidth="1"/>
    <col min="5374" max="5595" width="8.7265625" style="402"/>
    <col min="5596" max="5596" width="22" style="402" customWidth="1"/>
    <col min="5597" max="5597" width="1.7265625" style="402" customWidth="1"/>
    <col min="5598" max="5617" width="10.81640625" style="402" customWidth="1"/>
    <col min="5618" max="5618" width="1.81640625" style="402" customWidth="1"/>
    <col min="5619" max="5619" width="2.1796875" style="402" customWidth="1"/>
    <col min="5620" max="5626" width="10.54296875" style="402" customWidth="1"/>
    <col min="5627" max="5627" width="3.7265625" style="402" customWidth="1"/>
    <col min="5628" max="5628" width="12.81640625" style="402" customWidth="1"/>
    <col min="5629" max="5629" width="30.7265625" style="402" customWidth="1"/>
    <col min="5630" max="5851" width="8.7265625" style="402"/>
    <col min="5852" max="5852" width="22" style="402" customWidth="1"/>
    <col min="5853" max="5853" width="1.7265625" style="402" customWidth="1"/>
    <col min="5854" max="5873" width="10.81640625" style="402" customWidth="1"/>
    <col min="5874" max="5874" width="1.81640625" style="402" customWidth="1"/>
    <col min="5875" max="5875" width="2.1796875" style="402" customWidth="1"/>
    <col min="5876" max="5882" width="10.54296875" style="402" customWidth="1"/>
    <col min="5883" max="5883" width="3.7265625" style="402" customWidth="1"/>
    <col min="5884" max="5884" width="12.81640625" style="402" customWidth="1"/>
    <col min="5885" max="5885" width="30.7265625" style="402" customWidth="1"/>
    <col min="5886" max="6107" width="8.7265625" style="402"/>
    <col min="6108" max="6108" width="22" style="402" customWidth="1"/>
    <col min="6109" max="6109" width="1.7265625" style="402" customWidth="1"/>
    <col min="6110" max="6129" width="10.81640625" style="402" customWidth="1"/>
    <col min="6130" max="6130" width="1.81640625" style="402" customWidth="1"/>
    <col min="6131" max="6131" width="2.1796875" style="402" customWidth="1"/>
    <col min="6132" max="6138" width="10.54296875" style="402" customWidth="1"/>
    <col min="6139" max="6139" width="3.7265625" style="402" customWidth="1"/>
    <col min="6140" max="6140" width="12.81640625" style="402" customWidth="1"/>
    <col min="6141" max="6141" width="30.7265625" style="402" customWidth="1"/>
    <col min="6142" max="6363" width="8.7265625" style="402"/>
    <col min="6364" max="6364" width="22" style="402" customWidth="1"/>
    <col min="6365" max="6365" width="1.7265625" style="402" customWidth="1"/>
    <col min="6366" max="6385" width="10.81640625" style="402" customWidth="1"/>
    <col min="6386" max="6386" width="1.81640625" style="402" customWidth="1"/>
    <col min="6387" max="6387" width="2.1796875" style="402" customWidth="1"/>
    <col min="6388" max="6394" width="10.54296875" style="402" customWidth="1"/>
    <col min="6395" max="6395" width="3.7265625" style="402" customWidth="1"/>
    <col min="6396" max="6396" width="12.81640625" style="402" customWidth="1"/>
    <col min="6397" max="6397" width="30.7265625" style="402" customWidth="1"/>
    <col min="6398" max="6619" width="8.7265625" style="402"/>
    <col min="6620" max="6620" width="22" style="402" customWidth="1"/>
    <col min="6621" max="6621" width="1.7265625" style="402" customWidth="1"/>
    <col min="6622" max="6641" width="10.81640625" style="402" customWidth="1"/>
    <col min="6642" max="6642" width="1.81640625" style="402" customWidth="1"/>
    <col min="6643" max="6643" width="2.1796875" style="402" customWidth="1"/>
    <col min="6644" max="6650" width="10.54296875" style="402" customWidth="1"/>
    <col min="6651" max="6651" width="3.7265625" style="402" customWidth="1"/>
    <col min="6652" max="6652" width="12.81640625" style="402" customWidth="1"/>
    <col min="6653" max="6653" width="30.7265625" style="402" customWidth="1"/>
    <col min="6654" max="6875" width="8.7265625" style="402"/>
    <col min="6876" max="6876" width="22" style="402" customWidth="1"/>
    <col min="6877" max="6877" width="1.7265625" style="402" customWidth="1"/>
    <col min="6878" max="6897" width="10.81640625" style="402" customWidth="1"/>
    <col min="6898" max="6898" width="1.81640625" style="402" customWidth="1"/>
    <col min="6899" max="6899" width="2.1796875" style="402" customWidth="1"/>
    <col min="6900" max="6906" width="10.54296875" style="402" customWidth="1"/>
    <col min="6907" max="6907" width="3.7265625" style="402" customWidth="1"/>
    <col min="6908" max="6908" width="12.81640625" style="402" customWidth="1"/>
    <col min="6909" max="6909" width="30.7265625" style="402" customWidth="1"/>
    <col min="6910" max="7131" width="8.7265625" style="402"/>
    <col min="7132" max="7132" width="22" style="402" customWidth="1"/>
    <col min="7133" max="7133" width="1.7265625" style="402" customWidth="1"/>
    <col min="7134" max="7153" width="10.81640625" style="402" customWidth="1"/>
    <col min="7154" max="7154" width="1.81640625" style="402" customWidth="1"/>
    <col min="7155" max="7155" width="2.1796875" style="402" customWidth="1"/>
    <col min="7156" max="7162" width="10.54296875" style="402" customWidth="1"/>
    <col min="7163" max="7163" width="3.7265625" style="402" customWidth="1"/>
    <col min="7164" max="7164" width="12.81640625" style="402" customWidth="1"/>
    <col min="7165" max="7165" width="30.7265625" style="402" customWidth="1"/>
    <col min="7166" max="7387" width="8.7265625" style="402"/>
    <col min="7388" max="7388" width="22" style="402" customWidth="1"/>
    <col min="7389" max="7389" width="1.7265625" style="402" customWidth="1"/>
    <col min="7390" max="7409" width="10.81640625" style="402" customWidth="1"/>
    <col min="7410" max="7410" width="1.81640625" style="402" customWidth="1"/>
    <col min="7411" max="7411" width="2.1796875" style="402" customWidth="1"/>
    <col min="7412" max="7418" width="10.54296875" style="402" customWidth="1"/>
    <col min="7419" max="7419" width="3.7265625" style="402" customWidth="1"/>
    <col min="7420" max="7420" width="12.81640625" style="402" customWidth="1"/>
    <col min="7421" max="7421" width="30.7265625" style="402" customWidth="1"/>
    <col min="7422" max="7643" width="8.7265625" style="402"/>
    <col min="7644" max="7644" width="22" style="402" customWidth="1"/>
    <col min="7645" max="7645" width="1.7265625" style="402" customWidth="1"/>
    <col min="7646" max="7665" width="10.81640625" style="402" customWidth="1"/>
    <col min="7666" max="7666" width="1.81640625" style="402" customWidth="1"/>
    <col min="7667" max="7667" width="2.1796875" style="402" customWidth="1"/>
    <col min="7668" max="7674" width="10.54296875" style="402" customWidth="1"/>
    <col min="7675" max="7675" width="3.7265625" style="402" customWidth="1"/>
    <col min="7676" max="7676" width="12.81640625" style="402" customWidth="1"/>
    <col min="7677" max="7677" width="30.7265625" style="402" customWidth="1"/>
    <col min="7678" max="7899" width="8.7265625" style="402"/>
    <col min="7900" max="7900" width="22" style="402" customWidth="1"/>
    <col min="7901" max="7901" width="1.7265625" style="402" customWidth="1"/>
    <col min="7902" max="7921" width="10.81640625" style="402" customWidth="1"/>
    <col min="7922" max="7922" width="1.81640625" style="402" customWidth="1"/>
    <col min="7923" max="7923" width="2.1796875" style="402" customWidth="1"/>
    <col min="7924" max="7930" width="10.54296875" style="402" customWidth="1"/>
    <col min="7931" max="7931" width="3.7265625" style="402" customWidth="1"/>
    <col min="7932" max="7932" width="12.81640625" style="402" customWidth="1"/>
    <col min="7933" max="7933" width="30.7265625" style="402" customWidth="1"/>
    <col min="7934" max="8155" width="8.7265625" style="402"/>
    <col min="8156" max="8156" width="22" style="402" customWidth="1"/>
    <col min="8157" max="8157" width="1.7265625" style="402" customWidth="1"/>
    <col min="8158" max="8177" width="10.81640625" style="402" customWidth="1"/>
    <col min="8178" max="8178" width="1.81640625" style="402" customWidth="1"/>
    <col min="8179" max="8179" width="2.1796875" style="402" customWidth="1"/>
    <col min="8180" max="8186" width="10.54296875" style="402" customWidth="1"/>
    <col min="8187" max="8187" width="3.7265625" style="402" customWidth="1"/>
    <col min="8188" max="8188" width="12.81640625" style="402" customWidth="1"/>
    <col min="8189" max="8189" width="30.7265625" style="402" customWidth="1"/>
    <col min="8190" max="8411" width="8.7265625" style="402"/>
    <col min="8412" max="8412" width="22" style="402" customWidth="1"/>
    <col min="8413" max="8413" width="1.7265625" style="402" customWidth="1"/>
    <col min="8414" max="8433" width="10.81640625" style="402" customWidth="1"/>
    <col min="8434" max="8434" width="1.81640625" style="402" customWidth="1"/>
    <col min="8435" max="8435" width="2.1796875" style="402" customWidth="1"/>
    <col min="8436" max="8442" width="10.54296875" style="402" customWidth="1"/>
    <col min="8443" max="8443" width="3.7265625" style="402" customWidth="1"/>
    <col min="8444" max="8444" width="12.81640625" style="402" customWidth="1"/>
    <col min="8445" max="8445" width="30.7265625" style="402" customWidth="1"/>
    <col min="8446" max="8667" width="8.7265625" style="402"/>
    <col min="8668" max="8668" width="22" style="402" customWidth="1"/>
    <col min="8669" max="8669" width="1.7265625" style="402" customWidth="1"/>
    <col min="8670" max="8689" width="10.81640625" style="402" customWidth="1"/>
    <col min="8690" max="8690" width="1.81640625" style="402" customWidth="1"/>
    <col min="8691" max="8691" width="2.1796875" style="402" customWidth="1"/>
    <col min="8692" max="8698" width="10.54296875" style="402" customWidth="1"/>
    <col min="8699" max="8699" width="3.7265625" style="402" customWidth="1"/>
    <col min="8700" max="8700" width="12.81640625" style="402" customWidth="1"/>
    <col min="8701" max="8701" width="30.7265625" style="402" customWidth="1"/>
    <col min="8702" max="8923" width="8.7265625" style="402"/>
    <col min="8924" max="8924" width="22" style="402" customWidth="1"/>
    <col min="8925" max="8925" width="1.7265625" style="402" customWidth="1"/>
    <col min="8926" max="8945" width="10.81640625" style="402" customWidth="1"/>
    <col min="8946" max="8946" width="1.81640625" style="402" customWidth="1"/>
    <col min="8947" max="8947" width="2.1796875" style="402" customWidth="1"/>
    <col min="8948" max="8954" width="10.54296875" style="402" customWidth="1"/>
    <col min="8955" max="8955" width="3.7265625" style="402" customWidth="1"/>
    <col min="8956" max="8956" width="12.81640625" style="402" customWidth="1"/>
    <col min="8957" max="8957" width="30.7265625" style="402" customWidth="1"/>
    <col min="8958" max="9179" width="8.7265625" style="402"/>
    <col min="9180" max="9180" width="22" style="402" customWidth="1"/>
    <col min="9181" max="9181" width="1.7265625" style="402" customWidth="1"/>
    <col min="9182" max="9201" width="10.81640625" style="402" customWidth="1"/>
    <col min="9202" max="9202" width="1.81640625" style="402" customWidth="1"/>
    <col min="9203" max="9203" width="2.1796875" style="402" customWidth="1"/>
    <col min="9204" max="9210" width="10.54296875" style="402" customWidth="1"/>
    <col min="9211" max="9211" width="3.7265625" style="402" customWidth="1"/>
    <col min="9212" max="9212" width="12.81640625" style="402" customWidth="1"/>
    <col min="9213" max="9213" width="30.7265625" style="402" customWidth="1"/>
    <col min="9214" max="9435" width="8.7265625" style="402"/>
    <col min="9436" max="9436" width="22" style="402" customWidth="1"/>
    <col min="9437" max="9437" width="1.7265625" style="402" customWidth="1"/>
    <col min="9438" max="9457" width="10.81640625" style="402" customWidth="1"/>
    <col min="9458" max="9458" width="1.81640625" style="402" customWidth="1"/>
    <col min="9459" max="9459" width="2.1796875" style="402" customWidth="1"/>
    <col min="9460" max="9466" width="10.54296875" style="402" customWidth="1"/>
    <col min="9467" max="9467" width="3.7265625" style="402" customWidth="1"/>
    <col min="9468" max="9468" width="12.81640625" style="402" customWidth="1"/>
    <col min="9469" max="9469" width="30.7265625" style="402" customWidth="1"/>
    <col min="9470" max="9691" width="8.7265625" style="402"/>
    <col min="9692" max="9692" width="22" style="402" customWidth="1"/>
    <col min="9693" max="9693" width="1.7265625" style="402" customWidth="1"/>
    <col min="9694" max="9713" width="10.81640625" style="402" customWidth="1"/>
    <col min="9714" max="9714" width="1.81640625" style="402" customWidth="1"/>
    <col min="9715" max="9715" width="2.1796875" style="402" customWidth="1"/>
    <col min="9716" max="9722" width="10.54296875" style="402" customWidth="1"/>
    <col min="9723" max="9723" width="3.7265625" style="402" customWidth="1"/>
    <col min="9724" max="9724" width="12.81640625" style="402" customWidth="1"/>
    <col min="9725" max="9725" width="30.7265625" style="402" customWidth="1"/>
    <col min="9726" max="9947" width="8.7265625" style="402"/>
    <col min="9948" max="9948" width="22" style="402" customWidth="1"/>
    <col min="9949" max="9949" width="1.7265625" style="402" customWidth="1"/>
    <col min="9950" max="9969" width="10.81640625" style="402" customWidth="1"/>
    <col min="9970" max="9970" width="1.81640625" style="402" customWidth="1"/>
    <col min="9971" max="9971" width="2.1796875" style="402" customWidth="1"/>
    <col min="9972" max="9978" width="10.54296875" style="402" customWidth="1"/>
    <col min="9979" max="9979" width="3.7265625" style="402" customWidth="1"/>
    <col min="9980" max="9980" width="12.81640625" style="402" customWidth="1"/>
    <col min="9981" max="9981" width="30.7265625" style="402" customWidth="1"/>
    <col min="9982" max="10203" width="8.7265625" style="402"/>
    <col min="10204" max="10204" width="22" style="402" customWidth="1"/>
    <col min="10205" max="10205" width="1.7265625" style="402" customWidth="1"/>
    <col min="10206" max="10225" width="10.81640625" style="402" customWidth="1"/>
    <col min="10226" max="10226" width="1.81640625" style="402" customWidth="1"/>
    <col min="10227" max="10227" width="2.1796875" style="402" customWidth="1"/>
    <col min="10228" max="10234" width="10.54296875" style="402" customWidth="1"/>
    <col min="10235" max="10235" width="3.7265625" style="402" customWidth="1"/>
    <col min="10236" max="10236" width="12.81640625" style="402" customWidth="1"/>
    <col min="10237" max="10237" width="30.7265625" style="402" customWidth="1"/>
    <col min="10238" max="10459" width="8.7265625" style="402"/>
    <col min="10460" max="10460" width="22" style="402" customWidth="1"/>
    <col min="10461" max="10461" width="1.7265625" style="402" customWidth="1"/>
    <col min="10462" max="10481" width="10.81640625" style="402" customWidth="1"/>
    <col min="10482" max="10482" width="1.81640625" style="402" customWidth="1"/>
    <col min="10483" max="10483" width="2.1796875" style="402" customWidth="1"/>
    <col min="10484" max="10490" width="10.54296875" style="402" customWidth="1"/>
    <col min="10491" max="10491" width="3.7265625" style="402" customWidth="1"/>
    <col min="10492" max="10492" width="12.81640625" style="402" customWidth="1"/>
    <col min="10493" max="10493" width="30.7265625" style="402" customWidth="1"/>
    <col min="10494" max="10715" width="8.7265625" style="402"/>
    <col min="10716" max="10716" width="22" style="402" customWidth="1"/>
    <col min="10717" max="10717" width="1.7265625" style="402" customWidth="1"/>
    <col min="10718" max="10737" width="10.81640625" style="402" customWidth="1"/>
    <col min="10738" max="10738" width="1.81640625" style="402" customWidth="1"/>
    <col min="10739" max="10739" width="2.1796875" style="402" customWidth="1"/>
    <col min="10740" max="10746" width="10.54296875" style="402" customWidth="1"/>
    <col min="10747" max="10747" width="3.7265625" style="402" customWidth="1"/>
    <col min="10748" max="10748" width="12.81640625" style="402" customWidth="1"/>
    <col min="10749" max="10749" width="30.7265625" style="402" customWidth="1"/>
    <col min="10750" max="10971" width="8.7265625" style="402"/>
    <col min="10972" max="10972" width="22" style="402" customWidth="1"/>
    <col min="10973" max="10973" width="1.7265625" style="402" customWidth="1"/>
    <col min="10974" max="10993" width="10.81640625" style="402" customWidth="1"/>
    <col min="10994" max="10994" width="1.81640625" style="402" customWidth="1"/>
    <col min="10995" max="10995" width="2.1796875" style="402" customWidth="1"/>
    <col min="10996" max="11002" width="10.54296875" style="402" customWidth="1"/>
    <col min="11003" max="11003" width="3.7265625" style="402" customWidth="1"/>
    <col min="11004" max="11004" width="12.81640625" style="402" customWidth="1"/>
    <col min="11005" max="11005" width="30.7265625" style="402" customWidth="1"/>
    <col min="11006" max="11227" width="8.7265625" style="402"/>
    <col min="11228" max="11228" width="22" style="402" customWidth="1"/>
    <col min="11229" max="11229" width="1.7265625" style="402" customWidth="1"/>
    <col min="11230" max="11249" width="10.81640625" style="402" customWidth="1"/>
    <col min="11250" max="11250" width="1.81640625" style="402" customWidth="1"/>
    <col min="11251" max="11251" width="2.1796875" style="402" customWidth="1"/>
    <col min="11252" max="11258" width="10.54296875" style="402" customWidth="1"/>
    <col min="11259" max="11259" width="3.7265625" style="402" customWidth="1"/>
    <col min="11260" max="11260" width="12.81640625" style="402" customWidth="1"/>
    <col min="11261" max="11261" width="30.7265625" style="402" customWidth="1"/>
    <col min="11262" max="11483" width="8.7265625" style="402"/>
    <col min="11484" max="11484" width="22" style="402" customWidth="1"/>
    <col min="11485" max="11485" width="1.7265625" style="402" customWidth="1"/>
    <col min="11486" max="11505" width="10.81640625" style="402" customWidth="1"/>
    <col min="11506" max="11506" width="1.81640625" style="402" customWidth="1"/>
    <col min="11507" max="11507" width="2.1796875" style="402" customWidth="1"/>
    <col min="11508" max="11514" width="10.54296875" style="402" customWidth="1"/>
    <col min="11515" max="11515" width="3.7265625" style="402" customWidth="1"/>
    <col min="11516" max="11516" width="12.81640625" style="402" customWidth="1"/>
    <col min="11517" max="11517" width="30.7265625" style="402" customWidth="1"/>
    <col min="11518" max="11739" width="8.7265625" style="402"/>
    <col min="11740" max="11740" width="22" style="402" customWidth="1"/>
    <col min="11741" max="11741" width="1.7265625" style="402" customWidth="1"/>
    <col min="11742" max="11761" width="10.81640625" style="402" customWidth="1"/>
    <col min="11762" max="11762" width="1.81640625" style="402" customWidth="1"/>
    <col min="11763" max="11763" width="2.1796875" style="402" customWidth="1"/>
    <col min="11764" max="11770" width="10.54296875" style="402" customWidth="1"/>
    <col min="11771" max="11771" width="3.7265625" style="402" customWidth="1"/>
    <col min="11772" max="11772" width="12.81640625" style="402" customWidth="1"/>
    <col min="11773" max="11773" width="30.7265625" style="402" customWidth="1"/>
    <col min="11774" max="11995" width="8.7265625" style="402"/>
    <col min="11996" max="11996" width="22" style="402" customWidth="1"/>
    <col min="11997" max="11997" width="1.7265625" style="402" customWidth="1"/>
    <col min="11998" max="12017" width="10.81640625" style="402" customWidth="1"/>
    <col min="12018" max="12018" width="1.81640625" style="402" customWidth="1"/>
    <col min="12019" max="12019" width="2.1796875" style="402" customWidth="1"/>
    <col min="12020" max="12026" width="10.54296875" style="402" customWidth="1"/>
    <col min="12027" max="12027" width="3.7265625" style="402" customWidth="1"/>
    <col min="12028" max="12028" width="12.81640625" style="402" customWidth="1"/>
    <col min="12029" max="12029" width="30.7265625" style="402" customWidth="1"/>
    <col min="12030" max="12251" width="8.7265625" style="402"/>
    <col min="12252" max="12252" width="22" style="402" customWidth="1"/>
    <col min="12253" max="12253" width="1.7265625" style="402" customWidth="1"/>
    <col min="12254" max="12273" width="10.81640625" style="402" customWidth="1"/>
    <col min="12274" max="12274" width="1.81640625" style="402" customWidth="1"/>
    <col min="12275" max="12275" width="2.1796875" style="402" customWidth="1"/>
    <col min="12276" max="12282" width="10.54296875" style="402" customWidth="1"/>
    <col min="12283" max="12283" width="3.7265625" style="402" customWidth="1"/>
    <col min="12284" max="12284" width="12.81640625" style="402" customWidth="1"/>
    <col min="12285" max="12285" width="30.7265625" style="402" customWidth="1"/>
    <col min="12286" max="12507" width="8.7265625" style="402"/>
    <col min="12508" max="12508" width="22" style="402" customWidth="1"/>
    <col min="12509" max="12509" width="1.7265625" style="402" customWidth="1"/>
    <col min="12510" max="12529" width="10.81640625" style="402" customWidth="1"/>
    <col min="12530" max="12530" width="1.81640625" style="402" customWidth="1"/>
    <col min="12531" max="12531" width="2.1796875" style="402" customWidth="1"/>
    <col min="12532" max="12538" width="10.54296875" style="402" customWidth="1"/>
    <col min="12539" max="12539" width="3.7265625" style="402" customWidth="1"/>
    <col min="12540" max="12540" width="12.81640625" style="402" customWidth="1"/>
    <col min="12541" max="12541" width="30.7265625" style="402" customWidth="1"/>
    <col min="12542" max="12763" width="8.7265625" style="402"/>
    <col min="12764" max="12764" width="22" style="402" customWidth="1"/>
    <col min="12765" max="12765" width="1.7265625" style="402" customWidth="1"/>
    <col min="12766" max="12785" width="10.81640625" style="402" customWidth="1"/>
    <col min="12786" max="12786" width="1.81640625" style="402" customWidth="1"/>
    <col min="12787" max="12787" width="2.1796875" style="402" customWidth="1"/>
    <col min="12788" max="12794" width="10.54296875" style="402" customWidth="1"/>
    <col min="12795" max="12795" width="3.7265625" style="402" customWidth="1"/>
    <col min="12796" max="12796" width="12.81640625" style="402" customWidth="1"/>
    <col min="12797" max="12797" width="30.7265625" style="402" customWidth="1"/>
    <col min="12798" max="13019" width="8.7265625" style="402"/>
    <col min="13020" max="13020" width="22" style="402" customWidth="1"/>
    <col min="13021" max="13021" width="1.7265625" style="402" customWidth="1"/>
    <col min="13022" max="13041" width="10.81640625" style="402" customWidth="1"/>
    <col min="13042" max="13042" width="1.81640625" style="402" customWidth="1"/>
    <col min="13043" max="13043" width="2.1796875" style="402" customWidth="1"/>
    <col min="13044" max="13050" width="10.54296875" style="402" customWidth="1"/>
    <col min="13051" max="13051" width="3.7265625" style="402" customWidth="1"/>
    <col min="13052" max="13052" width="12.81640625" style="402" customWidth="1"/>
    <col min="13053" max="13053" width="30.7265625" style="402" customWidth="1"/>
    <col min="13054" max="13275" width="8.7265625" style="402"/>
    <col min="13276" max="13276" width="22" style="402" customWidth="1"/>
    <col min="13277" max="13277" width="1.7265625" style="402" customWidth="1"/>
    <col min="13278" max="13297" width="10.81640625" style="402" customWidth="1"/>
    <col min="13298" max="13298" width="1.81640625" style="402" customWidth="1"/>
    <col min="13299" max="13299" width="2.1796875" style="402" customWidth="1"/>
    <col min="13300" max="13306" width="10.54296875" style="402" customWidth="1"/>
    <col min="13307" max="13307" width="3.7265625" style="402" customWidth="1"/>
    <col min="13308" max="13308" width="12.81640625" style="402" customWidth="1"/>
    <col min="13309" max="13309" width="30.7265625" style="402" customWidth="1"/>
    <col min="13310" max="13531" width="8.7265625" style="402"/>
    <col min="13532" max="13532" width="22" style="402" customWidth="1"/>
    <col min="13533" max="13533" width="1.7265625" style="402" customWidth="1"/>
    <col min="13534" max="13553" width="10.81640625" style="402" customWidth="1"/>
    <col min="13554" max="13554" width="1.81640625" style="402" customWidth="1"/>
    <col min="13555" max="13555" width="2.1796875" style="402" customWidth="1"/>
    <col min="13556" max="13562" width="10.54296875" style="402" customWidth="1"/>
    <col min="13563" max="13563" width="3.7265625" style="402" customWidth="1"/>
    <col min="13564" max="13564" width="12.81640625" style="402" customWidth="1"/>
    <col min="13565" max="13565" width="30.7265625" style="402" customWidth="1"/>
    <col min="13566" max="13787" width="8.7265625" style="402"/>
    <col min="13788" max="13788" width="22" style="402" customWidth="1"/>
    <col min="13789" max="13789" width="1.7265625" style="402" customWidth="1"/>
    <col min="13790" max="13809" width="10.81640625" style="402" customWidth="1"/>
    <col min="13810" max="13810" width="1.81640625" style="402" customWidth="1"/>
    <col min="13811" max="13811" width="2.1796875" style="402" customWidth="1"/>
    <col min="13812" max="13818" width="10.54296875" style="402" customWidth="1"/>
    <col min="13819" max="13819" width="3.7265625" style="402" customWidth="1"/>
    <col min="13820" max="13820" width="12.81640625" style="402" customWidth="1"/>
    <col min="13821" max="13821" width="30.7265625" style="402" customWidth="1"/>
    <col min="13822" max="14043" width="8.7265625" style="402"/>
    <col min="14044" max="14044" width="22" style="402" customWidth="1"/>
    <col min="14045" max="14045" width="1.7265625" style="402" customWidth="1"/>
    <col min="14046" max="14065" width="10.81640625" style="402" customWidth="1"/>
    <col min="14066" max="14066" width="1.81640625" style="402" customWidth="1"/>
    <col min="14067" max="14067" width="2.1796875" style="402" customWidth="1"/>
    <col min="14068" max="14074" width="10.54296875" style="402" customWidth="1"/>
    <col min="14075" max="14075" width="3.7265625" style="402" customWidth="1"/>
    <col min="14076" max="14076" width="12.81640625" style="402" customWidth="1"/>
    <col min="14077" max="14077" width="30.7265625" style="402" customWidth="1"/>
    <col min="14078" max="14299" width="8.7265625" style="402"/>
    <col min="14300" max="14300" width="22" style="402" customWidth="1"/>
    <col min="14301" max="14301" width="1.7265625" style="402" customWidth="1"/>
    <col min="14302" max="14321" width="10.81640625" style="402" customWidth="1"/>
    <col min="14322" max="14322" width="1.81640625" style="402" customWidth="1"/>
    <col min="14323" max="14323" width="2.1796875" style="402" customWidth="1"/>
    <col min="14324" max="14330" width="10.54296875" style="402" customWidth="1"/>
    <col min="14331" max="14331" width="3.7265625" style="402" customWidth="1"/>
    <col min="14332" max="14332" width="12.81640625" style="402" customWidth="1"/>
    <col min="14333" max="14333" width="30.7265625" style="402" customWidth="1"/>
    <col min="14334" max="14555" width="8.7265625" style="402"/>
    <col min="14556" max="14556" width="22" style="402" customWidth="1"/>
    <col min="14557" max="14557" width="1.7265625" style="402" customWidth="1"/>
    <col min="14558" max="14577" width="10.81640625" style="402" customWidth="1"/>
    <col min="14578" max="14578" width="1.81640625" style="402" customWidth="1"/>
    <col min="14579" max="14579" width="2.1796875" style="402" customWidth="1"/>
    <col min="14580" max="14586" width="10.54296875" style="402" customWidth="1"/>
    <col min="14587" max="14587" width="3.7265625" style="402" customWidth="1"/>
    <col min="14588" max="14588" width="12.81640625" style="402" customWidth="1"/>
    <col min="14589" max="14589" width="30.7265625" style="402" customWidth="1"/>
    <col min="14590" max="14811" width="8.7265625" style="402"/>
    <col min="14812" max="14812" width="22" style="402" customWidth="1"/>
    <col min="14813" max="14813" width="1.7265625" style="402" customWidth="1"/>
    <col min="14814" max="14833" width="10.81640625" style="402" customWidth="1"/>
    <col min="14834" max="14834" width="1.81640625" style="402" customWidth="1"/>
    <col min="14835" max="14835" width="2.1796875" style="402" customWidth="1"/>
    <col min="14836" max="14842" width="10.54296875" style="402" customWidth="1"/>
    <col min="14843" max="14843" width="3.7265625" style="402" customWidth="1"/>
    <col min="14844" max="14844" width="12.81640625" style="402" customWidth="1"/>
    <col min="14845" max="14845" width="30.7265625" style="402" customWidth="1"/>
    <col min="14846" max="15067" width="8.7265625" style="402"/>
    <col min="15068" max="15068" width="22" style="402" customWidth="1"/>
    <col min="15069" max="15069" width="1.7265625" style="402" customWidth="1"/>
    <col min="15070" max="15089" width="10.81640625" style="402" customWidth="1"/>
    <col min="15090" max="15090" width="1.81640625" style="402" customWidth="1"/>
    <col min="15091" max="15091" width="2.1796875" style="402" customWidth="1"/>
    <col min="15092" max="15098" width="10.54296875" style="402" customWidth="1"/>
    <col min="15099" max="15099" width="3.7265625" style="402" customWidth="1"/>
    <col min="15100" max="15100" width="12.81640625" style="402" customWidth="1"/>
    <col min="15101" max="15101" width="30.7265625" style="402" customWidth="1"/>
    <col min="15102" max="15323" width="8.7265625" style="402"/>
    <col min="15324" max="15324" width="22" style="402" customWidth="1"/>
    <col min="15325" max="15325" width="1.7265625" style="402" customWidth="1"/>
    <col min="15326" max="15345" width="10.81640625" style="402" customWidth="1"/>
    <col min="15346" max="15346" width="1.81640625" style="402" customWidth="1"/>
    <col min="15347" max="15347" width="2.1796875" style="402" customWidth="1"/>
    <col min="15348" max="15354" width="10.54296875" style="402" customWidth="1"/>
    <col min="15355" max="15355" width="3.7265625" style="402" customWidth="1"/>
    <col min="15356" max="15356" width="12.81640625" style="402" customWidth="1"/>
    <col min="15357" max="15357" width="30.7265625" style="402" customWidth="1"/>
    <col min="15358" max="15579" width="8.7265625" style="402"/>
    <col min="15580" max="15580" width="22" style="402" customWidth="1"/>
    <col min="15581" max="15581" width="1.7265625" style="402" customWidth="1"/>
    <col min="15582" max="15601" width="10.81640625" style="402" customWidth="1"/>
    <col min="15602" max="15602" width="1.81640625" style="402" customWidth="1"/>
    <col min="15603" max="15603" width="2.1796875" style="402" customWidth="1"/>
    <col min="15604" max="15610" width="10.54296875" style="402" customWidth="1"/>
    <col min="15611" max="15611" width="3.7265625" style="402" customWidth="1"/>
    <col min="15612" max="15612" width="12.81640625" style="402" customWidth="1"/>
    <col min="15613" max="15613" width="30.7265625" style="402" customWidth="1"/>
    <col min="15614" max="15835" width="8.7265625" style="402"/>
    <col min="15836" max="15836" width="22" style="402" customWidth="1"/>
    <col min="15837" max="15837" width="1.7265625" style="402" customWidth="1"/>
    <col min="15838" max="15857" width="10.81640625" style="402" customWidth="1"/>
    <col min="15858" max="15858" width="1.81640625" style="402" customWidth="1"/>
    <col min="15859" max="15859" width="2.1796875" style="402" customWidth="1"/>
    <col min="15860" max="15866" width="10.54296875" style="402" customWidth="1"/>
    <col min="15867" max="15867" width="3.7265625" style="402" customWidth="1"/>
    <col min="15868" max="15868" width="12.81640625" style="402" customWidth="1"/>
    <col min="15869" max="15869" width="30.7265625" style="402" customWidth="1"/>
    <col min="15870" max="16091" width="8.7265625" style="402"/>
    <col min="16092" max="16092" width="22" style="402" customWidth="1"/>
    <col min="16093" max="16093" width="1.7265625" style="402" customWidth="1"/>
    <col min="16094" max="16113" width="10.81640625" style="402" customWidth="1"/>
    <col min="16114" max="16114" width="1.81640625" style="402" customWidth="1"/>
    <col min="16115" max="16115" width="2.1796875" style="402" customWidth="1"/>
    <col min="16116" max="16122" width="10.54296875" style="402" customWidth="1"/>
    <col min="16123" max="16123" width="3.7265625" style="402" customWidth="1"/>
    <col min="16124" max="16124" width="12.81640625" style="402" customWidth="1"/>
    <col min="16125" max="16125" width="30.7265625" style="402" customWidth="1"/>
    <col min="16126" max="16384" width="8.7265625" style="402"/>
  </cols>
  <sheetData>
    <row r="1" spans="1:25">
      <c r="A1" s="401" t="s">
        <v>0</v>
      </c>
      <c r="S1" s="403"/>
      <c r="T1" s="403"/>
      <c r="U1" s="403"/>
      <c r="V1" s="403"/>
      <c r="W1" s="403"/>
      <c r="X1" s="403">
        <f>+'Detailed Disclosures - USD'!AP1</f>
        <v>45565</v>
      </c>
      <c r="Y1" s="403"/>
    </row>
    <row r="2" spans="1:25">
      <c r="A2" s="404" t="s">
        <v>104</v>
      </c>
      <c r="O2" s="405"/>
      <c r="P2" s="405"/>
      <c r="Q2" s="405"/>
      <c r="R2" s="405"/>
      <c r="S2" s="405"/>
      <c r="T2" s="405"/>
      <c r="U2" s="405"/>
      <c r="V2" s="405"/>
      <c r="W2" s="405"/>
      <c r="X2" s="405"/>
      <c r="Y2" s="405"/>
    </row>
    <row r="3" spans="1:25">
      <c r="A3" s="406" t="s">
        <v>400</v>
      </c>
      <c r="B3" s="407"/>
      <c r="C3" s="407"/>
      <c r="D3" s="407"/>
      <c r="E3" s="407"/>
      <c r="F3" s="407"/>
      <c r="G3" s="407"/>
      <c r="H3" s="407"/>
      <c r="I3" s="407"/>
      <c r="J3" s="407"/>
      <c r="K3" s="407"/>
      <c r="L3" s="407"/>
      <c r="M3" s="407"/>
      <c r="N3" s="407"/>
      <c r="O3" s="407"/>
      <c r="P3" s="407"/>
      <c r="Q3" s="407"/>
      <c r="R3" s="407"/>
      <c r="S3" s="407"/>
      <c r="T3" s="407"/>
      <c r="U3" s="407"/>
      <c r="V3" s="407"/>
      <c r="W3" s="407"/>
      <c r="X3" s="407"/>
    </row>
    <row r="4" spans="1:25" ht="21.5">
      <c r="B4" s="408"/>
      <c r="C4" s="409" t="s">
        <v>105</v>
      </c>
      <c r="D4" s="409"/>
      <c r="E4" s="409" t="s">
        <v>105</v>
      </c>
      <c r="F4" s="409"/>
      <c r="G4" s="409"/>
      <c r="H4" s="409"/>
      <c r="I4" s="409"/>
      <c r="J4" s="409"/>
      <c r="K4" s="409"/>
      <c r="L4" s="409"/>
      <c r="M4" s="409"/>
      <c r="N4" s="409"/>
      <c r="O4" s="408"/>
      <c r="P4" s="408"/>
      <c r="Q4" s="409" t="str">
        <f>+C4</f>
        <v>FYE June 30th</v>
      </c>
      <c r="R4" s="409"/>
      <c r="S4" s="409"/>
      <c r="T4" s="409"/>
      <c r="U4" s="409"/>
      <c r="V4" s="409"/>
      <c r="W4" s="409"/>
      <c r="X4" s="409"/>
      <c r="Y4" s="408"/>
    </row>
    <row r="5" spans="1:25" ht="21.5">
      <c r="A5" s="410"/>
      <c r="B5" s="408"/>
      <c r="C5" s="411" t="s">
        <v>106</v>
      </c>
      <c r="D5" s="411" t="s">
        <v>107</v>
      </c>
      <c r="E5" s="411" t="s">
        <v>108</v>
      </c>
      <c r="F5" s="411" t="s">
        <v>109</v>
      </c>
      <c r="G5" s="411" t="s">
        <v>110</v>
      </c>
      <c r="H5" s="411" t="s">
        <v>111</v>
      </c>
      <c r="I5" s="411" t="s">
        <v>112</v>
      </c>
      <c r="J5" s="411" t="s">
        <v>113</v>
      </c>
      <c r="K5" s="411" t="s">
        <v>114</v>
      </c>
      <c r="L5" s="411" t="s">
        <v>4191</v>
      </c>
      <c r="M5" s="411" t="s">
        <v>116</v>
      </c>
      <c r="N5" s="411" t="s">
        <v>117</v>
      </c>
      <c r="O5" s="408"/>
      <c r="P5" s="408"/>
      <c r="Q5" s="411" t="s">
        <v>118</v>
      </c>
      <c r="R5" s="411" t="s">
        <v>119</v>
      </c>
      <c r="S5" s="411" t="s">
        <v>120</v>
      </c>
      <c r="T5" s="411" t="s">
        <v>121</v>
      </c>
      <c r="U5" s="411" t="s">
        <v>122</v>
      </c>
      <c r="V5" s="411" t="s">
        <v>123</v>
      </c>
      <c r="W5" s="411" t="s">
        <v>4190</v>
      </c>
      <c r="X5" s="411" t="s">
        <v>4189</v>
      </c>
      <c r="Y5" s="408"/>
    </row>
    <row r="6" spans="1:25">
      <c r="A6" s="412" t="s">
        <v>124</v>
      </c>
      <c r="B6" s="408"/>
      <c r="C6" s="408"/>
      <c r="D6" s="408"/>
      <c r="E6" s="408"/>
      <c r="F6" s="408"/>
      <c r="G6" s="408"/>
      <c r="H6" s="408"/>
      <c r="I6" s="408"/>
      <c r="J6" s="408"/>
      <c r="K6" s="408"/>
      <c r="L6" s="408"/>
      <c r="M6" s="408"/>
      <c r="N6" s="408"/>
      <c r="O6" s="408"/>
      <c r="P6" s="408"/>
      <c r="Q6" s="408"/>
      <c r="R6" s="408"/>
      <c r="S6" s="408"/>
      <c r="T6" s="408"/>
      <c r="U6" s="408"/>
      <c r="V6" s="408"/>
      <c r="W6" s="408"/>
      <c r="X6" s="408"/>
      <c r="Y6" s="408"/>
    </row>
    <row r="7" spans="1:25" ht="12" customHeight="1">
      <c r="A7" s="404"/>
      <c r="B7" s="408"/>
      <c r="C7" s="408"/>
      <c r="D7" s="408"/>
      <c r="E7" s="408"/>
      <c r="F7" s="408"/>
      <c r="G7" s="408"/>
      <c r="H7" s="408"/>
      <c r="I7" s="408"/>
      <c r="J7" s="408"/>
      <c r="K7" s="408"/>
      <c r="L7" s="408"/>
      <c r="M7" s="408"/>
      <c r="N7" s="408"/>
      <c r="O7" s="408"/>
      <c r="P7" s="408"/>
      <c r="Q7" s="408"/>
      <c r="R7" s="408"/>
      <c r="S7" s="408"/>
      <c r="T7" s="408"/>
      <c r="U7" s="408"/>
      <c r="V7" s="408"/>
      <c r="W7" s="408"/>
      <c r="X7" s="408"/>
      <c r="Y7" s="408"/>
    </row>
    <row r="8" spans="1:25">
      <c r="A8" s="413" t="s">
        <v>125</v>
      </c>
      <c r="B8" s="413"/>
      <c r="C8" s="413"/>
      <c r="D8" s="413"/>
      <c r="E8" s="413"/>
      <c r="F8" s="413"/>
      <c r="G8" s="425"/>
      <c r="H8" s="413"/>
      <c r="I8" s="413"/>
      <c r="J8" s="413"/>
      <c r="K8" s="413"/>
      <c r="L8" s="413"/>
      <c r="M8" s="413"/>
      <c r="N8" s="413"/>
      <c r="O8" s="413"/>
      <c r="P8" s="413"/>
      <c r="Q8" s="413"/>
      <c r="R8" s="413"/>
      <c r="S8" s="413"/>
      <c r="T8" s="413"/>
      <c r="U8" s="413"/>
      <c r="V8" s="413"/>
      <c r="W8" s="413"/>
      <c r="X8" s="413"/>
      <c r="Y8" s="413"/>
    </row>
    <row r="9" spans="1:25">
      <c r="A9" s="401" t="str">
        <f>+'Detailed Disclosure'!A101</f>
        <v>Unique Website Visits ('000s)</v>
      </c>
      <c r="B9" s="413"/>
      <c r="C9" s="414">
        <f>+'Detailed Disclosure'!X101</f>
        <v>1461.5</v>
      </c>
      <c r="D9" s="414">
        <f>+'Detailed Disclosure'!Y101</f>
        <v>2342.5</v>
      </c>
      <c r="E9" s="414">
        <f>+'Detailed Disclosure'!Z101</f>
        <v>5846</v>
      </c>
      <c r="F9" s="414">
        <f>+T9-E9</f>
        <v>8090</v>
      </c>
      <c r="G9" s="414">
        <f>+'Detailed Disclosure'!AB101</f>
        <v>23600</v>
      </c>
      <c r="H9" s="414">
        <f>+U9-G9</f>
        <v>21100</v>
      </c>
      <c r="I9" s="415"/>
      <c r="J9" s="415"/>
      <c r="K9" s="414"/>
      <c r="L9" s="414"/>
      <c r="M9" s="414"/>
      <c r="N9" s="414"/>
      <c r="O9" s="414"/>
      <c r="P9" s="414"/>
      <c r="Q9" s="414">
        <f>+'Detailed Disclosure'!AJ101</f>
        <v>193.6386768447837</v>
      </c>
      <c r="R9" s="414">
        <f>+'Detailed Disclosure'!AK101</f>
        <v>1522</v>
      </c>
      <c r="S9" s="414">
        <f>+'Detailed Disclosure'!AL101</f>
        <v>3804</v>
      </c>
      <c r="T9" s="414">
        <f>+'Detailed Disclosure'!AM101</f>
        <v>13936</v>
      </c>
      <c r="U9" s="414">
        <f>+'Detailed Disclosure'!AN101</f>
        <v>44700</v>
      </c>
      <c r="V9" s="414"/>
      <c r="W9" s="414"/>
      <c r="X9" s="414"/>
      <c r="Y9" s="413"/>
    </row>
    <row r="10" spans="1:25" ht="21.5">
      <c r="A10" s="401" t="str">
        <f>+'Detailed Disclosure'!A105</f>
        <v>Conversion Rate %</v>
      </c>
      <c r="B10" s="416"/>
      <c r="C10" s="417">
        <f>+'Detailed Disclosure'!X105</f>
        <v>8.3000000000000001E-3</v>
      </c>
      <c r="D10" s="417">
        <f>+'Detailed Disclosure'!Y105</f>
        <v>1.0928178865658807E-2</v>
      </c>
      <c r="E10" s="417">
        <f>+'Detailed Disclosure'!Z105</f>
        <v>1.15E-2</v>
      </c>
      <c r="F10" s="417">
        <f>+'Detailed Disclosure'!AA105</f>
        <v>1.278096415327565E-2</v>
      </c>
      <c r="G10" s="417">
        <f>+'Detailed Disclosure'!AB105</f>
        <v>9.1026271186440671E-3</v>
      </c>
      <c r="H10" s="417">
        <f>+H11/H9/1000</f>
        <v>8.9382938388625592E-3</v>
      </c>
      <c r="I10" s="417"/>
      <c r="J10" s="417"/>
      <c r="K10" s="417"/>
      <c r="L10" s="417"/>
      <c r="M10" s="417"/>
      <c r="N10" s="417"/>
      <c r="O10" s="417"/>
      <c r="P10" s="417"/>
      <c r="Q10" s="417">
        <f>+'Detailed Disclosure'!AJ105</f>
        <v>5.0000000000000001E-3</v>
      </c>
      <c r="R10" s="417">
        <f>+'Detailed Disclosure'!AK105</f>
        <v>6.7999999999999996E-3</v>
      </c>
      <c r="S10" s="417">
        <f>+'Detailed Disclosure'!AL105</f>
        <v>9.9000000000000008E-3</v>
      </c>
      <c r="T10" s="417">
        <f>+'Detailed Disclosure'!AM105</f>
        <v>1.2200000000000001E-2</v>
      </c>
      <c r="U10" s="417">
        <f>+'Detailed Disclosure'!AN105</f>
        <v>9.0250559284116329E-3</v>
      </c>
      <c r="V10" s="417"/>
      <c r="W10" s="417"/>
      <c r="X10" s="417"/>
      <c r="Y10" s="413"/>
    </row>
    <row r="11" spans="1:25">
      <c r="A11" s="418" t="str">
        <f>+'Detailed Disclosure'!A106</f>
        <v>Number of Orders (#)</v>
      </c>
      <c r="B11" s="413"/>
      <c r="C11" s="414">
        <f>+'Detailed Disclosure'!X106</f>
        <v>12048.741007194245</v>
      </c>
      <c r="D11" s="414">
        <f>+'Detailed Disclosure'!Y106</f>
        <v>25599.258992805757</v>
      </c>
      <c r="E11" s="414">
        <f>+'Detailed Disclosure'!Z106</f>
        <v>66991</v>
      </c>
      <c r="F11" s="414">
        <f>+'Detailed Disclosure'!AA106</f>
        <v>103398</v>
      </c>
      <c r="G11" s="414">
        <f>+'Detailed Disclosure'!AB106</f>
        <v>214822</v>
      </c>
      <c r="H11" s="414">
        <f>+U11-G11</f>
        <v>188598</v>
      </c>
      <c r="I11" s="414">
        <f>+'Detailed Disclosure'!AD106</f>
        <v>319696.96969696967</v>
      </c>
      <c r="J11" s="414">
        <f>+'Detailed Disclosure'!AE106</f>
        <v>389689.03030303033</v>
      </c>
      <c r="K11" s="414">
        <f>+'Detailed Disclosure'!AF106</f>
        <v>572043.92969696969</v>
      </c>
      <c r="L11" s="414">
        <f>+'Detailed Disclosure'!AG106</f>
        <v>624128.07030303031</v>
      </c>
      <c r="M11" s="414"/>
      <c r="N11" s="414"/>
      <c r="O11" s="414"/>
      <c r="P11" s="414"/>
      <c r="Q11" s="414">
        <f>+'Detailed Disclosure'!AJ106</f>
        <v>965</v>
      </c>
      <c r="R11" s="414">
        <f>+'Detailed Disclosure'!AK106</f>
        <v>10388</v>
      </c>
      <c r="S11" s="414">
        <f>+'Detailed Disclosure'!AL106</f>
        <v>37648</v>
      </c>
      <c r="T11" s="414">
        <f>+'Detailed Disclosure'!AM106</f>
        <v>170389</v>
      </c>
      <c r="U11" s="414">
        <f>+'Detailed Disclosure'!AN106</f>
        <v>403420</v>
      </c>
      <c r="V11" s="414">
        <f>+'Detailed Disclosure'!AO106</f>
        <v>709386</v>
      </c>
      <c r="W11" s="414">
        <f>+W13/W12*1000000</f>
        <v>1225939.8496240601</v>
      </c>
      <c r="X11" s="414"/>
      <c r="Y11" s="413"/>
    </row>
    <row r="12" spans="1:25" s="419" customFormat="1" ht="21.5">
      <c r="A12" s="401" t="s">
        <v>126</v>
      </c>
      <c r="C12" s="420">
        <f>+'Detailed Disclosure'!X110</f>
        <v>759.99641742920687</v>
      </c>
      <c r="D12" s="420">
        <f>+'Detailed Disclosure'!Y110</f>
        <v>764.55338045137876</v>
      </c>
      <c r="E12" s="420">
        <f>+'Detailed Disclosure'!Z110</f>
        <v>776</v>
      </c>
      <c r="F12" s="420">
        <f>+'Detailed Disclosure'!AA110</f>
        <v>693.6497804599702</v>
      </c>
      <c r="G12" s="420">
        <f>+'Detailed Disclosure'!AB110</f>
        <v>712</v>
      </c>
      <c r="H12" s="420">
        <f>+U12*2-G12</f>
        <v>692</v>
      </c>
      <c r="I12" s="420">
        <f>+'Detailed Disclosure'!AD110</f>
        <v>759</v>
      </c>
      <c r="J12" s="420">
        <f>+'Detailed Disclosure'!AE110</f>
        <v>760.99139811402063</v>
      </c>
      <c r="K12" s="420">
        <f>+'Detailed Disclosure'!AF110</f>
        <v>791</v>
      </c>
      <c r="L12" s="420">
        <f>+'Detailed Disclosure'!AG110</f>
        <v>829.63741680228338</v>
      </c>
      <c r="M12" s="420"/>
      <c r="N12" s="420"/>
      <c r="O12" s="420"/>
      <c r="P12" s="420"/>
      <c r="Q12" s="420">
        <f>+'Detailed Disclosure'!AJ110</f>
        <v>741</v>
      </c>
      <c r="R12" s="420">
        <f>+'Detailed Disclosure'!AK110</f>
        <v>700</v>
      </c>
      <c r="S12" s="420">
        <f>+'Detailed Disclosure'!AL110</f>
        <v>757</v>
      </c>
      <c r="T12" s="420">
        <f>+'Detailed Disclosure'!AM110</f>
        <v>723</v>
      </c>
      <c r="U12" s="420">
        <f>+'Detailed Disclosure'!AN110</f>
        <v>702</v>
      </c>
      <c r="V12" s="420">
        <f>+'Detailed Disclosure'!AO110</f>
        <v>747</v>
      </c>
      <c r="W12" s="420">
        <f>+'Detailed Disclosure'!AP110</f>
        <v>798</v>
      </c>
      <c r="X12" s="420"/>
      <c r="Y12" s="421"/>
    </row>
    <row r="13" spans="1:25" s="422" customFormat="1">
      <c r="A13" s="418" t="s">
        <v>125</v>
      </c>
      <c r="C13" s="423">
        <f t="shared" ref="C13:D13" si="0">+C27</f>
        <v>9.157</v>
      </c>
      <c r="D13" s="423">
        <f t="shared" si="0"/>
        <v>19.571999999999999</v>
      </c>
      <c r="E13" s="423">
        <f>+E27</f>
        <v>52.732999999999997</v>
      </c>
      <c r="F13" s="423">
        <f>+F27</f>
        <v>71.721999999999994</v>
      </c>
      <c r="G13" s="423">
        <f t="shared" ref="G13:I13" si="1">+G27</f>
        <v>154.1</v>
      </c>
      <c r="H13" s="423">
        <f>+U13-G13</f>
        <v>133.70000000000002</v>
      </c>
      <c r="I13" s="423">
        <f t="shared" si="1"/>
        <v>242.65</v>
      </c>
      <c r="J13" s="423">
        <f t="shared" ref="J13:K13" si="2">+J27</f>
        <v>296.55</v>
      </c>
      <c r="K13" s="423">
        <f t="shared" si="2"/>
        <v>460.5</v>
      </c>
      <c r="L13" s="423">
        <f t="shared" ref="L13:N13" si="3">+L27</f>
        <v>517.79999999999995</v>
      </c>
      <c r="M13" s="423" t="e">
        <f t="shared" si="3"/>
        <v>#VALUE!</v>
      </c>
      <c r="N13" s="423">
        <f t="shared" si="3"/>
        <v>574.08468958113167</v>
      </c>
      <c r="O13" s="423"/>
      <c r="P13" s="423"/>
      <c r="Q13" s="423">
        <f t="shared" ref="Q13:R13" si="4">+Q27</f>
        <v>0.57999999999999996</v>
      </c>
      <c r="R13" s="423">
        <f t="shared" si="4"/>
        <v>7.2720000000000002</v>
      </c>
      <c r="S13" s="423">
        <f>+S27</f>
        <v>28.728999999999999</v>
      </c>
      <c r="T13" s="423">
        <f t="shared" ref="T13:U13" si="5">+T27</f>
        <v>124.455</v>
      </c>
      <c r="U13" s="423">
        <f t="shared" si="5"/>
        <v>287.8</v>
      </c>
      <c r="V13" s="423">
        <f t="shared" ref="V13" si="6">+V27</f>
        <v>539.20000000000005</v>
      </c>
      <c r="W13" s="423">
        <f>+SUM(K13:L13)</f>
        <v>978.3</v>
      </c>
      <c r="X13" s="423" t="e">
        <f>+SUM(M13:N13)</f>
        <v>#VALUE!</v>
      </c>
      <c r="Y13" s="424"/>
    </row>
    <row r="14" spans="1:25">
      <c r="B14" s="413"/>
      <c r="C14" s="413"/>
      <c r="D14" s="413"/>
      <c r="E14" s="402"/>
      <c r="F14" s="402"/>
      <c r="G14" s="402"/>
      <c r="H14" s="402"/>
      <c r="I14" s="402"/>
      <c r="J14" s="402"/>
      <c r="K14" s="402"/>
      <c r="L14" s="402"/>
      <c r="M14" s="402"/>
      <c r="N14" s="402"/>
      <c r="O14" s="402"/>
      <c r="P14" s="402"/>
      <c r="Q14" s="402"/>
      <c r="R14" s="402"/>
      <c r="S14" s="402"/>
      <c r="T14" s="402"/>
      <c r="U14" s="402"/>
      <c r="V14" s="402"/>
      <c r="W14" s="402"/>
      <c r="X14" s="402"/>
      <c r="Y14" s="413"/>
    </row>
    <row r="15" spans="1:25" s="428" customFormat="1">
      <c r="A15" s="426" t="s">
        <v>25</v>
      </c>
      <c r="B15" s="427"/>
      <c r="C15" s="427"/>
      <c r="D15" s="427"/>
      <c r="Y15" s="427"/>
    </row>
    <row r="16" spans="1:25" s="428" customFormat="1">
      <c r="A16" s="429" t="str">
        <f>+A9</f>
        <v>Unique Website Visits ('000s)</v>
      </c>
      <c r="B16" s="427"/>
      <c r="C16" s="427"/>
      <c r="D16" s="427"/>
      <c r="E16" s="430">
        <f>+E9/C9-1</f>
        <v>3</v>
      </c>
      <c r="F16" s="430">
        <f t="shared" ref="F16" si="7">+F9/D9-1</f>
        <v>2.4535752401280684</v>
      </c>
      <c r="G16" s="430">
        <f t="shared" ref="G16" si="8">+G9/E9-1</f>
        <v>3.0369483407458091</v>
      </c>
      <c r="H16" s="430">
        <f t="shared" ref="H16" si="9">+H9/F9-1</f>
        <v>1.608158220024722</v>
      </c>
      <c r="I16" s="430" t="s">
        <v>251</v>
      </c>
      <c r="J16" s="430" t="s">
        <v>251</v>
      </c>
      <c r="K16" s="430" t="s">
        <v>251</v>
      </c>
      <c r="L16" s="430" t="s">
        <v>251</v>
      </c>
      <c r="M16" s="430"/>
      <c r="N16" s="430"/>
      <c r="O16" s="430"/>
      <c r="P16" s="430"/>
      <c r="Q16" s="430"/>
      <c r="R16" s="430">
        <f>+R9/Q9-1</f>
        <v>6.86</v>
      </c>
      <c r="S16" s="430">
        <f>+S9/R9-1</f>
        <v>1.4993429697766096</v>
      </c>
      <c r="T16" s="430">
        <f t="shared" ref="T16" si="10">+T9/S9-1</f>
        <v>2.6635120925341744</v>
      </c>
      <c r="U16" s="430">
        <f t="shared" ref="U16" si="11">+U9/T9-1</f>
        <v>2.2075200918484499</v>
      </c>
      <c r="V16" s="430"/>
      <c r="W16" s="430"/>
      <c r="X16" s="430"/>
      <c r="Y16" s="427"/>
    </row>
    <row r="17" spans="1:33" s="428" customFormat="1">
      <c r="A17" s="429" t="str">
        <f>+A11</f>
        <v>Number of Orders (#)</v>
      </c>
      <c r="B17" s="427"/>
      <c r="C17" s="427"/>
      <c r="D17" s="427"/>
      <c r="E17" s="430">
        <f>+E11/C11-1</f>
        <v>4.5599999999999996</v>
      </c>
      <c r="F17" s="430">
        <f t="shared" ref="F17:F19" si="12">+F11/D11-1</f>
        <v>3.0391012891841234</v>
      </c>
      <c r="G17" s="430">
        <f t="shared" ref="G17:I19" si="13">+G11/E11-1</f>
        <v>2.2067292621396906</v>
      </c>
      <c r="H17" s="430">
        <f t="shared" ref="H17:H19" si="14">+H11/F11-1</f>
        <v>0.82400046422561357</v>
      </c>
      <c r="I17" s="430">
        <f t="shared" si="13"/>
        <v>0.48819473655849799</v>
      </c>
      <c r="J17" s="430">
        <f t="shared" ref="J17:J19" si="15">+J11/H11-1</f>
        <v>1.0662415842322313</v>
      </c>
      <c r="K17" s="430">
        <f t="shared" ref="K17:K19" si="16">+K11/I11-1</f>
        <v>0.78933172322274903</v>
      </c>
      <c r="L17" s="430">
        <f t="shared" ref="L17:L19" si="17">+L11/J11-1</f>
        <v>0.60160543861780069</v>
      </c>
      <c r="M17" s="430"/>
      <c r="N17" s="430"/>
      <c r="O17" s="430"/>
      <c r="P17" s="430"/>
      <c r="Q17" s="430"/>
      <c r="R17" s="430">
        <f>+R11/Q11-1</f>
        <v>9.7647668393782379</v>
      </c>
      <c r="S17" s="430">
        <f>+S11/R11-1</f>
        <v>2.6241817481709666</v>
      </c>
      <c r="T17" s="430">
        <f t="shared" ref="T17:T19" si="18">+T11/S11-1</f>
        <v>3.5258446663833407</v>
      </c>
      <c r="U17" s="430">
        <f t="shared" ref="U17:U19" si="19">+U11/T11-1</f>
        <v>1.3676411035923679</v>
      </c>
      <c r="V17" s="430">
        <f t="shared" ref="V17:V19" si="20">+V11/U11-1</f>
        <v>0.75843041990977156</v>
      </c>
      <c r="W17" s="430">
        <f t="shared" ref="W17:X19" si="21">+W11/V11-1</f>
        <v>0.72817034678448689</v>
      </c>
      <c r="X17" s="430"/>
      <c r="Y17" s="427"/>
    </row>
    <row r="18" spans="1:33" s="549" customFormat="1">
      <c r="A18" s="429" t="str">
        <f>+A12</f>
        <v>AOV</v>
      </c>
      <c r="B18" s="427"/>
      <c r="C18" s="427"/>
      <c r="D18" s="427"/>
      <c r="E18" s="548">
        <f>+E12/C12-1</f>
        <v>2.1057444750762766E-2</v>
      </c>
      <c r="F18" s="548">
        <f t="shared" si="12"/>
        <v>-9.2738586741384021E-2</v>
      </c>
      <c r="G18" s="548">
        <f t="shared" si="13"/>
        <v>-8.2474226804123751E-2</v>
      </c>
      <c r="H18" s="548">
        <f t="shared" si="14"/>
        <v>-2.3784055101642165E-3</v>
      </c>
      <c r="I18" s="548">
        <f t="shared" si="13"/>
        <v>6.6011235955056202E-2</v>
      </c>
      <c r="J18" s="548">
        <f t="shared" si="15"/>
        <v>9.9698552187891032E-2</v>
      </c>
      <c r="K18" s="548">
        <f t="shared" si="16"/>
        <v>4.2160737812911631E-2</v>
      </c>
      <c r="L18" s="548">
        <f t="shared" si="17"/>
        <v>9.0206037621961999E-2</v>
      </c>
      <c r="M18" s="548"/>
      <c r="N18" s="548"/>
      <c r="O18" s="548"/>
      <c r="P18" s="548"/>
      <c r="Q18" s="548"/>
      <c r="R18" s="548">
        <f t="shared" ref="R18:S18" si="22">+R12/Q12-1</f>
        <v>-5.5330634278002666E-2</v>
      </c>
      <c r="S18" s="548">
        <f t="shared" si="22"/>
        <v>8.1428571428571406E-2</v>
      </c>
      <c r="T18" s="548">
        <f t="shared" si="18"/>
        <v>-4.4914134742404244E-2</v>
      </c>
      <c r="U18" s="548">
        <f t="shared" si="19"/>
        <v>-2.9045643153526979E-2</v>
      </c>
      <c r="V18" s="548">
        <f t="shared" si="20"/>
        <v>6.4102564102564097E-2</v>
      </c>
      <c r="W18" s="548">
        <f t="shared" si="21"/>
        <v>6.8273092369477872E-2</v>
      </c>
      <c r="X18" s="548"/>
      <c r="Y18" s="427"/>
      <c r="AA18" s="550"/>
    </row>
    <row r="19" spans="1:33" s="428" customFormat="1">
      <c r="A19" s="435" t="str">
        <f>+A13</f>
        <v xml:space="preserve">Gross Revenue </v>
      </c>
      <c r="B19" s="427"/>
      <c r="C19" s="427"/>
      <c r="D19" s="427"/>
      <c r="E19" s="430">
        <f>+E13/C13-1</f>
        <v>4.758763787266572</v>
      </c>
      <c r="F19" s="430">
        <f t="shared" si="12"/>
        <v>2.6645207439198852</v>
      </c>
      <c r="G19" s="430">
        <f t="shared" si="13"/>
        <v>1.9222687880454363</v>
      </c>
      <c r="H19" s="430">
        <f t="shared" si="14"/>
        <v>0.86414210423579974</v>
      </c>
      <c r="I19" s="430">
        <f t="shared" si="13"/>
        <v>0.57462686567164178</v>
      </c>
      <c r="J19" s="430">
        <f t="shared" si="15"/>
        <v>1.2180254300673146</v>
      </c>
      <c r="K19" s="430">
        <f t="shared" si="16"/>
        <v>0.89779517824026378</v>
      </c>
      <c r="L19" s="430">
        <f t="shared" si="17"/>
        <v>0.7460799190692966</v>
      </c>
      <c r="M19" s="430" t="e">
        <f t="shared" ref="M19" si="23">+M13/K13-1</f>
        <v>#VALUE!</v>
      </c>
      <c r="N19" s="430">
        <f t="shared" ref="N19" si="24">+N13/L13-1</f>
        <v>0.10869967087897203</v>
      </c>
      <c r="O19" s="430"/>
      <c r="P19" s="430"/>
      <c r="Q19" s="430"/>
      <c r="R19" s="430">
        <f t="shared" ref="R19:S19" si="25">+R13/Q13-1</f>
        <v>11.53793103448276</v>
      </c>
      <c r="S19" s="430">
        <f t="shared" si="25"/>
        <v>2.9506325632563253</v>
      </c>
      <c r="T19" s="430">
        <f t="shared" si="18"/>
        <v>3.3320338334087509</v>
      </c>
      <c r="U19" s="430">
        <f t="shared" si="19"/>
        <v>1.3124824233658754</v>
      </c>
      <c r="V19" s="430">
        <f t="shared" si="20"/>
        <v>0.87352328005559432</v>
      </c>
      <c r="W19" s="430">
        <f t="shared" si="21"/>
        <v>0.81435459940652799</v>
      </c>
      <c r="X19" s="430" t="e">
        <f t="shared" si="21"/>
        <v>#VALUE!</v>
      </c>
      <c r="Y19" s="427"/>
    </row>
    <row r="20" spans="1:33" s="428" customFormat="1">
      <c r="A20" s="435" t="s">
        <v>129</v>
      </c>
      <c r="B20" s="427"/>
      <c r="C20" s="427"/>
      <c r="D20" s="430">
        <f>+D13/C13-1</f>
        <v>1.1373812383968547</v>
      </c>
      <c r="E20" s="430">
        <f t="shared" ref="E20:U20" si="26">+E13/D13-1</f>
        <v>1.6943081953811565</v>
      </c>
      <c r="F20" s="430">
        <f t="shared" si="26"/>
        <v>0.36009709290197778</v>
      </c>
      <c r="G20" s="430">
        <f t="shared" si="26"/>
        <v>1.1485736594071554</v>
      </c>
      <c r="H20" s="430">
        <f t="shared" si="26"/>
        <v>-0.13238157040882526</v>
      </c>
      <c r="I20" s="430">
        <f t="shared" si="26"/>
        <v>0.81488406881077013</v>
      </c>
      <c r="J20" s="430">
        <f t="shared" ref="J20" si="27">+J13/I13-1</f>
        <v>0.2221306408407171</v>
      </c>
      <c r="K20" s="430">
        <f t="shared" ref="K20" si="28">+K13/J13-1</f>
        <v>0.5528578654527061</v>
      </c>
      <c r="L20" s="430">
        <f t="shared" ref="L20" si="29">+L13/K13-1</f>
        <v>0.12442996742670998</v>
      </c>
      <c r="M20" s="430" t="e">
        <f t="shared" ref="M20" si="30">+M13/L13-1</f>
        <v>#VALUE!</v>
      </c>
      <c r="N20" s="430" t="e">
        <f t="shared" ref="N20" si="31">+N13/M13-1</f>
        <v>#VALUE!</v>
      </c>
      <c r="O20" s="430"/>
      <c r="P20" s="430"/>
      <c r="Q20" s="430"/>
      <c r="R20" s="430">
        <f t="shared" si="26"/>
        <v>11.53793103448276</v>
      </c>
      <c r="S20" s="430">
        <f t="shared" si="26"/>
        <v>2.9506325632563253</v>
      </c>
      <c r="T20" s="430">
        <f t="shared" si="26"/>
        <v>3.3320338334087509</v>
      </c>
      <c r="U20" s="430">
        <f t="shared" si="26"/>
        <v>1.3124824233658754</v>
      </c>
      <c r="V20" s="430">
        <f t="shared" ref="V20" si="32">+V13/U13-1</f>
        <v>0.87352328005559432</v>
      </c>
      <c r="W20" s="430">
        <f t="shared" ref="W20:X20" si="33">+W13/V13-1</f>
        <v>0.81435459940652799</v>
      </c>
      <c r="X20" s="430" t="e">
        <f t="shared" si="33"/>
        <v>#VALUE!</v>
      </c>
      <c r="Y20" s="427"/>
      <c r="AE20" s="551"/>
      <c r="AF20" s="551">
        <f>+'Detailed Disclosures - USD'!R313</f>
        <v>1.5276092391304299</v>
      </c>
      <c r="AG20" s="551"/>
    </row>
    <row r="21" spans="1:33" s="428" customFormat="1" ht="8.15" customHeight="1">
      <c r="A21" s="429"/>
      <c r="B21" s="436"/>
      <c r="C21" s="436"/>
      <c r="D21" s="436"/>
      <c r="E21" s="430"/>
      <c r="F21" s="430"/>
      <c r="G21" s="430"/>
      <c r="H21" s="430"/>
      <c r="I21" s="430"/>
      <c r="J21" s="430"/>
      <c r="K21" s="430"/>
      <c r="L21" s="430"/>
      <c r="M21" s="430"/>
      <c r="N21" s="430"/>
      <c r="O21" s="430"/>
      <c r="P21" s="430"/>
      <c r="Q21" s="430"/>
      <c r="R21" s="430"/>
      <c r="S21" s="430"/>
      <c r="T21" s="430"/>
      <c r="U21" s="430"/>
      <c r="V21" s="430"/>
      <c r="W21" s="430"/>
      <c r="X21" s="430"/>
      <c r="Y21" s="436"/>
    </row>
    <row r="22" spans="1:33" hidden="1" outlineLevel="1">
      <c r="A22" s="401" t="str">
        <f>+'Detailed Disclosure'!A96</f>
        <v>Active Customers</v>
      </c>
      <c r="B22" s="408"/>
      <c r="C22" s="414"/>
      <c r="D22" s="414">
        <f>+'Detailed Disclosure'!Y96</f>
        <v>29838</v>
      </c>
      <c r="E22" s="414">
        <f>+'Detailed Disclosure'!Z96</f>
        <v>67657</v>
      </c>
      <c r="F22" s="414">
        <f>+'Detailed Disclosure'!AA96</f>
        <v>114800</v>
      </c>
      <c r="G22" s="414">
        <f>+'Detailed Disclosure'!AB96</f>
        <v>208700</v>
      </c>
      <c r="H22" s="414">
        <f>+'Detailed Disclosure'!AC96</f>
        <v>260596</v>
      </c>
      <c r="I22" s="414">
        <f>+'Detailed Disclosure'!AD96</f>
        <v>313982</v>
      </c>
      <c r="J22" s="414"/>
      <c r="K22" s="414"/>
      <c r="L22" s="414"/>
      <c r="M22" s="414"/>
      <c r="N22" s="414"/>
      <c r="O22" s="414"/>
      <c r="P22" s="414"/>
      <c r="Q22" s="414">
        <f>+'Detailed Disclosure'!AJ96</f>
        <v>893</v>
      </c>
      <c r="R22" s="414">
        <f>+'Detailed Disclosure'!AK96</f>
        <v>8800</v>
      </c>
      <c r="S22" s="414">
        <f>+'Detailed Disclosure'!AL96</f>
        <v>29838</v>
      </c>
      <c r="T22" s="414">
        <f>+'Detailed Disclosure'!AM96</f>
        <v>114800</v>
      </c>
      <c r="U22" s="414">
        <f>+'Detailed Disclosure'!AN96</f>
        <v>260596</v>
      </c>
      <c r="V22" s="414"/>
      <c r="W22" s="414"/>
      <c r="X22" s="414"/>
      <c r="Y22" s="408"/>
    </row>
    <row r="23" spans="1:33" s="438" customFormat="1" hidden="1" outlineLevel="1">
      <c r="A23" s="429" t="s">
        <v>25</v>
      </c>
      <c r="B23" s="437"/>
      <c r="C23" s="430"/>
      <c r="D23" s="430"/>
      <c r="E23" s="430"/>
      <c r="F23" s="430">
        <f>+F22/D22-1</f>
        <v>2.847442858100409</v>
      </c>
      <c r="G23" s="430">
        <f t="shared" ref="G23:H23" si="34">+G22/E22-1</f>
        <v>2.0846771213621649</v>
      </c>
      <c r="H23" s="430">
        <f t="shared" si="34"/>
        <v>1.27</v>
      </c>
      <c r="I23" s="430">
        <f t="shared" ref="I23" si="35">+I22/G22-1</f>
        <v>0.50446574029707714</v>
      </c>
      <c r="J23" s="430"/>
      <c r="K23" s="430"/>
      <c r="L23" s="430"/>
      <c r="M23" s="430"/>
      <c r="N23" s="430"/>
      <c r="O23" s="430"/>
      <c r="P23" s="430"/>
      <c r="Q23" s="430"/>
      <c r="R23" s="430">
        <f>+R22/Q22-1</f>
        <v>8.8544232922732355</v>
      </c>
      <c r="S23" s="430">
        <f>+S22/R22-1</f>
        <v>2.3906818181818181</v>
      </c>
      <c r="T23" s="430">
        <f t="shared" ref="T23" si="36">+T22/S22-1</f>
        <v>2.847442858100409</v>
      </c>
      <c r="U23" s="430">
        <f t="shared" ref="U23" si="37">+U22/T22-1</f>
        <v>1.27</v>
      </c>
      <c r="V23" s="430"/>
      <c r="W23" s="430"/>
      <c r="X23" s="430"/>
      <c r="Y23" s="437"/>
    </row>
    <row r="24" spans="1:33" s="438" customFormat="1" hidden="1" outlineLevel="1">
      <c r="A24" s="429"/>
      <c r="B24" s="437"/>
      <c r="C24" s="430"/>
      <c r="D24" s="430"/>
      <c r="E24" s="430"/>
      <c r="F24" s="430"/>
      <c r="G24" s="430"/>
      <c r="H24" s="430"/>
      <c r="I24" s="430"/>
      <c r="J24" s="430"/>
      <c r="K24" s="430"/>
      <c r="L24" s="430"/>
      <c r="M24" s="430"/>
      <c r="N24" s="430"/>
      <c r="O24" s="430"/>
      <c r="P24" s="430"/>
      <c r="Q24" s="430"/>
      <c r="R24" s="430"/>
      <c r="S24" s="430"/>
      <c r="T24" s="430"/>
      <c r="U24" s="430"/>
      <c r="V24" s="430"/>
      <c r="W24" s="430"/>
      <c r="X24" s="430"/>
      <c r="Y24" s="437"/>
    </row>
    <row r="25" spans="1:33" s="441" customFormat="1" ht="21.5" collapsed="1">
      <c r="A25" s="412" t="s">
        <v>130</v>
      </c>
      <c r="B25" s="408"/>
      <c r="C25" s="439"/>
      <c r="D25" s="439"/>
      <c r="E25" s="439"/>
      <c r="F25" s="439"/>
      <c r="G25" s="439"/>
      <c r="H25" s="439"/>
      <c r="I25" s="439"/>
      <c r="J25" s="439"/>
      <c r="K25" s="439"/>
      <c r="L25" s="439"/>
      <c r="M25" s="439"/>
      <c r="N25" s="439"/>
      <c r="O25" s="440"/>
      <c r="P25" s="440"/>
      <c r="Q25" s="440"/>
      <c r="R25" s="440"/>
      <c r="S25" s="440"/>
      <c r="T25" s="440"/>
      <c r="U25" s="440"/>
      <c r="V25" s="440"/>
      <c r="W25" s="440"/>
      <c r="X25" s="440"/>
      <c r="Y25" s="440"/>
      <c r="Z25" s="409" t="s">
        <v>401</v>
      </c>
      <c r="AA25" s="409"/>
      <c r="AB25" s="409"/>
      <c r="AC25" s="409"/>
      <c r="AE25" s="409"/>
      <c r="AF25" s="409" t="s">
        <v>402</v>
      </c>
    </row>
    <row r="26" spans="1:33" s="441" customFormat="1" ht="21.5">
      <c r="A26" s="443"/>
      <c r="B26" s="439"/>
      <c r="C26" s="439"/>
      <c r="D26" s="439"/>
      <c r="E26" s="439"/>
      <c r="F26" s="439"/>
      <c r="G26" s="439"/>
      <c r="H26" s="439"/>
      <c r="I26" s="439"/>
      <c r="J26" s="439"/>
      <c r="K26" s="439"/>
      <c r="L26" s="439"/>
      <c r="M26" s="439"/>
      <c r="N26" s="439"/>
      <c r="O26" s="440"/>
      <c r="P26" s="440"/>
      <c r="Q26" s="440"/>
      <c r="R26" s="440"/>
      <c r="S26" s="440"/>
      <c r="T26" s="444"/>
      <c r="U26" s="444"/>
      <c r="V26" s="444"/>
      <c r="W26" s="444"/>
      <c r="X26" s="444"/>
      <c r="Y26" s="440"/>
      <c r="Z26" s="409" t="s">
        <v>87</v>
      </c>
      <c r="AA26" s="409" t="s">
        <v>403</v>
      </c>
      <c r="AB26" s="409" t="s">
        <v>90</v>
      </c>
      <c r="AC26" s="409" t="s">
        <v>404</v>
      </c>
      <c r="AE26" s="409"/>
      <c r="AF26" s="409" t="s">
        <v>405</v>
      </c>
    </row>
    <row r="27" spans="1:33" s="422" customFormat="1">
      <c r="A27" s="401" t="s">
        <v>131</v>
      </c>
      <c r="B27" s="423"/>
      <c r="C27" s="423">
        <f>+'Detailed Disclosure'!X8/1000</f>
        <v>9.157</v>
      </c>
      <c r="D27" s="423">
        <f>+'Detailed Disclosure'!Y8/1000</f>
        <v>19.571999999999999</v>
      </c>
      <c r="E27" s="423">
        <f>+'Detailed Disclosure'!Z8/1000</f>
        <v>52.732999999999997</v>
      </c>
      <c r="F27" s="423">
        <f>+'Detailed Disclosure'!AA8/1000</f>
        <v>71.721999999999994</v>
      </c>
      <c r="G27" s="423">
        <f>+'Detailed Disclosure'!AB8/1000</f>
        <v>154.1</v>
      </c>
      <c r="H27" s="423">
        <f>+H13</f>
        <v>133.70000000000002</v>
      </c>
      <c r="I27" s="423">
        <f>+'Detailed Disclosure'!AD8/1000</f>
        <v>242.65</v>
      </c>
      <c r="J27" s="423">
        <f>+'Detailed Disclosure'!AE8/1000</f>
        <v>296.55</v>
      </c>
      <c r="K27" s="423">
        <f>+'Detailed Disclosure'!AF8/1000</f>
        <v>460.5</v>
      </c>
      <c r="L27" s="423">
        <f>+'Detailed Disclosure'!AG8/1000</f>
        <v>517.79999999999995</v>
      </c>
      <c r="M27" s="423" t="e">
        <f>+'Historical - USD'!M13*'Historical - USD'!M181</f>
        <v>#VALUE!</v>
      </c>
      <c r="N27" s="423">
        <f>+'Historical - USD'!N13*'Historical - USD'!N181</f>
        <v>574.08468958113167</v>
      </c>
      <c r="O27" s="423"/>
      <c r="P27" s="423"/>
      <c r="Q27" s="423">
        <f>+'Detailed Disclosure'!AJ8/1000</f>
        <v>0.57999999999999996</v>
      </c>
      <c r="R27" s="423">
        <f>+'Detailed Disclosure'!AK8/1000</f>
        <v>7.2720000000000002</v>
      </c>
      <c r="S27" s="423">
        <f>+'Detailed Disclosure'!AL8/1000</f>
        <v>28.728999999999999</v>
      </c>
      <c r="T27" s="423">
        <f>+'Detailed Disclosure'!AM8/1000</f>
        <v>124.455</v>
      </c>
      <c r="U27" s="423">
        <f>+'Detailed Disclosure'!AN8/1000</f>
        <v>287.8</v>
      </c>
      <c r="V27" s="423">
        <f>+'Detailed Disclosure'!AO8/1000</f>
        <v>539.20000000000005</v>
      </c>
      <c r="W27" s="423">
        <f>+'Detailed Disclosure'!AP8/1000</f>
        <v>978.3</v>
      </c>
      <c r="X27" s="423" t="e">
        <f>+SUM(M27:N27)</f>
        <v>#VALUE!</v>
      </c>
      <c r="Y27" s="424"/>
      <c r="Z27" s="422">
        <v>536.20000000000005</v>
      </c>
      <c r="AA27" s="422">
        <v>538</v>
      </c>
      <c r="AB27" s="422">
        <v>535</v>
      </c>
      <c r="AC27" s="422">
        <f>AVERAGE(Z27:AB27)</f>
        <v>536.4</v>
      </c>
      <c r="AF27" s="422">
        <f>+'Q4 FY21e analysis'!X54/1000/AF20</f>
        <v>54.465437665609507</v>
      </c>
    </row>
    <row r="28" spans="1:33" s="438" customFormat="1">
      <c r="A28" s="429" t="s">
        <v>25</v>
      </c>
      <c r="B28" s="437"/>
      <c r="C28" s="430"/>
      <c r="D28" s="430"/>
      <c r="E28" s="430">
        <f>+E27/C27-1</f>
        <v>4.758763787266572</v>
      </c>
      <c r="F28" s="430">
        <f t="shared" ref="F28" si="38">+F27/D27-1</f>
        <v>2.6645207439198852</v>
      </c>
      <c r="G28" s="430">
        <f t="shared" ref="G28" si="39">+G27/E27-1</f>
        <v>1.9222687880454363</v>
      </c>
      <c r="H28" s="430">
        <f t="shared" ref="H28" si="40">+H27/F27-1</f>
        <v>0.86414210423579974</v>
      </c>
      <c r="I28" s="430">
        <f t="shared" ref="I28" si="41">+I27/G27-1</f>
        <v>0.57462686567164178</v>
      </c>
      <c r="J28" s="430">
        <f t="shared" ref="J28" si="42">+J27/H27-1</f>
        <v>1.2180254300673146</v>
      </c>
      <c r="K28" s="430">
        <f t="shared" ref="K28:L28" si="43">+K27/I27-1</f>
        <v>0.89779517824026378</v>
      </c>
      <c r="L28" s="430">
        <f t="shared" si="43"/>
        <v>0.7460799190692966</v>
      </c>
      <c r="M28" s="430" t="e">
        <f t="shared" ref="M28" si="44">+M27/K27-1</f>
        <v>#VALUE!</v>
      </c>
      <c r="N28" s="430">
        <f t="shared" ref="N28" si="45">+N27/L27-1</f>
        <v>0.10869967087897203</v>
      </c>
      <c r="O28" s="430"/>
      <c r="P28" s="430"/>
      <c r="Q28" s="430"/>
      <c r="R28" s="430">
        <f>+R27/Q27-1</f>
        <v>11.53793103448276</v>
      </c>
      <c r="S28" s="430">
        <f>+S27/R27-1</f>
        <v>2.9506325632563253</v>
      </c>
      <c r="T28" s="430">
        <f t="shared" ref="T28:U28" si="46">+T27/S27-1</f>
        <v>3.3320338334087509</v>
      </c>
      <c r="U28" s="430">
        <f t="shared" si="46"/>
        <v>1.3124824233658754</v>
      </c>
      <c r="V28" s="430">
        <f t="shared" ref="V28" si="47">+V27/U27-1</f>
        <v>0.87352328005559432</v>
      </c>
      <c r="W28" s="430">
        <f t="shared" ref="W28:X28" si="48">+W27/V27-1</f>
        <v>0.81435459940652799</v>
      </c>
      <c r="X28" s="430" t="e">
        <f t="shared" si="48"/>
        <v>#VALUE!</v>
      </c>
      <c r="Y28" s="437"/>
      <c r="AE28" s="430"/>
      <c r="AF28" s="430">
        <f>+'Q4 FY21e analysis'!X59</f>
        <v>0.83353461391128381</v>
      </c>
    </row>
    <row r="29" spans="1:33" s="438" customFormat="1">
      <c r="A29" s="429" t="s">
        <v>133</v>
      </c>
      <c r="B29" s="437"/>
      <c r="C29" s="430"/>
      <c r="D29" s="430"/>
      <c r="E29" s="430"/>
      <c r="F29" s="430"/>
      <c r="G29" s="430">
        <f>+G28+E28</f>
        <v>6.6810325753120079</v>
      </c>
      <c r="H29" s="430">
        <f t="shared" ref="H29:I29" si="49">+H28+F28</f>
        <v>3.528662848155685</v>
      </c>
      <c r="I29" s="430">
        <f t="shared" si="49"/>
        <v>2.4968956537170781</v>
      </c>
      <c r="J29" s="430">
        <f t="shared" ref="J29" si="50">+J28+H28</f>
        <v>2.0821675343031143</v>
      </c>
      <c r="K29" s="430">
        <f t="shared" ref="K29:L29" si="51">+K28+I28</f>
        <v>1.4724220439119056</v>
      </c>
      <c r="L29" s="430">
        <f t="shared" si="51"/>
        <v>1.9641053491366112</v>
      </c>
      <c r="M29" s="430" t="e">
        <f t="shared" ref="M29" si="52">+M28+K28</f>
        <v>#VALUE!</v>
      </c>
      <c r="N29" s="430">
        <f t="shared" ref="N29" si="53">+N28+L28</f>
        <v>0.85477958994826864</v>
      </c>
      <c r="O29" s="430"/>
      <c r="P29" s="430"/>
      <c r="Q29" s="430"/>
      <c r="R29" s="430"/>
      <c r="S29" s="430">
        <f>+S28+R28</f>
        <v>14.488563597739086</v>
      </c>
      <c r="T29" s="430">
        <f t="shared" ref="T29:U29" si="54">+T28+S28</f>
        <v>6.2826663966650766</v>
      </c>
      <c r="U29" s="430">
        <f t="shared" si="54"/>
        <v>4.6445162567746259</v>
      </c>
      <c r="V29" s="430">
        <f t="shared" ref="V29" si="55">+V28+U28</f>
        <v>2.1860057034214697</v>
      </c>
      <c r="W29" s="430">
        <f t="shared" ref="W29:X29" si="56">+W28+V28</f>
        <v>1.6878778794621223</v>
      </c>
      <c r="X29" s="430" t="e">
        <f t="shared" si="56"/>
        <v>#VALUE!</v>
      </c>
      <c r="Y29" s="430"/>
      <c r="Z29" s="437"/>
      <c r="AE29" s="428"/>
      <c r="AF29" s="428"/>
    </row>
    <row r="30" spans="1:33" s="438" customFormat="1">
      <c r="A30" s="429" t="s">
        <v>134</v>
      </c>
      <c r="B30" s="437"/>
      <c r="C30" s="430"/>
      <c r="D30" s="430">
        <f>+D27/C27-1</f>
        <v>1.1373812383968547</v>
      </c>
      <c r="E30" s="430">
        <f t="shared" ref="E30:I30" si="57">+E27/D27-1</f>
        <v>1.6943081953811565</v>
      </c>
      <c r="F30" s="430">
        <f t="shared" si="57"/>
        <v>0.36009709290197778</v>
      </c>
      <c r="G30" s="430">
        <f t="shared" si="57"/>
        <v>1.1485736594071554</v>
      </c>
      <c r="H30" s="430">
        <f t="shared" si="57"/>
        <v>-0.13238157040882526</v>
      </c>
      <c r="I30" s="430">
        <f t="shared" si="57"/>
        <v>0.81488406881077013</v>
      </c>
      <c r="J30" s="430">
        <f t="shared" ref="J30" si="58">+J27/I27-1</f>
        <v>0.2221306408407171</v>
      </c>
      <c r="K30" s="430">
        <f t="shared" ref="K30:L30" si="59">+K27/J27-1</f>
        <v>0.5528578654527061</v>
      </c>
      <c r="L30" s="430">
        <f t="shared" si="59"/>
        <v>0.12442996742670998</v>
      </c>
      <c r="M30" s="430" t="e">
        <f t="shared" ref="M30" si="60">+M27/L27-1</f>
        <v>#VALUE!</v>
      </c>
      <c r="N30" s="430" t="e">
        <f t="shared" ref="N30" si="61">+N27/M27-1</f>
        <v>#VALUE!</v>
      </c>
      <c r="O30" s="430"/>
      <c r="P30" s="430"/>
      <c r="Q30" s="430"/>
      <c r="R30" s="430">
        <f t="shared" ref="R30:U30" si="62">+R27/Q27-1</f>
        <v>11.53793103448276</v>
      </c>
      <c r="S30" s="430">
        <f t="shared" si="62"/>
        <v>2.9506325632563253</v>
      </c>
      <c r="T30" s="430">
        <f t="shared" si="62"/>
        <v>3.3320338334087509</v>
      </c>
      <c r="U30" s="430">
        <f t="shared" si="62"/>
        <v>1.3124824233658754</v>
      </c>
      <c r="V30" s="430">
        <f t="shared" ref="V30" si="63">+V27/U27-1</f>
        <v>0.87352328005559432</v>
      </c>
      <c r="W30" s="430">
        <f t="shared" ref="W30:X30" si="64">+W27/V27-1</f>
        <v>0.81435459940652799</v>
      </c>
      <c r="X30" s="430" t="e">
        <f t="shared" si="64"/>
        <v>#VALUE!</v>
      </c>
      <c r="Y30" s="437"/>
      <c r="AA30" s="445"/>
    </row>
    <row r="31" spans="1:33" s="438" customFormat="1" hidden="1" outlineLevel="1">
      <c r="A31" s="429" t="s">
        <v>135</v>
      </c>
      <c r="B31" s="437"/>
      <c r="C31" s="430"/>
      <c r="D31" s="430"/>
      <c r="E31" s="430"/>
      <c r="F31" s="430"/>
      <c r="G31" s="446">
        <v>1.93</v>
      </c>
      <c r="H31" s="430"/>
      <c r="I31" s="430"/>
      <c r="J31" s="430"/>
      <c r="K31" s="430"/>
      <c r="L31" s="430"/>
      <c r="M31" s="430"/>
      <c r="N31" s="430"/>
      <c r="O31" s="430"/>
      <c r="P31" s="430"/>
      <c r="Q31" s="430"/>
      <c r="R31" s="430"/>
      <c r="S31" s="430"/>
      <c r="T31" s="430">
        <f>+'Detailed Disclosure'!AM11</f>
        <v>3.84</v>
      </c>
      <c r="U31" s="430"/>
      <c r="V31" s="430"/>
      <c r="W31" s="430"/>
      <c r="X31" s="430"/>
      <c r="Y31" s="437"/>
    </row>
    <row r="32" spans="1:33" s="438" customFormat="1" collapsed="1">
      <c r="A32" s="429"/>
      <c r="B32" s="437"/>
      <c r="C32" s="430"/>
      <c r="D32" s="430"/>
      <c r="E32" s="430"/>
      <c r="F32" s="430"/>
      <c r="G32" s="430"/>
      <c r="H32" s="430"/>
      <c r="I32" s="430"/>
      <c r="J32" s="430"/>
      <c r="K32" s="423"/>
      <c r="L32" s="423"/>
      <c r="M32" s="430"/>
      <c r="N32" s="430"/>
      <c r="O32" s="430"/>
      <c r="P32" s="430"/>
      <c r="Q32" s="430"/>
      <c r="R32" s="430"/>
      <c r="S32" s="430"/>
      <c r="T32" s="430"/>
      <c r="U32" s="430"/>
      <c r="V32" s="430"/>
      <c r="W32" s="444"/>
      <c r="X32" s="444"/>
      <c r="Y32" s="437"/>
    </row>
    <row r="33" spans="1:32" s="422" customFormat="1">
      <c r="A33" s="401" t="s">
        <v>272</v>
      </c>
      <c r="B33" s="423"/>
      <c r="C33" s="423">
        <f>+'Detailed Disclosure'!X37/1000</f>
        <v>6.9973710000000002</v>
      </c>
      <c r="D33" s="423">
        <f>+'Detailed Disclosure'!Y37/1000</f>
        <v>15.858629000000001</v>
      </c>
      <c r="E33" s="423">
        <f>+'Detailed Disclosure'!Z37/1000</f>
        <v>40.527502999999996</v>
      </c>
      <c r="F33" s="423">
        <f>+T33-E33</f>
        <v>51.88149700000001</v>
      </c>
      <c r="G33" s="423">
        <f>+'Detailed Disclosure'!AB17/1000</f>
        <v>113.70626900000001</v>
      </c>
      <c r="H33" s="423">
        <f>+'Detailed Disclosure'!AC17/1000</f>
        <v>96.177586000000005</v>
      </c>
      <c r="I33" s="423">
        <f>+'Detailed Disclosure'!AD17/1000</f>
        <v>187.69741099999999</v>
      </c>
      <c r="J33" s="423">
        <f>+'Detailed Disclosure'!AE17/1000</f>
        <v>228.52958900000002</v>
      </c>
      <c r="K33" s="423">
        <f>+'Detailed Disclosure'!AF17/1000</f>
        <v>354.25737400000003</v>
      </c>
      <c r="L33" s="423">
        <f>+'Detailed Disclosure'!AG17/1000</f>
        <v>387.99775900000003</v>
      </c>
      <c r="M33" s="423" t="e">
        <f>+'Historical - USD'!M33*'Historical - USD'!M$181</f>
        <v>#VALUE!</v>
      </c>
      <c r="N33" s="423">
        <f>+'Historical - USD'!N33*'Historical - USD'!N$181</f>
        <v>430.14729257615409</v>
      </c>
      <c r="O33" s="423"/>
      <c r="P33" s="423"/>
      <c r="Q33" s="423">
        <f>+'Detailed Disclosure'!AJ37/1000</f>
        <v>0.54400000000000004</v>
      </c>
      <c r="R33" s="423">
        <f>+'Detailed Disclosure'!AK37/1000</f>
        <v>5.71</v>
      </c>
      <c r="S33" s="423">
        <f>+'Detailed Disclosure'!AL37/1000</f>
        <v>22.856000000000002</v>
      </c>
      <c r="T33" s="423">
        <f>+'Detailed Disclosure'!AM37/1000</f>
        <v>92.409000000000006</v>
      </c>
      <c r="U33" s="423">
        <f>+'Detailed Disclosure'!AN37/1000</f>
        <v>209.88385500000001</v>
      </c>
      <c r="V33" s="423">
        <f>SUM(I33:J33)</f>
        <v>416.22699999999998</v>
      </c>
      <c r="W33" s="423">
        <f>SUM(K33:L33)</f>
        <v>742.25513300000011</v>
      </c>
      <c r="X33" s="423" t="e">
        <f>+SUM(M33:N33)</f>
        <v>#VALUE!</v>
      </c>
      <c r="Z33" s="422">
        <v>412.7</v>
      </c>
      <c r="AA33" s="422">
        <v>416</v>
      </c>
      <c r="AB33" s="422">
        <v>412.7</v>
      </c>
      <c r="AC33" s="422">
        <f>AVERAGE(Z33:AB33)</f>
        <v>413.8</v>
      </c>
      <c r="AF33" s="422" t="e">
        <f>+#REF!/$AF$20</f>
        <v>#REF!</v>
      </c>
    </row>
    <row r="34" spans="1:32" s="438" customFormat="1">
      <c r="A34" s="429" t="s">
        <v>25</v>
      </c>
      <c r="B34" s="437"/>
      <c r="C34" s="430"/>
      <c r="D34" s="430"/>
      <c r="E34" s="430">
        <f>+E33/C33-1</f>
        <v>4.791818527272599</v>
      </c>
      <c r="F34" s="430">
        <f>+F33/D33-1</f>
        <v>2.2714995098252193</v>
      </c>
      <c r="G34" s="430">
        <f t="shared" ref="G34:H34" si="65">+G33/E33-1</f>
        <v>1.805656914022066</v>
      </c>
      <c r="H34" s="430">
        <f t="shared" si="65"/>
        <v>0.85379357885528995</v>
      </c>
      <c r="I34" s="430">
        <f t="shared" ref="I34" si="66">+I33/G33-1</f>
        <v>0.65072174692496487</v>
      </c>
      <c r="J34" s="430">
        <f t="shared" ref="J34" si="67">+J33/H33-1</f>
        <v>1.3761210746129562</v>
      </c>
      <c r="K34" s="430">
        <f t="shared" ref="K34:L34" si="68">+K33/I33-1</f>
        <v>0.88738551114058817</v>
      </c>
      <c r="L34" s="430">
        <f t="shared" si="68"/>
        <v>0.69780097491008042</v>
      </c>
      <c r="M34" s="430" t="e">
        <f t="shared" ref="M34" si="69">+M33/K33-1</f>
        <v>#VALUE!</v>
      </c>
      <c r="N34" s="430">
        <f t="shared" ref="N34" si="70">+N33/L33-1</f>
        <v>0.10863344593738766</v>
      </c>
      <c r="O34" s="430"/>
      <c r="P34" s="430"/>
      <c r="Q34" s="430"/>
      <c r="R34" s="430">
        <f>+R33/Q33-1</f>
        <v>9.4963235294117645</v>
      </c>
      <c r="S34" s="430">
        <f>+S33/R33-1</f>
        <v>3.0028021015761821</v>
      </c>
      <c r="T34" s="430">
        <f t="shared" ref="T34" si="71">+T33/S33-1</f>
        <v>3.0430959047952397</v>
      </c>
      <c r="U34" s="430">
        <f t="shared" ref="U34" si="72">+U33/T33-1</f>
        <v>1.2712490666493523</v>
      </c>
      <c r="V34" s="430">
        <f t="shared" ref="V34" si="73">+V33/U33-1</f>
        <v>0.98313014595620007</v>
      </c>
      <c r="W34" s="430">
        <f t="shared" ref="W34:X34" si="74">+W33/V33-1</f>
        <v>0.78329405108270289</v>
      </c>
      <c r="X34" s="430" t="e">
        <f t="shared" si="74"/>
        <v>#VALUE!</v>
      </c>
      <c r="Y34" s="437"/>
      <c r="AA34" s="445"/>
      <c r="AE34" s="430"/>
      <c r="AF34" s="430" t="e">
        <f>+AF33/'Detailed Disclosures - USD'!M17*1000-1</f>
        <v>#REF!</v>
      </c>
    </row>
    <row r="35" spans="1:32" s="438" customFormat="1">
      <c r="A35" s="429" t="s">
        <v>133</v>
      </c>
      <c r="B35" s="437"/>
      <c r="C35" s="430"/>
      <c r="D35" s="430"/>
      <c r="E35" s="430"/>
      <c r="F35" s="430"/>
      <c r="G35" s="430">
        <f>+G34+E34</f>
        <v>6.597475441294665</v>
      </c>
      <c r="H35" s="430">
        <f t="shared" ref="H35" si="75">+H34+F34</f>
        <v>3.1252930886805093</v>
      </c>
      <c r="I35" s="430">
        <f t="shared" ref="I35" si="76">+I34+G34</f>
        <v>2.4563786609470308</v>
      </c>
      <c r="J35" s="430">
        <f t="shared" ref="J35" si="77">+J34+H34</f>
        <v>2.2299146534682461</v>
      </c>
      <c r="K35" s="430">
        <f t="shared" ref="K35:L35" si="78">+K34+I34</f>
        <v>1.538107258065553</v>
      </c>
      <c r="L35" s="430">
        <f t="shared" si="78"/>
        <v>2.0739220495230368</v>
      </c>
      <c r="M35" s="430" t="e">
        <f t="shared" ref="M35" si="79">+M34+K34</f>
        <v>#VALUE!</v>
      </c>
      <c r="N35" s="430">
        <f t="shared" ref="N35" si="80">+N34+L34</f>
        <v>0.80643442084746808</v>
      </c>
      <c r="O35" s="430"/>
      <c r="P35" s="430"/>
      <c r="Q35" s="430"/>
      <c r="R35" s="430"/>
      <c r="S35" s="430">
        <f>+S34+R34</f>
        <v>12.499125630987947</v>
      </c>
      <c r="T35" s="430">
        <f t="shared" ref="T35" si="81">+T34+S34</f>
        <v>6.0458980063714218</v>
      </c>
      <c r="U35" s="430">
        <f t="shared" ref="U35:V35" si="82">+U34+T34</f>
        <v>4.3143449714445925</v>
      </c>
      <c r="V35" s="430">
        <f t="shared" si="82"/>
        <v>2.2543792126055524</v>
      </c>
      <c r="W35" s="430">
        <f t="shared" ref="W35:X35" si="83">+W34+V34</f>
        <v>1.766424197038903</v>
      </c>
      <c r="X35" s="430" t="e">
        <f t="shared" si="83"/>
        <v>#VALUE!</v>
      </c>
      <c r="Y35" s="430"/>
      <c r="Z35" s="437"/>
      <c r="AE35" s="430"/>
      <c r="AF35" s="430" t="e">
        <f>+AF33/AF27</f>
        <v>#REF!</v>
      </c>
    </row>
    <row r="36" spans="1:32" s="438" customFormat="1">
      <c r="A36" s="429" t="s">
        <v>134</v>
      </c>
      <c r="B36" s="437"/>
      <c r="C36" s="430"/>
      <c r="D36" s="430">
        <f t="shared" ref="D36:M36" si="84">+D33/C33-1</f>
        <v>1.2663696122443699</v>
      </c>
      <c r="E36" s="430">
        <f t="shared" si="84"/>
        <v>1.5555489695862104</v>
      </c>
      <c r="F36" s="430">
        <f t="shared" si="84"/>
        <v>0.28015528121730116</v>
      </c>
      <c r="G36" s="430">
        <f t="shared" si="84"/>
        <v>1.191653587019665</v>
      </c>
      <c r="H36" s="430">
        <f t="shared" si="84"/>
        <v>-0.15415757771455851</v>
      </c>
      <c r="I36" s="430">
        <f t="shared" si="84"/>
        <v>0.95157124238905277</v>
      </c>
      <c r="J36" s="430">
        <f t="shared" ref="J36" si="85">+J33/I33-1</f>
        <v>0.21754257441515823</v>
      </c>
      <c r="K36" s="430">
        <f t="shared" si="84"/>
        <v>0.55015976508844999</v>
      </c>
      <c r="L36" s="430">
        <f t="shared" si="84"/>
        <v>9.5242576376123544E-2</v>
      </c>
      <c r="M36" s="430" t="e">
        <f t="shared" si="84"/>
        <v>#VALUE!</v>
      </c>
      <c r="N36" s="430" t="e">
        <f t="shared" ref="N36" si="86">+N33/M33-1</f>
        <v>#VALUE!</v>
      </c>
      <c r="O36" s="430"/>
      <c r="P36" s="430"/>
      <c r="Q36" s="430"/>
      <c r="R36" s="430">
        <f>+R33/Q33-1</f>
        <v>9.4963235294117645</v>
      </c>
      <c r="S36" s="430">
        <f>+S33/R33-1</f>
        <v>3.0028021015761821</v>
      </c>
      <c r="T36" s="430">
        <f>+T33/S33-1</f>
        <v>3.0430959047952397</v>
      </c>
      <c r="U36" s="430">
        <f>+U33/T33-1</f>
        <v>1.2712490666493523</v>
      </c>
      <c r="V36" s="430">
        <f>+V33/U33-1</f>
        <v>0.98313014595620007</v>
      </c>
      <c r="W36" s="430">
        <f t="shared" ref="W36:X36" si="87">+W33/V33-1</f>
        <v>0.78329405108270289</v>
      </c>
      <c r="X36" s="430" t="e">
        <f t="shared" si="87"/>
        <v>#VALUE!</v>
      </c>
      <c r="Y36" s="437"/>
      <c r="AA36" s="445"/>
    </row>
    <row r="37" spans="1:32" s="438" customFormat="1" hidden="1" outlineLevel="1">
      <c r="A37" s="429" t="s">
        <v>135</v>
      </c>
      <c r="B37" s="437"/>
      <c r="C37" s="430"/>
      <c r="D37" s="430"/>
      <c r="E37" s="430"/>
      <c r="F37" s="430"/>
      <c r="G37" s="446">
        <v>1.82</v>
      </c>
      <c r="H37" s="430"/>
      <c r="I37" s="430"/>
      <c r="J37" s="430"/>
      <c r="K37" s="430"/>
      <c r="L37" s="430"/>
      <c r="M37" s="430"/>
      <c r="N37" s="430"/>
      <c r="O37" s="430"/>
      <c r="P37" s="430"/>
      <c r="Q37" s="430"/>
      <c r="R37" s="430"/>
      <c r="S37" s="430"/>
      <c r="T37" s="430">
        <f>+'Detailed Disclosure'!AM20</f>
        <v>3.52</v>
      </c>
      <c r="U37" s="430"/>
      <c r="V37" s="430"/>
      <c r="W37" s="430"/>
      <c r="X37" s="430"/>
      <c r="Y37" s="437"/>
    </row>
    <row r="38" spans="1:32" s="438" customFormat="1" collapsed="1">
      <c r="A38" s="429" t="s">
        <v>137</v>
      </c>
      <c r="B38" s="437"/>
      <c r="C38" s="430">
        <f t="shared" ref="C38:I38" si="88">+C33/C27</f>
        <v>0.76415540024025341</v>
      </c>
      <c r="D38" s="430">
        <f t="shared" si="88"/>
        <v>0.81027125485387297</v>
      </c>
      <c r="E38" s="430">
        <f t="shared" si="88"/>
        <v>0.76854157738038797</v>
      </c>
      <c r="F38" s="430">
        <f t="shared" si="88"/>
        <v>0.72336935668274749</v>
      </c>
      <c r="G38" s="430">
        <f t="shared" si="88"/>
        <v>0.73787325762491895</v>
      </c>
      <c r="H38" s="430">
        <f t="shared" si="88"/>
        <v>0.71935367240089743</v>
      </c>
      <c r="I38" s="430">
        <f t="shared" si="88"/>
        <v>0.7735314691943127</v>
      </c>
      <c r="J38" s="430">
        <f t="shared" ref="J38:K38" si="89">+J33/J27</f>
        <v>0.77062751306693644</v>
      </c>
      <c r="K38" s="430">
        <f t="shared" si="89"/>
        <v>0.76928854288816506</v>
      </c>
      <c r="L38" s="430">
        <f t="shared" ref="L38:N38" si="90">+L33/L27</f>
        <v>0.74931973541908081</v>
      </c>
      <c r="M38" s="430" t="e">
        <f t="shared" si="90"/>
        <v>#VALUE!</v>
      </c>
      <c r="N38" s="430">
        <f t="shared" si="90"/>
        <v>0.74927497698989609</v>
      </c>
      <c r="Q38" s="430">
        <f>+Q33/Q27</f>
        <v>0.93793103448275872</v>
      </c>
      <c r="R38" s="430">
        <f>+R33/R27</f>
        <v>0.78520352035203522</v>
      </c>
      <c r="S38" s="430">
        <f>+S33/S27</f>
        <v>0.79557241811410084</v>
      </c>
      <c r="T38" s="430">
        <f>+T33/T27</f>
        <v>0.74250934072556352</v>
      </c>
      <c r="U38" s="430">
        <f>+U33/U27</f>
        <v>0.72926982279360664</v>
      </c>
      <c r="V38" s="430">
        <f t="shared" ref="V38:X38" si="91">+V33/V27</f>
        <v>0.77193434718100884</v>
      </c>
      <c r="W38" s="430">
        <f t="shared" si="91"/>
        <v>0.75871934273740171</v>
      </c>
      <c r="X38" s="430" t="e">
        <f t="shared" si="91"/>
        <v>#VALUE!</v>
      </c>
      <c r="Y38" s="437"/>
    </row>
    <row r="39" spans="1:32" s="441" customFormat="1">
      <c r="A39" s="443"/>
      <c r="B39" s="439"/>
      <c r="C39" s="439"/>
      <c r="D39" s="439"/>
      <c r="E39" s="439"/>
      <c r="F39" s="439"/>
      <c r="G39" s="439"/>
      <c r="H39" s="439"/>
      <c r="I39" s="439"/>
      <c r="J39" s="439"/>
      <c r="K39" s="439"/>
      <c r="L39" s="439"/>
      <c r="M39" s="439"/>
      <c r="N39" s="439"/>
      <c r="O39" s="440"/>
      <c r="P39" s="440"/>
      <c r="Q39" s="440"/>
      <c r="R39" s="440"/>
      <c r="S39" s="440"/>
      <c r="T39" s="444"/>
      <c r="U39" s="444"/>
      <c r="V39" s="444"/>
      <c r="W39" s="444"/>
      <c r="X39" s="444"/>
      <c r="Y39" s="440"/>
    </row>
    <row r="40" spans="1:32" s="422" customFormat="1">
      <c r="A40" s="449" t="s">
        <v>26</v>
      </c>
      <c r="B40" s="423"/>
      <c r="C40" s="423">
        <f>+'Detailed Disclosure'!X39/1000</f>
        <v>2.2306990000000004</v>
      </c>
      <c r="D40" s="423">
        <f>+'Detailed Disclosure'!Y39/1000</f>
        <v>4.1833009999999993</v>
      </c>
      <c r="E40" s="423">
        <f>+'Detailed Disclosure'!Z39/1000</f>
        <v>11.345512999999995</v>
      </c>
      <c r="F40" s="423">
        <f>+'Detailed Disclosure'!AA39/1000</f>
        <v>10.630008000000009</v>
      </c>
      <c r="G40" s="423">
        <f>+'Detailed Disclosure'!AB39/1000</f>
        <v>24.712392000000008</v>
      </c>
      <c r="H40" s="423">
        <f>+'Detailed Disclosure'!AC39/1000</f>
        <v>12.646359999999992</v>
      </c>
      <c r="I40" s="423">
        <f>+'Detailed Disclosure'!AD39/1000</f>
        <v>47.027834999999989</v>
      </c>
      <c r="J40" s="423">
        <f>+'Detailed Disclosure'!AE39/1000</f>
        <v>48.595932999999988</v>
      </c>
      <c r="K40" s="423">
        <f>+'Detailed Disclosure'!AF39/1000</f>
        <v>82.179777999999985</v>
      </c>
      <c r="L40" s="423">
        <f>+'Detailed Disclosure'!AG39/1000</f>
        <v>72.824092000000007</v>
      </c>
      <c r="M40" s="423" t="e">
        <f>+'Historical - USD'!M40*'Historical - USD'!M$181</f>
        <v>#VALUE!</v>
      </c>
      <c r="N40" s="423">
        <f>+'Historical - USD'!N40*'Historical - USD'!N$181</f>
        <v>86.029458515230829</v>
      </c>
      <c r="O40" s="423"/>
      <c r="P40" s="423"/>
      <c r="Q40" s="423">
        <f>+'Detailed Disclosure'!AJ39/1000</f>
        <v>0.28100000000000003</v>
      </c>
      <c r="R40" s="423">
        <f>+'Detailed Disclosure'!AK39/1000</f>
        <v>1.4630000000000001</v>
      </c>
      <c r="S40" s="423">
        <f>+'Detailed Disclosure'!AL39/1000</f>
        <v>6.4139999999999997</v>
      </c>
      <c r="T40" s="423">
        <f>+'Detailed Disclosure'!AM39/1000</f>
        <v>21.975520999999993</v>
      </c>
      <c r="U40" s="423">
        <f>+'Detailed Disclosure'!AN39/1000</f>
        <v>37.358752000000003</v>
      </c>
      <c r="V40" s="423">
        <f>SUM(I40:J40)</f>
        <v>95.623767999999984</v>
      </c>
      <c r="W40" s="423">
        <f>SUM(K40:L40)</f>
        <v>155.00387000000001</v>
      </c>
      <c r="X40" s="423" t="e">
        <f>+SUM(M40:N40)</f>
        <v>#VALUE!</v>
      </c>
      <c r="Y40" s="424"/>
      <c r="Z40" s="422">
        <f>47+49.5</f>
        <v>96.5</v>
      </c>
      <c r="AA40" s="422">
        <v>95</v>
      </c>
      <c r="AC40" s="422">
        <f>AVERAGE(Z40:AB40)</f>
        <v>95.75</v>
      </c>
    </row>
    <row r="41" spans="1:32" s="438" customFormat="1" hidden="1" outlineLevel="1">
      <c r="A41" s="429" t="s">
        <v>25</v>
      </c>
      <c r="B41" s="437"/>
      <c r="C41" s="430"/>
      <c r="D41" s="430"/>
      <c r="E41" s="430">
        <f>+E40/C40-1</f>
        <v>4.0860797445105739</v>
      </c>
      <c r="F41" s="430">
        <f t="shared" ref="F41:G41" si="92">+F40/D40-1</f>
        <v>1.5410574089696176</v>
      </c>
      <c r="G41" s="430">
        <f t="shared" si="92"/>
        <v>1.1781643544897458</v>
      </c>
      <c r="H41" s="430">
        <f t="shared" ref="H41" si="93">+H40/F40-1</f>
        <v>0.18968489957862511</v>
      </c>
      <c r="I41" s="430">
        <f t="shared" ref="I41" si="94">+I40/G40-1</f>
        <v>0.90300619219701495</v>
      </c>
      <c r="J41" s="430">
        <f t="shared" ref="J41" si="95">+J40/H40-1</f>
        <v>2.8426814514215963</v>
      </c>
      <c r="K41" s="430">
        <f t="shared" ref="K41:L41" si="96">+K40/I40-1</f>
        <v>0.74747100307722025</v>
      </c>
      <c r="L41" s="430">
        <f t="shared" si="96"/>
        <v>0.49856351147739097</v>
      </c>
      <c r="M41" s="430" t="e">
        <f t="shared" ref="M41:N41" si="97">+M40/K40-1</f>
        <v>#VALUE!</v>
      </c>
      <c r="N41" s="430">
        <f t="shared" si="97"/>
        <v>0.18133238812274954</v>
      </c>
      <c r="O41" s="430"/>
      <c r="P41" s="430"/>
      <c r="Q41" s="430"/>
      <c r="R41" s="430">
        <f>+R40/Q40-1</f>
        <v>4.2064056939501775</v>
      </c>
      <c r="S41" s="430">
        <f>+S40/R40-1</f>
        <v>3.3841421736158575</v>
      </c>
      <c r="T41" s="430">
        <f t="shared" ref="T41" si="98">+T40/S40-1</f>
        <v>2.4261803866541931</v>
      </c>
      <c r="U41" s="430">
        <f t="shared" ref="U41" si="99">+U40/T40-1</f>
        <v>0.70001666854678968</v>
      </c>
      <c r="V41" s="430">
        <f t="shared" ref="V41" si="100">+V40/U40-1</f>
        <v>1.5596082010448309</v>
      </c>
      <c r="W41" s="430">
        <f t="shared" ref="W41:X41" si="101">+W40/V40-1</f>
        <v>0.62097638737682903</v>
      </c>
      <c r="X41" s="430" t="e">
        <f t="shared" si="101"/>
        <v>#VALUE!</v>
      </c>
      <c r="Y41" s="437"/>
      <c r="AE41" s="430"/>
    </row>
    <row r="42" spans="1:32" s="438" customFormat="1" hidden="1" outlineLevel="1">
      <c r="A42" s="429" t="s">
        <v>133</v>
      </c>
      <c r="B42" s="437"/>
      <c r="C42" s="430"/>
      <c r="D42" s="430"/>
      <c r="E42" s="430"/>
      <c r="F42" s="430"/>
      <c r="G42" s="430">
        <f>+G41+E41</f>
        <v>5.2642440990003196</v>
      </c>
      <c r="H42" s="430">
        <f t="shared" ref="H42" si="102">+H41+F41</f>
        <v>1.7307423085482427</v>
      </c>
      <c r="I42" s="430">
        <f t="shared" ref="I42" si="103">+I41+G41</f>
        <v>2.0811705466867609</v>
      </c>
      <c r="J42" s="430">
        <f t="shared" ref="J42" si="104">+J41+H41</f>
        <v>3.0323663510002214</v>
      </c>
      <c r="K42" s="430">
        <f t="shared" ref="K42:L42" si="105">+K41+I41</f>
        <v>1.6504771952742352</v>
      </c>
      <c r="L42" s="430">
        <f t="shared" si="105"/>
        <v>3.3412449628989873</v>
      </c>
      <c r="M42" s="430" t="e">
        <f t="shared" ref="M42:N42" si="106">+M41+K41</f>
        <v>#VALUE!</v>
      </c>
      <c r="N42" s="430">
        <f t="shared" si="106"/>
        <v>0.67989589960014052</v>
      </c>
      <c r="O42" s="430"/>
      <c r="P42" s="430"/>
      <c r="Q42" s="430"/>
      <c r="R42" s="430"/>
      <c r="S42" s="430">
        <f>+S41+R41</f>
        <v>7.5905478675660349</v>
      </c>
      <c r="T42" s="430">
        <f t="shared" ref="T42" si="107">+T41+S41</f>
        <v>5.8103225602700501</v>
      </c>
      <c r="U42" s="430">
        <f t="shared" ref="U42" si="108">+U41+T41</f>
        <v>3.1261970552009828</v>
      </c>
      <c r="V42" s="430">
        <f t="shared" ref="V42" si="109">+V41+U41</f>
        <v>2.2596248695916206</v>
      </c>
      <c r="W42" s="430">
        <f t="shared" ref="W42:X42" si="110">+W41+V41</f>
        <v>2.1805845884216599</v>
      </c>
      <c r="X42" s="430" t="e">
        <f t="shared" si="110"/>
        <v>#VALUE!</v>
      </c>
      <c r="Y42" s="430"/>
      <c r="Z42" s="437"/>
      <c r="AE42" s="430"/>
    </row>
    <row r="43" spans="1:32" s="438" customFormat="1" hidden="1" outlineLevel="1">
      <c r="A43" s="429" t="s">
        <v>134</v>
      </c>
      <c r="B43" s="437"/>
      <c r="C43" s="430"/>
      <c r="D43" s="430">
        <f>+D40/C40-1</f>
        <v>0.87533190269059102</v>
      </c>
      <c r="E43" s="430">
        <f t="shared" ref="E43:I43" si="111">+E40/D40-1</f>
        <v>1.712095782732344</v>
      </c>
      <c r="F43" s="430">
        <f t="shared" si="111"/>
        <v>-6.3065019624937713E-2</v>
      </c>
      <c r="G43" s="430">
        <f t="shared" si="111"/>
        <v>1.3247764253799232</v>
      </c>
      <c r="H43" s="430">
        <f t="shared" si="111"/>
        <v>-0.48825836042095849</v>
      </c>
      <c r="I43" s="430">
        <f t="shared" si="111"/>
        <v>2.7186854557358813</v>
      </c>
      <c r="J43" s="430">
        <f t="shared" ref="J43" si="112">+J40/I40-1</f>
        <v>3.3344039758581356E-2</v>
      </c>
      <c r="K43" s="430">
        <f t="shared" ref="K43:L43" si="113">+K40/J40-1</f>
        <v>0.69108344930840215</v>
      </c>
      <c r="L43" s="430">
        <f t="shared" si="113"/>
        <v>-0.1138441381528188</v>
      </c>
      <c r="M43" s="430" t="e">
        <f t="shared" ref="M43:N43" si="114">+M40/L40-1</f>
        <v>#VALUE!</v>
      </c>
      <c r="N43" s="430" t="e">
        <f t="shared" si="114"/>
        <v>#VALUE!</v>
      </c>
      <c r="O43" s="430"/>
      <c r="P43" s="430"/>
      <c r="Q43" s="430"/>
      <c r="R43" s="430">
        <f t="shared" ref="R43:V43" si="115">+R40/Q40-1</f>
        <v>4.2064056939501775</v>
      </c>
      <c r="S43" s="430">
        <f t="shared" si="115"/>
        <v>3.3841421736158575</v>
      </c>
      <c r="T43" s="430">
        <f t="shared" si="115"/>
        <v>2.4261803866541931</v>
      </c>
      <c r="U43" s="430">
        <f t="shared" si="115"/>
        <v>0.70001666854678968</v>
      </c>
      <c r="V43" s="430">
        <f t="shared" si="115"/>
        <v>1.5596082010448309</v>
      </c>
      <c r="W43" s="430">
        <f t="shared" ref="W43:X43" si="116">+W40/V40-1</f>
        <v>0.62097638737682903</v>
      </c>
      <c r="X43" s="430" t="e">
        <f t="shared" si="116"/>
        <v>#VALUE!</v>
      </c>
      <c r="Y43" s="437"/>
      <c r="AA43" s="445"/>
    </row>
    <row r="44" spans="1:32" s="438" customFormat="1" collapsed="1">
      <c r="A44" s="429" t="s">
        <v>27</v>
      </c>
      <c r="B44" s="437"/>
      <c r="C44" s="430">
        <f t="shared" ref="C44:M44" si="117">+C40/C33</f>
        <v>0.31879101451102143</v>
      </c>
      <c r="D44" s="430">
        <f t="shared" si="117"/>
        <v>0.26378705246210116</v>
      </c>
      <c r="E44" s="430">
        <f t="shared" si="117"/>
        <v>0.27994601591911539</v>
      </c>
      <c r="F44" s="430">
        <f t="shared" si="117"/>
        <v>0.20489015573317029</v>
      </c>
      <c r="G44" s="430">
        <f t="shared" si="117"/>
        <v>0.21733535202003687</v>
      </c>
      <c r="H44" s="430">
        <f t="shared" si="117"/>
        <v>0.13148967993436633</v>
      </c>
      <c r="I44" s="430">
        <f t="shared" si="117"/>
        <v>0.25055132486616977</v>
      </c>
      <c r="J44" s="430">
        <f t="shared" ref="J44" si="118">+J40/J33</f>
        <v>0.21264613135063218</v>
      </c>
      <c r="K44" s="430">
        <f t="shared" si="117"/>
        <v>0.2319776073313296</v>
      </c>
      <c r="L44" s="430">
        <f t="shared" ref="L44" si="119">+L40/L33</f>
        <v>0.18769204282955665</v>
      </c>
      <c r="M44" s="430" t="e">
        <f t="shared" si="117"/>
        <v>#VALUE!</v>
      </c>
      <c r="N44" s="430">
        <f t="shared" ref="N44" si="120">+N40/N33</f>
        <v>0.20000000000000004</v>
      </c>
      <c r="Q44" s="430">
        <f t="shared" ref="Q44:V44" si="121">+Q40/Q33</f>
        <v>0.51654411764705888</v>
      </c>
      <c r="R44" s="430">
        <f t="shared" si="121"/>
        <v>0.25621716287215412</v>
      </c>
      <c r="S44" s="430">
        <f t="shared" si="121"/>
        <v>0.28062653132656629</v>
      </c>
      <c r="T44" s="430">
        <f t="shared" si="121"/>
        <v>0.23780715081864312</v>
      </c>
      <c r="U44" s="430">
        <f t="shared" si="121"/>
        <v>0.17799726424883897</v>
      </c>
      <c r="V44" s="430">
        <f t="shared" si="121"/>
        <v>0.22973946428271108</v>
      </c>
      <c r="W44" s="430">
        <f t="shared" ref="W44:X44" si="122">+W40/W33</f>
        <v>0.20882828977351106</v>
      </c>
      <c r="X44" s="430" t="e">
        <f t="shared" si="122"/>
        <v>#VALUE!</v>
      </c>
      <c r="Y44" s="437"/>
    </row>
    <row r="45" spans="1:32" s="438" customFormat="1" hidden="1" outlineLevel="1">
      <c r="A45" s="435"/>
      <c r="B45" s="430"/>
      <c r="C45" s="430"/>
      <c r="D45" s="430"/>
      <c r="E45" s="430"/>
      <c r="F45" s="430"/>
      <c r="G45" s="430"/>
      <c r="H45" s="430"/>
      <c r="I45" s="430"/>
      <c r="J45" s="430"/>
      <c r="K45" s="430"/>
      <c r="L45" s="430"/>
      <c r="M45" s="430"/>
      <c r="N45" s="430"/>
      <c r="O45" s="430"/>
      <c r="P45" s="430"/>
      <c r="Q45" s="430"/>
      <c r="R45" s="430"/>
      <c r="S45" s="430"/>
      <c r="T45" s="430"/>
      <c r="U45" s="430"/>
      <c r="V45" s="430"/>
      <c r="W45" s="430"/>
      <c r="X45" s="430"/>
      <c r="Y45" s="430"/>
    </row>
    <row r="46" spans="1:32" s="438" customFormat="1" hidden="1" outlineLevel="1">
      <c r="A46" s="408" t="s">
        <v>138</v>
      </c>
      <c r="B46" s="430"/>
      <c r="C46" s="430"/>
      <c r="D46" s="430"/>
      <c r="E46" s="430"/>
      <c r="F46" s="430"/>
      <c r="G46" s="430"/>
      <c r="H46" s="430"/>
      <c r="I46" s="430"/>
      <c r="J46" s="430"/>
      <c r="K46" s="430"/>
      <c r="L46" s="430"/>
      <c r="M46" s="430"/>
      <c r="N46" s="430"/>
      <c r="O46" s="430"/>
      <c r="P46" s="430"/>
      <c r="Q46" s="430"/>
      <c r="R46" s="430"/>
      <c r="S46" s="430"/>
      <c r="T46" s="430"/>
      <c r="U46" s="430"/>
      <c r="V46" s="430"/>
      <c r="W46" s="430"/>
      <c r="X46" s="430"/>
      <c r="Y46" s="430"/>
    </row>
    <row r="47" spans="1:32" s="422" customFormat="1" hidden="1" outlineLevel="1">
      <c r="A47" s="401" t="str">
        <f>+'Detailed Disclosure'!A45</f>
        <v>Advertising and Marketing Expense</v>
      </c>
      <c r="C47" s="423">
        <f>+'Detailed Disclosure'!X45/-1000</f>
        <v>0.58535999999999999</v>
      </c>
      <c r="D47" s="423">
        <f>+'Detailed Disclosure'!Y45/-1000</f>
        <v>1.34964</v>
      </c>
      <c r="E47" s="423">
        <f>+'Detailed Disclosure'!Z45/-1000</f>
        <v>3.8646379999999998</v>
      </c>
      <c r="F47" s="423">
        <f>+'Detailed Disclosure'!AA45/-1000</f>
        <v>7.8729540000000009</v>
      </c>
      <c r="G47" s="423">
        <f>+'Detailed Disclosure'!AB45/-1000</f>
        <v>25.875833</v>
      </c>
      <c r="H47" s="423"/>
      <c r="I47" s="423"/>
      <c r="J47" s="423"/>
      <c r="K47" s="423"/>
      <c r="L47" s="423"/>
      <c r="M47" s="423"/>
      <c r="N47" s="423"/>
      <c r="O47" s="423"/>
      <c r="P47" s="423"/>
      <c r="Q47" s="423">
        <f>+'Detailed Disclosure'!AJ45/-1000</f>
        <v>4.1000000000000002E-2</v>
      </c>
      <c r="R47" s="423">
        <f>+'Detailed Disclosure'!AK45/-1000</f>
        <v>0.41099999999999998</v>
      </c>
      <c r="S47" s="423">
        <f>+'Detailed Disclosure'!AL45/-1000</f>
        <v>1.9350000000000001</v>
      </c>
      <c r="T47" s="423">
        <f>+'Detailed Disclosure'!AM45/-1000</f>
        <v>11.737592000000001</v>
      </c>
      <c r="U47" s="423"/>
      <c r="V47" s="423"/>
      <c r="W47" s="423"/>
      <c r="X47" s="423"/>
      <c r="Y47" s="424"/>
    </row>
    <row r="48" spans="1:32" s="422" customFormat="1" hidden="1" outlineLevel="1">
      <c r="A48" s="401" t="str">
        <f>+'Detailed Disclosure'!A46</f>
        <v>Merchant Fees</v>
      </c>
      <c r="C48" s="423">
        <f>+'Detailed Disclosure'!X46/-1000</f>
        <v>0.584198</v>
      </c>
      <c r="D48" s="423">
        <f>+'Detailed Disclosure'!Y46/-1000</f>
        <v>0.27630200000000005</v>
      </c>
      <c r="E48" s="423">
        <f>+'Detailed Disclosure'!Z46/-1000</f>
        <v>1.77772</v>
      </c>
      <c r="F48" s="423">
        <f>+'Detailed Disclosure'!AA46/-1000</f>
        <v>2.6825839999999999</v>
      </c>
      <c r="G48" s="423">
        <f>+'Detailed Disclosure'!AB46/-1000</f>
        <v>5.3806430000000001</v>
      </c>
      <c r="H48" s="423"/>
      <c r="I48" s="423"/>
      <c r="J48" s="423"/>
      <c r="K48" s="423"/>
      <c r="L48" s="423"/>
      <c r="M48" s="423"/>
      <c r="N48" s="423"/>
      <c r="O48" s="423"/>
      <c r="P48" s="423"/>
      <c r="Q48" s="423">
        <f>+'Detailed Disclosure'!AJ46/-1000</f>
        <v>1.4999999999999999E-2</v>
      </c>
      <c r="R48" s="423">
        <f>+'Detailed Disclosure'!AK46/-1000</f>
        <v>0.252</v>
      </c>
      <c r="S48" s="423">
        <f>+'Detailed Disclosure'!AL46/-1000</f>
        <v>0.86050000000000004</v>
      </c>
      <c r="T48" s="423">
        <f>+'Detailed Disclosure'!AM46/-1000</f>
        <v>4.4603039999999998</v>
      </c>
      <c r="U48" s="423"/>
      <c r="V48" s="423"/>
      <c r="W48" s="423"/>
      <c r="X48" s="423"/>
      <c r="Y48" s="424"/>
    </row>
    <row r="49" spans="1:25" s="422" customFormat="1" hidden="1" outlineLevel="1">
      <c r="A49" s="401" t="str">
        <f>+'Detailed Disclosure'!A47</f>
        <v>Employee Benefits Expense</v>
      </c>
      <c r="C49" s="423">
        <f>+'Detailed Disclosure'!X47/-1000</f>
        <v>0.13510800000000001</v>
      </c>
      <c r="D49" s="423">
        <f>+'Detailed Disclosure'!Y47/-1000</f>
        <v>0.215392</v>
      </c>
      <c r="E49" s="423">
        <f>+'Detailed Disclosure'!Z47/-1000</f>
        <v>0.53925800000000002</v>
      </c>
      <c r="F49" s="423">
        <f>+'Detailed Disclosure'!AA47/-1000</f>
        <v>1.3259810000000001</v>
      </c>
      <c r="G49" s="423">
        <f>+'Detailed Disclosure'!AB47/-1000</f>
        <v>1.3805999999999998</v>
      </c>
      <c r="H49" s="423"/>
      <c r="I49" s="423"/>
      <c r="J49" s="423"/>
      <c r="K49" s="423"/>
      <c r="L49" s="423"/>
      <c r="M49" s="423"/>
      <c r="N49" s="423"/>
      <c r="O49" s="423"/>
      <c r="P49" s="423"/>
      <c r="Q49" s="423">
        <f>+'Detailed Disclosure'!AJ47/-1000</f>
        <v>1.0999999999999999E-2</v>
      </c>
      <c r="R49" s="423">
        <f>+'Detailed Disclosure'!AK47/-1000</f>
        <v>0.153</v>
      </c>
      <c r="S49" s="423">
        <f>+'Detailed Disclosure'!AL47/-1000</f>
        <v>0.35049999999999998</v>
      </c>
      <c r="T49" s="423">
        <f>+'Detailed Disclosure'!AM47/-1000</f>
        <v>1.8652390000000001</v>
      </c>
      <c r="U49" s="423"/>
      <c r="V49" s="423"/>
      <c r="W49" s="423"/>
      <c r="X49" s="423"/>
      <c r="Y49" s="424"/>
    </row>
    <row r="50" spans="1:25" s="419" customFormat="1" ht="21.5" hidden="1" outlineLevel="1">
      <c r="A50" s="401" t="str">
        <f>+'Detailed Disclosure'!A48</f>
        <v>General and Administrative Expense</v>
      </c>
      <c r="C50" s="420">
        <f>+'Detailed Disclosure'!X48/-1000</f>
        <v>0.21417599999999998</v>
      </c>
      <c r="D50" s="420">
        <f>+'Detailed Disclosure'!Y48/-1000</f>
        <v>0.98682400000000003</v>
      </c>
      <c r="E50" s="420">
        <f>+'Detailed Disclosure'!Z48/-1000</f>
        <v>1.2374480000000001</v>
      </c>
      <c r="F50" s="420">
        <f>+'Detailed Disclosure'!AA48/-1000</f>
        <v>2.1372089999999999</v>
      </c>
      <c r="G50" s="420">
        <f>+'Detailed Disclosure'!AB48/-1000</f>
        <v>3.9014160000000002</v>
      </c>
      <c r="H50" s="420"/>
      <c r="I50" s="420"/>
      <c r="J50" s="420"/>
      <c r="K50" s="420"/>
      <c r="L50" s="420"/>
      <c r="M50" s="420"/>
      <c r="N50" s="420"/>
      <c r="O50" s="420"/>
      <c r="P50" s="420"/>
      <c r="Q50" s="420">
        <f>+'Detailed Disclosure'!AJ48/-1000</f>
        <v>3.2000000000000001E-2</v>
      </c>
      <c r="R50" s="420">
        <f>+'Detailed Disclosure'!AK48/-1000</f>
        <v>0.18</v>
      </c>
      <c r="S50" s="420">
        <f>+'Detailed Disclosure'!AL48/-1000</f>
        <v>1.2010000000000001</v>
      </c>
      <c r="T50" s="420">
        <f>+'Detailed Disclosure'!AM48/-1000</f>
        <v>3.374657</v>
      </c>
      <c r="U50" s="420"/>
      <c r="V50" s="420"/>
      <c r="W50" s="420"/>
      <c r="X50" s="420"/>
      <c r="Y50" s="421"/>
    </row>
    <row r="51" spans="1:25" s="438" customFormat="1" hidden="1" outlineLevel="1">
      <c r="A51" s="451" t="s">
        <v>139</v>
      </c>
      <c r="C51" s="452">
        <f>SUM(C47:C50)</f>
        <v>1.5188419999999998</v>
      </c>
      <c r="D51" s="452">
        <f t="shared" ref="D51:E51" si="123">SUM(D47:D50)</f>
        <v>2.8281580000000002</v>
      </c>
      <c r="E51" s="452">
        <f t="shared" si="123"/>
        <v>7.4190640000000005</v>
      </c>
      <c r="F51" s="452">
        <f t="shared" ref="F51:G51" si="124">SUM(F47:F50)</f>
        <v>14.018728000000001</v>
      </c>
      <c r="G51" s="452">
        <f t="shared" si="124"/>
        <v>36.538491999999998</v>
      </c>
      <c r="H51" s="452"/>
      <c r="I51" s="452"/>
      <c r="J51" s="452"/>
      <c r="K51" s="452"/>
      <c r="L51" s="452"/>
      <c r="M51" s="452"/>
      <c r="N51" s="452"/>
      <c r="O51" s="452"/>
      <c r="P51" s="452"/>
      <c r="Q51" s="452">
        <f t="shared" ref="Q51" si="125">SUM(Q47:Q50)</f>
        <v>9.9000000000000005E-2</v>
      </c>
      <c r="R51" s="452">
        <f t="shared" ref="R51" si="126">SUM(R47:R50)</f>
        <v>0.996</v>
      </c>
      <c r="S51" s="452">
        <f t="shared" ref="S51:T51" si="127">SUM(S47:S50)</f>
        <v>4.3469999999999995</v>
      </c>
      <c r="T51" s="452">
        <f t="shared" si="127"/>
        <v>21.437791999999998</v>
      </c>
      <c r="U51" s="452"/>
      <c r="V51" s="452"/>
      <c r="W51" s="452"/>
      <c r="X51" s="452"/>
      <c r="Y51" s="430"/>
    </row>
    <row r="52" spans="1:25" s="438" customFormat="1" hidden="1" outlineLevel="1">
      <c r="A52" s="435"/>
      <c r="B52" s="430"/>
      <c r="C52" s="430"/>
      <c r="D52" s="430"/>
      <c r="E52" s="430"/>
      <c r="F52" s="430"/>
      <c r="G52" s="430"/>
      <c r="H52" s="430"/>
      <c r="I52" s="430"/>
      <c r="J52" s="430"/>
      <c r="K52" s="430"/>
      <c r="L52" s="430"/>
      <c r="M52" s="430"/>
      <c r="N52" s="430"/>
      <c r="O52" s="430"/>
      <c r="P52" s="430"/>
      <c r="Q52" s="430"/>
      <c r="R52" s="430"/>
      <c r="S52" s="430"/>
      <c r="T52" s="430"/>
      <c r="U52" s="430"/>
      <c r="V52" s="430"/>
      <c r="W52" s="430"/>
      <c r="X52" s="430"/>
      <c r="Y52" s="430"/>
    </row>
    <row r="53" spans="1:25" s="438" customFormat="1" hidden="1" outlineLevel="1">
      <c r="A53" s="426" t="s">
        <v>32</v>
      </c>
      <c r="B53" s="430"/>
      <c r="C53" s="430"/>
      <c r="D53" s="430"/>
      <c r="E53" s="430"/>
      <c r="F53" s="430"/>
      <c r="G53" s="430"/>
      <c r="H53" s="430"/>
      <c r="I53" s="430"/>
      <c r="J53" s="430"/>
      <c r="K53" s="430"/>
      <c r="L53" s="430"/>
      <c r="M53" s="430"/>
      <c r="N53" s="430"/>
      <c r="O53" s="430"/>
      <c r="P53" s="430"/>
      <c r="Q53" s="430"/>
      <c r="R53" s="430"/>
      <c r="S53" s="430"/>
      <c r="T53" s="430"/>
      <c r="U53" s="430"/>
      <c r="V53" s="430"/>
      <c r="W53" s="430"/>
      <c r="X53" s="430"/>
      <c r="Y53" s="430"/>
    </row>
    <row r="54" spans="1:25" s="438" customFormat="1" hidden="1" outlineLevel="1">
      <c r="A54" s="429" t="str">
        <f>+A47</f>
        <v>Advertising and Marketing Expense</v>
      </c>
      <c r="B54" s="430"/>
      <c r="C54" s="430">
        <f>+C47/C$33</f>
        <v>8.3654275298537112E-2</v>
      </c>
      <c r="D54" s="430">
        <f t="shared" ref="D54:E54" si="128">+D47/D$33</f>
        <v>8.5104456381443816E-2</v>
      </c>
      <c r="E54" s="430">
        <f t="shared" si="128"/>
        <v>9.5358403896731558E-2</v>
      </c>
      <c r="F54" s="430">
        <f t="shared" ref="F54:G54" si="129">+F47/F$33</f>
        <v>0.15174878242237302</v>
      </c>
      <c r="G54" s="430">
        <f t="shared" si="129"/>
        <v>0.22756733843760188</v>
      </c>
      <c r="H54" s="430"/>
      <c r="I54" s="430"/>
      <c r="J54" s="430"/>
      <c r="K54" s="430"/>
      <c r="L54" s="430"/>
      <c r="M54" s="430"/>
      <c r="N54" s="430"/>
      <c r="O54" s="430"/>
      <c r="P54" s="430"/>
      <c r="Q54" s="430">
        <f t="shared" ref="Q54:S54" si="130">+Q47/Q$33</f>
        <v>7.5367647058823525E-2</v>
      </c>
      <c r="R54" s="430">
        <f t="shared" si="130"/>
        <v>7.1978984238178625E-2</v>
      </c>
      <c r="S54" s="430">
        <f t="shared" si="130"/>
        <v>8.4660483024151204E-2</v>
      </c>
      <c r="T54" s="430">
        <f t="shared" ref="T54" si="131">+T47/T$33</f>
        <v>0.12701784458223767</v>
      </c>
      <c r="U54" s="430"/>
      <c r="V54" s="430"/>
      <c r="W54" s="430"/>
      <c r="X54" s="430"/>
      <c r="Y54" s="430"/>
    </row>
    <row r="55" spans="1:25" s="438" customFormat="1" hidden="1" outlineLevel="1">
      <c r="A55" s="429" t="str">
        <f>+A48</f>
        <v>Merchant Fees</v>
      </c>
      <c r="B55" s="430"/>
      <c r="C55" s="430">
        <f t="shared" ref="C55:E55" si="132">+C48/C$33</f>
        <v>8.3488212930256225E-2</v>
      </c>
      <c r="D55" s="430">
        <f t="shared" si="132"/>
        <v>1.7422817571430674E-2</v>
      </c>
      <c r="E55" s="430">
        <f t="shared" si="132"/>
        <v>4.3864533178863747E-2</v>
      </c>
      <c r="F55" s="430">
        <f t="shared" ref="F55:G55" si="133">+F48/F$33</f>
        <v>5.1705986818383426E-2</v>
      </c>
      <c r="G55" s="430">
        <f t="shared" si="133"/>
        <v>4.7320548350768592E-2</v>
      </c>
      <c r="H55" s="430"/>
      <c r="I55" s="430"/>
      <c r="J55" s="430"/>
      <c r="K55" s="430"/>
      <c r="L55" s="430"/>
      <c r="M55" s="430"/>
      <c r="N55" s="430"/>
      <c r="O55" s="430"/>
      <c r="P55" s="430"/>
      <c r="Q55" s="430">
        <f t="shared" ref="Q55:S55" si="134">+Q48/Q$33</f>
        <v>2.7573529411764702E-2</v>
      </c>
      <c r="R55" s="430">
        <f t="shared" si="134"/>
        <v>4.4133099824868655E-2</v>
      </c>
      <c r="S55" s="430">
        <f t="shared" si="134"/>
        <v>3.7648757437871889E-2</v>
      </c>
      <c r="T55" s="430">
        <f t="shared" ref="T55" si="135">+T48/T$33</f>
        <v>4.8266986981787482E-2</v>
      </c>
      <c r="U55" s="430"/>
      <c r="V55" s="430"/>
      <c r="W55" s="430"/>
      <c r="X55" s="430"/>
      <c r="Y55" s="430"/>
    </row>
    <row r="56" spans="1:25" s="438" customFormat="1" hidden="1" outlineLevel="1">
      <c r="A56" s="429" t="str">
        <f>+A49</f>
        <v>Employee Benefits Expense</v>
      </c>
      <c r="B56" s="430"/>
      <c r="C56" s="430">
        <f t="shared" ref="C56:E56" si="136">+C49/C$33</f>
        <v>1.930839453846309E-2</v>
      </c>
      <c r="D56" s="430">
        <f t="shared" si="136"/>
        <v>1.3582006363854026E-2</v>
      </c>
      <c r="E56" s="430">
        <f t="shared" si="136"/>
        <v>1.3305976437778564E-2</v>
      </c>
      <c r="F56" s="430">
        <f t="shared" ref="F56:G56" si="137">+F49/F$33</f>
        <v>2.5557878563141689E-2</v>
      </c>
      <c r="G56" s="430">
        <f t="shared" si="137"/>
        <v>1.2141810756274131E-2</v>
      </c>
      <c r="H56" s="430"/>
      <c r="I56" s="430"/>
      <c r="J56" s="430"/>
      <c r="K56" s="430"/>
      <c r="L56" s="430"/>
      <c r="M56" s="430"/>
      <c r="N56" s="430"/>
      <c r="O56" s="430"/>
      <c r="P56" s="430"/>
      <c r="Q56" s="430">
        <f t="shared" ref="Q56:S56" si="138">+Q49/Q$33</f>
        <v>2.0220588235294115E-2</v>
      </c>
      <c r="R56" s="430">
        <f t="shared" si="138"/>
        <v>2.6795096322241682E-2</v>
      </c>
      <c r="S56" s="430">
        <f t="shared" si="138"/>
        <v>1.5335141757087853E-2</v>
      </c>
      <c r="T56" s="430">
        <f t="shared" ref="T56" si="139">+T49/T$33</f>
        <v>2.0184603231286995E-2</v>
      </c>
      <c r="U56" s="430"/>
      <c r="V56" s="430"/>
      <c r="W56" s="430"/>
      <c r="X56" s="430"/>
      <c r="Y56" s="430"/>
    </row>
    <row r="57" spans="1:25" s="433" customFormat="1" ht="21.5" hidden="1" outlineLevel="1">
      <c r="A57" s="429" t="str">
        <f>+A50</f>
        <v>General and Administrative Expense</v>
      </c>
      <c r="B57" s="416"/>
      <c r="C57" s="416">
        <f t="shared" ref="C57:E57" si="140">+C50/C$33</f>
        <v>3.0608066943999392E-2</v>
      </c>
      <c r="D57" s="416">
        <f t="shared" si="140"/>
        <v>6.2226312249312347E-2</v>
      </c>
      <c r="E57" s="416">
        <f t="shared" si="140"/>
        <v>3.053353669482179E-2</v>
      </c>
      <c r="F57" s="416">
        <f t="shared" ref="F57:G57" si="141">+F50/F$33</f>
        <v>4.119405035671965E-2</v>
      </c>
      <c r="G57" s="416">
        <f t="shared" si="141"/>
        <v>3.4311353580689555E-2</v>
      </c>
      <c r="H57" s="416"/>
      <c r="I57" s="416"/>
      <c r="J57" s="416"/>
      <c r="K57" s="416"/>
      <c r="L57" s="416"/>
      <c r="M57" s="416"/>
      <c r="N57" s="416"/>
      <c r="O57" s="416"/>
      <c r="P57" s="416"/>
      <c r="Q57" s="416">
        <f t="shared" ref="Q57:S57" si="142">+Q50/Q$33</f>
        <v>5.8823529411764705E-2</v>
      </c>
      <c r="R57" s="416">
        <f t="shared" si="142"/>
        <v>3.1523642732049037E-2</v>
      </c>
      <c r="S57" s="416">
        <f t="shared" si="142"/>
        <v>5.2546377318865946E-2</v>
      </c>
      <c r="T57" s="416">
        <f t="shared" ref="T57" si="143">+T50/T$33</f>
        <v>3.6518704888052027E-2</v>
      </c>
      <c r="U57" s="416"/>
      <c r="V57" s="416"/>
      <c r="W57" s="416"/>
      <c r="X57" s="416"/>
      <c r="Y57" s="416"/>
    </row>
    <row r="58" spans="1:25" s="441" customFormat="1" hidden="1" outlineLevel="1">
      <c r="A58" s="453" t="str">
        <f>+A51</f>
        <v>Total Cash Operating Expenses</v>
      </c>
      <c r="B58" s="440"/>
      <c r="C58" s="440">
        <f t="shared" ref="C58:E58" si="144">+C51/C$33</f>
        <v>0.21705894971125581</v>
      </c>
      <c r="D58" s="440">
        <f t="shared" si="144"/>
        <v>0.17833559256604087</v>
      </c>
      <c r="E58" s="440">
        <f t="shared" si="144"/>
        <v>0.1830624502081957</v>
      </c>
      <c r="F58" s="440">
        <f t="shared" ref="F58:G58" si="145">+F51/F$33</f>
        <v>0.27020669816061782</v>
      </c>
      <c r="G58" s="440">
        <f t="shared" si="145"/>
        <v>0.32134105112533412</v>
      </c>
      <c r="H58" s="440"/>
      <c r="I58" s="440"/>
      <c r="J58" s="440"/>
      <c r="K58" s="440"/>
      <c r="L58" s="440"/>
      <c r="M58" s="440"/>
      <c r="N58" s="440"/>
      <c r="O58" s="440"/>
      <c r="P58" s="440"/>
      <c r="Q58" s="440">
        <f t="shared" ref="Q58:S58" si="146">+Q51/Q$33</f>
        <v>0.18198529411764705</v>
      </c>
      <c r="R58" s="440">
        <f t="shared" si="146"/>
        <v>0.17443082311733801</v>
      </c>
      <c r="S58" s="440">
        <f t="shared" si="146"/>
        <v>0.19019075953797687</v>
      </c>
      <c r="T58" s="440">
        <f t="shared" ref="T58" si="147">+T51/T$33</f>
        <v>0.23198813968336415</v>
      </c>
      <c r="U58" s="440"/>
      <c r="V58" s="440"/>
      <c r="W58" s="440"/>
      <c r="X58" s="440"/>
      <c r="Y58" s="440"/>
    </row>
    <row r="59" spans="1:25" s="438" customFormat="1" collapsed="1">
      <c r="A59" s="435"/>
      <c r="B59" s="430"/>
      <c r="C59" s="430"/>
      <c r="D59" s="430"/>
      <c r="E59" s="430"/>
      <c r="F59" s="430"/>
      <c r="G59" s="430"/>
      <c r="H59" s="430"/>
      <c r="I59" s="430"/>
      <c r="J59" s="430"/>
      <c r="K59" s="430"/>
      <c r="L59" s="430"/>
      <c r="M59" s="430"/>
      <c r="N59" s="430"/>
      <c r="O59" s="430"/>
      <c r="P59" s="430"/>
      <c r="Q59" s="430"/>
      <c r="R59" s="430"/>
      <c r="S59" s="430"/>
      <c r="T59" s="430"/>
      <c r="U59" s="430"/>
      <c r="V59" s="430"/>
      <c r="W59" s="430"/>
      <c r="X59" s="430"/>
      <c r="Y59" s="430"/>
    </row>
    <row r="60" spans="1:25" s="438" customFormat="1">
      <c r="A60" s="413" t="s">
        <v>142</v>
      </c>
      <c r="B60" s="423"/>
      <c r="C60" s="423"/>
      <c r="D60" s="423"/>
      <c r="E60" s="423"/>
      <c r="F60" s="423"/>
      <c r="G60" s="423"/>
      <c r="H60" s="423"/>
      <c r="I60" s="423"/>
      <c r="J60" s="423"/>
      <c r="K60" s="423"/>
      <c r="L60" s="423"/>
      <c r="M60" s="423"/>
      <c r="N60" s="423"/>
      <c r="O60" s="423"/>
      <c r="P60" s="423"/>
      <c r="Q60" s="423"/>
      <c r="R60" s="423"/>
      <c r="S60" s="423"/>
      <c r="T60" s="423"/>
      <c r="U60" s="423"/>
      <c r="V60" s="444"/>
      <c r="W60" s="444"/>
      <c r="X60" s="444"/>
      <c r="Y60" s="430"/>
    </row>
    <row r="61" spans="1:25" s="438" customFormat="1">
      <c r="A61" s="449" t="str">
        <f>+'Detailed Disclosures - USD'!A45</f>
        <v>Advertising and Marketing Expense</v>
      </c>
      <c r="B61" s="447"/>
      <c r="C61" s="423">
        <f>+'Detailed Disclosure'!X45/-1000</f>
        <v>0.58535999999999999</v>
      </c>
      <c r="D61" s="423">
        <f>+'Detailed Disclosure'!Y45/-1000</f>
        <v>1.34964</v>
      </c>
      <c r="E61" s="423">
        <f>+'Detailed Disclosure'!Z45/-1000</f>
        <v>3.8646379999999998</v>
      </c>
      <c r="F61" s="423">
        <f>+'Detailed Disclosure'!AA45/-1000</f>
        <v>7.8729540000000009</v>
      </c>
      <c r="G61" s="423">
        <f>+'Detailed Disclosure'!AB45/-1000</f>
        <v>25.875833</v>
      </c>
      <c r="H61" s="423">
        <f>+'Detailed Disclosure'!AC45/-1000</f>
        <v>17.155363000000005</v>
      </c>
      <c r="I61" s="423">
        <f>+'Detailed Disclosure'!AD45/-1000</f>
        <v>16.422716000000001</v>
      </c>
      <c r="J61" s="423">
        <f>+'Detailed Disclosure'!AE45/-1000</f>
        <v>20.141917000000003</v>
      </c>
      <c r="K61" s="423">
        <f>+'Detailed Disclosure'!AF45/-1000</f>
        <v>34.215879999999999</v>
      </c>
      <c r="L61" s="423">
        <f>+'Detailed Disclosure'!AG45/-1000</f>
        <v>41.507993999999997</v>
      </c>
      <c r="M61" s="423" t="e">
        <f>+'Historical - USD'!M61*'Historical - USD'!M$181</f>
        <v>#VALUE!</v>
      </c>
      <c r="N61" s="423">
        <f>+'Historical - USD'!N61*'Historical - USD'!N$181</f>
        <v>41.637346823068533</v>
      </c>
      <c r="O61" s="430"/>
      <c r="P61" s="430"/>
      <c r="Q61" s="423">
        <f>+'Detailed Disclosure'!AJ45/-1000</f>
        <v>4.1000000000000002E-2</v>
      </c>
      <c r="R61" s="423">
        <f>+'Detailed Disclosure'!AK45/-1000</f>
        <v>0.41099999999999998</v>
      </c>
      <c r="S61" s="423">
        <f>+'Detailed Disclosure'!AL45/-1000</f>
        <v>1.9350000000000001</v>
      </c>
      <c r="T61" s="423">
        <f>+'Detailed Disclosure'!AM45/-1000</f>
        <v>11.737592000000001</v>
      </c>
      <c r="U61" s="423">
        <f>+'Detailed Disclosure'!AN45/-1000</f>
        <v>43.031196000000001</v>
      </c>
      <c r="V61" s="423">
        <f>SUM(I61:J61)</f>
        <v>36.564633000000001</v>
      </c>
      <c r="W61" s="423">
        <f t="shared" ref="W61:W67" si="148">SUM(K61:L61)</f>
        <v>75.723873999999995</v>
      </c>
      <c r="X61" s="423" t="e">
        <f t="shared" ref="X61:X67" si="149">+SUM(M61:N61)</f>
        <v>#VALUE!</v>
      </c>
      <c r="Y61" s="430"/>
    </row>
    <row r="62" spans="1:25" s="438" customFormat="1">
      <c r="A62" s="449" t="str">
        <f>+'Detailed Disclosures - USD'!A46</f>
        <v>Merchant Fees</v>
      </c>
      <c r="B62" s="447"/>
      <c r="C62" s="423">
        <f>+'Detailed Disclosure'!X46/-1000</f>
        <v>0.584198</v>
      </c>
      <c r="D62" s="423">
        <f>+'Detailed Disclosure'!Y46/-1000</f>
        <v>0.27630200000000005</v>
      </c>
      <c r="E62" s="423">
        <f>+'Detailed Disclosure'!Z46/-1000</f>
        <v>1.77772</v>
      </c>
      <c r="F62" s="423">
        <f>+'Detailed Disclosure'!AA46/-1000</f>
        <v>2.6825839999999999</v>
      </c>
      <c r="G62" s="423">
        <f>+'Detailed Disclosure'!AB46/-1000</f>
        <v>5.3806430000000001</v>
      </c>
      <c r="H62" s="423">
        <f>+'Detailed Disclosure'!AC46/-1000</f>
        <v>4.6874289999999998</v>
      </c>
      <c r="I62" s="423">
        <f>+'Detailed Disclosure'!AD46/-1000</f>
        <v>7.6736339999999998</v>
      </c>
      <c r="J62" s="423">
        <f>+'Detailed Disclosure'!AE46/-1000</f>
        <v>9.208259</v>
      </c>
      <c r="K62" s="423">
        <f>+'Detailed Disclosure'!AF46/-1000</f>
        <v>12.820898999999999</v>
      </c>
      <c r="L62" s="423">
        <f>+'Detailed Disclosure'!AG46/-1000</f>
        <v>15.287402999999999</v>
      </c>
      <c r="M62" s="423" t="e">
        <f>+'Historical - USD'!M62*'Historical - USD'!M$181</f>
        <v>#VALUE!</v>
      </c>
      <c r="N62" s="423">
        <f>+'Historical - USD'!N62*'Historical - USD'!N$181</f>
        <v>15.055155240165393</v>
      </c>
      <c r="O62" s="430"/>
      <c r="P62" s="430"/>
      <c r="Q62" s="423">
        <f>+'Detailed Disclosure'!AJ46/-1000</f>
        <v>1.4999999999999999E-2</v>
      </c>
      <c r="R62" s="423">
        <f>+'Detailed Disclosure'!AK46/-1000</f>
        <v>0.252</v>
      </c>
      <c r="S62" s="423">
        <f>+'Detailed Disclosure'!AL46/-1000</f>
        <v>0.86050000000000004</v>
      </c>
      <c r="T62" s="423">
        <f>+'Detailed Disclosure'!AM46/-1000</f>
        <v>4.4603039999999998</v>
      </c>
      <c r="U62" s="423">
        <f>+'Detailed Disclosure'!AN46/-1000</f>
        <v>10.068072000000001</v>
      </c>
      <c r="V62" s="423">
        <f t="shared" ref="V62:V65" si="150">SUM(I62:J62)</f>
        <v>16.881892999999998</v>
      </c>
      <c r="W62" s="423">
        <f t="shared" si="148"/>
        <v>28.108301999999998</v>
      </c>
      <c r="X62" s="423" t="e">
        <f t="shared" si="149"/>
        <v>#VALUE!</v>
      </c>
      <c r="Y62" s="430"/>
    </row>
    <row r="63" spans="1:25" s="438" customFormat="1">
      <c r="A63" s="449" t="str">
        <f>+'Detailed Disclosures - USD'!A47</f>
        <v>Employee Benefits Expense</v>
      </c>
      <c r="B63" s="447"/>
      <c r="C63" s="423">
        <f>+'Detailed Disclosure'!X47/-1000</f>
        <v>0.13510800000000001</v>
      </c>
      <c r="D63" s="423">
        <f>+'Detailed Disclosure'!Y47/-1000</f>
        <v>0.215392</v>
      </c>
      <c r="E63" s="423">
        <f>+'Detailed Disclosure'!Z47/-1000</f>
        <v>0.53925800000000002</v>
      </c>
      <c r="F63" s="423">
        <f>+'Detailed Disclosure'!AA47/-1000</f>
        <v>1.3259810000000001</v>
      </c>
      <c r="G63" s="423">
        <f>+'Detailed Disclosure'!AB47/-1000</f>
        <v>1.3805999999999998</v>
      </c>
      <c r="H63" s="423">
        <f>+'Detailed Disclosure'!AC47/-1000</f>
        <v>1.555364</v>
      </c>
      <c r="I63" s="423">
        <f>+'Detailed Disclosure'!AD47/-1000</f>
        <v>2.1513489999999997</v>
      </c>
      <c r="J63" s="423">
        <f>+'Detailed Disclosure'!AE47/-1000</f>
        <v>1.5512920000000003</v>
      </c>
      <c r="K63" s="423">
        <f>+'Detailed Disclosure'!AF47/-1000</f>
        <v>3.281393</v>
      </c>
      <c r="L63" s="423">
        <f>+'Detailed Disclosure'!AG47/-1000</f>
        <v>4.4741499999999998</v>
      </c>
      <c r="M63" s="423" t="e">
        <f>+'Historical - USD'!M63*'Historical - USD'!M$181</f>
        <v>#VALUE!</v>
      </c>
      <c r="N63" s="423">
        <f>+'Historical - USD'!N63*'Historical - USD'!N$181</f>
        <v>4.3014729257615407</v>
      </c>
      <c r="O63" s="430"/>
      <c r="P63" s="430"/>
      <c r="Q63" s="423">
        <f>+'Detailed Disclosure'!AJ47/-1000</f>
        <v>1.0999999999999999E-2</v>
      </c>
      <c r="R63" s="423">
        <f>+'Detailed Disclosure'!AK47/-1000</f>
        <v>0.153</v>
      </c>
      <c r="S63" s="423">
        <f>+'Detailed Disclosure'!AL47/-1000</f>
        <v>0.35049999999999998</v>
      </c>
      <c r="T63" s="423">
        <f>+'Detailed Disclosure'!AM47/-1000</f>
        <v>1.8652390000000001</v>
      </c>
      <c r="U63" s="423">
        <f>+'Detailed Disclosure'!AN47/-1000</f>
        <v>2.9359639999999998</v>
      </c>
      <c r="V63" s="423">
        <f t="shared" si="150"/>
        <v>3.7026409999999998</v>
      </c>
      <c r="W63" s="423">
        <f t="shared" si="148"/>
        <v>7.7555429999999994</v>
      </c>
      <c r="X63" s="423" t="e">
        <f t="shared" si="149"/>
        <v>#VALUE!</v>
      </c>
      <c r="Y63" s="430"/>
    </row>
    <row r="64" spans="1:25" s="438" customFormat="1" ht="21.5">
      <c r="A64" s="401" t="s">
        <v>143</v>
      </c>
      <c r="B64" s="419"/>
      <c r="C64" s="420">
        <f t="shared" ref="C64:L64" si="151">+C40-C114-C61-C62-C63+C66</f>
        <v>0.2142400000000004</v>
      </c>
      <c r="D64" s="420">
        <f t="shared" si="151"/>
        <v>0.78475999999999946</v>
      </c>
      <c r="E64" s="420">
        <f t="shared" si="151"/>
        <v>0.88606899999999544</v>
      </c>
      <c r="F64" s="420">
        <f t="shared" si="151"/>
        <v>1.8472410000000079</v>
      </c>
      <c r="G64" s="420">
        <f t="shared" si="151"/>
        <v>3.0362410000000093</v>
      </c>
      <c r="H64" s="420">
        <f t="shared" si="151"/>
        <v>2.0295579999999873</v>
      </c>
      <c r="I64" s="420">
        <f t="shared" si="151"/>
        <v>5.2270699999999888</v>
      </c>
      <c r="J64" s="420">
        <f t="shared" si="151"/>
        <v>6.5125270000000004</v>
      </c>
      <c r="K64" s="420">
        <f t="shared" si="151"/>
        <v>7.4460239999999835</v>
      </c>
      <c r="L64" s="420">
        <f t="shared" si="151"/>
        <v>8.5150330000000096</v>
      </c>
      <c r="M64" s="420" t="e">
        <f>+'Historical - USD'!M64*'Historical - USD'!M$181</f>
        <v>#VALUE!</v>
      </c>
      <c r="N64" s="420">
        <f>+'Historical - USD'!N64*'Historical - USD'!N$181</f>
        <v>10.753682314403854</v>
      </c>
      <c r="O64" s="420"/>
      <c r="P64" s="420"/>
      <c r="Q64" s="420">
        <f>+Q40-Q114-Q61-Q62-Q63+Q66</f>
        <v>5.4000000000000013E-2</v>
      </c>
      <c r="R64" s="420">
        <f>+R40-R114-R61-R62-R63+R66</f>
        <v>0.18000000000000013</v>
      </c>
      <c r="S64" s="420">
        <f>+S40-S114-S61-S62-S63+S66</f>
        <v>0.99899999999999967</v>
      </c>
      <c r="T64" s="420">
        <f>+T40-T114-T61-T62-T63+T66</f>
        <v>2.7333099999999924</v>
      </c>
      <c r="U64" s="420">
        <f>+U40-U114-U61-U62-U63+U66</f>
        <v>5.0657989999999984</v>
      </c>
      <c r="V64" s="420">
        <f t="shared" si="150"/>
        <v>11.739596999999989</v>
      </c>
      <c r="W64" s="420">
        <f>SUM(K64:L64)</f>
        <v>15.961056999999993</v>
      </c>
      <c r="X64" s="420" t="e">
        <f t="shared" si="149"/>
        <v>#VALUE!</v>
      </c>
      <c r="Y64" s="430"/>
    </row>
    <row r="65" spans="1:25" s="438" customFormat="1">
      <c r="A65" s="418" t="s">
        <v>144</v>
      </c>
      <c r="B65" s="422"/>
      <c r="C65" s="423">
        <f t="shared" ref="C65:J65" si="152">+SUM(C61:C64)</f>
        <v>1.5189060000000003</v>
      </c>
      <c r="D65" s="423">
        <f t="shared" si="152"/>
        <v>2.6260939999999993</v>
      </c>
      <c r="E65" s="423">
        <f t="shared" si="152"/>
        <v>7.0676849999999956</v>
      </c>
      <c r="F65" s="423">
        <f t="shared" si="152"/>
        <v>13.728760000000008</v>
      </c>
      <c r="G65" s="423">
        <f t="shared" si="152"/>
        <v>35.673317000000011</v>
      </c>
      <c r="H65" s="423">
        <f t="shared" si="152"/>
        <v>25.427713999999991</v>
      </c>
      <c r="I65" s="423">
        <f t="shared" si="152"/>
        <v>31.474768999999988</v>
      </c>
      <c r="J65" s="423">
        <f t="shared" si="152"/>
        <v>37.413995000000007</v>
      </c>
      <c r="K65" s="423">
        <f t="shared" ref="K65:L65" si="153">+SUM(K61:K64)</f>
        <v>57.764195999999984</v>
      </c>
      <c r="L65" s="423">
        <f t="shared" si="153"/>
        <v>69.784580000000005</v>
      </c>
      <c r="M65" s="423" t="e">
        <f>+'Historical - USD'!M65*'Historical - USD'!M$181</f>
        <v>#VALUE!</v>
      </c>
      <c r="N65" s="423">
        <f>+'Historical - USD'!N65*'Historical - USD'!N$181</f>
        <v>71.747657303399322</v>
      </c>
      <c r="O65" s="423"/>
      <c r="P65" s="423"/>
      <c r="Q65" s="423">
        <f t="shared" ref="Q65" si="154">+SUM(Q61:Q64)</f>
        <v>0.12100000000000002</v>
      </c>
      <c r="R65" s="423">
        <f>+SUM(R61:R64)</f>
        <v>0.99600000000000022</v>
      </c>
      <c r="S65" s="423">
        <f t="shared" ref="S65:U65" si="155">+SUM(S61:S64)</f>
        <v>4.1449999999999996</v>
      </c>
      <c r="T65" s="423">
        <f t="shared" si="155"/>
        <v>20.796444999999991</v>
      </c>
      <c r="U65" s="423">
        <f t="shared" si="155"/>
        <v>61.101030999999999</v>
      </c>
      <c r="V65" s="423">
        <f t="shared" si="150"/>
        <v>68.888763999999995</v>
      </c>
      <c r="W65" s="423">
        <f>SUM(K65:L65)</f>
        <v>127.54877599999999</v>
      </c>
      <c r="X65" s="423" t="e">
        <f t="shared" si="149"/>
        <v>#VALUE!</v>
      </c>
      <c r="Y65" s="430"/>
    </row>
    <row r="66" spans="1:25" s="438" customFormat="1" ht="21.5">
      <c r="A66" s="401" t="s">
        <v>145</v>
      </c>
      <c r="B66" s="419"/>
      <c r="C66" s="420">
        <f>+'Detailed Disclosure'!X42/1000</f>
        <v>0.18720699999999998</v>
      </c>
      <c r="D66" s="420">
        <f>+'Detailed Disclosure'!Y42/1000</f>
        <v>0.29879300000000003</v>
      </c>
      <c r="E66" s="420">
        <f>+'Detailed Disclosure'!Z42/1000</f>
        <v>0.51717200000000008</v>
      </c>
      <c r="F66" s="420">
        <f>+'Detailed Disclosure'!AA42/1000</f>
        <v>0.58875199999999994</v>
      </c>
      <c r="G66" s="420">
        <f>+'Detailed Disclosure'!AB42/1000</f>
        <v>0.8149249999999999</v>
      </c>
      <c r="H66" s="420">
        <f>+'Detailed Disclosure'!AC42/1000</f>
        <v>1.0393540000000001</v>
      </c>
      <c r="I66" s="420">
        <f>+'Detailed Disclosure'!AD42/1000</f>
        <v>0.91193400000000002</v>
      </c>
      <c r="J66" s="420">
        <f>+'Detailed Disclosure'!AE42/1000</f>
        <v>1.2322039999999999</v>
      </c>
      <c r="K66" s="420">
        <f>+'Detailed Disclosure'!AF42/1000</f>
        <v>1.4075599999999999</v>
      </c>
      <c r="L66" s="420">
        <f>+'Detailed Disclosure'!AG42/1000</f>
        <v>1.6740529999999998</v>
      </c>
      <c r="M66" s="420" t="e">
        <f>+'Historical - USD'!M66*'Historical - USD'!M$181</f>
        <v>#VALUE!</v>
      </c>
      <c r="N66" s="420">
        <f>+'Historical - USD'!N66*'Historical - USD'!N$181</f>
        <v>1.5905363106154955</v>
      </c>
      <c r="O66" s="420"/>
      <c r="P66" s="420"/>
      <c r="Q66" s="420">
        <f>+'Detailed Disclosure'!AJ42/1000</f>
        <v>8.9999999999999993E-3</v>
      </c>
      <c r="R66" s="420">
        <f>+'Detailed Disclosure'!AK42/1000</f>
        <v>0.13900000000000001</v>
      </c>
      <c r="S66" s="420">
        <f>+'Detailed Disclosure'!AL42/1000</f>
        <v>0.48599999999999999</v>
      </c>
      <c r="T66" s="420">
        <f>+'Detailed Disclosure'!AM42/1000</f>
        <v>1.1059239999999999</v>
      </c>
      <c r="U66" s="420">
        <f>+'Detailed Disclosure'!AN42/1000</f>
        <v>1.854279</v>
      </c>
      <c r="V66" s="420">
        <f>+'Detailed Disclosure'!AO42/1000</f>
        <v>2.1441379999999999</v>
      </c>
      <c r="W66" s="420">
        <f t="shared" si="148"/>
        <v>3.0816129999999999</v>
      </c>
      <c r="X66" s="420" t="e">
        <f t="shared" si="149"/>
        <v>#VALUE!</v>
      </c>
      <c r="Y66" s="430"/>
    </row>
    <row r="67" spans="1:25" s="438" customFormat="1">
      <c r="A67" s="418" t="s">
        <v>146</v>
      </c>
      <c r="B67" s="422"/>
      <c r="C67" s="423">
        <f t="shared" ref="C67:J67" si="156">+C65-C66</f>
        <v>1.3316990000000004</v>
      </c>
      <c r="D67" s="423">
        <f t="shared" si="156"/>
        <v>2.3273009999999994</v>
      </c>
      <c r="E67" s="423">
        <f t="shared" si="156"/>
        <v>6.5505129999999951</v>
      </c>
      <c r="F67" s="423">
        <f t="shared" si="156"/>
        <v>13.140008000000009</v>
      </c>
      <c r="G67" s="423">
        <f t="shared" si="156"/>
        <v>34.858392000000009</v>
      </c>
      <c r="H67" s="423">
        <f t="shared" si="156"/>
        <v>24.388359999999992</v>
      </c>
      <c r="I67" s="423">
        <f t="shared" si="156"/>
        <v>30.562834999999989</v>
      </c>
      <c r="J67" s="423">
        <f t="shared" si="156"/>
        <v>36.181791000000004</v>
      </c>
      <c r="K67" s="423">
        <f>+K65-K66</f>
        <v>56.356635999999988</v>
      </c>
      <c r="L67" s="423">
        <f t="shared" ref="L67" si="157">+L65-L66</f>
        <v>68.110527000000005</v>
      </c>
      <c r="M67" s="423" t="e">
        <f t="shared" ref="M67" si="158">+M65-M66</f>
        <v>#VALUE!</v>
      </c>
      <c r="N67" s="423">
        <f t="shared" ref="N67" si="159">+N65-N66</f>
        <v>70.157120992783831</v>
      </c>
      <c r="O67" s="423"/>
      <c r="P67" s="423"/>
      <c r="Q67" s="423">
        <f t="shared" ref="Q67" si="160">+Q65-Q66</f>
        <v>0.11200000000000003</v>
      </c>
      <c r="R67" s="423">
        <f t="shared" ref="R67" si="161">+R65-R66</f>
        <v>0.85700000000000021</v>
      </c>
      <c r="S67" s="423">
        <f t="shared" ref="S67" si="162">+S65-S66</f>
        <v>3.6589999999999998</v>
      </c>
      <c r="T67" s="423">
        <f t="shared" ref="T67" si="163">+T65-T66</f>
        <v>19.69052099999999</v>
      </c>
      <c r="U67" s="423">
        <f t="shared" ref="U67" si="164">+U65-U66</f>
        <v>59.246752000000001</v>
      </c>
      <c r="V67" s="423">
        <f t="shared" ref="V67" si="165">+V65-V66</f>
        <v>66.744625999999997</v>
      </c>
      <c r="W67" s="423">
        <f t="shared" si="148"/>
        <v>124.467163</v>
      </c>
      <c r="X67" s="423" t="e">
        <f t="shared" si="149"/>
        <v>#VALUE!</v>
      </c>
      <c r="Y67" s="430"/>
    </row>
    <row r="68" spans="1:25" s="438" customFormat="1">
      <c r="A68" s="429"/>
      <c r="B68" s="447"/>
      <c r="C68" s="430"/>
      <c r="D68" s="430"/>
      <c r="E68" s="430"/>
      <c r="F68" s="430"/>
      <c r="G68" s="430"/>
      <c r="H68" s="430"/>
      <c r="I68" s="430"/>
      <c r="J68" s="430"/>
      <c r="K68" s="430"/>
      <c r="L68" s="430"/>
      <c r="M68" s="430"/>
      <c r="N68" s="430"/>
      <c r="O68" s="430"/>
      <c r="P68" s="430"/>
      <c r="Q68" s="430"/>
      <c r="R68" s="430"/>
      <c r="S68" s="430"/>
      <c r="T68" s="430"/>
      <c r="U68" s="430"/>
      <c r="V68" s="444"/>
      <c r="W68" s="444"/>
      <c r="X68" s="444"/>
      <c r="Y68" s="430"/>
    </row>
    <row r="69" spans="1:25" s="438" customFormat="1">
      <c r="A69" s="426" t="s">
        <v>25</v>
      </c>
      <c r="B69" s="447"/>
      <c r="C69" s="430"/>
      <c r="D69" s="430"/>
      <c r="E69" s="430"/>
      <c r="F69" s="430"/>
      <c r="G69" s="430"/>
      <c r="H69" s="430"/>
      <c r="I69" s="430"/>
      <c r="J69" s="430"/>
      <c r="K69" s="430"/>
      <c r="L69" s="430"/>
      <c r="M69" s="430"/>
      <c r="N69" s="430"/>
      <c r="O69" s="430"/>
      <c r="P69" s="430"/>
      <c r="Q69" s="430"/>
      <c r="R69" s="430"/>
      <c r="S69" s="430"/>
      <c r="T69" s="430"/>
      <c r="U69" s="430"/>
      <c r="V69" s="444"/>
      <c r="W69" s="444"/>
      <c r="X69" s="444"/>
      <c r="Y69" s="430"/>
    </row>
    <row r="70" spans="1:25" s="438" customFormat="1">
      <c r="A70" s="429" t="str">
        <f t="shared" ref="A70:A76" si="166">+A61</f>
        <v>Advertising and Marketing Expense</v>
      </c>
      <c r="B70" s="447"/>
      <c r="E70" s="430">
        <f t="shared" ref="E70:K76" si="167">+E61/C61-1</f>
        <v>5.6021559382260486</v>
      </c>
      <c r="F70" s="430">
        <f t="shared" si="167"/>
        <v>4.8333733440028457</v>
      </c>
      <c r="G70" s="430">
        <f t="shared" si="167"/>
        <v>5.6955386248336843</v>
      </c>
      <c r="H70" s="430">
        <f t="shared" si="167"/>
        <v>1.1790249250789477</v>
      </c>
      <c r="I70" s="430">
        <f t="shared" si="167"/>
        <v>-0.36532609404304006</v>
      </c>
      <c r="J70" s="430">
        <f t="shared" si="167"/>
        <v>0.17408865087844516</v>
      </c>
      <c r="K70" s="430">
        <f t="shared" si="167"/>
        <v>1.0834483163442634</v>
      </c>
      <c r="L70" s="430">
        <f t="shared" ref="L70:L76" si="168">+L61/J61-1</f>
        <v>1.060776737388005</v>
      </c>
      <c r="M70" s="430" t="e">
        <f t="shared" ref="M70:M76" si="169">+M61/K61-1</f>
        <v>#VALUE!</v>
      </c>
      <c r="N70" s="430">
        <f t="shared" ref="N70:N76" si="170">+N61/L61-1</f>
        <v>3.1163352068648287E-3</v>
      </c>
      <c r="O70" s="430"/>
      <c r="P70" s="430"/>
      <c r="Q70" s="430"/>
      <c r="R70" s="430">
        <f t="shared" ref="R70:W76" si="171">+R61/Q61-1</f>
        <v>9.0243902439024382</v>
      </c>
      <c r="S70" s="430">
        <f t="shared" si="171"/>
        <v>3.7080291970802923</v>
      </c>
      <c r="T70" s="430">
        <f t="shared" si="171"/>
        <v>5.0659390180878558</v>
      </c>
      <c r="U70" s="430">
        <f t="shared" si="171"/>
        <v>2.6661008493053768</v>
      </c>
      <c r="V70" s="430">
        <f t="shared" si="171"/>
        <v>-0.15027616243806008</v>
      </c>
      <c r="W70" s="430">
        <f t="shared" si="171"/>
        <v>1.0709594979388961</v>
      </c>
      <c r="X70" s="430" t="e">
        <f t="shared" ref="X70:X76" si="172">+X61/W61-1</f>
        <v>#VALUE!</v>
      </c>
      <c r="Y70" s="430"/>
    </row>
    <row r="71" spans="1:25" s="438" customFormat="1">
      <c r="A71" s="429" t="str">
        <f t="shared" si="166"/>
        <v>Merchant Fees</v>
      </c>
      <c r="B71" s="447"/>
      <c r="E71" s="430">
        <f t="shared" si="167"/>
        <v>2.0430093906517994</v>
      </c>
      <c r="F71" s="430">
        <f t="shared" si="167"/>
        <v>8.7088837576275218</v>
      </c>
      <c r="G71" s="430">
        <f t="shared" si="167"/>
        <v>2.0267100555768063</v>
      </c>
      <c r="H71" s="430">
        <f t="shared" si="167"/>
        <v>0.7473559075876095</v>
      </c>
      <c r="I71" s="430">
        <f t="shared" si="167"/>
        <v>0.42615557285625516</v>
      </c>
      <c r="J71" s="430">
        <f t="shared" si="167"/>
        <v>0.96445834166234845</v>
      </c>
      <c r="K71" s="430">
        <f t="shared" si="167"/>
        <v>0.67077280464510025</v>
      </c>
      <c r="L71" s="430">
        <f t="shared" si="168"/>
        <v>0.66018386320367384</v>
      </c>
      <c r="M71" s="430" t="e">
        <f t="shared" si="169"/>
        <v>#VALUE!</v>
      </c>
      <c r="N71" s="430">
        <f t="shared" si="170"/>
        <v>-1.5192100308640155E-2</v>
      </c>
      <c r="O71" s="430"/>
      <c r="P71" s="430"/>
      <c r="Q71" s="430"/>
      <c r="R71" s="430">
        <f t="shared" si="171"/>
        <v>15.8</v>
      </c>
      <c r="S71" s="430">
        <f t="shared" si="171"/>
        <v>2.41468253968254</v>
      </c>
      <c r="T71" s="430">
        <f t="shared" si="171"/>
        <v>4.1833864032539214</v>
      </c>
      <c r="U71" s="430">
        <f t="shared" si="171"/>
        <v>1.2572613884614148</v>
      </c>
      <c r="V71" s="430">
        <f t="shared" si="171"/>
        <v>0.67677515615700767</v>
      </c>
      <c r="W71" s="430">
        <f t="shared" si="171"/>
        <v>0.66499704742827137</v>
      </c>
      <c r="X71" s="430" t="e">
        <f t="shared" si="172"/>
        <v>#VALUE!</v>
      </c>
      <c r="Y71" s="430"/>
    </row>
    <row r="72" spans="1:25" s="438" customFormat="1">
      <c r="A72" s="429" t="str">
        <f t="shared" si="166"/>
        <v>Employee Benefits Expense</v>
      </c>
      <c r="B72" s="447"/>
      <c r="E72" s="430">
        <f t="shared" si="167"/>
        <v>2.9913106551795599</v>
      </c>
      <c r="F72" s="430">
        <f t="shared" si="167"/>
        <v>5.1561292898529194</v>
      </c>
      <c r="G72" s="430">
        <f t="shared" si="167"/>
        <v>1.5601845498815035</v>
      </c>
      <c r="H72" s="430">
        <f t="shared" si="167"/>
        <v>0.17299116654009361</v>
      </c>
      <c r="I72" s="430">
        <f t="shared" si="167"/>
        <v>0.55827104157612628</v>
      </c>
      <c r="J72" s="430">
        <f t="shared" si="167"/>
        <v>-2.6180366782306841E-3</v>
      </c>
      <c r="K72" s="430">
        <f t="shared" si="167"/>
        <v>0.52527228264684167</v>
      </c>
      <c r="L72" s="430">
        <f t="shared" si="168"/>
        <v>1.8841443132563045</v>
      </c>
      <c r="M72" s="430" t="e">
        <f t="shared" si="169"/>
        <v>#VALUE!</v>
      </c>
      <c r="N72" s="430">
        <f t="shared" si="170"/>
        <v>-3.8594386473064013E-2</v>
      </c>
      <c r="O72" s="430"/>
      <c r="P72" s="430"/>
      <c r="Q72" s="430"/>
      <c r="R72" s="430">
        <f t="shared" si="171"/>
        <v>12.90909090909091</v>
      </c>
      <c r="S72" s="430">
        <f t="shared" si="171"/>
        <v>1.2908496732026142</v>
      </c>
      <c r="T72" s="430">
        <f t="shared" si="171"/>
        <v>4.321651925820257</v>
      </c>
      <c r="U72" s="430">
        <f t="shared" si="171"/>
        <v>0.574041717978232</v>
      </c>
      <c r="V72" s="430">
        <f t="shared" si="171"/>
        <v>0.26113297029527605</v>
      </c>
      <c r="W72" s="430">
        <f t="shared" si="171"/>
        <v>1.0945976128930672</v>
      </c>
      <c r="X72" s="430" t="e">
        <f t="shared" si="172"/>
        <v>#VALUE!</v>
      </c>
      <c r="Y72" s="430"/>
    </row>
    <row r="73" spans="1:25" s="438" customFormat="1" ht="21.5">
      <c r="A73" s="429" t="str">
        <f t="shared" si="166"/>
        <v>G&amp;A excl. adjustments</v>
      </c>
      <c r="B73" s="458"/>
      <c r="C73" s="433"/>
      <c r="D73" s="433"/>
      <c r="E73" s="416">
        <f t="shared" si="167"/>
        <v>3.1358709858102776</v>
      </c>
      <c r="F73" s="416">
        <f t="shared" si="167"/>
        <v>1.3538929099342591</v>
      </c>
      <c r="G73" s="416">
        <f t="shared" si="167"/>
        <v>2.4266417175186414</v>
      </c>
      <c r="H73" s="416">
        <f t="shared" si="167"/>
        <v>9.8696921516996827E-2</v>
      </c>
      <c r="I73" s="416">
        <f t="shared" si="167"/>
        <v>0.72155965221468676</v>
      </c>
      <c r="J73" s="416">
        <f t="shared" si="167"/>
        <v>2.2088400528588199</v>
      </c>
      <c r="K73" s="416">
        <f t="shared" si="167"/>
        <v>0.42451201150931595</v>
      </c>
      <c r="L73" s="416">
        <f t="shared" si="168"/>
        <v>0.30748525111681069</v>
      </c>
      <c r="M73" s="416" t="e">
        <f t="shared" si="169"/>
        <v>#VALUE!</v>
      </c>
      <c r="N73" s="416">
        <f t="shared" si="170"/>
        <v>0.26290553593906707</v>
      </c>
      <c r="O73" s="416"/>
      <c r="P73" s="416"/>
      <c r="Q73" s="416"/>
      <c r="R73" s="416">
        <f t="shared" si="171"/>
        <v>2.3333333333333348</v>
      </c>
      <c r="S73" s="416">
        <f t="shared" si="171"/>
        <v>4.5499999999999945</v>
      </c>
      <c r="T73" s="416">
        <f t="shared" si="171"/>
        <v>1.7360460460460394</v>
      </c>
      <c r="U73" s="416">
        <f t="shared" si="171"/>
        <v>0.85335691890053189</v>
      </c>
      <c r="V73" s="416">
        <f t="shared" si="171"/>
        <v>1.3174225823014281</v>
      </c>
      <c r="W73" s="416">
        <f t="shared" si="171"/>
        <v>0.35959156008507009</v>
      </c>
      <c r="X73" s="416" t="e">
        <f t="shared" si="172"/>
        <v>#VALUE!</v>
      </c>
      <c r="Y73" s="430"/>
    </row>
    <row r="74" spans="1:25" s="438" customFormat="1">
      <c r="A74" s="435" t="str">
        <f t="shared" si="166"/>
        <v>Total Adj. Opex</v>
      </c>
      <c r="B74" s="447"/>
      <c r="E74" s="430">
        <f t="shared" si="167"/>
        <v>3.653141800743426</v>
      </c>
      <c r="F74" s="430">
        <f t="shared" si="167"/>
        <v>4.2278250511977147</v>
      </c>
      <c r="G74" s="430">
        <f t="shared" si="167"/>
        <v>4.0473835492102479</v>
      </c>
      <c r="H74" s="430">
        <f t="shared" si="167"/>
        <v>0.85214935653329049</v>
      </c>
      <c r="I74" s="430">
        <f t="shared" si="167"/>
        <v>-0.11769435401815931</v>
      </c>
      <c r="J74" s="430">
        <f t="shared" si="167"/>
        <v>0.47138649585251824</v>
      </c>
      <c r="K74" s="430">
        <f t="shared" si="167"/>
        <v>0.8352540093304579</v>
      </c>
      <c r="L74" s="430">
        <f t="shared" si="168"/>
        <v>0.86519990714704464</v>
      </c>
      <c r="M74" s="430" t="e">
        <f t="shared" si="169"/>
        <v>#VALUE!</v>
      </c>
      <c r="N74" s="430">
        <f t="shared" si="170"/>
        <v>2.8130531177508189E-2</v>
      </c>
      <c r="O74" s="430"/>
      <c r="P74" s="430"/>
      <c r="Q74" s="430"/>
      <c r="R74" s="430">
        <f t="shared" si="171"/>
        <v>7.2314049586776861</v>
      </c>
      <c r="S74" s="430">
        <f t="shared" si="171"/>
        <v>3.1616465863453804</v>
      </c>
      <c r="T74" s="430">
        <f t="shared" si="171"/>
        <v>4.0172364294330505</v>
      </c>
      <c r="U74" s="430">
        <f t="shared" si="171"/>
        <v>1.9380517198973202</v>
      </c>
      <c r="V74" s="430">
        <f t="shared" si="171"/>
        <v>0.12745665453664756</v>
      </c>
      <c r="W74" s="430">
        <f t="shared" si="171"/>
        <v>0.85151784694525801</v>
      </c>
      <c r="X74" s="430" t="e">
        <f t="shared" si="172"/>
        <v>#VALUE!</v>
      </c>
      <c r="Y74" s="430"/>
    </row>
    <row r="75" spans="1:25" s="438" customFormat="1" ht="21.5">
      <c r="A75" s="429" t="str">
        <f t="shared" si="166"/>
        <v>Other Income offset</v>
      </c>
      <c r="B75" s="458"/>
      <c r="C75" s="433"/>
      <c r="D75" s="433"/>
      <c r="E75" s="416">
        <f t="shared" si="167"/>
        <v>1.7625676390305927</v>
      </c>
      <c r="F75" s="416">
        <f t="shared" si="167"/>
        <v>0.97043438099286083</v>
      </c>
      <c r="G75" s="416">
        <f t="shared" si="167"/>
        <v>0.57573302498975143</v>
      </c>
      <c r="H75" s="416">
        <f t="shared" si="167"/>
        <v>0.76535111558007474</v>
      </c>
      <c r="I75" s="416">
        <f t="shared" si="167"/>
        <v>0.11904040249102699</v>
      </c>
      <c r="J75" s="416">
        <f t="shared" si="167"/>
        <v>0.18554794612807535</v>
      </c>
      <c r="K75" s="416">
        <f t="shared" si="167"/>
        <v>0.54348889283654289</v>
      </c>
      <c r="L75" s="416">
        <f t="shared" si="168"/>
        <v>0.35858429286059779</v>
      </c>
      <c r="M75" s="416" t="e">
        <f t="shared" si="169"/>
        <v>#VALUE!</v>
      </c>
      <c r="N75" s="416">
        <f t="shared" si="170"/>
        <v>-4.9888915933070432E-2</v>
      </c>
      <c r="O75" s="416"/>
      <c r="P75" s="416"/>
      <c r="Q75" s="416"/>
      <c r="R75" s="416">
        <f t="shared" si="171"/>
        <v>14.444444444444446</v>
      </c>
      <c r="S75" s="416">
        <f t="shared" si="171"/>
        <v>2.4964028776978413</v>
      </c>
      <c r="T75" s="416">
        <f t="shared" si="171"/>
        <v>1.2755637860082305</v>
      </c>
      <c r="U75" s="416">
        <f t="shared" si="171"/>
        <v>0.67667850593711698</v>
      </c>
      <c r="V75" s="416">
        <f t="shared" si="171"/>
        <v>0.15631897896702696</v>
      </c>
      <c r="W75" s="416">
        <f t="shared" si="171"/>
        <v>0.43722698818826022</v>
      </c>
      <c r="X75" s="416" t="e">
        <f t="shared" si="172"/>
        <v>#VALUE!</v>
      </c>
      <c r="Y75" s="430"/>
    </row>
    <row r="76" spans="1:25" s="438" customFormat="1">
      <c r="A76" s="435" t="str">
        <f t="shared" si="166"/>
        <v>Total Adj. Opex less Other Income</v>
      </c>
      <c r="B76" s="447"/>
      <c r="E76" s="430">
        <f t="shared" si="167"/>
        <v>3.918914108969064</v>
      </c>
      <c r="F76" s="430">
        <f t="shared" si="167"/>
        <v>4.6460285970744701</v>
      </c>
      <c r="G76" s="430">
        <f t="shared" si="167"/>
        <v>4.3214751272152325</v>
      </c>
      <c r="H76" s="430">
        <f t="shared" si="167"/>
        <v>0.85603844381220884</v>
      </c>
      <c r="I76" s="430">
        <f t="shared" si="167"/>
        <v>-0.12322877658843301</v>
      </c>
      <c r="J76" s="430">
        <f t="shared" si="167"/>
        <v>0.48356802179400415</v>
      </c>
      <c r="K76" s="430">
        <f t="shared" si="167"/>
        <v>0.84395969811046667</v>
      </c>
      <c r="L76" s="430">
        <f t="shared" si="168"/>
        <v>0.88245316546104635</v>
      </c>
      <c r="M76" s="430" t="e">
        <f t="shared" si="169"/>
        <v>#VALUE!</v>
      </c>
      <c r="N76" s="430">
        <f t="shared" si="170"/>
        <v>3.0048130339438206E-2</v>
      </c>
      <c r="O76" s="430"/>
      <c r="P76" s="430"/>
      <c r="Q76" s="430"/>
      <c r="R76" s="430">
        <f t="shared" si="171"/>
        <v>6.6517857142857144</v>
      </c>
      <c r="S76" s="430">
        <f t="shared" si="171"/>
        <v>3.2695449241540242</v>
      </c>
      <c r="T76" s="430">
        <f t="shared" si="171"/>
        <v>4.3813940967477425</v>
      </c>
      <c r="U76" s="430">
        <f t="shared" si="171"/>
        <v>2.0088971236464506</v>
      </c>
      <c r="V76" s="430">
        <f t="shared" si="171"/>
        <v>0.12655333409669445</v>
      </c>
      <c r="W76" s="430">
        <f t="shared" si="171"/>
        <v>0.86482673526404974</v>
      </c>
      <c r="X76" s="430" t="e">
        <f t="shared" si="172"/>
        <v>#VALUE!</v>
      </c>
      <c r="Y76" s="430"/>
    </row>
    <row r="77" spans="1:25" s="438" customFormat="1">
      <c r="A77" s="429"/>
      <c r="B77" s="447"/>
      <c r="C77" s="430"/>
      <c r="D77" s="430"/>
      <c r="E77" s="430"/>
      <c r="F77" s="430"/>
      <c r="G77" s="430"/>
      <c r="H77" s="430"/>
      <c r="I77" s="430"/>
      <c r="J77" s="430"/>
      <c r="K77" s="430"/>
      <c r="L77" s="430"/>
      <c r="M77" s="430"/>
      <c r="N77" s="430"/>
      <c r="O77" s="430"/>
      <c r="P77" s="430"/>
      <c r="Q77" s="430"/>
      <c r="R77" s="430"/>
      <c r="S77" s="430"/>
      <c r="T77" s="430"/>
      <c r="U77" s="430"/>
      <c r="V77" s="430"/>
      <c r="W77" s="430"/>
      <c r="X77" s="430"/>
      <c r="Y77" s="430"/>
    </row>
    <row r="78" spans="1:25" s="438" customFormat="1" hidden="1" outlineLevel="1">
      <c r="A78" s="426" t="s">
        <v>134</v>
      </c>
      <c r="B78" s="447"/>
      <c r="C78" s="430"/>
      <c r="D78" s="430"/>
      <c r="E78" s="430"/>
      <c r="F78" s="430"/>
      <c r="G78" s="430"/>
      <c r="H78" s="430"/>
      <c r="I78" s="430"/>
      <c r="J78" s="430"/>
      <c r="K78" s="430"/>
      <c r="L78" s="430"/>
      <c r="M78" s="430"/>
      <c r="N78" s="430"/>
      <c r="O78" s="430"/>
      <c r="P78" s="430"/>
      <c r="Q78" s="430"/>
      <c r="R78" s="430"/>
      <c r="S78" s="430"/>
      <c r="T78" s="430"/>
      <c r="U78" s="430"/>
      <c r="V78" s="430"/>
      <c r="W78" s="430"/>
      <c r="X78" s="430"/>
      <c r="Y78" s="430"/>
    </row>
    <row r="79" spans="1:25" s="438" customFormat="1" hidden="1" outlineLevel="1">
      <c r="A79" s="429" t="str">
        <f t="shared" ref="A79:A85" si="173">+A70</f>
        <v>Advertising and Marketing Expense</v>
      </c>
      <c r="B79" s="447"/>
      <c r="D79" s="430">
        <f t="shared" ref="D79:K79" si="174">+D61/C61-1</f>
        <v>1.3056580565805658</v>
      </c>
      <c r="E79" s="430">
        <f t="shared" si="174"/>
        <v>1.8634584037224742</v>
      </c>
      <c r="F79" s="430">
        <f t="shared" si="174"/>
        <v>1.0371776088730695</v>
      </c>
      <c r="G79" s="430">
        <f t="shared" si="174"/>
        <v>2.2866739726918253</v>
      </c>
      <c r="H79" s="430">
        <f t="shared" si="174"/>
        <v>-0.33701214565730098</v>
      </c>
      <c r="I79" s="430">
        <f t="shared" si="174"/>
        <v>-4.2706586855667417E-2</v>
      </c>
      <c r="J79" s="430">
        <f t="shared" si="174"/>
        <v>0.22646686455516862</v>
      </c>
      <c r="K79" s="430">
        <f t="shared" si="174"/>
        <v>0.69873999580079649</v>
      </c>
      <c r="L79" s="430">
        <f t="shared" ref="L79:L85" si="175">+L61/K61-1</f>
        <v>0.21312074978051121</v>
      </c>
      <c r="M79" s="430" t="e">
        <f t="shared" ref="M79:M85" si="176">+M61/L61-1</f>
        <v>#VALUE!</v>
      </c>
      <c r="N79" s="430" t="e">
        <f t="shared" ref="N79:N85" si="177">+N61/M61-1</f>
        <v>#VALUE!</v>
      </c>
      <c r="O79" s="430"/>
      <c r="P79" s="430"/>
      <c r="Q79" s="430"/>
      <c r="R79" s="430">
        <f t="shared" ref="R79:W85" si="178">+R61/Q61-1</f>
        <v>9.0243902439024382</v>
      </c>
      <c r="S79" s="430">
        <f t="shared" si="178"/>
        <v>3.7080291970802923</v>
      </c>
      <c r="T79" s="430">
        <f t="shared" si="178"/>
        <v>5.0659390180878558</v>
      </c>
      <c r="U79" s="430">
        <f t="shared" si="178"/>
        <v>2.6661008493053768</v>
      </c>
      <c r="V79" s="430">
        <f t="shared" si="178"/>
        <v>-0.15027616243806008</v>
      </c>
      <c r="W79" s="430">
        <f t="shared" si="178"/>
        <v>1.0709594979388961</v>
      </c>
      <c r="X79" s="430" t="e">
        <f t="shared" ref="X79:X85" si="179">+X61/W61-1</f>
        <v>#VALUE!</v>
      </c>
      <c r="Y79" s="430"/>
    </row>
    <row r="80" spans="1:25" s="438" customFormat="1" hidden="1" outlineLevel="1">
      <c r="A80" s="429" t="str">
        <f t="shared" si="173"/>
        <v>Merchant Fees</v>
      </c>
      <c r="B80" s="447"/>
      <c r="D80" s="430">
        <f t="shared" ref="D80:K80" si="180">+D62/C62-1</f>
        <v>-0.52704048969698625</v>
      </c>
      <c r="E80" s="430">
        <f t="shared" si="180"/>
        <v>5.4339744192948283</v>
      </c>
      <c r="F80" s="430">
        <f t="shared" si="180"/>
        <v>0.50900254258263389</v>
      </c>
      <c r="G80" s="430">
        <f t="shared" si="180"/>
        <v>1.005768691679366</v>
      </c>
      <c r="H80" s="430">
        <f t="shared" si="180"/>
        <v>-0.12883478796121584</v>
      </c>
      <c r="I80" s="430">
        <f t="shared" si="180"/>
        <v>0.6370667161038599</v>
      </c>
      <c r="J80" s="430">
        <f t="shared" si="180"/>
        <v>0.19998673379522658</v>
      </c>
      <c r="K80" s="430">
        <f t="shared" si="180"/>
        <v>0.39232606293980199</v>
      </c>
      <c r="L80" s="430">
        <f t="shared" si="175"/>
        <v>0.19238151708394247</v>
      </c>
      <c r="M80" s="430" t="e">
        <f t="shared" si="176"/>
        <v>#VALUE!</v>
      </c>
      <c r="N80" s="430" t="e">
        <f t="shared" si="177"/>
        <v>#VALUE!</v>
      </c>
      <c r="O80" s="430"/>
      <c r="P80" s="430"/>
      <c r="Q80" s="430"/>
      <c r="R80" s="430">
        <f t="shared" si="178"/>
        <v>15.8</v>
      </c>
      <c r="S80" s="430">
        <f t="shared" si="178"/>
        <v>2.41468253968254</v>
      </c>
      <c r="T80" s="430">
        <f t="shared" si="178"/>
        <v>4.1833864032539214</v>
      </c>
      <c r="U80" s="430">
        <f t="shared" si="178"/>
        <v>1.2572613884614148</v>
      </c>
      <c r="V80" s="430">
        <f t="shared" si="178"/>
        <v>0.67677515615700767</v>
      </c>
      <c r="W80" s="430">
        <f t="shared" si="178"/>
        <v>0.66499704742827137</v>
      </c>
      <c r="X80" s="430" t="e">
        <f t="shared" si="179"/>
        <v>#VALUE!</v>
      </c>
      <c r="Y80" s="430"/>
    </row>
    <row r="81" spans="1:25" s="438" customFormat="1" hidden="1" outlineLevel="1">
      <c r="A81" s="429" t="str">
        <f t="shared" si="173"/>
        <v>Employee Benefits Expense</v>
      </c>
      <c r="B81" s="447"/>
      <c r="D81" s="430">
        <f t="shared" ref="D81:K81" si="181">+D63/C63-1</f>
        <v>0.59422091956064782</v>
      </c>
      <c r="E81" s="430">
        <f t="shared" si="181"/>
        <v>1.503612019016491</v>
      </c>
      <c r="F81" s="430">
        <f t="shared" si="181"/>
        <v>1.4588990798467525</v>
      </c>
      <c r="G81" s="430">
        <f t="shared" si="181"/>
        <v>4.1191389620213181E-2</v>
      </c>
      <c r="H81" s="430">
        <f t="shared" si="181"/>
        <v>0.12658554251774601</v>
      </c>
      <c r="I81" s="430">
        <f t="shared" si="181"/>
        <v>0.38318040021499766</v>
      </c>
      <c r="J81" s="430">
        <f t="shared" si="181"/>
        <v>-0.27892127218782237</v>
      </c>
      <c r="K81" s="430">
        <f t="shared" si="181"/>
        <v>1.1152645665677379</v>
      </c>
      <c r="L81" s="430">
        <f t="shared" si="175"/>
        <v>0.36349105395178194</v>
      </c>
      <c r="M81" s="430" t="e">
        <f t="shared" si="176"/>
        <v>#VALUE!</v>
      </c>
      <c r="N81" s="430" t="e">
        <f t="shared" si="177"/>
        <v>#VALUE!</v>
      </c>
      <c r="O81" s="430"/>
      <c r="P81" s="430"/>
      <c r="Q81" s="430"/>
      <c r="R81" s="430">
        <f t="shared" si="178"/>
        <v>12.90909090909091</v>
      </c>
      <c r="S81" s="430">
        <f t="shared" si="178"/>
        <v>1.2908496732026142</v>
      </c>
      <c r="T81" s="430">
        <f t="shared" si="178"/>
        <v>4.321651925820257</v>
      </c>
      <c r="U81" s="430">
        <f t="shared" si="178"/>
        <v>0.574041717978232</v>
      </c>
      <c r="V81" s="430">
        <f t="shared" si="178"/>
        <v>0.26113297029527605</v>
      </c>
      <c r="W81" s="430">
        <f t="shared" si="178"/>
        <v>1.0945976128930672</v>
      </c>
      <c r="X81" s="430" t="e">
        <f t="shared" si="179"/>
        <v>#VALUE!</v>
      </c>
      <c r="Y81" s="430"/>
    </row>
    <row r="82" spans="1:25" s="438" customFormat="1" ht="21.5" hidden="1" outlineLevel="1">
      <c r="A82" s="429" t="str">
        <f t="shared" si="173"/>
        <v>G&amp;A excl. adjustments</v>
      </c>
      <c r="B82" s="458"/>
      <c r="C82" s="433"/>
      <c r="D82" s="416">
        <f t="shared" ref="D82:K82" si="182">+D64/C64-1</f>
        <v>2.6629947722180636</v>
      </c>
      <c r="E82" s="416">
        <f t="shared" si="182"/>
        <v>0.12909551964931443</v>
      </c>
      <c r="F82" s="416">
        <f t="shared" si="182"/>
        <v>1.0847597647587461</v>
      </c>
      <c r="G82" s="416">
        <f t="shared" si="182"/>
        <v>0.64366262983552036</v>
      </c>
      <c r="H82" s="416">
        <f t="shared" si="182"/>
        <v>-0.33155569666571882</v>
      </c>
      <c r="I82" s="416">
        <f t="shared" si="182"/>
        <v>1.5754720978656542</v>
      </c>
      <c r="J82" s="416">
        <f t="shared" si="182"/>
        <v>0.2459230505809209</v>
      </c>
      <c r="K82" s="416">
        <f t="shared" si="182"/>
        <v>0.14333867636940045</v>
      </c>
      <c r="L82" s="416">
        <f t="shared" si="175"/>
        <v>0.14356776180146991</v>
      </c>
      <c r="M82" s="416" t="e">
        <f t="shared" si="176"/>
        <v>#VALUE!</v>
      </c>
      <c r="N82" s="416" t="e">
        <f t="shared" si="177"/>
        <v>#VALUE!</v>
      </c>
      <c r="O82" s="416"/>
      <c r="P82" s="416"/>
      <c r="Q82" s="416"/>
      <c r="R82" s="416">
        <f t="shared" si="178"/>
        <v>2.3333333333333348</v>
      </c>
      <c r="S82" s="416">
        <f t="shared" si="178"/>
        <v>4.5499999999999945</v>
      </c>
      <c r="T82" s="416">
        <f t="shared" si="178"/>
        <v>1.7360460460460394</v>
      </c>
      <c r="U82" s="416">
        <f t="shared" si="178"/>
        <v>0.85335691890053189</v>
      </c>
      <c r="V82" s="416">
        <f t="shared" si="178"/>
        <v>1.3174225823014281</v>
      </c>
      <c r="W82" s="416">
        <f t="shared" si="178"/>
        <v>0.35959156008507009</v>
      </c>
      <c r="X82" s="416" t="e">
        <f t="shared" si="179"/>
        <v>#VALUE!</v>
      </c>
      <c r="Y82" s="430"/>
    </row>
    <row r="83" spans="1:25" s="438" customFormat="1" hidden="1" outlineLevel="1">
      <c r="A83" s="435" t="str">
        <f t="shared" si="173"/>
        <v>Total Adj. Opex</v>
      </c>
      <c r="B83" s="447"/>
      <c r="D83" s="430">
        <f t="shared" ref="D83:K83" si="183">+D65/C65-1</f>
        <v>0.72893780128592467</v>
      </c>
      <c r="E83" s="430">
        <f t="shared" si="183"/>
        <v>1.6913297848439535</v>
      </c>
      <c r="F83" s="430">
        <f t="shared" si="183"/>
        <v>0.9424691394707061</v>
      </c>
      <c r="G83" s="430">
        <f t="shared" si="183"/>
        <v>1.5984369309391373</v>
      </c>
      <c r="H83" s="430">
        <f t="shared" si="183"/>
        <v>-0.2872063452916368</v>
      </c>
      <c r="I83" s="430">
        <f t="shared" si="183"/>
        <v>0.2378135525670928</v>
      </c>
      <c r="J83" s="430">
        <f t="shared" si="183"/>
        <v>0.18869800124664993</v>
      </c>
      <c r="K83" s="430">
        <f t="shared" si="183"/>
        <v>0.5439194878814726</v>
      </c>
      <c r="L83" s="430">
        <f t="shared" si="175"/>
        <v>0.20809402419450329</v>
      </c>
      <c r="M83" s="430" t="e">
        <f t="shared" si="176"/>
        <v>#VALUE!</v>
      </c>
      <c r="N83" s="430" t="e">
        <f t="shared" si="177"/>
        <v>#VALUE!</v>
      </c>
      <c r="O83" s="430"/>
      <c r="P83" s="430"/>
      <c r="Q83" s="430"/>
      <c r="R83" s="430">
        <f t="shared" si="178"/>
        <v>7.2314049586776861</v>
      </c>
      <c r="S83" s="430">
        <f t="shared" si="178"/>
        <v>3.1616465863453804</v>
      </c>
      <c r="T83" s="430">
        <f t="shared" si="178"/>
        <v>4.0172364294330505</v>
      </c>
      <c r="U83" s="430">
        <f t="shared" si="178"/>
        <v>1.9380517198973202</v>
      </c>
      <c r="V83" s="430">
        <f t="shared" si="178"/>
        <v>0.12745665453664756</v>
      </c>
      <c r="W83" s="430">
        <f t="shared" si="178"/>
        <v>0.85151784694525801</v>
      </c>
      <c r="X83" s="430" t="e">
        <f t="shared" si="179"/>
        <v>#VALUE!</v>
      </c>
      <c r="Y83" s="430"/>
    </row>
    <row r="84" spans="1:25" s="438" customFormat="1" ht="21.5" hidden="1" outlineLevel="1">
      <c r="A84" s="429" t="str">
        <f t="shared" si="173"/>
        <v>Other Income offset</v>
      </c>
      <c r="B84" s="458"/>
      <c r="C84" s="433"/>
      <c r="D84" s="416">
        <f t="shared" ref="D84:K84" si="184">+D66/C66-1</f>
        <v>0.59605677138141222</v>
      </c>
      <c r="E84" s="416">
        <f t="shared" si="184"/>
        <v>0.73087053578899108</v>
      </c>
      <c r="F84" s="416">
        <f t="shared" si="184"/>
        <v>0.13840656493390946</v>
      </c>
      <c r="G84" s="416">
        <f t="shared" si="184"/>
        <v>0.3841566567926733</v>
      </c>
      <c r="H84" s="416">
        <f t="shared" si="184"/>
        <v>0.27539834954136921</v>
      </c>
      <c r="I84" s="416">
        <f t="shared" si="184"/>
        <v>-0.12259538136188453</v>
      </c>
      <c r="J84" s="416">
        <f t="shared" si="184"/>
        <v>0.35119866130662936</v>
      </c>
      <c r="K84" s="416">
        <f t="shared" si="184"/>
        <v>0.14231085112530084</v>
      </c>
      <c r="L84" s="416">
        <f t="shared" si="175"/>
        <v>0.18932976214157815</v>
      </c>
      <c r="M84" s="416" t="e">
        <f t="shared" si="176"/>
        <v>#VALUE!</v>
      </c>
      <c r="N84" s="416" t="e">
        <f t="shared" si="177"/>
        <v>#VALUE!</v>
      </c>
      <c r="O84" s="416"/>
      <c r="P84" s="416"/>
      <c r="Q84" s="416"/>
      <c r="R84" s="416">
        <f t="shared" si="178"/>
        <v>14.444444444444446</v>
      </c>
      <c r="S84" s="416">
        <f t="shared" si="178"/>
        <v>2.4964028776978413</v>
      </c>
      <c r="T84" s="416">
        <f t="shared" si="178"/>
        <v>1.2755637860082305</v>
      </c>
      <c r="U84" s="416">
        <f t="shared" si="178"/>
        <v>0.67667850593711698</v>
      </c>
      <c r="V84" s="416">
        <f t="shared" si="178"/>
        <v>0.15631897896702696</v>
      </c>
      <c r="W84" s="416">
        <f t="shared" si="178"/>
        <v>0.43722698818826022</v>
      </c>
      <c r="X84" s="416" t="e">
        <f t="shared" si="179"/>
        <v>#VALUE!</v>
      </c>
      <c r="Y84" s="430"/>
    </row>
    <row r="85" spans="1:25" s="438" customFormat="1" hidden="1" outlineLevel="1">
      <c r="A85" s="435" t="str">
        <f t="shared" si="173"/>
        <v>Total Adj. Opex less Other Income</v>
      </c>
      <c r="B85" s="447"/>
      <c r="D85" s="430">
        <f t="shared" ref="D85:K85" si="185">+D67/C67-1</f>
        <v>0.7476178926318926</v>
      </c>
      <c r="E85" s="430">
        <f t="shared" si="185"/>
        <v>1.8146393612171337</v>
      </c>
      <c r="F85" s="430">
        <f t="shared" si="185"/>
        <v>1.0059509842969581</v>
      </c>
      <c r="G85" s="430">
        <f t="shared" si="185"/>
        <v>1.6528440469747041</v>
      </c>
      <c r="H85" s="430">
        <f t="shared" si="185"/>
        <v>-0.3003590068067401</v>
      </c>
      <c r="I85" s="430">
        <f t="shared" si="185"/>
        <v>0.25317303008484382</v>
      </c>
      <c r="J85" s="430">
        <f t="shared" si="185"/>
        <v>0.18384930586445969</v>
      </c>
      <c r="K85" s="430">
        <f t="shared" si="185"/>
        <v>0.55759663749094068</v>
      </c>
      <c r="L85" s="430">
        <f t="shared" si="175"/>
        <v>0.20856267929121985</v>
      </c>
      <c r="M85" s="430" t="e">
        <f t="shared" si="176"/>
        <v>#VALUE!</v>
      </c>
      <c r="N85" s="430" t="e">
        <f t="shared" si="177"/>
        <v>#VALUE!</v>
      </c>
      <c r="O85" s="430"/>
      <c r="P85" s="430"/>
      <c r="Q85" s="430"/>
      <c r="R85" s="430">
        <f t="shared" si="178"/>
        <v>6.6517857142857144</v>
      </c>
      <c r="S85" s="430">
        <f t="shared" si="178"/>
        <v>3.2695449241540242</v>
      </c>
      <c r="T85" s="430">
        <f t="shared" si="178"/>
        <v>4.3813940967477425</v>
      </c>
      <c r="U85" s="430">
        <f t="shared" si="178"/>
        <v>2.0088971236464506</v>
      </c>
      <c r="V85" s="430">
        <f t="shared" si="178"/>
        <v>0.12655333409669445</v>
      </c>
      <c r="W85" s="430">
        <f t="shared" si="178"/>
        <v>0.86482673526404974</v>
      </c>
      <c r="X85" s="430" t="e">
        <f t="shared" si="179"/>
        <v>#VALUE!</v>
      </c>
      <c r="Y85" s="430"/>
    </row>
    <row r="86" spans="1:25" s="438" customFormat="1" hidden="1" outlineLevel="1">
      <c r="A86" s="429"/>
      <c r="B86" s="447"/>
      <c r="C86" s="430"/>
      <c r="D86" s="430"/>
      <c r="E86" s="430"/>
      <c r="F86" s="430"/>
      <c r="G86" s="430"/>
      <c r="H86" s="430"/>
      <c r="I86" s="430"/>
      <c r="J86" s="430"/>
      <c r="K86" s="430"/>
      <c r="L86" s="430"/>
      <c r="M86" s="430"/>
      <c r="N86" s="430"/>
      <c r="O86" s="430"/>
      <c r="P86" s="430"/>
      <c r="Q86" s="430"/>
      <c r="R86" s="430"/>
      <c r="S86" s="430"/>
      <c r="T86" s="430"/>
      <c r="U86" s="430"/>
      <c r="V86" s="430"/>
      <c r="W86" s="430"/>
      <c r="X86" s="430"/>
      <c r="Y86" s="430"/>
    </row>
    <row r="87" spans="1:25" s="438" customFormat="1" collapsed="1">
      <c r="A87" s="426" t="s">
        <v>27</v>
      </c>
      <c r="B87" s="447"/>
      <c r="C87" s="430"/>
      <c r="D87" s="430"/>
      <c r="E87" s="430"/>
      <c r="F87" s="430"/>
      <c r="G87" s="430"/>
      <c r="H87" s="430"/>
      <c r="I87" s="430"/>
      <c r="J87" s="430"/>
      <c r="K87" s="430"/>
      <c r="L87" s="430"/>
      <c r="M87" s="430"/>
      <c r="N87" s="430"/>
      <c r="O87" s="430"/>
      <c r="P87" s="430"/>
      <c r="Q87" s="430"/>
      <c r="R87" s="430"/>
      <c r="S87" s="430"/>
      <c r="T87" s="430"/>
      <c r="U87" s="430"/>
      <c r="V87" s="430"/>
      <c r="W87" s="430"/>
      <c r="X87" s="430"/>
      <c r="Y87" s="430"/>
    </row>
    <row r="88" spans="1:25" s="438" customFormat="1">
      <c r="A88" s="429" t="str">
        <f t="shared" ref="A88:A94" si="186">+A70</f>
        <v>Advertising and Marketing Expense</v>
      </c>
      <c r="B88" s="447"/>
      <c r="C88" s="430">
        <f t="shared" ref="C88:I94" si="187">+C61/C$33</f>
        <v>8.3654275298537112E-2</v>
      </c>
      <c r="D88" s="430">
        <f t="shared" si="187"/>
        <v>8.5104456381443816E-2</v>
      </c>
      <c r="E88" s="430">
        <f t="shared" si="187"/>
        <v>9.5358403896731558E-2</v>
      </c>
      <c r="F88" s="430">
        <f t="shared" si="187"/>
        <v>0.15174878242237302</v>
      </c>
      <c r="G88" s="430">
        <f t="shared" si="187"/>
        <v>0.22756733843760188</v>
      </c>
      <c r="H88" s="430">
        <f t="shared" si="187"/>
        <v>0.17837173621720973</v>
      </c>
      <c r="I88" s="430">
        <f t="shared" si="187"/>
        <v>8.7495698062665356E-2</v>
      </c>
      <c r="J88" s="430">
        <f t="shared" ref="J88" si="188">+J61/J$33</f>
        <v>8.8137020191289106E-2</v>
      </c>
      <c r="K88" s="430">
        <f t="shared" ref="K88" si="189">+K61/K$33</f>
        <v>9.6584806728680819E-2</v>
      </c>
      <c r="L88" s="430">
        <f t="shared" ref="L88:N88" si="190">+L61/L$33</f>
        <v>0.10697998387150477</v>
      </c>
      <c r="M88" s="430" t="e">
        <f t="shared" si="190"/>
        <v>#VALUE!</v>
      </c>
      <c r="N88" s="430">
        <f t="shared" si="190"/>
        <v>9.6797881892275256E-2</v>
      </c>
      <c r="O88" s="430"/>
      <c r="P88" s="430"/>
      <c r="Q88" s="430">
        <f t="shared" ref="Q88:U94" si="191">+Q61/Q$33</f>
        <v>7.5367647058823525E-2</v>
      </c>
      <c r="R88" s="430">
        <f t="shared" si="191"/>
        <v>7.1978984238178625E-2</v>
      </c>
      <c r="S88" s="430">
        <f t="shared" si="191"/>
        <v>8.4660483024151204E-2</v>
      </c>
      <c r="T88" s="430">
        <f t="shared" si="191"/>
        <v>0.12701784458223767</v>
      </c>
      <c r="U88" s="430">
        <f t="shared" si="191"/>
        <v>0.20502384997645484</v>
      </c>
      <c r="V88" s="430">
        <f t="shared" ref="V88:W88" si="192">+V61/V$33</f>
        <v>8.7847816215670782E-2</v>
      </c>
      <c r="W88" s="430">
        <f t="shared" si="192"/>
        <v>0.10201865993697343</v>
      </c>
      <c r="X88" s="430" t="e">
        <f t="shared" ref="X88" si="193">+X61/X$33</f>
        <v>#VALUE!</v>
      </c>
      <c r="Y88" s="430"/>
    </row>
    <row r="89" spans="1:25" s="438" customFormat="1">
      <c r="A89" s="429" t="str">
        <f t="shared" si="186"/>
        <v>Merchant Fees</v>
      </c>
      <c r="B89" s="447"/>
      <c r="C89" s="430">
        <f t="shared" si="187"/>
        <v>8.3488212930256225E-2</v>
      </c>
      <c r="D89" s="430">
        <f t="shared" si="187"/>
        <v>1.7422817571430674E-2</v>
      </c>
      <c r="E89" s="430">
        <f t="shared" si="187"/>
        <v>4.3864533178863747E-2</v>
      </c>
      <c r="F89" s="430">
        <f t="shared" si="187"/>
        <v>5.1705986818383426E-2</v>
      </c>
      <c r="G89" s="430">
        <f t="shared" si="187"/>
        <v>4.7320548350768592E-2</v>
      </c>
      <c r="H89" s="430">
        <f t="shared" si="187"/>
        <v>4.8737228651174504E-2</v>
      </c>
      <c r="I89" s="430">
        <f t="shared" si="187"/>
        <v>4.0883003974945611E-2</v>
      </c>
      <c r="J89" s="430">
        <f t="shared" ref="J89" si="194">+J62/J$33</f>
        <v>4.0293508776231154E-2</v>
      </c>
      <c r="K89" s="430">
        <f t="shared" ref="K89" si="195">+K62/K$33</f>
        <v>3.619091638160226E-2</v>
      </c>
      <c r="L89" s="430">
        <f t="shared" ref="L89:N89" si="196">+L62/L$33</f>
        <v>3.9400750765676451E-2</v>
      </c>
      <c r="M89" s="430" t="e">
        <f t="shared" si="196"/>
        <v>#VALUE!</v>
      </c>
      <c r="N89" s="430">
        <f t="shared" si="196"/>
        <v>3.4999999999999996E-2</v>
      </c>
      <c r="O89" s="430"/>
      <c r="P89" s="430"/>
      <c r="Q89" s="430">
        <f t="shared" si="191"/>
        <v>2.7573529411764702E-2</v>
      </c>
      <c r="R89" s="430">
        <f t="shared" si="191"/>
        <v>4.4133099824868655E-2</v>
      </c>
      <c r="S89" s="430">
        <f t="shared" si="191"/>
        <v>3.7648757437871889E-2</v>
      </c>
      <c r="T89" s="430">
        <f t="shared" si="191"/>
        <v>4.8266986981787482E-2</v>
      </c>
      <c r="U89" s="430">
        <f t="shared" si="191"/>
        <v>4.7969730687479513E-2</v>
      </c>
      <c r="V89" s="430">
        <f t="shared" ref="V89:W89" si="197">+V62/V$33</f>
        <v>4.0559341417063285E-2</v>
      </c>
      <c r="W89" s="430">
        <f t="shared" si="197"/>
        <v>3.7868787631543388E-2</v>
      </c>
      <c r="X89" s="430" t="e">
        <f t="shared" ref="X89" si="198">+X62/X$33</f>
        <v>#VALUE!</v>
      </c>
      <c r="Y89" s="430"/>
    </row>
    <row r="90" spans="1:25" s="438" customFormat="1">
      <c r="A90" s="429" t="str">
        <f t="shared" si="186"/>
        <v>Employee Benefits Expense</v>
      </c>
      <c r="B90" s="447"/>
      <c r="C90" s="430">
        <f t="shared" si="187"/>
        <v>1.930839453846309E-2</v>
      </c>
      <c r="D90" s="430">
        <f t="shared" si="187"/>
        <v>1.3582006363854026E-2</v>
      </c>
      <c r="E90" s="430">
        <f t="shared" si="187"/>
        <v>1.3305976437778564E-2</v>
      </c>
      <c r="F90" s="430">
        <f t="shared" si="187"/>
        <v>2.5557878563141689E-2</v>
      </c>
      <c r="G90" s="430">
        <f t="shared" si="187"/>
        <v>1.2141810756274131E-2</v>
      </c>
      <c r="H90" s="430">
        <f t="shared" si="187"/>
        <v>1.6171792874901225E-2</v>
      </c>
      <c r="I90" s="430">
        <f t="shared" si="187"/>
        <v>1.1461793684517043E-2</v>
      </c>
      <c r="J90" s="430">
        <f t="shared" ref="J90" si="199">+J63/J$33</f>
        <v>6.7881450572249537E-3</v>
      </c>
      <c r="K90" s="430">
        <f t="shared" ref="K90" si="200">+K63/K$33</f>
        <v>9.2627373227240142E-3</v>
      </c>
      <c r="L90" s="430">
        <f t="shared" ref="L90:N90" si="201">+L63/L$33</f>
        <v>1.1531381035631186E-2</v>
      </c>
      <c r="M90" s="430" t="e">
        <f t="shared" si="201"/>
        <v>#VALUE!</v>
      </c>
      <c r="N90" s="430">
        <f t="shared" si="201"/>
        <v>0.01</v>
      </c>
      <c r="O90" s="430"/>
      <c r="P90" s="430"/>
      <c r="Q90" s="430">
        <f t="shared" si="191"/>
        <v>2.0220588235294115E-2</v>
      </c>
      <c r="R90" s="430">
        <f t="shared" si="191"/>
        <v>2.6795096322241682E-2</v>
      </c>
      <c r="S90" s="430">
        <f t="shared" si="191"/>
        <v>1.5335141757087853E-2</v>
      </c>
      <c r="T90" s="430">
        <f t="shared" si="191"/>
        <v>2.0184603231286995E-2</v>
      </c>
      <c r="U90" s="430">
        <f t="shared" si="191"/>
        <v>1.3988517601794571E-2</v>
      </c>
      <c r="V90" s="430">
        <f t="shared" ref="V90:W90" si="202">+V63/V$33</f>
        <v>8.895725169198539E-3</v>
      </c>
      <c r="W90" s="430">
        <f t="shared" si="202"/>
        <v>1.0448621579286537E-2</v>
      </c>
      <c r="X90" s="430" t="e">
        <f t="shared" ref="X90" si="203">+X63/X$33</f>
        <v>#VALUE!</v>
      </c>
      <c r="Y90" s="430"/>
    </row>
    <row r="91" spans="1:25" s="438" customFormat="1" ht="21.5">
      <c r="A91" s="429" t="str">
        <f t="shared" si="186"/>
        <v>G&amp;A excl. adjustments</v>
      </c>
      <c r="B91" s="447"/>
      <c r="C91" s="416">
        <f t="shared" si="187"/>
        <v>3.061721323622835E-2</v>
      </c>
      <c r="D91" s="416">
        <f t="shared" si="187"/>
        <v>4.9484731624656803E-2</v>
      </c>
      <c r="E91" s="416">
        <f t="shared" si="187"/>
        <v>2.1863399775702824E-2</v>
      </c>
      <c r="F91" s="416">
        <f t="shared" si="187"/>
        <v>3.5605005769205299E-2</v>
      </c>
      <c r="G91" s="416">
        <f t="shared" si="187"/>
        <v>2.6702494301347704E-2</v>
      </c>
      <c r="H91" s="416">
        <f t="shared" si="187"/>
        <v>2.1102193186674358E-2</v>
      </c>
      <c r="I91" s="416">
        <f t="shared" si="187"/>
        <v>2.784838625184867E-2</v>
      </c>
      <c r="J91" s="416">
        <f t="shared" ref="J91:K93" si="204">+J64/J$33</f>
        <v>2.8497522042977112E-2</v>
      </c>
      <c r="K91" s="416">
        <f t="shared" ref="K91" si="205">+K64/K$33</f>
        <v>2.1018684568016876E-2</v>
      </c>
      <c r="L91" s="416">
        <f t="shared" ref="L91:N91" si="206">+L64/L$33</f>
        <v>2.1946088095833587E-2</v>
      </c>
      <c r="M91" s="416" t="e">
        <f t="shared" si="206"/>
        <v>#VALUE!</v>
      </c>
      <c r="N91" s="416">
        <f t="shared" si="206"/>
        <v>2.5000000000000005E-2</v>
      </c>
      <c r="O91" s="430"/>
      <c r="P91" s="430"/>
      <c r="Q91" s="416">
        <f t="shared" si="191"/>
        <v>9.9264705882352963E-2</v>
      </c>
      <c r="R91" s="416">
        <f t="shared" si="191"/>
        <v>3.1523642732049058E-2</v>
      </c>
      <c r="S91" s="416">
        <f t="shared" si="191"/>
        <v>4.3708435421771073E-2</v>
      </c>
      <c r="T91" s="416">
        <f t="shared" si="191"/>
        <v>2.9578396043675313E-2</v>
      </c>
      <c r="U91" s="416">
        <f t="shared" si="191"/>
        <v>2.4136201424354426E-2</v>
      </c>
      <c r="V91" s="416">
        <f t="shared" ref="V91:W91" si="207">+V64/V$33</f>
        <v>2.8204794499155486E-2</v>
      </c>
      <c r="W91" s="416">
        <f t="shared" si="207"/>
        <v>2.1503464631480011E-2</v>
      </c>
      <c r="X91" s="416" t="e">
        <f t="shared" ref="X91" si="208">+X64/X$33</f>
        <v>#VALUE!</v>
      </c>
      <c r="Y91" s="430"/>
    </row>
    <row r="92" spans="1:25" s="438" customFormat="1">
      <c r="A92" s="435" t="str">
        <f t="shared" si="186"/>
        <v>Total Adj. Opex</v>
      </c>
      <c r="B92" s="447"/>
      <c r="C92" s="430">
        <f t="shared" si="187"/>
        <v>0.21706809600348478</v>
      </c>
      <c r="D92" s="430">
        <f t="shared" si="187"/>
        <v>0.16559401194138529</v>
      </c>
      <c r="E92" s="430">
        <f t="shared" si="187"/>
        <v>0.1743923132890767</v>
      </c>
      <c r="F92" s="430">
        <f t="shared" si="187"/>
        <v>0.26461765357310346</v>
      </c>
      <c r="G92" s="430">
        <f t="shared" si="187"/>
        <v>0.31373219184599233</v>
      </c>
      <c r="H92" s="430">
        <f t="shared" si="187"/>
        <v>0.26438295092995984</v>
      </c>
      <c r="I92" s="430">
        <f t="shared" si="187"/>
        <v>0.16768888197397666</v>
      </c>
      <c r="J92" s="430">
        <f t="shared" ref="J92:K94" si="209">+J65/J$33</f>
        <v>0.16371619606772234</v>
      </c>
      <c r="K92" s="430">
        <f t="shared" ref="K92" si="210">+K65/K$33</f>
        <v>0.16305714500102397</v>
      </c>
      <c r="L92" s="430">
        <f t="shared" ref="L92:N92" si="211">+L65/L$33</f>
        <v>0.179858203768646</v>
      </c>
      <c r="M92" s="430" t="e">
        <f t="shared" si="211"/>
        <v>#VALUE!</v>
      </c>
      <c r="N92" s="430">
        <f t="shared" si="211"/>
        <v>0.16679788189227526</v>
      </c>
      <c r="O92" s="430"/>
      <c r="P92" s="430"/>
      <c r="Q92" s="430">
        <f t="shared" si="191"/>
        <v>0.22242647058823531</v>
      </c>
      <c r="R92" s="430">
        <f t="shared" si="191"/>
        <v>0.17443082311733804</v>
      </c>
      <c r="S92" s="430">
        <f t="shared" si="191"/>
        <v>0.18135281764088201</v>
      </c>
      <c r="T92" s="430">
        <f t="shared" si="191"/>
        <v>0.22504783083898744</v>
      </c>
      <c r="U92" s="430">
        <f t="shared" si="191"/>
        <v>0.29111829969008335</v>
      </c>
      <c r="V92" s="430">
        <f t="shared" ref="V92:V94" si="212">+V65/V$33</f>
        <v>0.16550767730108812</v>
      </c>
      <c r="W92" s="430">
        <f t="shared" ref="W92:X94" si="213">+W65/W$33</f>
        <v>0.17183953377928338</v>
      </c>
      <c r="X92" s="430" t="e">
        <f t="shared" si="213"/>
        <v>#VALUE!</v>
      </c>
      <c r="Y92" s="430"/>
    </row>
    <row r="93" spans="1:25" s="438" customFormat="1" ht="21.5">
      <c r="A93" s="429" t="str">
        <f t="shared" si="186"/>
        <v>Other Income offset</v>
      </c>
      <c r="B93" s="447"/>
      <c r="C93" s="416">
        <f t="shared" si="187"/>
        <v>2.67539051452324E-2</v>
      </c>
      <c r="D93" s="416">
        <f t="shared" si="187"/>
        <v>1.8841036006328166E-2</v>
      </c>
      <c r="E93" s="416">
        <f t="shared" si="187"/>
        <v>1.2761013181591773E-2</v>
      </c>
      <c r="F93" s="416">
        <f t="shared" si="187"/>
        <v>1.1348014880912164E-2</v>
      </c>
      <c r="G93" s="416">
        <f t="shared" si="187"/>
        <v>7.1669311390386032E-3</v>
      </c>
      <c r="H93" s="416">
        <f t="shared" si="187"/>
        <v>1.0806613507641999E-2</v>
      </c>
      <c r="I93" s="416">
        <f t="shared" si="187"/>
        <v>4.8585326517902802E-3</v>
      </c>
      <c r="J93" s="416">
        <f t="shared" si="204"/>
        <v>5.3918794734278356E-3</v>
      </c>
      <c r="K93" s="416">
        <f t="shared" si="204"/>
        <v>3.9732694456206287E-3</v>
      </c>
      <c r="L93" s="416">
        <f t="shared" ref="L93:N93" si="214">+L66/L$33</f>
        <v>4.314594507748174E-3</v>
      </c>
      <c r="M93" s="416" t="e">
        <f t="shared" si="214"/>
        <v>#VALUE!</v>
      </c>
      <c r="N93" s="416">
        <f t="shared" si="214"/>
        <v>3.6976550545971504E-3</v>
      </c>
      <c r="O93" s="430"/>
      <c r="P93" s="430"/>
      <c r="Q93" s="416">
        <f t="shared" si="191"/>
        <v>1.654411764705882E-2</v>
      </c>
      <c r="R93" s="416">
        <f t="shared" si="191"/>
        <v>2.4343257443082314E-2</v>
      </c>
      <c r="S93" s="416">
        <f t="shared" si="191"/>
        <v>2.1263563178158907E-2</v>
      </c>
      <c r="T93" s="416">
        <f t="shared" si="191"/>
        <v>1.1967708772955013E-2</v>
      </c>
      <c r="U93" s="416">
        <f t="shared" si="191"/>
        <v>8.8347862678622886E-3</v>
      </c>
      <c r="V93" s="416">
        <f t="shared" ref="V93:W93" si="215">+V66/V$33</f>
        <v>5.1513669223764913E-3</v>
      </c>
      <c r="W93" s="416">
        <f t="shared" si="215"/>
        <v>4.1516897128685793E-3</v>
      </c>
      <c r="X93" s="416" t="e">
        <f t="shared" ref="X93" si="216">+X66/X$33</f>
        <v>#VALUE!</v>
      </c>
      <c r="Y93" s="430"/>
    </row>
    <row r="94" spans="1:25" s="438" customFormat="1">
      <c r="A94" s="435" t="str">
        <f t="shared" si="186"/>
        <v>Total Adj. Opex less Other Income</v>
      </c>
      <c r="B94" s="447"/>
      <c r="C94" s="430">
        <f t="shared" si="187"/>
        <v>0.19031419085825238</v>
      </c>
      <c r="D94" s="430">
        <f t="shared" si="187"/>
        <v>0.14675297593505715</v>
      </c>
      <c r="E94" s="430">
        <f t="shared" si="187"/>
        <v>0.16163130010748494</v>
      </c>
      <c r="F94" s="430">
        <f t="shared" si="187"/>
        <v>0.25326963869219127</v>
      </c>
      <c r="G94" s="430">
        <f t="shared" si="187"/>
        <v>0.30656526070695372</v>
      </c>
      <c r="H94" s="430">
        <f t="shared" si="187"/>
        <v>0.25357633742231783</v>
      </c>
      <c r="I94" s="430">
        <f t="shared" si="187"/>
        <v>0.1628303493221864</v>
      </c>
      <c r="J94" s="430">
        <f t="shared" si="209"/>
        <v>0.1583243165942945</v>
      </c>
      <c r="K94" s="430">
        <f t="shared" si="209"/>
        <v>0.15908387555540335</v>
      </c>
      <c r="L94" s="430">
        <f t="shared" ref="L94:N94" si="217">+L67/L$33</f>
        <v>0.17554360926089782</v>
      </c>
      <c r="M94" s="430" t="e">
        <f t="shared" si="217"/>
        <v>#VALUE!</v>
      </c>
      <c r="N94" s="430">
        <f t="shared" si="217"/>
        <v>0.16310022683767814</v>
      </c>
      <c r="O94" s="430"/>
      <c r="P94" s="430"/>
      <c r="Q94" s="430">
        <f t="shared" si="191"/>
        <v>0.20588235294117652</v>
      </c>
      <c r="R94" s="430">
        <f t="shared" si="191"/>
        <v>0.15008756567425574</v>
      </c>
      <c r="S94" s="430">
        <f t="shared" si="191"/>
        <v>0.16008925446272312</v>
      </c>
      <c r="T94" s="430">
        <f t="shared" si="191"/>
        <v>0.21308012206603241</v>
      </c>
      <c r="U94" s="430">
        <f t="shared" si="191"/>
        <v>0.28228351342222108</v>
      </c>
      <c r="V94" s="430">
        <f t="shared" si="212"/>
        <v>0.16035631037871162</v>
      </c>
      <c r="W94" s="430">
        <f t="shared" si="213"/>
        <v>0.16768784406641479</v>
      </c>
      <c r="X94" s="430" t="e">
        <f t="shared" si="213"/>
        <v>#VALUE!</v>
      </c>
      <c r="Y94" s="430"/>
    </row>
    <row r="95" spans="1:25" s="438" customFormat="1">
      <c r="A95" s="435"/>
      <c r="B95" s="447"/>
      <c r="C95" s="430"/>
      <c r="D95" s="430"/>
      <c r="E95" s="430"/>
      <c r="F95" s="430"/>
      <c r="G95" s="430"/>
      <c r="H95" s="430"/>
      <c r="I95" s="430"/>
      <c r="J95" s="430"/>
      <c r="K95" s="430"/>
      <c r="L95" s="430"/>
      <c r="M95" s="430"/>
      <c r="N95" s="430"/>
      <c r="O95" s="430"/>
      <c r="P95" s="430"/>
      <c r="Q95" s="430"/>
      <c r="R95" s="430"/>
      <c r="S95" s="430"/>
      <c r="T95" s="430"/>
      <c r="U95" s="430"/>
      <c r="V95" s="430"/>
      <c r="W95" s="430"/>
      <c r="X95" s="430"/>
      <c r="Y95" s="430"/>
    </row>
    <row r="96" spans="1:25" s="438" customFormat="1">
      <c r="A96" s="426" t="s">
        <v>147</v>
      </c>
      <c r="B96" s="447"/>
      <c r="C96" s="430"/>
      <c r="D96" s="430"/>
      <c r="E96" s="430"/>
      <c r="F96" s="430"/>
      <c r="G96" s="430"/>
      <c r="H96" s="430"/>
      <c r="I96" s="430"/>
      <c r="J96" s="430"/>
      <c r="K96" s="430"/>
      <c r="L96" s="430"/>
      <c r="M96" s="430"/>
      <c r="N96" s="430"/>
      <c r="O96" s="430"/>
      <c r="P96" s="430"/>
      <c r="Q96" s="430"/>
      <c r="R96" s="430"/>
      <c r="S96" s="430"/>
      <c r="T96" s="430"/>
      <c r="U96" s="430"/>
      <c r="V96" s="430"/>
      <c r="W96" s="430"/>
      <c r="X96" s="430"/>
      <c r="Y96" s="430"/>
    </row>
    <row r="97" spans="1:29" s="438" customFormat="1">
      <c r="A97" s="429" t="str">
        <f t="shared" ref="A97:A103" si="218">+A88</f>
        <v>Advertising and Marketing Expense</v>
      </c>
      <c r="B97" s="447"/>
      <c r="C97" s="430">
        <f t="shared" ref="C97:I103" si="219">+C61/C$40</f>
        <v>0.26241102004349304</v>
      </c>
      <c r="D97" s="430">
        <f t="shared" si="219"/>
        <v>0.32262560116998518</v>
      </c>
      <c r="E97" s="430">
        <f t="shared" si="219"/>
        <v>0.3406314020353246</v>
      </c>
      <c r="F97" s="430">
        <f t="shared" si="219"/>
        <v>0.74063481419769339</v>
      </c>
      <c r="G97" s="430">
        <f t="shared" si="219"/>
        <v>1.0470792548127268</v>
      </c>
      <c r="H97" s="430">
        <f t="shared" si="219"/>
        <v>1.3565455198175613</v>
      </c>
      <c r="I97" s="430">
        <f t="shared" si="219"/>
        <v>0.34921267372822934</v>
      </c>
      <c r="J97" s="430">
        <f t="shared" ref="J97" si="220">+J61/J$40</f>
        <v>0.41447742139244464</v>
      </c>
      <c r="K97" s="430">
        <f t="shared" ref="K97" si="221">+K61/K$40</f>
        <v>0.4163540086467501</v>
      </c>
      <c r="L97" s="430">
        <f t="shared" ref="L97:N97" si="222">+L61/L$40</f>
        <v>0.56997612822965227</v>
      </c>
      <c r="M97" s="430" t="e">
        <f t="shared" si="222"/>
        <v>#VALUE!</v>
      </c>
      <c r="N97" s="430">
        <f t="shared" si="222"/>
        <v>0.48398940946137625</v>
      </c>
      <c r="O97" s="430"/>
      <c r="P97" s="430"/>
      <c r="Q97" s="430">
        <f t="shared" ref="Q97:U103" si="223">+Q61/Q$40</f>
        <v>0.14590747330960854</v>
      </c>
      <c r="R97" s="430">
        <f t="shared" si="223"/>
        <v>0.28092959671907036</v>
      </c>
      <c r="S97" s="430">
        <f t="shared" si="223"/>
        <v>0.3016838166510758</v>
      </c>
      <c r="T97" s="430">
        <f t="shared" si="223"/>
        <v>0.5341212160567208</v>
      </c>
      <c r="U97" s="430">
        <f t="shared" si="223"/>
        <v>1.1518370849218946</v>
      </c>
      <c r="V97" s="430">
        <f t="shared" ref="V97:W97" si="224">+V61/V$40</f>
        <v>0.38238017351501991</v>
      </c>
      <c r="W97" s="430">
        <f t="shared" si="224"/>
        <v>0.4885289251165148</v>
      </c>
      <c r="X97" s="430" t="e">
        <f t="shared" ref="X97" si="225">+X61/X$40</f>
        <v>#VALUE!</v>
      </c>
      <c r="Y97" s="430"/>
    </row>
    <row r="98" spans="1:29" s="438" customFormat="1">
      <c r="A98" s="429" t="str">
        <f t="shared" si="218"/>
        <v>Merchant Fees</v>
      </c>
      <c r="B98" s="447"/>
      <c r="C98" s="430">
        <f t="shared" si="219"/>
        <v>0.26189010709199217</v>
      </c>
      <c r="D98" s="430">
        <f t="shared" si="219"/>
        <v>6.6048797349270369E-2</v>
      </c>
      <c r="E98" s="430">
        <f t="shared" si="219"/>
        <v>0.15668925680134524</v>
      </c>
      <c r="F98" s="430">
        <f t="shared" si="219"/>
        <v>0.25235954667202487</v>
      </c>
      <c r="G98" s="430">
        <f t="shared" si="219"/>
        <v>0.21773056205971475</v>
      </c>
      <c r="H98" s="430">
        <f t="shared" si="219"/>
        <v>0.37065440174089642</v>
      </c>
      <c r="I98" s="430">
        <f t="shared" si="219"/>
        <v>0.16317217239534845</v>
      </c>
      <c r="J98" s="430">
        <f t="shared" ref="J98" si="226">+J62/J$40</f>
        <v>0.18948620659263815</v>
      </c>
      <c r="K98" s="430">
        <f t="shared" ref="K98" si="227">+K62/K$40</f>
        <v>0.15601038737291309</v>
      </c>
      <c r="L98" s="430">
        <f t="shared" ref="L98:N98" si="228">+L62/L$40</f>
        <v>0.20992232900068289</v>
      </c>
      <c r="M98" s="430" t="e">
        <f t="shared" si="228"/>
        <v>#VALUE!</v>
      </c>
      <c r="N98" s="430">
        <f t="shared" si="228"/>
        <v>0.17499999999999996</v>
      </c>
      <c r="O98" s="430"/>
      <c r="P98" s="430"/>
      <c r="Q98" s="430">
        <f t="shared" si="223"/>
        <v>5.3380782918149461E-2</v>
      </c>
      <c r="R98" s="430">
        <f t="shared" si="223"/>
        <v>0.17224880382775118</v>
      </c>
      <c r="S98" s="430">
        <f t="shared" si="223"/>
        <v>0.13415965076395386</v>
      </c>
      <c r="T98" s="430">
        <f t="shared" si="223"/>
        <v>0.20296692852014753</v>
      </c>
      <c r="U98" s="430">
        <f t="shared" si="223"/>
        <v>0.26949701103505813</v>
      </c>
      <c r="V98" s="430">
        <f t="shared" ref="V98:W98" si="229">+V62/V$40</f>
        <v>0.17654494644051258</v>
      </c>
      <c r="W98" s="430">
        <f t="shared" si="229"/>
        <v>0.18133935623671846</v>
      </c>
      <c r="X98" s="430" t="e">
        <f t="shared" ref="X98" si="230">+X62/X$40</f>
        <v>#VALUE!</v>
      </c>
      <c r="Y98" s="430"/>
    </row>
    <row r="99" spans="1:29" s="438" customFormat="1">
      <c r="A99" s="429" t="str">
        <f t="shared" si="218"/>
        <v>Employee Benefits Expense</v>
      </c>
      <c r="B99" s="447"/>
      <c r="C99" s="430">
        <f t="shared" si="219"/>
        <v>6.0567562006348677E-2</v>
      </c>
      <c r="D99" s="430">
        <f t="shared" si="219"/>
        <v>5.1488525449160848E-2</v>
      </c>
      <c r="E99" s="430">
        <f t="shared" si="219"/>
        <v>4.7530508316371435E-2</v>
      </c>
      <c r="F99" s="430">
        <f t="shared" si="219"/>
        <v>0.12473941694117248</v>
      </c>
      <c r="G99" s="430">
        <f t="shared" si="219"/>
        <v>5.5866708491836781E-2</v>
      </c>
      <c r="H99" s="430">
        <f t="shared" si="219"/>
        <v>0.1229890656283706</v>
      </c>
      <c r="I99" s="430">
        <f t="shared" si="219"/>
        <v>4.5746290468187623E-2</v>
      </c>
      <c r="J99" s="430">
        <f t="shared" ref="J99" si="231">+J63/J$40</f>
        <v>3.1922259831908169E-2</v>
      </c>
      <c r="K99" s="430">
        <f t="shared" ref="K99" si="232">+K63/K$40</f>
        <v>3.9929445903346204E-2</v>
      </c>
      <c r="L99" s="430">
        <f t="shared" ref="L99:N99" si="233">+L63/L$40</f>
        <v>6.1437772543734559E-2</v>
      </c>
      <c r="M99" s="430" t="e">
        <f t="shared" si="233"/>
        <v>#VALUE!</v>
      </c>
      <c r="N99" s="430">
        <f t="shared" si="233"/>
        <v>4.9999999999999989E-2</v>
      </c>
      <c r="O99" s="430"/>
      <c r="P99" s="430"/>
      <c r="Q99" s="430">
        <f t="shared" si="223"/>
        <v>3.91459074733096E-2</v>
      </c>
      <c r="R99" s="430">
        <f t="shared" si="223"/>
        <v>0.10457963089542036</v>
      </c>
      <c r="S99" s="430">
        <f t="shared" si="223"/>
        <v>5.4646086685375739E-2</v>
      </c>
      <c r="T99" s="430">
        <f t="shared" si="223"/>
        <v>8.4878033153343704E-2</v>
      </c>
      <c r="U99" s="430">
        <f t="shared" si="223"/>
        <v>7.8588385393602009E-2</v>
      </c>
      <c r="V99" s="430">
        <f t="shared" ref="V99:W99" si="234">+V63/V$40</f>
        <v>3.8720927625441409E-2</v>
      </c>
      <c r="W99" s="430">
        <f t="shared" si="234"/>
        <v>5.0034512041538054E-2</v>
      </c>
      <c r="X99" s="430" t="e">
        <f t="shared" ref="X99" si="235">+X63/X$40</f>
        <v>#VALUE!</v>
      </c>
      <c r="Y99" s="430"/>
    </row>
    <row r="100" spans="1:29" s="438" customFormat="1" ht="21.5">
      <c r="A100" s="429" t="str">
        <f t="shared" si="218"/>
        <v>G&amp;A excl. adjustments</v>
      </c>
      <c r="B100" s="447"/>
      <c r="C100" s="416">
        <f t="shared" si="219"/>
        <v>9.6041644345561797E-2</v>
      </c>
      <c r="D100" s="416">
        <f t="shared" si="219"/>
        <v>0.18759348179822574</v>
      </c>
      <c r="E100" s="416">
        <f t="shared" si="219"/>
        <v>7.8098628065561768E-2</v>
      </c>
      <c r="F100" s="416">
        <f t="shared" si="219"/>
        <v>0.17377606865394704</v>
      </c>
      <c r="G100" s="416">
        <f t="shared" si="219"/>
        <v>0.12286309637691116</v>
      </c>
      <c r="H100" s="416">
        <f t="shared" si="219"/>
        <v>0.16048554682928437</v>
      </c>
      <c r="I100" s="416">
        <f t="shared" si="219"/>
        <v>0.11114842943546072</v>
      </c>
      <c r="J100" s="416">
        <f t="shared" ref="J100:K102" si="236">+J64/J$40</f>
        <v>0.13401382786497795</v>
      </c>
      <c r="K100" s="416">
        <f t="shared" ref="K100" si="237">+K64/K$40</f>
        <v>9.0606523663278635E-2</v>
      </c>
      <c r="L100" s="416">
        <f t="shared" ref="L100:N100" si="238">+L64/L$40</f>
        <v>0.11692604419976851</v>
      </c>
      <c r="M100" s="416" t="e">
        <f t="shared" si="238"/>
        <v>#VALUE!</v>
      </c>
      <c r="N100" s="416">
        <f t="shared" si="238"/>
        <v>0.125</v>
      </c>
      <c r="O100" s="430"/>
      <c r="P100" s="430"/>
      <c r="Q100" s="416">
        <f t="shared" si="223"/>
        <v>0.1921708185053381</v>
      </c>
      <c r="R100" s="416">
        <f t="shared" si="223"/>
        <v>0.12303485987696522</v>
      </c>
      <c r="S100" s="416">
        <f t="shared" si="223"/>
        <v>0.15575304022450884</v>
      </c>
      <c r="T100" s="416">
        <f t="shared" si="223"/>
        <v>0.12437975873245477</v>
      </c>
      <c r="U100" s="416">
        <f t="shared" si="223"/>
        <v>0.13559872128490796</v>
      </c>
      <c r="V100" s="416">
        <f t="shared" ref="V100:W100" si="239">+V64/V$40</f>
        <v>0.12276860916001543</v>
      </c>
      <c r="W100" s="416">
        <f t="shared" si="239"/>
        <v>0.10297199031224183</v>
      </c>
      <c r="X100" s="416" t="e">
        <f t="shared" ref="X100" si="240">+X64/X$40</f>
        <v>#VALUE!</v>
      </c>
      <c r="Y100" s="430"/>
    </row>
    <row r="101" spans="1:29" s="438" customFormat="1">
      <c r="A101" s="435" t="str">
        <f t="shared" si="218"/>
        <v>Total Adj. Opex</v>
      </c>
      <c r="B101" s="447"/>
      <c r="C101" s="430">
        <f t="shared" si="219"/>
        <v>0.68091033348739571</v>
      </c>
      <c r="D101" s="430">
        <f t="shared" si="219"/>
        <v>0.62775640576664216</v>
      </c>
      <c r="E101" s="430">
        <f t="shared" si="219"/>
        <v>0.62294979521860305</v>
      </c>
      <c r="F101" s="430">
        <f t="shared" si="219"/>
        <v>1.2915098464648378</v>
      </c>
      <c r="G101" s="430">
        <f t="shared" si="219"/>
        <v>1.4435396217411895</v>
      </c>
      <c r="H101" s="430">
        <f t="shared" si="219"/>
        <v>2.0106745340161125</v>
      </c>
      <c r="I101" s="430">
        <f t="shared" si="219"/>
        <v>0.66927956602722616</v>
      </c>
      <c r="J101" s="430">
        <f t="shared" ref="J101:K103" si="241">+J65/J$40</f>
        <v>0.76989971568196902</v>
      </c>
      <c r="K101" s="430">
        <f t="shared" ref="K101" si="242">+K65/K$40</f>
        <v>0.7029003655862881</v>
      </c>
      <c r="L101" s="430">
        <f t="shared" ref="L101:N101" si="243">+L65/L$40</f>
        <v>0.95826227397383823</v>
      </c>
      <c r="M101" s="430" t="e">
        <f t="shared" si="243"/>
        <v>#VALUE!</v>
      </c>
      <c r="N101" s="430">
        <f t="shared" si="243"/>
        <v>0.83398940946137623</v>
      </c>
      <c r="O101" s="430"/>
      <c r="P101" s="430"/>
      <c r="Q101" s="430">
        <f t="shared" si="223"/>
        <v>0.43060498220640575</v>
      </c>
      <c r="R101" s="430">
        <f t="shared" si="223"/>
        <v>0.68079289131920717</v>
      </c>
      <c r="S101" s="430">
        <f t="shared" si="223"/>
        <v>0.64624259432491427</v>
      </c>
      <c r="T101" s="430">
        <f t="shared" si="223"/>
        <v>0.94634593646266674</v>
      </c>
      <c r="U101" s="430">
        <f t="shared" si="223"/>
        <v>1.6355212026354626</v>
      </c>
      <c r="V101" s="430">
        <f t="shared" ref="V101:V103" si="244">+V65/V$40</f>
        <v>0.72041465674098937</v>
      </c>
      <c r="W101" s="430">
        <f t="shared" ref="W101:X103" si="245">+W65/W$40</f>
        <v>0.82287478370701317</v>
      </c>
      <c r="X101" s="430" t="e">
        <f t="shared" si="245"/>
        <v>#VALUE!</v>
      </c>
      <c r="Y101" s="430"/>
    </row>
    <row r="102" spans="1:29" s="438" customFormat="1" ht="21.5">
      <c r="A102" s="429" t="str">
        <f t="shared" si="218"/>
        <v>Other Income offset</v>
      </c>
      <c r="B102" s="447"/>
      <c r="C102" s="416">
        <f t="shared" si="219"/>
        <v>8.3923021438571471E-2</v>
      </c>
      <c r="D102" s="416">
        <f t="shared" si="219"/>
        <v>7.1425173565086542E-2</v>
      </c>
      <c r="E102" s="416">
        <f t="shared" si="219"/>
        <v>4.5583835653795493E-2</v>
      </c>
      <c r="F102" s="416">
        <f t="shared" si="219"/>
        <v>5.5385847310745154E-2</v>
      </c>
      <c r="G102" s="416">
        <f t="shared" si="219"/>
        <v>3.2976370721215481E-2</v>
      </c>
      <c r="H102" s="416">
        <f t="shared" si="219"/>
        <v>8.2186020325216172E-2</v>
      </c>
      <c r="I102" s="416">
        <f t="shared" si="219"/>
        <v>1.9391366836257723E-2</v>
      </c>
      <c r="J102" s="416">
        <f t="shared" si="236"/>
        <v>2.5356113648440502E-2</v>
      </c>
      <c r="K102" s="416">
        <f t="shared" si="236"/>
        <v>1.7127814582317321E-2</v>
      </c>
      <c r="L102" s="416">
        <f t="shared" ref="L102:N102" si="246">+L66/L$40</f>
        <v>2.2987626127902831E-2</v>
      </c>
      <c r="M102" s="416" t="e">
        <f t="shared" si="246"/>
        <v>#VALUE!</v>
      </c>
      <c r="N102" s="416">
        <f t="shared" si="246"/>
        <v>1.8488275272985751E-2</v>
      </c>
      <c r="O102" s="430"/>
      <c r="P102" s="430"/>
      <c r="Q102" s="416">
        <f t="shared" si="223"/>
        <v>3.2028469750889674E-2</v>
      </c>
      <c r="R102" s="416">
        <f t="shared" si="223"/>
        <v>9.5010252904989753E-2</v>
      </c>
      <c r="S102" s="416">
        <f t="shared" si="223"/>
        <v>7.5771749298409727E-2</v>
      </c>
      <c r="T102" s="416">
        <f t="shared" si="223"/>
        <v>5.0325268738793505E-2</v>
      </c>
      <c r="U102" s="416">
        <f t="shared" si="223"/>
        <v>4.9634393568607431E-2</v>
      </c>
      <c r="V102" s="416">
        <f t="shared" ref="V102:W102" si="247">+V66/V$40</f>
        <v>2.242264705569854E-2</v>
      </c>
      <c r="W102" s="416">
        <f t="shared" si="247"/>
        <v>1.98808778129217E-2</v>
      </c>
      <c r="X102" s="416" t="e">
        <f t="shared" ref="X102" si="248">+X66/X$40</f>
        <v>#VALUE!</v>
      </c>
      <c r="Y102" s="430"/>
    </row>
    <row r="103" spans="1:29" s="438" customFormat="1">
      <c r="A103" s="435" t="str">
        <f t="shared" si="218"/>
        <v>Total Adj. Opex less Other Income</v>
      </c>
      <c r="B103" s="447"/>
      <c r="C103" s="430">
        <f t="shared" si="219"/>
        <v>0.59698731204882427</v>
      </c>
      <c r="D103" s="430">
        <f t="shared" si="219"/>
        <v>0.55633123220155567</v>
      </c>
      <c r="E103" s="430">
        <f t="shared" si="219"/>
        <v>0.57736595956480752</v>
      </c>
      <c r="F103" s="430">
        <f t="shared" si="219"/>
        <v>1.2361239991540927</v>
      </c>
      <c r="G103" s="430">
        <f t="shared" si="219"/>
        <v>1.4105632510199739</v>
      </c>
      <c r="H103" s="430">
        <f t="shared" si="219"/>
        <v>1.9284885136908965</v>
      </c>
      <c r="I103" s="430">
        <f t="shared" si="219"/>
        <v>0.64988819919096841</v>
      </c>
      <c r="J103" s="430">
        <f t="shared" si="241"/>
        <v>0.74454360203352843</v>
      </c>
      <c r="K103" s="430">
        <f t="shared" si="241"/>
        <v>0.68577255100397083</v>
      </c>
      <c r="L103" s="430">
        <f t="shared" ref="L103:N103" si="249">+L67/L$40</f>
        <v>0.93527464784593539</v>
      </c>
      <c r="M103" s="430" t="e">
        <f t="shared" si="249"/>
        <v>#VALUE!</v>
      </c>
      <c r="N103" s="430">
        <f t="shared" si="249"/>
        <v>0.81550113418839054</v>
      </c>
      <c r="O103" s="430"/>
      <c r="P103" s="430"/>
      <c r="Q103" s="430">
        <f t="shared" si="223"/>
        <v>0.39857651245551606</v>
      </c>
      <c r="R103" s="430">
        <f t="shared" si="223"/>
        <v>0.58578263841421752</v>
      </c>
      <c r="S103" s="430">
        <f t="shared" si="223"/>
        <v>0.57047084502650447</v>
      </c>
      <c r="T103" s="430">
        <f t="shared" si="223"/>
        <v>0.89602066772387312</v>
      </c>
      <c r="U103" s="430">
        <f t="shared" si="223"/>
        <v>1.5858868090668552</v>
      </c>
      <c r="V103" s="430">
        <f t="shared" si="244"/>
        <v>0.69799200968529085</v>
      </c>
      <c r="W103" s="430">
        <f t="shared" si="245"/>
        <v>0.80299390589409148</v>
      </c>
      <c r="X103" s="430" t="e">
        <f t="shared" si="245"/>
        <v>#VALUE!</v>
      </c>
      <c r="Y103" s="430"/>
    </row>
    <row r="104" spans="1:29" s="438" customFormat="1">
      <c r="A104" s="435"/>
      <c r="B104" s="447"/>
      <c r="C104" s="430"/>
      <c r="D104" s="430"/>
      <c r="E104" s="430"/>
      <c r="F104" s="430"/>
      <c r="G104" s="430"/>
      <c r="H104" s="430"/>
      <c r="I104" s="430"/>
      <c r="J104" s="430"/>
      <c r="K104" s="430"/>
      <c r="L104" s="430"/>
      <c r="M104" s="430"/>
      <c r="N104" s="430"/>
      <c r="O104" s="430"/>
      <c r="P104" s="430"/>
      <c r="Q104" s="430"/>
      <c r="R104" s="430"/>
      <c r="S104" s="430"/>
      <c r="T104" s="430"/>
      <c r="U104" s="430"/>
      <c r="V104" s="444"/>
      <c r="W104" s="444"/>
      <c r="X104" s="444"/>
      <c r="Y104" s="430"/>
    </row>
    <row r="105" spans="1:29" s="438" customFormat="1" hidden="1" outlineLevel="1">
      <c r="A105" s="460" t="s">
        <v>148</v>
      </c>
      <c r="B105" s="447"/>
      <c r="C105" s="430"/>
      <c r="D105" s="430"/>
      <c r="E105" s="430"/>
      <c r="F105" s="430"/>
      <c r="G105" s="430"/>
      <c r="H105" s="430"/>
      <c r="I105" s="430"/>
      <c r="J105" s="430"/>
      <c r="K105" s="430"/>
      <c r="L105" s="430"/>
      <c r="M105" s="430"/>
      <c r="N105" s="430"/>
      <c r="O105" s="430"/>
      <c r="P105" s="430"/>
      <c r="Q105" s="430"/>
      <c r="R105" s="430"/>
      <c r="S105" s="430"/>
      <c r="T105" s="430"/>
      <c r="U105" s="430"/>
      <c r="V105" s="444"/>
      <c r="W105" s="444"/>
      <c r="X105" s="444"/>
      <c r="Y105" s="430"/>
    </row>
    <row r="106" spans="1:29" s="438" customFormat="1" hidden="1" outlineLevel="1">
      <c r="A106" s="435" t="s">
        <v>406</v>
      </c>
      <c r="B106" s="430"/>
      <c r="C106" s="461">
        <f>+'Detailed Disclosure'!X45*-1/'Detailed Disclosure'!X106*1000</f>
        <v>48.582669313788422</v>
      </c>
      <c r="D106" s="461">
        <f>+'Detailed Disclosure'!Y45*-1/'Detailed Disclosure'!Y106*1000</f>
        <v>52.721838564908992</v>
      </c>
      <c r="E106" s="461">
        <f>+'Detailed Disclosure'!Z45*-1/'Detailed Disclosure'!Z106*1000</f>
        <v>57.688913436133205</v>
      </c>
      <c r="F106" s="461">
        <f>+'Detailed Disclosure'!AA45*-1/'Detailed Disclosure'!AA106*1000</f>
        <v>76.142227122381485</v>
      </c>
      <c r="G106" s="461">
        <f>(7592+'Detailed Disclosure'!AB45)*-1/'Detailed Disclosure'!AB106*1000</f>
        <v>85.111548165457904</v>
      </c>
      <c r="H106" s="461">
        <f>(4179+'Detailed Disclosure'!AC45)*-1/'Detailed Disclosure'!AC106*1000</f>
        <v>68.804351053563693</v>
      </c>
      <c r="I106" s="461">
        <f>(1527+'Detailed Disclosure'!AD45)*-1/'Detailed Disclosure'!AD106*1000</f>
        <v>46.593234881516594</v>
      </c>
      <c r="J106" s="461">
        <f>(3265-1527+'Detailed Disclosure'!AE45)*-1/'Detailed Disclosure'!AE106*1000</f>
        <v>47.227187754525019</v>
      </c>
      <c r="K106" s="461"/>
      <c r="L106" s="461"/>
      <c r="M106" s="461"/>
      <c r="N106" s="461"/>
      <c r="O106" s="461"/>
      <c r="P106" s="461"/>
      <c r="Q106" s="461">
        <f>+'Detailed Disclosure'!AJ45*-1/'Detailed Disclosure'!AJ106*1000</f>
        <v>42.487046632124354</v>
      </c>
      <c r="R106" s="461">
        <f>+'Detailed Disclosure'!AK45*-1/'Detailed Disclosure'!AK106*1000</f>
        <v>39.564882556796306</v>
      </c>
      <c r="S106" s="461">
        <f>+'Detailed Disclosure'!AL45*-1/'Detailed Disclosure'!AL106*1000</f>
        <v>51.397152571185721</v>
      </c>
      <c r="T106" s="461">
        <f>+(1800+'Detailed Disclosure'!AM45)*-1/'Detailed Disclosure'!AM106*1000</f>
        <v>58.322966858189204</v>
      </c>
      <c r="U106" s="461">
        <f>+(11779+'Detailed Disclosure'!AN45)*-1/'Detailed Disclosure'!AN106*1000</f>
        <v>77.468137425016124</v>
      </c>
      <c r="V106" s="461">
        <f>+(3265+'Detailed Disclosure'!AO45)*-1/'Detailed Disclosure'!AO106*1000</f>
        <v>46.941486017485545</v>
      </c>
      <c r="W106" s="462"/>
      <c r="X106" s="462"/>
      <c r="Y106" s="461"/>
      <c r="Z106" s="461"/>
      <c r="AA106" s="461"/>
      <c r="AB106" s="461"/>
      <c r="AC106" s="461"/>
    </row>
    <row r="107" spans="1:29" s="438" customFormat="1" hidden="1" outlineLevel="1">
      <c r="A107" s="435"/>
      <c r="B107" s="430"/>
      <c r="C107" s="430"/>
      <c r="D107" s="430"/>
      <c r="E107" s="430"/>
      <c r="F107" s="430"/>
      <c r="G107" s="430"/>
      <c r="H107" s="430"/>
      <c r="I107" s="552"/>
      <c r="J107" s="430"/>
      <c r="K107" s="423"/>
      <c r="L107" s="430"/>
      <c r="M107" s="430"/>
      <c r="N107" s="430"/>
      <c r="O107" s="430"/>
      <c r="P107" s="430"/>
      <c r="Q107" s="430"/>
      <c r="R107" s="430"/>
      <c r="S107" s="430"/>
      <c r="T107" s="444"/>
      <c r="U107" s="444"/>
      <c r="V107" s="444"/>
      <c r="W107" s="444"/>
      <c r="X107" s="444"/>
      <c r="Y107" s="430"/>
    </row>
    <row r="108" spans="1:29" s="422" customFormat="1" collapsed="1">
      <c r="A108" s="401" t="s">
        <v>245</v>
      </c>
      <c r="B108" s="423"/>
      <c r="C108" s="423">
        <f>+'Detailed Disclosure'!X67/1000</f>
        <v>0.89900000000000002</v>
      </c>
      <c r="D108" s="423">
        <f>+'Detailed Disclosure'!Y67/1000</f>
        <v>1.8560000000000001</v>
      </c>
      <c r="E108" s="423">
        <f>+'Detailed Disclosure'!Z67/1000</f>
        <v>4.7949999999999999</v>
      </c>
      <c r="F108" s="423">
        <f>+'Detailed Disclosure'!AA67/1000</f>
        <v>-2.4460000000000002</v>
      </c>
      <c r="G108" s="423">
        <f>+'Detailed Disclosure'!AB67/1000</f>
        <v>-9.94</v>
      </c>
      <c r="H108" s="423">
        <f>+'Detailed Disclosure'!AC67/1000</f>
        <v>-11.535</v>
      </c>
      <c r="I108" s="423">
        <f>+'Detailed Disclosure'!AD67/1000</f>
        <v>16.686</v>
      </c>
      <c r="J108" s="423">
        <f>+'Detailed Disclosure'!AE67/1000</f>
        <v>12.636119999999984</v>
      </c>
      <c r="K108" s="423">
        <f>+'Detailed Disclosure'!AF67/1000</f>
        <v>26.094000000000001</v>
      </c>
      <c r="L108" s="423">
        <f>+'Detailed Disclosure'!AG67/1000</f>
        <v>6.4</v>
      </c>
      <c r="M108" s="423" t="e">
        <f>+'Historical - USD'!M108*'Historical - USD'!M$181</f>
        <v>#VALUE!</v>
      </c>
      <c r="N108" s="423">
        <f>+'Historical - USD'!N108*'Historical - USD'!N$181</f>
        <v>17.741944359502384</v>
      </c>
      <c r="O108" s="423"/>
      <c r="P108" s="423"/>
      <c r="Q108" s="423">
        <f>+'Detailed Disclosure'!AJ67/1000</f>
        <v>0.16900000000000001</v>
      </c>
      <c r="R108" s="423">
        <f>+'Detailed Disclosure'!AK67/1000</f>
        <v>0.60599999999999998</v>
      </c>
      <c r="S108" s="423">
        <f>+'Detailed Disclosure'!AL67/1000</f>
        <v>2.7549999999999999</v>
      </c>
      <c r="T108" s="423">
        <f>+'Detailed Disclosure'!AM67/1000</f>
        <v>2.3490000000000002</v>
      </c>
      <c r="U108" s="423">
        <f>+'Detailed Disclosure'!AN67/1000</f>
        <v>-21.475000000000001</v>
      </c>
      <c r="V108" s="423">
        <f>+'Detailed Disclosure'!AO67/1000</f>
        <v>29.322119999999984</v>
      </c>
      <c r="W108" s="423">
        <f>SUM(K108:L108)</f>
        <v>32.494</v>
      </c>
      <c r="X108" s="423" t="e">
        <f>+SUM(M108:N108)</f>
        <v>#VALUE!</v>
      </c>
      <c r="Y108" s="424"/>
    </row>
    <row r="109" spans="1:29" s="438" customFormat="1">
      <c r="A109" s="429" t="s">
        <v>25</v>
      </c>
      <c r="B109" s="430"/>
      <c r="C109" s="430"/>
      <c r="D109" s="430"/>
      <c r="E109" s="430">
        <f>+E108/C108-1</f>
        <v>4.3337041156840934</v>
      </c>
      <c r="F109" s="430">
        <f t="shared" ref="F109:L109" si="250">+F108/D108-1</f>
        <v>-2.3178879310344831</v>
      </c>
      <c r="G109" s="430">
        <f t="shared" si="250"/>
        <v>-3.0729927007299271</v>
      </c>
      <c r="H109" s="430">
        <f t="shared" si="250"/>
        <v>3.7158626328699915</v>
      </c>
      <c r="I109" s="430">
        <f t="shared" si="250"/>
        <v>-2.678672032193159</v>
      </c>
      <c r="J109" s="430">
        <f t="shared" si="250"/>
        <v>-2.0954590377113123</v>
      </c>
      <c r="K109" s="430">
        <f t="shared" si="250"/>
        <v>0.5638259618842143</v>
      </c>
      <c r="L109" s="430">
        <f t="shared" si="250"/>
        <v>-0.49351541454180492</v>
      </c>
      <c r="M109" s="430" t="e">
        <f t="shared" ref="M109" si="251">+M108/K108-1</f>
        <v>#VALUE!</v>
      </c>
      <c r="N109" s="430">
        <f t="shared" ref="N109" si="252">+N108/L108-1</f>
        <v>1.7721788061722474</v>
      </c>
      <c r="O109" s="430"/>
      <c r="P109" s="430"/>
      <c r="Q109" s="430"/>
      <c r="R109" s="430">
        <f>+R108/Q108-1</f>
        <v>2.585798816568047</v>
      </c>
      <c r="S109" s="430">
        <f>+S108/R108-1</f>
        <v>3.5462046204620465</v>
      </c>
      <c r="T109" s="430">
        <f>+T108/S108-1</f>
        <v>-0.14736842105263148</v>
      </c>
      <c r="U109" s="430">
        <f>+U108/T108-1</f>
        <v>-10.142188165176671</v>
      </c>
      <c r="V109" s="430">
        <f t="shared" ref="V109" si="253">+V108/U108-1</f>
        <v>-2.3654072176949934</v>
      </c>
      <c r="W109" s="430">
        <f t="shared" ref="W109:X109" si="254">+W108/V108-1</f>
        <v>0.10817362455375057</v>
      </c>
      <c r="X109" s="430" t="e">
        <f t="shared" si="254"/>
        <v>#VALUE!</v>
      </c>
      <c r="Y109" s="430"/>
    </row>
    <row r="110" spans="1:29" s="438" customFormat="1">
      <c r="A110" s="429" t="s">
        <v>27</v>
      </c>
      <c r="B110" s="430"/>
      <c r="C110" s="430">
        <f>+C108/C33</f>
        <v>0.12847682365276902</v>
      </c>
      <c r="D110" s="430">
        <f t="shared" ref="D110:N110" si="255">+D108/D33</f>
        <v>0.11703407652704405</v>
      </c>
      <c r="E110" s="430">
        <f t="shared" si="255"/>
        <v>0.11831471581163044</v>
      </c>
      <c r="F110" s="430">
        <f t="shared" si="255"/>
        <v>-4.7145902517038006E-2</v>
      </c>
      <c r="G110" s="430">
        <f t="shared" si="255"/>
        <v>-8.7418223176419577E-2</v>
      </c>
      <c r="H110" s="430">
        <f t="shared" si="255"/>
        <v>-0.11993438887102031</v>
      </c>
      <c r="I110" s="430">
        <f t="shared" si="255"/>
        <v>8.8898402546426183E-2</v>
      </c>
      <c r="J110" s="430">
        <f t="shared" si="255"/>
        <v>5.5293146306756726E-2</v>
      </c>
      <c r="K110" s="430">
        <f t="shared" si="255"/>
        <v>7.3658311485140737E-2</v>
      </c>
      <c r="L110" s="430">
        <f t="shared" si="255"/>
        <v>1.6494940631860713E-2</v>
      </c>
      <c r="M110" s="430" t="e">
        <f t="shared" si="255"/>
        <v>#VALUE!</v>
      </c>
      <c r="N110" s="430">
        <f t="shared" si="255"/>
        <v>4.1246207207874766E-2</v>
      </c>
      <c r="O110" s="430"/>
      <c r="P110" s="430"/>
      <c r="Q110" s="430">
        <f t="shared" ref="Q110:W110" si="256">+Q108/Q33</f>
        <v>0.31066176470588236</v>
      </c>
      <c r="R110" s="430">
        <f t="shared" si="256"/>
        <v>0.10612959719789843</v>
      </c>
      <c r="S110" s="430">
        <f t="shared" si="256"/>
        <v>0.12053727686384318</v>
      </c>
      <c r="T110" s="430">
        <f t="shared" si="256"/>
        <v>2.5419601986819466E-2</v>
      </c>
      <c r="U110" s="430">
        <f t="shared" si="256"/>
        <v>-0.10231849419765994</v>
      </c>
      <c r="V110" s="430">
        <f t="shared" si="256"/>
        <v>7.044742412193343E-2</v>
      </c>
      <c r="W110" s="430">
        <f t="shared" si="256"/>
        <v>4.3777400189430549E-2</v>
      </c>
      <c r="X110" s="430" t="e">
        <f t="shared" ref="X110" si="257">+X108/X33</f>
        <v>#VALUE!</v>
      </c>
      <c r="Y110" s="430"/>
    </row>
    <row r="111" spans="1:29" s="438" customFormat="1">
      <c r="A111" s="429" t="s">
        <v>147</v>
      </c>
      <c r="B111" s="430"/>
      <c r="C111" s="430">
        <f t="shared" ref="C111:L111" si="258">+C108/C40</f>
        <v>0.40301268795117579</v>
      </c>
      <c r="D111" s="430">
        <f t="shared" si="258"/>
        <v>0.44366876779844444</v>
      </c>
      <c r="E111" s="430">
        <f t="shared" si="258"/>
        <v>0.42263404043519248</v>
      </c>
      <c r="F111" s="430">
        <f t="shared" si="258"/>
        <v>-0.23010330754219546</v>
      </c>
      <c r="G111" s="430">
        <f t="shared" si="258"/>
        <v>-0.40222735217214084</v>
      </c>
      <c r="H111" s="430">
        <f t="shared" si="258"/>
        <v>-0.91212016738413326</v>
      </c>
      <c r="I111" s="430">
        <f t="shared" si="258"/>
        <v>0.35481114535678721</v>
      </c>
      <c r="J111" s="430">
        <f t="shared" si="258"/>
        <v>0.26002422877651071</v>
      </c>
      <c r="K111" s="430">
        <f t="shared" si="258"/>
        <v>0.31752336931355551</v>
      </c>
      <c r="L111" s="430">
        <f t="shared" si="258"/>
        <v>8.7883004432104686E-2</v>
      </c>
      <c r="M111" s="430" t="e">
        <f t="shared" ref="M111" si="259">+M109/M28</f>
        <v>#VALUE!</v>
      </c>
      <c r="N111" s="430">
        <f>+N109/N28</f>
        <v>16.303442244507067</v>
      </c>
      <c r="O111" s="430"/>
      <c r="P111" s="430"/>
      <c r="Q111" s="430">
        <f t="shared" ref="Q111:X111" si="260">+Q108/Q40</f>
        <v>0.60142348754448394</v>
      </c>
      <c r="R111" s="430">
        <f t="shared" si="260"/>
        <v>0.4142173615857826</v>
      </c>
      <c r="S111" s="430">
        <f t="shared" si="260"/>
        <v>0.42952915497349548</v>
      </c>
      <c r="T111" s="430">
        <f t="shared" si="260"/>
        <v>0.10689166368342307</v>
      </c>
      <c r="U111" s="430">
        <f t="shared" si="260"/>
        <v>-0.57483183592428355</v>
      </c>
      <c r="V111" s="430">
        <f t="shared" si="260"/>
        <v>0.3066404996715878</v>
      </c>
      <c r="W111" s="430">
        <f t="shared" si="260"/>
        <v>0.20963347560289947</v>
      </c>
      <c r="X111" s="430" t="e">
        <f t="shared" si="260"/>
        <v>#VALUE!</v>
      </c>
      <c r="Y111" s="430"/>
    </row>
    <row r="112" spans="1:29" s="438" customFormat="1">
      <c r="A112" s="435"/>
      <c r="B112" s="430"/>
      <c r="C112" s="430"/>
      <c r="D112" s="430"/>
      <c r="E112" s="430"/>
      <c r="F112" s="430"/>
      <c r="G112" s="430"/>
      <c r="H112" s="430"/>
      <c r="I112" s="552"/>
      <c r="J112" s="430"/>
      <c r="K112" s="423"/>
      <c r="L112" s="430"/>
      <c r="M112" s="430"/>
      <c r="N112" s="430"/>
      <c r="O112" s="430"/>
      <c r="P112" s="430"/>
      <c r="Q112" s="430"/>
      <c r="R112" s="430"/>
      <c r="S112" s="430"/>
      <c r="T112" s="444"/>
      <c r="U112" s="444"/>
      <c r="V112" s="444"/>
      <c r="W112" s="444"/>
      <c r="X112" s="444"/>
      <c r="Y112" s="430"/>
    </row>
    <row r="113" spans="1:32" s="433" customFormat="1" ht="21.5">
      <c r="A113" s="401" t="s">
        <v>247</v>
      </c>
      <c r="B113" s="416"/>
      <c r="C113" s="420">
        <f>+'Detailed Disclosure'!X62/1000</f>
        <v>0</v>
      </c>
      <c r="D113" s="420">
        <f>+'Detailed Disclosure'!Y62/1000</f>
        <v>0</v>
      </c>
      <c r="E113" s="420">
        <f>+'Detailed Disclosure'!Z62/1000</f>
        <v>0</v>
      </c>
      <c r="F113" s="420">
        <f>+'Detailed Disclosure'!AA62/1000</f>
        <v>6.4000000000000001E-2</v>
      </c>
      <c r="G113" s="420">
        <f>+'Detailed Disclosure'!AB62/1000</f>
        <v>0.20599999999999999</v>
      </c>
      <c r="H113" s="420">
        <f>+'Detailed Disclosure'!AC62/1000</f>
        <v>0.20699999999999999</v>
      </c>
      <c r="I113" s="420">
        <f>+'Detailed Disclosure'!AD62/1000</f>
        <v>0.221</v>
      </c>
      <c r="J113" s="420">
        <f>+'Detailed Disclosure'!AE62/1000</f>
        <v>0.22197800000000001</v>
      </c>
      <c r="K113" s="420">
        <f>+'Detailed Disclosure'!AF62/1000</f>
        <v>0.27085799999999999</v>
      </c>
      <c r="L113" s="420">
        <f>+'Detailed Disclosure'!AG62/1000</f>
        <v>1.6864349999999999</v>
      </c>
      <c r="M113" s="420" t="e">
        <f>+'Historical - USD'!M113*'Historical - USD'!M$181</f>
        <v>#VALUE!</v>
      </c>
      <c r="N113" s="420">
        <f>+'Historical - USD'!N113*'Historical - USD'!N$181</f>
        <v>1.8696068370553969</v>
      </c>
      <c r="O113" s="420"/>
      <c r="P113" s="420"/>
      <c r="Q113" s="420">
        <f>+'Detailed Disclosure'!AJ62/1000</f>
        <v>0</v>
      </c>
      <c r="R113" s="420">
        <f>+'Detailed Disclosure'!AK62/1000</f>
        <v>0</v>
      </c>
      <c r="S113" s="420">
        <f>+'Detailed Disclosure'!AL62/1000</f>
        <v>0</v>
      </c>
      <c r="T113" s="420">
        <f>+'Detailed Disclosure'!AM62/1000</f>
        <v>6.4000000000000001E-2</v>
      </c>
      <c r="U113" s="420">
        <f>+'Detailed Disclosure'!AN62/1000</f>
        <v>0.41299999999999998</v>
      </c>
      <c r="V113" s="420">
        <f>+'Detailed Disclosure'!AO62/1000</f>
        <v>0.44297799999999998</v>
      </c>
      <c r="W113" s="420">
        <f>SUM(K113:L113)</f>
        <v>1.9572929999999999</v>
      </c>
      <c r="X113" s="420" t="e">
        <f t="shared" ref="X113:X114" si="261">+SUM(M113:N113)</f>
        <v>#VALUE!</v>
      </c>
      <c r="Y113" s="416"/>
    </row>
    <row r="114" spans="1:32" s="422" customFormat="1">
      <c r="A114" s="418" t="s">
        <v>28</v>
      </c>
      <c r="B114" s="423"/>
      <c r="C114" s="423">
        <f>+'Detailed Disclosure'!X77/1000</f>
        <v>0.89900000000000002</v>
      </c>
      <c r="D114" s="423">
        <f>+'Detailed Disclosure'!Y77/1000</f>
        <v>1.8560000000000001</v>
      </c>
      <c r="E114" s="423">
        <f>+'Detailed Disclosure'!Z77/1000</f>
        <v>4.7949999999999999</v>
      </c>
      <c r="F114" s="423">
        <f>+'Detailed Disclosure'!AA77/1000</f>
        <v>-2.5099999999999998</v>
      </c>
      <c r="G114" s="423">
        <f>+'Detailed Disclosure'!AB77/1000</f>
        <v>-10.146000000000001</v>
      </c>
      <c r="H114" s="423">
        <f>+'Detailed Disclosure'!AC77/1000</f>
        <v>-11.742000000000001</v>
      </c>
      <c r="I114" s="423">
        <f>+'Detailed Disclosure'!AD77/1000</f>
        <v>16.465</v>
      </c>
      <c r="J114" s="423">
        <f>+'Detailed Disclosure'!AE77/1000</f>
        <v>12.414141999999986</v>
      </c>
      <c r="K114" s="423">
        <f>+'Detailed Disclosure'!AF77/1000</f>
        <v>25.823142000000001</v>
      </c>
      <c r="L114" s="423">
        <f>+'Detailed Disclosure'!AG77/1000</f>
        <v>4.7135650000000009</v>
      </c>
      <c r="M114" s="423" t="e">
        <f>+'Historical - USD'!M114*'Historical - USD'!M$181</f>
        <v>#VALUE!</v>
      </c>
      <c r="N114" s="423">
        <f>+'Historical - USD'!N114*'Historical - USD'!N$181</f>
        <v>15.872337522446987</v>
      </c>
      <c r="O114" s="423"/>
      <c r="P114" s="423"/>
      <c r="Q114" s="423">
        <f>+'Detailed Disclosure'!AJ77/1000</f>
        <v>0.16900000000000001</v>
      </c>
      <c r="R114" s="423">
        <f>+'Detailed Disclosure'!AK77/1000</f>
        <v>0.60599999999999998</v>
      </c>
      <c r="S114" s="423">
        <f>+'Detailed Disclosure'!AL77/1000</f>
        <v>2.7549999999999999</v>
      </c>
      <c r="T114" s="423">
        <f>+'Detailed Disclosure'!AM77/1000</f>
        <v>2.2850000000000001</v>
      </c>
      <c r="U114" s="423">
        <f>+'Detailed Disclosure'!AN77/1000</f>
        <v>-21.888000000000002</v>
      </c>
      <c r="V114" s="423">
        <f>SUM(I114:J114)</f>
        <v>28.879141999999987</v>
      </c>
      <c r="W114" s="423">
        <f>SUM(K114:L114)</f>
        <v>30.536707</v>
      </c>
      <c r="X114" s="423" t="e">
        <f t="shared" si="261"/>
        <v>#VALUE!</v>
      </c>
      <c r="Y114" s="424"/>
      <c r="Z114" s="422">
        <v>27.5</v>
      </c>
      <c r="AA114" s="422">
        <v>25.3</v>
      </c>
      <c r="AB114" s="422">
        <v>27.4</v>
      </c>
      <c r="AC114" s="422">
        <f>AVERAGE(Z114:AB114)</f>
        <v>26.733333333333331</v>
      </c>
      <c r="AE114" s="422" t="e">
        <f>+#REF!/$AE$20</f>
        <v>#REF!</v>
      </c>
    </row>
    <row r="115" spans="1:32" s="438" customFormat="1">
      <c r="A115" s="435" t="s">
        <v>25</v>
      </c>
      <c r="B115" s="437"/>
      <c r="C115" s="430"/>
      <c r="D115" s="430"/>
      <c r="E115" s="430">
        <f>+E114/C114-1</f>
        <v>4.3337041156840934</v>
      </c>
      <c r="F115" s="430">
        <f t="shared" ref="F115" si="262">+F114/D114-1</f>
        <v>-2.3523706896551722</v>
      </c>
      <c r="G115" s="430">
        <f t="shared" ref="G115" si="263">+G114/E114-1</f>
        <v>-3.1159541188738271</v>
      </c>
      <c r="H115" s="430">
        <f t="shared" ref="H115" si="264">+H114/F114-1</f>
        <v>3.6780876494023911</v>
      </c>
      <c r="I115" s="430">
        <f t="shared" ref="I115" si="265">+I114/G114-1</f>
        <v>-2.6228070175438596</v>
      </c>
      <c r="J115" s="430">
        <f t="shared" ref="J115" si="266">+J114/H114-1</f>
        <v>-2.0572425481178662</v>
      </c>
      <c r="K115" s="430">
        <f t="shared" ref="K115:L115" si="267">+K114/I114-1</f>
        <v>0.56836574552080177</v>
      </c>
      <c r="L115" s="430">
        <f t="shared" si="267"/>
        <v>-0.62030682426542194</v>
      </c>
      <c r="M115" s="430" t="e">
        <f t="shared" ref="M115" si="268">+M114/K114-1</f>
        <v>#VALUE!</v>
      </c>
      <c r="N115" s="430">
        <f t="shared" ref="N115" si="269">+N114/L114-1</f>
        <v>2.3673742745558792</v>
      </c>
      <c r="O115" s="430"/>
      <c r="P115" s="430"/>
      <c r="Q115" s="430"/>
      <c r="R115" s="430">
        <f>+R114/Q114-1</f>
        <v>2.585798816568047</v>
      </c>
      <c r="S115" s="430">
        <f>+S114/R114-1</f>
        <v>3.5462046204620465</v>
      </c>
      <c r="T115" s="430">
        <f t="shared" ref="T115" si="270">+T114/S114-1</f>
        <v>-0.17059891107078029</v>
      </c>
      <c r="U115" s="430">
        <f t="shared" ref="U115" si="271">+U114/T114-1</f>
        <v>-10.578993435448577</v>
      </c>
      <c r="V115" s="430">
        <f t="shared" ref="V115:X115" si="272">+V114/U114-1</f>
        <v>-2.3194052448830402</v>
      </c>
      <c r="W115" s="430">
        <f t="shared" si="272"/>
        <v>5.7396615176448673E-2</v>
      </c>
      <c r="X115" s="430" t="e">
        <f t="shared" si="272"/>
        <v>#VALUE!</v>
      </c>
      <c r="Y115" s="437"/>
      <c r="AE115" s="430"/>
      <c r="AF115" s="430">
        <f>+'Q4 FY21e analysis'!X141</f>
        <v>0</v>
      </c>
    </row>
    <row r="116" spans="1:32" s="438" customFormat="1">
      <c r="A116" s="435" t="s">
        <v>27</v>
      </c>
      <c r="B116" s="447"/>
      <c r="C116" s="430">
        <f t="shared" ref="C116:L116" si="273">+C114/C33</f>
        <v>0.12847682365276902</v>
      </c>
      <c r="D116" s="430">
        <f t="shared" si="273"/>
        <v>0.11703407652704405</v>
      </c>
      <c r="E116" s="430">
        <f t="shared" si="273"/>
        <v>0.11831471581163044</v>
      </c>
      <c r="F116" s="430">
        <f t="shared" si="273"/>
        <v>-4.8379482959021003E-2</v>
      </c>
      <c r="G116" s="430">
        <f t="shared" si="273"/>
        <v>-8.9229908686916812E-2</v>
      </c>
      <c r="H116" s="430">
        <f t="shared" si="273"/>
        <v>-0.12208665748795151</v>
      </c>
      <c r="I116" s="430">
        <f t="shared" si="273"/>
        <v>8.7720975543983407E-2</v>
      </c>
      <c r="J116" s="430">
        <f t="shared" si="273"/>
        <v>5.4321814756337676E-2</v>
      </c>
      <c r="K116" s="430">
        <f t="shared" si="273"/>
        <v>7.2893731775926271E-2</v>
      </c>
      <c r="L116" s="430">
        <f t="shared" si="273"/>
        <v>1.2148433568658835E-2</v>
      </c>
      <c r="M116" s="430" t="e">
        <f t="shared" ref="M116:N116" si="274">+M114/M33</f>
        <v>#VALUE!</v>
      </c>
      <c r="N116" s="430">
        <f t="shared" si="274"/>
        <v>3.6899773162321875E-2</v>
      </c>
      <c r="O116" s="430"/>
      <c r="P116" s="430"/>
      <c r="Q116" s="430">
        <f t="shared" ref="Q116:X116" si="275">+Q114/Q33</f>
        <v>0.31066176470588236</v>
      </c>
      <c r="R116" s="430">
        <f t="shared" si="275"/>
        <v>0.10612959719789843</v>
      </c>
      <c r="S116" s="430">
        <f t="shared" si="275"/>
        <v>0.12053727686384318</v>
      </c>
      <c r="T116" s="430">
        <f t="shared" si="275"/>
        <v>2.4727028752610677E-2</v>
      </c>
      <c r="U116" s="430">
        <f t="shared" si="275"/>
        <v>-0.10428624917338211</v>
      </c>
      <c r="V116" s="430">
        <f t="shared" si="275"/>
        <v>6.9383153903999475E-2</v>
      </c>
      <c r="W116" s="430">
        <f t="shared" si="275"/>
        <v>4.1140445707096233E-2</v>
      </c>
      <c r="X116" s="430" t="e">
        <f t="shared" si="275"/>
        <v>#VALUE!</v>
      </c>
      <c r="Y116" s="430"/>
      <c r="AE116" s="430" t="e">
        <f>+AE114/$AE$33</f>
        <v>#REF!</v>
      </c>
    </row>
    <row r="117" spans="1:32" s="438" customFormat="1" hidden="1" outlineLevel="1">
      <c r="A117" s="435" t="s">
        <v>149</v>
      </c>
      <c r="B117" s="447"/>
      <c r="C117" s="430"/>
      <c r="D117" s="430"/>
      <c r="E117" s="430">
        <f t="shared" ref="E117:L117" si="276">(E114-C114)/(E33-C33)</f>
        <v>0.11619399529951151</v>
      </c>
      <c r="F117" s="430">
        <f t="shared" si="276"/>
        <v>-0.12120078834367098</v>
      </c>
      <c r="G117" s="430">
        <f t="shared" si="276"/>
        <v>-0.20417124825526572</v>
      </c>
      <c r="H117" s="430">
        <f t="shared" si="276"/>
        <v>-0.20841569105570476</v>
      </c>
      <c r="I117" s="430">
        <f t="shared" si="276"/>
        <v>0.35965115932390945</v>
      </c>
      <c r="J117" s="430">
        <f t="shared" si="276"/>
        <v>0.18251436663183696</v>
      </c>
      <c r="K117" s="430">
        <f t="shared" si="276"/>
        <v>5.6184822759596784E-2</v>
      </c>
      <c r="L117" s="430">
        <f t="shared" si="276"/>
        <v>-4.8289116254359624E-2</v>
      </c>
      <c r="M117" s="430" t="e">
        <f t="shared" ref="M117:N117" si="277">(M114-K114)/(M33-K33)</f>
        <v>#VALUE!</v>
      </c>
      <c r="N117" s="430">
        <f t="shared" si="277"/>
        <v>0.26474249121371107</v>
      </c>
      <c r="O117" s="430"/>
      <c r="P117" s="430"/>
      <c r="Q117" s="430"/>
      <c r="R117" s="430">
        <f>(R114-Q114)/(R33-Q33)</f>
        <v>8.4591560201316279E-2</v>
      </c>
      <c r="S117" s="430">
        <f>(S114-R114)/(S33-R33)</f>
        <v>0.12533535518488276</v>
      </c>
      <c r="T117" s="430">
        <f>(T114-S114)/(T33-S33)</f>
        <v>-6.757436774833577E-3</v>
      </c>
      <c r="U117" s="430"/>
      <c r="V117" s="430"/>
      <c r="W117" s="430"/>
      <c r="X117" s="430"/>
      <c r="Y117" s="430"/>
    </row>
    <row r="118" spans="1:32" s="438" customFormat="1" collapsed="1">
      <c r="A118" s="435" t="s">
        <v>147</v>
      </c>
      <c r="B118" s="437"/>
      <c r="C118" s="430">
        <f>+C114/C$40</f>
        <v>0.40301268795117579</v>
      </c>
      <c r="D118" s="430">
        <f t="shared" ref="D118:H118" si="278">+D114/D$40</f>
        <v>0.44366876779844444</v>
      </c>
      <c r="E118" s="430">
        <f t="shared" si="278"/>
        <v>0.42263404043519248</v>
      </c>
      <c r="F118" s="430">
        <f t="shared" si="278"/>
        <v>-0.2361239991540926</v>
      </c>
      <c r="G118" s="430">
        <f t="shared" si="278"/>
        <v>-0.41056325101997398</v>
      </c>
      <c r="H118" s="430">
        <f t="shared" si="278"/>
        <v>-0.92848851369089669</v>
      </c>
      <c r="I118" s="430">
        <f t="shared" ref="I118" si="279">+I114/I$40</f>
        <v>0.35011180080903159</v>
      </c>
      <c r="J118" s="430">
        <f t="shared" ref="J118:K118" si="280">+J114/J$40</f>
        <v>0.25545639796647157</v>
      </c>
      <c r="K118" s="430">
        <f t="shared" si="280"/>
        <v>0.31422744899602922</v>
      </c>
      <c r="L118" s="430">
        <f t="shared" ref="L118:N118" si="281">+L114/L$40</f>
        <v>6.4725352154064622E-2</v>
      </c>
      <c r="M118" s="430" t="e">
        <f t="shared" si="281"/>
        <v>#VALUE!</v>
      </c>
      <c r="N118" s="430">
        <f t="shared" si="281"/>
        <v>0.18449886581160935</v>
      </c>
      <c r="O118" s="430"/>
      <c r="P118" s="430"/>
      <c r="Q118" s="430">
        <f t="shared" ref="Q118:U118" si="282">+Q114/Q$40</f>
        <v>0.60142348754448394</v>
      </c>
      <c r="R118" s="430">
        <f t="shared" si="282"/>
        <v>0.4142173615857826</v>
      </c>
      <c r="S118" s="430">
        <f t="shared" si="282"/>
        <v>0.42952915497349548</v>
      </c>
      <c r="T118" s="430">
        <f t="shared" si="282"/>
        <v>0.10397933227612674</v>
      </c>
      <c r="U118" s="430">
        <f t="shared" si="282"/>
        <v>-0.58588680906685531</v>
      </c>
      <c r="V118" s="430">
        <f t="shared" ref="V118:W118" si="283">+V114/V$40</f>
        <v>0.3020079903147091</v>
      </c>
      <c r="W118" s="430">
        <f t="shared" si="283"/>
        <v>0.19700609410590844</v>
      </c>
      <c r="X118" s="430" t="e">
        <f t="shared" ref="X118" si="284">+X114/X$40</f>
        <v>#VALUE!</v>
      </c>
      <c r="Y118" s="437"/>
      <c r="AE118" s="430" t="e">
        <f>+AE114/$AE$40</f>
        <v>#REF!</v>
      </c>
    </row>
    <row r="119" spans="1:32">
      <c r="A119" s="418"/>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row>
    <row r="120" spans="1:32" s="422" customFormat="1">
      <c r="A120" s="401" t="s">
        <v>150</v>
      </c>
      <c r="B120" s="423"/>
      <c r="C120" s="423">
        <f>+'Detailed Disclosure'!X232/-1000</f>
        <v>0.54841300000000004</v>
      </c>
      <c r="D120" s="423">
        <f>+'Detailed Disclosure'!Y232/-1000</f>
        <v>0.77658700000000003</v>
      </c>
      <c r="E120" s="423">
        <f>+'Detailed Disclosure'!Z232/-1000</f>
        <v>1.0876189999999999</v>
      </c>
      <c r="F120" s="423">
        <f>+'Detailed Disclosure'!AA232/-1000</f>
        <v>1.6193810000000002</v>
      </c>
      <c r="G120" s="423">
        <f>+'Detailed Disclosure'!AB232/-1000</f>
        <v>3.547399</v>
      </c>
      <c r="H120" s="423">
        <f>+'Detailed Disclosure'!AC232/-1000</f>
        <v>4.8277790000000005</v>
      </c>
      <c r="I120" s="423">
        <f>+'Detailed Disclosure'!AD232/-1000</f>
        <v>5.1394040000000007</v>
      </c>
      <c r="J120" s="423">
        <f>+'Detailed Disclosure'!AE232/-1000</f>
        <v>6.9270869999999993</v>
      </c>
      <c r="K120" s="423">
        <f>+'Detailed Disclosure'!AF232/-1000</f>
        <v>7.5027270000000001</v>
      </c>
      <c r="L120" s="423">
        <f>+'Detailed Disclosure'!AG232/-1000</f>
        <v>6.7787360000000003</v>
      </c>
      <c r="M120" s="423" t="e">
        <f>+'Historical - USD'!M120*'Historical - USD'!M$181</f>
        <v>#VALUE!</v>
      </c>
      <c r="N120" s="423">
        <f>+'Historical - USD'!N120*'Historical - USD'!N$181</f>
        <v>8.190367620943146</v>
      </c>
      <c r="O120" s="423"/>
      <c r="P120" s="423"/>
      <c r="Q120" s="423">
        <f>+'Detailed Disclosure'!AJ232/-1000</f>
        <v>0.56499999999999995</v>
      </c>
      <c r="R120" s="423">
        <f>+'Detailed Disclosure'!AK232/-1000</f>
        <v>1.1279999999999999</v>
      </c>
      <c r="S120" s="423">
        <f>+'Detailed Disclosure'!AL232/-1000</f>
        <v>1.325</v>
      </c>
      <c r="T120" s="423">
        <f>SUM(E120:F120)</f>
        <v>2.7069999999999999</v>
      </c>
      <c r="U120" s="423">
        <f>+'Detailed Disclosure'!AN232/-1000</f>
        <v>8.375178</v>
      </c>
      <c r="V120" s="423">
        <f>SUM(I120:J120)</f>
        <v>12.066490999999999</v>
      </c>
      <c r="W120" s="423">
        <f>SUM(K120:L120)</f>
        <v>14.281463</v>
      </c>
      <c r="X120" s="423" t="e">
        <f t="shared" ref="X120" si="285">+SUM(M120:N120)</f>
        <v>#VALUE!</v>
      </c>
      <c r="Y120" s="424"/>
      <c r="Z120" s="422">
        <v>14</v>
      </c>
      <c r="AA120" s="422">
        <v>11</v>
      </c>
      <c r="AC120" s="422">
        <f>AVERAGE(Z120:AB120)</f>
        <v>12.5</v>
      </c>
      <c r="AE120" s="422" t="e">
        <f>+#REF!/$AE$20</f>
        <v>#REF!</v>
      </c>
    </row>
    <row r="121" spans="1:32" s="438" customFormat="1" hidden="1" outlineLevel="1">
      <c r="A121" s="429" t="s">
        <v>25</v>
      </c>
      <c r="B121" s="437"/>
      <c r="C121" s="430"/>
      <c r="D121" s="430"/>
      <c r="E121" s="430">
        <f>+E120/C120-1</f>
        <v>0.98321155771289126</v>
      </c>
      <c r="F121" s="430">
        <f t="shared" ref="F121" si="286">+F120/D120-1</f>
        <v>1.0852538092963187</v>
      </c>
      <c r="G121" s="430">
        <f t="shared" ref="G121" si="287">+G120/E120-1</f>
        <v>2.2616191883370926</v>
      </c>
      <c r="H121" s="430">
        <f t="shared" ref="H121" si="288">+H120/F120-1</f>
        <v>1.9812496256285579</v>
      </c>
      <c r="I121" s="430">
        <f t="shared" ref="I121" si="289">+I120/G120-1</f>
        <v>0.44878092371340261</v>
      </c>
      <c r="J121" s="430">
        <f>+J120/J38</f>
        <v>8.9888913678044542</v>
      </c>
      <c r="K121" s="430">
        <f>+K120/K38</f>
        <v>9.7528126076494885</v>
      </c>
      <c r="L121" s="430">
        <f>+L120/L38</f>
        <v>9.0465200362149503</v>
      </c>
      <c r="M121" s="430" t="e">
        <f>+M120/M38</f>
        <v>#VALUE!</v>
      </c>
      <c r="N121" s="430">
        <f t="shared" ref="N121" si="290">+N120/N38</f>
        <v>10.931057185236272</v>
      </c>
      <c r="O121" s="430"/>
      <c r="P121" s="430"/>
      <c r="Q121" s="430"/>
      <c r="R121" s="430">
        <f>+R120/Q120-1</f>
        <v>0.99646017699115053</v>
      </c>
      <c r="S121" s="430">
        <f>+S120/R120-1</f>
        <v>0.17464539007092217</v>
      </c>
      <c r="T121" s="430">
        <f t="shared" ref="T121" si="291">+T120/S120-1</f>
        <v>1.0430188679245282</v>
      </c>
      <c r="U121" s="430"/>
      <c r="V121" s="430"/>
      <c r="W121" s="430"/>
      <c r="X121" s="430"/>
      <c r="Y121" s="437"/>
    </row>
    <row r="122" spans="1:32" s="438" customFormat="1" collapsed="1">
      <c r="A122" s="429" t="s">
        <v>27</v>
      </c>
      <c r="B122" s="447"/>
      <c r="C122" s="430">
        <f t="shared" ref="C122:M122" si="292">+C120/C33</f>
        <v>7.8374149376958857E-2</v>
      </c>
      <c r="D122" s="430">
        <f t="shared" si="292"/>
        <v>4.8969365510726053E-2</v>
      </c>
      <c r="E122" s="430">
        <f t="shared" si="292"/>
        <v>2.6836565776085439E-2</v>
      </c>
      <c r="F122" s="430">
        <f t="shared" si="292"/>
        <v>3.1213073901857534E-2</v>
      </c>
      <c r="G122" s="430">
        <f t="shared" si="292"/>
        <v>3.1197919263360931E-2</v>
      </c>
      <c r="H122" s="430">
        <f t="shared" si="292"/>
        <v>5.019650836318558E-2</v>
      </c>
      <c r="I122" s="430">
        <f t="shared" si="292"/>
        <v>2.7381326000282449E-2</v>
      </c>
      <c r="J122" s="430">
        <f t="shared" si="292"/>
        <v>3.0311554098143498E-2</v>
      </c>
      <c r="K122" s="430">
        <f t="shared" si="292"/>
        <v>2.1178746162105293E-2</v>
      </c>
      <c r="L122" s="430">
        <f t="shared" si="292"/>
        <v>1.7471069981102649E-2</v>
      </c>
      <c r="M122" s="430" t="e">
        <f t="shared" si="292"/>
        <v>#VALUE!</v>
      </c>
      <c r="N122" s="430">
        <f t="shared" ref="N122" si="293">+N120/N33</f>
        <v>1.9040844292872325E-2</v>
      </c>
      <c r="O122" s="430"/>
      <c r="P122" s="430"/>
      <c r="Q122" s="430">
        <f t="shared" ref="Q122:X122" si="294">+Q120/Q33</f>
        <v>1.0386029411764703</v>
      </c>
      <c r="R122" s="430">
        <f t="shared" si="294"/>
        <v>0.19754816112084062</v>
      </c>
      <c r="S122" s="430">
        <f t="shared" si="294"/>
        <v>5.7971648582429113E-2</v>
      </c>
      <c r="T122" s="430">
        <f t="shared" si="294"/>
        <v>2.9293683515674875E-2</v>
      </c>
      <c r="U122" s="430">
        <f t="shared" si="294"/>
        <v>3.9903869690215095E-2</v>
      </c>
      <c r="V122" s="430">
        <f t="shared" si="294"/>
        <v>2.8990168826145347E-2</v>
      </c>
      <c r="W122" s="430">
        <f t="shared" si="294"/>
        <v>1.9240638919232639E-2</v>
      </c>
      <c r="X122" s="430" t="e">
        <f t="shared" si="294"/>
        <v>#VALUE!</v>
      </c>
      <c r="Y122" s="430"/>
      <c r="AE122" s="430" t="e">
        <f>+AE120/$AE$33</f>
        <v>#REF!</v>
      </c>
    </row>
    <row r="123" spans="1:32" s="438" customFormat="1" collapsed="1">
      <c r="A123" s="429" t="s">
        <v>147</v>
      </c>
      <c r="B123" s="437"/>
      <c r="C123" s="430">
        <f>+C120/C$40</f>
        <v>0.24584805031965315</v>
      </c>
      <c r="D123" s="430">
        <f t="shared" ref="D123:H123" si="295">+D120/D$40</f>
        <v>0.18563976151847553</v>
      </c>
      <c r="E123" s="430">
        <f t="shared" si="295"/>
        <v>9.5863360255283331E-2</v>
      </c>
      <c r="F123" s="430">
        <f t="shared" si="295"/>
        <v>0.15234052504946363</v>
      </c>
      <c r="G123" s="430">
        <f t="shared" si="295"/>
        <v>0.14354737493642861</v>
      </c>
      <c r="H123" s="430">
        <f t="shared" si="295"/>
        <v>0.38175245683342901</v>
      </c>
      <c r="I123" s="430">
        <f t="shared" ref="I123" si="296">+I120/I$40</f>
        <v>0.10928429939417798</v>
      </c>
      <c r="J123" s="430">
        <f t="shared" ref="J123" si="297">+J120/J$40</f>
        <v>0.14254458289750299</v>
      </c>
      <c r="K123" s="430">
        <f t="shared" ref="K123:L123" si="298">+K120/K$40</f>
        <v>9.1296510925108626E-2</v>
      </c>
      <c r="L123" s="430">
        <f t="shared" si="298"/>
        <v>9.308370092688556E-2</v>
      </c>
      <c r="M123" s="430" t="e">
        <f t="shared" ref="M123:N123" si="299">+M120/M$40</f>
        <v>#VALUE!</v>
      </c>
      <c r="N123" s="430">
        <f t="shared" si="299"/>
        <v>9.520422146436161E-2</v>
      </c>
      <c r="O123" s="430"/>
      <c r="P123" s="430"/>
      <c r="Q123" s="430">
        <f t="shared" ref="Q123:U123" si="300">+Q120/Q$40</f>
        <v>2.0106761565836293</v>
      </c>
      <c r="R123" s="430">
        <f t="shared" si="300"/>
        <v>0.77101845522898138</v>
      </c>
      <c r="S123" s="430">
        <f t="shared" si="300"/>
        <v>0.20657935765512941</v>
      </c>
      <c r="T123" s="430">
        <f t="shared" si="300"/>
        <v>0.12318251749298689</v>
      </c>
      <c r="U123" s="430">
        <f t="shared" si="300"/>
        <v>0.22418248875123023</v>
      </c>
      <c r="V123" s="430">
        <f t="shared" ref="V123:W123" si="301">+V120/V$40</f>
        <v>0.12618715254977195</v>
      </c>
      <c r="W123" s="430">
        <f t="shared" si="301"/>
        <v>9.2136170535613071E-2</v>
      </c>
      <c r="X123" s="430" t="e">
        <f t="shared" ref="X123" si="302">+X120/X$40</f>
        <v>#VALUE!</v>
      </c>
      <c r="Y123" s="437"/>
      <c r="AE123" s="430" t="e">
        <f>+AE120/AE40</f>
        <v>#REF!</v>
      </c>
    </row>
    <row r="124" spans="1:32">
      <c r="B124" s="464"/>
      <c r="C124" s="464"/>
      <c r="D124" s="464"/>
      <c r="E124" s="464"/>
      <c r="F124" s="464"/>
      <c r="G124" s="464"/>
      <c r="H124" s="464"/>
      <c r="I124" s="464"/>
      <c r="J124" s="464"/>
      <c r="K124" s="464"/>
      <c r="L124" s="464"/>
      <c r="M124" s="464"/>
      <c r="N124" s="464"/>
      <c r="O124" s="464"/>
      <c r="P124" s="464"/>
      <c r="Q124" s="464"/>
      <c r="R124" s="464"/>
      <c r="S124" s="464"/>
      <c r="T124" s="464"/>
      <c r="U124" s="464"/>
      <c r="V124" s="464"/>
      <c r="W124" s="464"/>
      <c r="X124" s="464"/>
      <c r="Y124" s="464"/>
    </row>
    <row r="125" spans="1:32" s="422" customFormat="1">
      <c r="A125" s="401" t="s">
        <v>33</v>
      </c>
      <c r="B125" s="423"/>
      <c r="C125" s="423">
        <f t="shared" ref="C125:E125" si="303">+C114-C120</f>
        <v>0.35058699999999998</v>
      </c>
      <c r="D125" s="423">
        <f t="shared" si="303"/>
        <v>1.0794130000000002</v>
      </c>
      <c r="E125" s="423">
        <f t="shared" si="303"/>
        <v>3.7073809999999998</v>
      </c>
      <c r="F125" s="423">
        <f t="shared" ref="F125:H125" si="304">+F114-F120</f>
        <v>-4.1293810000000004</v>
      </c>
      <c r="G125" s="423">
        <f t="shared" si="304"/>
        <v>-13.693399000000001</v>
      </c>
      <c r="H125" s="423">
        <f t="shared" si="304"/>
        <v>-16.569779</v>
      </c>
      <c r="I125" s="423">
        <f t="shared" ref="I125" si="305">+I114-I120</f>
        <v>11.325595999999999</v>
      </c>
      <c r="J125" s="423">
        <f t="shared" ref="J125:K125" si="306">+J114-J120</f>
        <v>5.4870549999999865</v>
      </c>
      <c r="K125" s="423">
        <f t="shared" si="306"/>
        <v>18.320415000000001</v>
      </c>
      <c r="L125" s="423">
        <f t="shared" ref="L125" si="307">+L114-L120</f>
        <v>-2.0651709999999994</v>
      </c>
      <c r="M125" s="423" t="e">
        <f t="shared" ref="M125:N125" si="308">+M114-M120</f>
        <v>#VALUE!</v>
      </c>
      <c r="N125" s="423">
        <f t="shared" si="308"/>
        <v>7.681969901503841</v>
      </c>
      <c r="O125" s="423"/>
      <c r="P125" s="423"/>
      <c r="Q125" s="423">
        <f>+Q114-Q120</f>
        <v>-0.39599999999999991</v>
      </c>
      <c r="R125" s="423">
        <f t="shared" ref="R125" si="309">+R114-R120</f>
        <v>-0.52199999999999991</v>
      </c>
      <c r="S125" s="423">
        <f>+S114-S120</f>
        <v>1.43</v>
      </c>
      <c r="T125" s="423">
        <f t="shared" ref="T125:U125" si="310">+T114-T120</f>
        <v>-0.42199999999999971</v>
      </c>
      <c r="U125" s="423">
        <f t="shared" si="310"/>
        <v>-30.263178000000003</v>
      </c>
      <c r="V125" s="423">
        <f>SUM(I125:J125)</f>
        <v>16.812650999999985</v>
      </c>
      <c r="W125" s="423">
        <f>SUM(K125:L125)</f>
        <v>16.255244000000001</v>
      </c>
      <c r="X125" s="423" t="e">
        <f>+SUM(M125:N125)</f>
        <v>#VALUE!</v>
      </c>
      <c r="Y125" s="424"/>
      <c r="Z125" s="423">
        <f t="shared" ref="Z125:AC125" si="311">+Z114-Z120</f>
        <v>13.5</v>
      </c>
      <c r="AA125" s="423">
        <f t="shared" si="311"/>
        <v>14.3</v>
      </c>
      <c r="AB125" s="423"/>
      <c r="AC125" s="423">
        <f t="shared" si="311"/>
        <v>14.233333333333331</v>
      </c>
      <c r="AE125" s="422" t="e">
        <f>+#REF!/$AE$20</f>
        <v>#REF!</v>
      </c>
    </row>
    <row r="126" spans="1:32" s="438" customFormat="1">
      <c r="A126" s="429" t="s">
        <v>25</v>
      </c>
      <c r="B126" s="437"/>
      <c r="C126" s="430"/>
      <c r="D126" s="430"/>
      <c r="E126" s="430">
        <f>+E125/C125-1</f>
        <v>9.5747817232241932</v>
      </c>
      <c r="F126" s="430">
        <f t="shared" ref="F126" si="312">+F125/D125-1</f>
        <v>-4.8255801996084902</v>
      </c>
      <c r="G126" s="430">
        <f t="shared" ref="G126" si="313">+G125/E125-1</f>
        <v>-4.693550514500668</v>
      </c>
      <c r="H126" s="430">
        <f t="shared" ref="H126" si="314">+H125/F125-1</f>
        <v>3.0126544390067176</v>
      </c>
      <c r="I126" s="430">
        <f t="shared" ref="I126" si="315">+I125/G125-1</f>
        <v>-1.8270843491816748</v>
      </c>
      <c r="J126" s="430">
        <f t="shared" ref="J126" si="316">+J125/H125-1</f>
        <v>-1.3311483514656404</v>
      </c>
      <c r="K126" s="430">
        <f t="shared" ref="K126" si="317">+K125/I125-1</f>
        <v>0.61761155880891416</v>
      </c>
      <c r="L126" s="430">
        <f t="shared" ref="L126" si="318">+L125/J125-1</f>
        <v>-1.3763714779604004</v>
      </c>
      <c r="M126" s="430" t="e">
        <f t="shared" ref="M126" si="319">+M125/K125-1</f>
        <v>#VALUE!</v>
      </c>
      <c r="N126" s="430">
        <f t="shared" ref="N126" si="320">+N125/L125-1</f>
        <v>-4.7197742470254731</v>
      </c>
      <c r="O126" s="430"/>
      <c r="P126" s="430"/>
      <c r="Q126" s="430"/>
      <c r="R126" s="430">
        <f>+R125/Q125-1</f>
        <v>0.31818181818181834</v>
      </c>
      <c r="S126" s="430">
        <f>+S125/R125-1</f>
        <v>-3.7394636015325675</v>
      </c>
      <c r="T126" s="430">
        <f t="shared" ref="T126" si="321">+T125/S125-1</f>
        <v>-1.2951048951048949</v>
      </c>
      <c r="U126" s="430">
        <f t="shared" ref="U126" si="322">+U125/T125-1</f>
        <v>70.713691943128026</v>
      </c>
      <c r="V126" s="430">
        <f t="shared" ref="V126" si="323">+V125/U125-1</f>
        <v>-1.5555480987489148</v>
      </c>
      <c r="W126" s="430">
        <f t="shared" ref="W126:X126" si="324">+W125/V125-1</f>
        <v>-3.3154021932649602E-2</v>
      </c>
      <c r="X126" s="430" t="e">
        <f t="shared" si="324"/>
        <v>#VALUE!</v>
      </c>
      <c r="Y126" s="437"/>
      <c r="AE126" s="430"/>
      <c r="AF126" s="430">
        <f>+'Q4 FY21e analysis'!X152</f>
        <v>0</v>
      </c>
    </row>
    <row r="127" spans="1:32" s="438" customFormat="1">
      <c r="A127" s="429" t="s">
        <v>27</v>
      </c>
      <c r="B127" s="447"/>
      <c r="C127" s="430">
        <f t="shared" ref="C127:L127" si="325">+C125/C33</f>
        <v>5.0102674275810152E-2</v>
      </c>
      <c r="D127" s="430">
        <f t="shared" si="325"/>
        <v>6.8064711016318002E-2</v>
      </c>
      <c r="E127" s="430">
        <f t="shared" si="325"/>
        <v>9.1478150035545006E-2</v>
      </c>
      <c r="F127" s="430">
        <f t="shared" si="325"/>
        <v>-7.9592556860878544E-2</v>
      </c>
      <c r="G127" s="430">
        <f t="shared" si="325"/>
        <v>-0.12042782795027775</v>
      </c>
      <c r="H127" s="430">
        <f t="shared" si="325"/>
        <v>-0.17228316585113707</v>
      </c>
      <c r="I127" s="430">
        <f t="shared" si="325"/>
        <v>6.0339649543700948E-2</v>
      </c>
      <c r="J127" s="430">
        <f t="shared" si="325"/>
        <v>2.4010260658194182E-2</v>
      </c>
      <c r="K127" s="430">
        <f t="shared" si="325"/>
        <v>5.1714985613820985E-2</v>
      </c>
      <c r="L127" s="430">
        <f t="shared" si="325"/>
        <v>-5.322636412443813E-3</v>
      </c>
      <c r="M127" s="430" t="e">
        <f t="shared" ref="M127:N127" si="326">+M125/M33</f>
        <v>#VALUE!</v>
      </c>
      <c r="N127" s="430">
        <f t="shared" si="326"/>
        <v>1.785892886944955E-2</v>
      </c>
      <c r="O127" s="430"/>
      <c r="P127" s="430"/>
      <c r="Q127" s="430">
        <f t="shared" ref="Q127:X127" si="327">+Q125/Q33</f>
        <v>-0.72794117647058798</v>
      </c>
      <c r="R127" s="430">
        <f t="shared" si="327"/>
        <v>-9.1418563922942189E-2</v>
      </c>
      <c r="S127" s="430">
        <f t="shared" si="327"/>
        <v>6.2565628281414057E-2</v>
      </c>
      <c r="T127" s="430">
        <f t="shared" si="327"/>
        <v>-4.5666547630642002E-3</v>
      </c>
      <c r="U127" s="430">
        <f t="shared" si="327"/>
        <v>-0.1441901188635972</v>
      </c>
      <c r="V127" s="430">
        <f t="shared" si="327"/>
        <v>4.0392985077854118E-2</v>
      </c>
      <c r="W127" s="430">
        <f t="shared" si="327"/>
        <v>2.1899806787863598E-2</v>
      </c>
      <c r="X127" s="430" t="e">
        <f t="shared" si="327"/>
        <v>#VALUE!</v>
      </c>
      <c r="Y127" s="430"/>
      <c r="AE127" s="430" t="e">
        <f>+AE125/$AE$33</f>
        <v>#REF!</v>
      </c>
    </row>
    <row r="128" spans="1:32" s="438" customFormat="1" collapsed="1">
      <c r="A128" s="429" t="s">
        <v>147</v>
      </c>
      <c r="B128" s="437"/>
      <c r="C128" s="430">
        <f>+C125/C$40</f>
        <v>0.15716463763152264</v>
      </c>
      <c r="D128" s="430">
        <f t="shared" ref="D128:H128" si="328">+D125/D$40</f>
        <v>0.25802900627996894</v>
      </c>
      <c r="E128" s="430">
        <f t="shared" si="328"/>
        <v>0.32677068017990912</v>
      </c>
      <c r="F128" s="430">
        <f t="shared" si="328"/>
        <v>-0.38846452420355626</v>
      </c>
      <c r="G128" s="430">
        <f t="shared" si="328"/>
        <v>-0.55411062595640259</v>
      </c>
      <c r="H128" s="430">
        <f t="shared" si="328"/>
        <v>-1.3102409705243256</v>
      </c>
      <c r="I128" s="430">
        <f t="shared" ref="I128" si="329">+I125/I$40</f>
        <v>0.2408275014148536</v>
      </c>
      <c r="J128" s="430">
        <f t="shared" ref="J128:K128" si="330">+J125/J$40</f>
        <v>0.11291181506896859</v>
      </c>
      <c r="K128" s="430">
        <f t="shared" si="330"/>
        <v>0.2229309380709206</v>
      </c>
      <c r="L128" s="430">
        <f t="shared" ref="L128:N128" si="331">+L125/L$40</f>
        <v>-2.8358348772820941E-2</v>
      </c>
      <c r="M128" s="430" t="e">
        <f t="shared" si="331"/>
        <v>#VALUE!</v>
      </c>
      <c r="N128" s="430">
        <f t="shared" si="331"/>
        <v>8.9294644347247751E-2</v>
      </c>
      <c r="O128" s="430"/>
      <c r="P128" s="430"/>
      <c r="Q128" s="430">
        <f t="shared" ref="Q128:U128" si="332">+Q125/Q$40</f>
        <v>-1.4092526690391454</v>
      </c>
      <c r="R128" s="430">
        <f t="shared" si="332"/>
        <v>-0.35680109364319884</v>
      </c>
      <c r="S128" s="430">
        <f t="shared" si="332"/>
        <v>0.22294979731836609</v>
      </c>
      <c r="T128" s="430">
        <f t="shared" si="332"/>
        <v>-1.9203185216860152E-2</v>
      </c>
      <c r="U128" s="430">
        <f t="shared" si="332"/>
        <v>-0.81006929781808557</v>
      </c>
      <c r="V128" s="430">
        <f t="shared" ref="V128:W128" si="333">+V125/V$40</f>
        <v>0.17582083776493715</v>
      </c>
      <c r="W128" s="430">
        <f t="shared" si="333"/>
        <v>0.10486992357029537</v>
      </c>
      <c r="X128" s="430" t="e">
        <f t="shared" ref="X128" si="334">+X125/X$40</f>
        <v>#VALUE!</v>
      </c>
      <c r="Y128" s="437"/>
      <c r="AE128" s="430" t="e">
        <f>+AE125/AE40</f>
        <v>#REF!</v>
      </c>
    </row>
    <row r="129" spans="1:25">
      <c r="B129" s="464"/>
      <c r="C129" s="464"/>
      <c r="D129" s="464"/>
      <c r="E129" s="464"/>
      <c r="F129" s="464"/>
      <c r="G129" s="464"/>
      <c r="H129" s="464"/>
      <c r="I129" s="464"/>
      <c r="J129" s="464"/>
      <c r="K129" s="464"/>
      <c r="L129" s="464"/>
      <c r="M129" s="464"/>
      <c r="N129" s="464"/>
      <c r="O129" s="466"/>
      <c r="P129" s="466"/>
      <c r="Q129" s="466"/>
      <c r="R129" s="466"/>
      <c r="S129" s="466"/>
      <c r="T129" s="466"/>
      <c r="U129" s="466"/>
      <c r="V129" s="466"/>
      <c r="W129" s="466"/>
      <c r="X129" s="466"/>
      <c r="Y129" s="466"/>
    </row>
    <row r="130" spans="1:25" s="419" customFormat="1" ht="21.5">
      <c r="A130" s="401" t="s">
        <v>34</v>
      </c>
      <c r="B130" s="420"/>
      <c r="C130" s="420">
        <f>+'Detailed Disclosure'!X51/-1000</f>
        <v>0.16647900000000002</v>
      </c>
      <c r="D130" s="420">
        <f>+'Detailed Disclosure'!Y51/-1000</f>
        <v>0.19952099999999998</v>
      </c>
      <c r="E130" s="420">
        <f>+'Detailed Disclosure'!Z51/-1000</f>
        <v>0.26190600000000003</v>
      </c>
      <c r="F130" s="420">
        <f>+'Detailed Disclosure'!AA51/-1000</f>
        <v>0.40150899999999995</v>
      </c>
      <c r="G130" s="420">
        <f>+'Detailed Disclosure'!AB51/-1000</f>
        <v>0.472273</v>
      </c>
      <c r="H130" s="420">
        <f>+'Detailed Disclosure'!AC51/-1000</f>
        <v>1.3052269999999999</v>
      </c>
      <c r="I130" s="420">
        <f>+'Detailed Disclosure'!AD51/-1000</f>
        <v>1.7483009999999999</v>
      </c>
      <c r="J130" s="420">
        <f>+'Detailed Disclosure'!AE51/-1000</f>
        <v>2.3213370000000002</v>
      </c>
      <c r="K130" s="420">
        <f>+'Detailed Disclosure'!AF51/-1000</f>
        <v>2.947438</v>
      </c>
      <c r="L130" s="420">
        <f>+'Detailed Disclosure'!AG51/-1000</f>
        <v>3.545026</v>
      </c>
      <c r="M130" s="420" t="e">
        <f>+'Historical - USD'!M130*'Historical - USD'!M$181</f>
        <v>#VALUE!</v>
      </c>
      <c r="N130" s="420">
        <f>+'Historical - USD'!N130*'Historical - USD'!N$181</f>
        <v>4.4731555568809851</v>
      </c>
      <c r="O130" s="420"/>
      <c r="P130" s="420"/>
      <c r="Q130" s="420">
        <f>+'Detailed Disclosure'!AJ51/-1000</f>
        <v>0</v>
      </c>
      <c r="R130" s="420">
        <f>+'Detailed Disclosure'!AK51/-1000</f>
        <v>0.23899999999999999</v>
      </c>
      <c r="S130" s="420">
        <f>+'Detailed Disclosure'!AL51/-1000</f>
        <v>0.36599999999999999</v>
      </c>
      <c r="T130" s="420">
        <f>+'Detailed Disclosure'!AM51/-1000</f>
        <v>0.66341499999999998</v>
      </c>
      <c r="U130" s="420">
        <f>+'Detailed Disclosure'!AN51/-1000</f>
        <v>1.7775000000000001</v>
      </c>
      <c r="V130" s="420">
        <f t="shared" ref="V130:V135" si="335">SUM(I130:J130)</f>
        <v>4.0696380000000003</v>
      </c>
      <c r="W130" s="420">
        <f t="shared" ref="W130:W135" si="336">SUM(K130:L130)</f>
        <v>6.492464</v>
      </c>
      <c r="X130" s="420" t="e">
        <f>+SUM(M130:N130)</f>
        <v>#VALUE!</v>
      </c>
      <c r="Y130" s="421"/>
    </row>
    <row r="131" spans="1:25" s="422" customFormat="1">
      <c r="A131" s="418" t="s">
        <v>151</v>
      </c>
      <c r="B131" s="423"/>
      <c r="C131" s="423">
        <f t="shared" ref="C131:H131" si="337">+C114-C130</f>
        <v>0.73252099999999998</v>
      </c>
      <c r="D131" s="423">
        <f t="shared" si="337"/>
        <v>1.656479</v>
      </c>
      <c r="E131" s="423">
        <f t="shared" si="337"/>
        <v>4.5330940000000002</v>
      </c>
      <c r="F131" s="423">
        <f t="shared" si="337"/>
        <v>-2.9115089999999997</v>
      </c>
      <c r="G131" s="423">
        <f t="shared" si="337"/>
        <v>-10.618273</v>
      </c>
      <c r="H131" s="423">
        <f t="shared" si="337"/>
        <v>-13.047227000000001</v>
      </c>
      <c r="I131" s="423">
        <f t="shared" ref="I131" si="338">+I114-I130</f>
        <v>14.716699</v>
      </c>
      <c r="J131" s="423">
        <f t="shared" ref="J131:K131" si="339">+J114-J130</f>
        <v>10.092804999999986</v>
      </c>
      <c r="K131" s="423">
        <f t="shared" si="339"/>
        <v>22.875703999999999</v>
      </c>
      <c r="L131" s="423">
        <f t="shared" ref="L131" si="340">+L114-L130</f>
        <v>1.1685390000000009</v>
      </c>
      <c r="M131" s="423" t="e">
        <f>+'Historical - USD'!M131*'Historical - USD'!M$181</f>
        <v>#VALUE!</v>
      </c>
      <c r="N131" s="423">
        <f>+'Historical - USD'!N131*'Historical - USD'!N$181</f>
        <v>11.399181965566003</v>
      </c>
      <c r="O131" s="423"/>
      <c r="P131" s="423"/>
      <c r="Q131" s="423">
        <f>+Q114-Q130</f>
        <v>0.16900000000000001</v>
      </c>
      <c r="R131" s="423">
        <f>+R114-R130</f>
        <v>0.36699999999999999</v>
      </c>
      <c r="S131" s="423">
        <f>+S114-S130</f>
        <v>2.3889999999999998</v>
      </c>
      <c r="T131" s="423">
        <f>+T114-T130</f>
        <v>1.6215850000000001</v>
      </c>
      <c r="U131" s="423">
        <f>+U114-U130</f>
        <v>-23.665500000000002</v>
      </c>
      <c r="V131" s="423">
        <f t="shared" si="335"/>
        <v>24.809503999999986</v>
      </c>
      <c r="W131" s="423">
        <f t="shared" si="336"/>
        <v>24.044243000000002</v>
      </c>
      <c r="X131" s="423" t="e">
        <f t="shared" ref="X131:X135" si="341">+SUM(M131:N131)</f>
        <v>#VALUE!</v>
      </c>
      <c r="Y131" s="424"/>
    </row>
    <row r="132" spans="1:25" s="419" customFormat="1" ht="21.5">
      <c r="A132" s="401" t="s">
        <v>152</v>
      </c>
      <c r="C132" s="420">
        <f>+'Detailed Disclosure'!X43/-1000</f>
        <v>0</v>
      </c>
      <c r="D132" s="420">
        <f>+'Detailed Disclosure'!Y43/-1000</f>
        <v>0</v>
      </c>
      <c r="E132" s="420">
        <f>+'Detailed Disclosure'!Z43/-1000</f>
        <v>-8.6399999999999997E-4</v>
      </c>
      <c r="F132" s="420">
        <f>+'Detailed Disclosure'!AA43/-1000</f>
        <v>-8.3660000000000002E-3</v>
      </c>
      <c r="G132" s="420">
        <f>+'Detailed Disclosure'!AB43/-1000</f>
        <v>-1.6088999999999999E-2</v>
      </c>
      <c r="H132" s="420">
        <f>+'Detailed Disclosure'!AC43/-1000</f>
        <v>-1.9535000000000004E-2</v>
      </c>
      <c r="I132" s="420">
        <f>+'Detailed Disclosure'!AD43/-1000</f>
        <v>-6.6822000000000006E-2</v>
      </c>
      <c r="J132" s="420">
        <f>+'Detailed Disclosure'!AE43/-1000</f>
        <v>-0.18041699999999999</v>
      </c>
      <c r="K132" s="420">
        <f>+'Detailed Disclosure'!AF43/-1000</f>
        <v>-0.67751300000000003</v>
      </c>
      <c r="L132" s="420">
        <f>+'Detailed Disclosure'!AG43/-1000</f>
        <v>-1.4114030000000002</v>
      </c>
      <c r="M132" s="420" t="e">
        <f>+'Historical - USD'!M132*'Historical - USD'!M$181</f>
        <v>#VALUE!</v>
      </c>
      <c r="N132" s="420">
        <f>+'Historical - USD'!N132*'Historical - USD'!N$181</f>
        <v>0</v>
      </c>
      <c r="O132" s="420"/>
      <c r="P132" s="420"/>
      <c r="Q132" s="420">
        <f>+'Detailed Disclosure'!AJ43/-1000</f>
        <v>0</v>
      </c>
      <c r="R132" s="420">
        <f>+'Detailed Disclosure'!AK43/-1000</f>
        <v>0</v>
      </c>
      <c r="S132" s="420">
        <f>+'Detailed Disclosure'!AL43/-1000</f>
        <v>0</v>
      </c>
      <c r="T132" s="420">
        <f>+'Detailed Disclosure'!AM43/-1000</f>
        <v>-9.2300000000000004E-3</v>
      </c>
      <c r="U132" s="420">
        <f>+'Detailed Disclosure'!AN43/-1000</f>
        <v>-3.5624000000000003E-2</v>
      </c>
      <c r="V132" s="420">
        <f t="shared" si="335"/>
        <v>-0.24723899999999999</v>
      </c>
      <c r="W132" s="420">
        <f t="shared" si="336"/>
        <v>-2.0889160000000002</v>
      </c>
      <c r="X132" s="420" t="e">
        <f t="shared" si="341"/>
        <v>#VALUE!</v>
      </c>
      <c r="Y132" s="421"/>
    </row>
    <row r="133" spans="1:25" s="422" customFormat="1">
      <c r="A133" s="418" t="s">
        <v>153</v>
      </c>
      <c r="C133" s="423">
        <f>+C131-C132</f>
        <v>0.73252099999999998</v>
      </c>
      <c r="D133" s="423">
        <f t="shared" ref="D133:H133" si="342">+D131-D132</f>
        <v>1.656479</v>
      </c>
      <c r="E133" s="423">
        <f t="shared" si="342"/>
        <v>4.5339580000000002</v>
      </c>
      <c r="F133" s="423">
        <f t="shared" si="342"/>
        <v>-2.9031429999999996</v>
      </c>
      <c r="G133" s="423">
        <f t="shared" si="342"/>
        <v>-10.602184000000001</v>
      </c>
      <c r="H133" s="423">
        <f t="shared" si="342"/>
        <v>-13.027692000000002</v>
      </c>
      <c r="I133" s="423">
        <f t="shared" ref="I133" si="343">+I131-I132</f>
        <v>14.783521</v>
      </c>
      <c r="J133" s="423">
        <f t="shared" ref="J133:K133" si="344">+J131-J132</f>
        <v>10.273221999999986</v>
      </c>
      <c r="K133" s="423">
        <f t="shared" si="344"/>
        <v>23.553217</v>
      </c>
      <c r="L133" s="423">
        <f t="shared" ref="L133" si="345">+L131-L132</f>
        <v>2.5799420000000008</v>
      </c>
      <c r="M133" s="423" t="e">
        <f>+'Historical - USD'!M133*'Historical - USD'!M$181</f>
        <v>#VALUE!</v>
      </c>
      <c r="N133" s="423">
        <f>+'Historical - USD'!N133*'Historical - USD'!N$181</f>
        <v>11.399181965566003</v>
      </c>
      <c r="O133" s="423"/>
      <c r="P133" s="423"/>
      <c r="Q133" s="423">
        <f t="shared" ref="Q133" si="346">+Q131-Q132</f>
        <v>0.16900000000000001</v>
      </c>
      <c r="R133" s="423">
        <f t="shared" ref="R133" si="347">+R131-R132</f>
        <v>0.36699999999999999</v>
      </c>
      <c r="S133" s="423">
        <f t="shared" ref="S133" si="348">+S131-S132</f>
        <v>2.3889999999999998</v>
      </c>
      <c r="T133" s="423">
        <f t="shared" ref="T133" si="349">+T131-T132</f>
        <v>1.6308150000000001</v>
      </c>
      <c r="U133" s="423">
        <f t="shared" ref="U133" si="350">+U131-U132</f>
        <v>-23.629876000000003</v>
      </c>
      <c r="V133" s="423">
        <f t="shared" si="335"/>
        <v>25.056742999999987</v>
      </c>
      <c r="W133" s="423">
        <f t="shared" si="336"/>
        <v>26.133158999999999</v>
      </c>
      <c r="X133" s="423" t="e">
        <f t="shared" si="341"/>
        <v>#VALUE!</v>
      </c>
      <c r="Y133" s="424"/>
    </row>
    <row r="134" spans="1:25" s="419" customFormat="1" ht="21.5">
      <c r="A134" s="401" t="s">
        <v>154</v>
      </c>
      <c r="C134" s="420">
        <f>IF((C133)*30%&lt;0,0,C133)*30%</f>
        <v>0.21975629999999999</v>
      </c>
      <c r="D134" s="420">
        <f t="shared" ref="D134:H134" si="351">IF((D133)*30%&lt;0,0,D133)*30%</f>
        <v>0.49694369999999999</v>
      </c>
      <c r="E134" s="420">
        <f t="shared" si="351"/>
        <v>1.3601874</v>
      </c>
      <c r="F134" s="420">
        <f t="shared" si="351"/>
        <v>0</v>
      </c>
      <c r="G134" s="420">
        <f t="shared" si="351"/>
        <v>0</v>
      </c>
      <c r="H134" s="420">
        <f t="shared" si="351"/>
        <v>0</v>
      </c>
      <c r="I134" s="420">
        <f t="shared" ref="I134" si="352">IF((I133)*30%&lt;0,0,I133)*30%</f>
        <v>4.4350563000000003</v>
      </c>
      <c r="J134" s="420">
        <f t="shared" ref="J134:K134" si="353">IF((J133)*30%&lt;0,0,J133)*30%</f>
        <v>3.0819665999999959</v>
      </c>
      <c r="K134" s="420">
        <f t="shared" si="353"/>
        <v>7.0659650999999997</v>
      </c>
      <c r="L134" s="420">
        <f t="shared" ref="L134" si="354">IF((L133)*30%&lt;0,0,L133)*30%</f>
        <v>0.77398260000000019</v>
      </c>
      <c r="M134" s="420" t="e">
        <f>+'Historical - USD'!M134*'Historical - USD'!M$181</f>
        <v>#VALUE!</v>
      </c>
      <c r="N134" s="420">
        <f>+'Historical - USD'!N134*'Historical - USD'!N$181</f>
        <v>3.4197545896698003</v>
      </c>
      <c r="O134" s="420"/>
      <c r="P134" s="420"/>
      <c r="Q134" s="420">
        <f t="shared" ref="Q134" si="355">IF((Q133)*30%&lt;0,0,Q133)*30%</f>
        <v>5.0700000000000002E-2</v>
      </c>
      <c r="R134" s="420">
        <f t="shared" ref="R134" si="356">IF((R133)*30%&lt;0,0,R133)*30%</f>
        <v>0.11009999999999999</v>
      </c>
      <c r="S134" s="420">
        <f t="shared" ref="S134:U134" si="357">IF((S133)*30%&lt;0,0,S133)*30%</f>
        <v>0.71669999999999989</v>
      </c>
      <c r="T134" s="420">
        <f t="shared" si="357"/>
        <v>0.48924450000000003</v>
      </c>
      <c r="U134" s="420">
        <f t="shared" si="357"/>
        <v>0</v>
      </c>
      <c r="V134" s="420">
        <f t="shared" si="335"/>
        <v>7.5170228999999962</v>
      </c>
      <c r="W134" s="420">
        <f t="shared" si="336"/>
        <v>7.8399476999999997</v>
      </c>
      <c r="X134" s="420" t="e">
        <f t="shared" si="341"/>
        <v>#VALUE!</v>
      </c>
      <c r="Y134" s="421"/>
    </row>
    <row r="135" spans="1:25" s="422" customFormat="1">
      <c r="A135" s="418" t="s">
        <v>40</v>
      </c>
      <c r="C135" s="423">
        <f t="shared" ref="C135:H135" si="358">+C133-C134</f>
        <v>0.51276469999999996</v>
      </c>
      <c r="D135" s="423">
        <f t="shared" si="358"/>
        <v>1.1595352999999999</v>
      </c>
      <c r="E135" s="423">
        <f t="shared" si="358"/>
        <v>3.1737706000000001</v>
      </c>
      <c r="F135" s="423">
        <f t="shared" si="358"/>
        <v>-2.9031429999999996</v>
      </c>
      <c r="G135" s="423">
        <f t="shared" si="358"/>
        <v>-10.602184000000001</v>
      </c>
      <c r="H135" s="423">
        <f t="shared" si="358"/>
        <v>-13.027692000000002</v>
      </c>
      <c r="I135" s="423">
        <f t="shared" ref="I135" si="359">+I133-I134</f>
        <v>10.348464700000001</v>
      </c>
      <c r="J135" s="423">
        <f t="shared" ref="J135:K135" si="360">+J133-J134</f>
        <v>7.1912553999999904</v>
      </c>
      <c r="K135" s="423">
        <f t="shared" si="360"/>
        <v>16.4872519</v>
      </c>
      <c r="L135" s="423">
        <f t="shared" ref="L135" si="361">+L133-L134</f>
        <v>1.8059594000000008</v>
      </c>
      <c r="M135" s="423" t="e">
        <f>+'Historical - USD'!M135*'Historical - USD'!M$181</f>
        <v>#VALUE!</v>
      </c>
      <c r="N135" s="423">
        <f>+'Historical - USD'!N135*'Historical - USD'!N$181</f>
        <v>7.9794273758962024</v>
      </c>
      <c r="O135" s="423"/>
      <c r="P135" s="423"/>
      <c r="Q135" s="423">
        <f t="shared" ref="Q135:U135" si="362">+Q133-Q134</f>
        <v>0.11830000000000002</v>
      </c>
      <c r="R135" s="423">
        <f t="shared" ref="R135" si="363">+R133-R134</f>
        <v>0.25690000000000002</v>
      </c>
      <c r="S135" s="423">
        <f t="shared" si="362"/>
        <v>1.6722999999999999</v>
      </c>
      <c r="T135" s="423">
        <f t="shared" si="362"/>
        <v>1.1415705</v>
      </c>
      <c r="U135" s="423">
        <f t="shared" si="362"/>
        <v>-23.629876000000003</v>
      </c>
      <c r="V135" s="423">
        <f t="shared" si="335"/>
        <v>17.53972009999999</v>
      </c>
      <c r="W135" s="423">
        <f t="shared" si="336"/>
        <v>18.293211300000003</v>
      </c>
      <c r="X135" s="423" t="e">
        <f t="shared" si="341"/>
        <v>#VALUE!</v>
      </c>
      <c r="Y135" s="424"/>
    </row>
    <row r="136" spans="1:25" ht="8.15" customHeight="1">
      <c r="B136" s="464"/>
      <c r="C136" s="464"/>
      <c r="D136" s="464"/>
      <c r="E136" s="464"/>
      <c r="F136" s="464"/>
      <c r="G136" s="464"/>
      <c r="H136" s="464"/>
      <c r="I136" s="464"/>
      <c r="J136" s="464"/>
      <c r="K136" s="464"/>
      <c r="L136" s="464"/>
      <c r="M136" s="464"/>
      <c r="N136" s="464"/>
      <c r="O136" s="464"/>
      <c r="P136" s="464"/>
      <c r="Q136" s="464"/>
      <c r="R136" s="464"/>
      <c r="S136" s="464"/>
      <c r="T136" s="464"/>
      <c r="U136" s="464"/>
      <c r="V136" s="464"/>
      <c r="W136" s="464"/>
      <c r="X136" s="464"/>
      <c r="Y136" s="464"/>
    </row>
    <row r="137" spans="1:25">
      <c r="A137" s="412" t="s">
        <v>155</v>
      </c>
      <c r="B137" s="408"/>
      <c r="C137" s="464"/>
      <c r="D137" s="464"/>
      <c r="E137" s="464"/>
      <c r="F137" s="464"/>
      <c r="G137" s="464"/>
      <c r="H137" s="464"/>
      <c r="I137" s="464"/>
      <c r="J137" s="464"/>
      <c r="K137" s="464"/>
      <c r="L137" s="464"/>
      <c r="M137" s="464"/>
      <c r="N137" s="464"/>
      <c r="O137" s="464"/>
      <c r="P137" s="464"/>
      <c r="Q137" s="464"/>
      <c r="R137" s="464"/>
      <c r="S137" s="464"/>
      <c r="T137" s="464"/>
      <c r="U137" s="464"/>
      <c r="V137" s="464"/>
      <c r="W137" s="464"/>
      <c r="X137" s="464"/>
      <c r="Y137" s="464"/>
    </row>
    <row r="138" spans="1:25" ht="8.15" customHeight="1">
      <c r="B138" s="464"/>
      <c r="C138" s="464"/>
      <c r="D138" s="464"/>
      <c r="E138" s="464"/>
      <c r="F138" s="464"/>
      <c r="G138" s="464"/>
      <c r="H138" s="464"/>
      <c r="I138" s="464"/>
      <c r="J138" s="464"/>
      <c r="K138" s="464"/>
      <c r="L138" s="464"/>
      <c r="M138" s="464"/>
      <c r="N138" s="464"/>
      <c r="O138" s="464"/>
      <c r="P138" s="464"/>
      <c r="Q138" s="464"/>
      <c r="R138" s="464"/>
      <c r="S138" s="464"/>
      <c r="T138" s="464"/>
      <c r="U138" s="464"/>
      <c r="V138" s="464"/>
      <c r="W138" s="464"/>
      <c r="X138" s="464"/>
      <c r="Y138" s="464"/>
    </row>
    <row r="139" spans="1:25">
      <c r="A139" s="413" t="s">
        <v>39</v>
      </c>
      <c r="B139" s="464"/>
      <c r="C139" s="464"/>
      <c r="D139" s="464"/>
      <c r="E139" s="464"/>
      <c r="F139" s="464"/>
      <c r="G139" s="464"/>
      <c r="H139" s="464"/>
      <c r="I139" s="464"/>
      <c r="J139" s="464"/>
      <c r="K139" s="464"/>
      <c r="L139" s="464"/>
      <c r="M139" s="464"/>
      <c r="N139" s="464"/>
      <c r="O139" s="464"/>
      <c r="P139" s="464"/>
      <c r="Q139" s="464"/>
      <c r="R139" s="464"/>
      <c r="S139" s="464"/>
      <c r="T139" s="464"/>
      <c r="U139" s="464"/>
      <c r="V139" s="464"/>
      <c r="W139" s="464"/>
      <c r="X139" s="464"/>
      <c r="Y139" s="464"/>
    </row>
    <row r="140" spans="1:25" s="422" customFormat="1">
      <c r="A140" s="401" t="s">
        <v>93</v>
      </c>
      <c r="B140" s="423"/>
      <c r="C140" s="423">
        <f t="shared" ref="C140:H140" si="364">+C114</f>
        <v>0.89900000000000002</v>
      </c>
      <c r="D140" s="423">
        <f t="shared" si="364"/>
        <v>1.8560000000000001</v>
      </c>
      <c r="E140" s="423">
        <f t="shared" si="364"/>
        <v>4.7949999999999999</v>
      </c>
      <c r="F140" s="423">
        <f t="shared" si="364"/>
        <v>-2.5099999999999998</v>
      </c>
      <c r="G140" s="423">
        <f t="shared" si="364"/>
        <v>-10.146000000000001</v>
      </c>
      <c r="H140" s="423">
        <f t="shared" si="364"/>
        <v>-11.742000000000001</v>
      </c>
      <c r="I140" s="423">
        <f t="shared" ref="I140" si="365">+I114</f>
        <v>16.465</v>
      </c>
      <c r="J140" s="423">
        <f t="shared" ref="J140:K140" si="366">+J114</f>
        <v>12.414141999999986</v>
      </c>
      <c r="K140" s="423">
        <f t="shared" si="366"/>
        <v>25.823142000000001</v>
      </c>
      <c r="L140" s="423">
        <f t="shared" ref="L140" si="367">+L114</f>
        <v>4.7135650000000009</v>
      </c>
      <c r="M140" s="423" t="e">
        <f t="shared" ref="M140:N140" si="368">+M114</f>
        <v>#VALUE!</v>
      </c>
      <c r="N140" s="423">
        <f t="shared" si="368"/>
        <v>15.872337522446987</v>
      </c>
      <c r="O140" s="423"/>
      <c r="P140" s="423"/>
      <c r="Q140" s="423">
        <f>+Q114</f>
        <v>0.16900000000000001</v>
      </c>
      <c r="R140" s="423">
        <f>+R114</f>
        <v>0.60599999999999998</v>
      </c>
      <c r="S140" s="423">
        <f>+S114</f>
        <v>2.7549999999999999</v>
      </c>
      <c r="T140" s="423">
        <f>+T114</f>
        <v>2.2850000000000001</v>
      </c>
      <c r="U140" s="423">
        <f>+U114</f>
        <v>-21.888000000000002</v>
      </c>
      <c r="V140" s="423">
        <f t="shared" ref="V140:W140" si="369">+V114</f>
        <v>28.879141999999987</v>
      </c>
      <c r="W140" s="423">
        <f t="shared" si="369"/>
        <v>30.536707</v>
      </c>
      <c r="X140" s="423" t="e">
        <f t="shared" ref="X140" si="370">+X114</f>
        <v>#VALUE!</v>
      </c>
      <c r="Y140" s="424"/>
    </row>
    <row r="141" spans="1:25" s="422" customFormat="1">
      <c r="A141" s="401" t="s">
        <v>156</v>
      </c>
      <c r="B141" s="423"/>
      <c r="C141" s="423">
        <f t="shared" ref="C141:H141" si="371">-C120</f>
        <v>-0.54841300000000004</v>
      </c>
      <c r="D141" s="423">
        <f t="shared" si="371"/>
        <v>-0.77658700000000003</v>
      </c>
      <c r="E141" s="423">
        <f t="shared" si="371"/>
        <v>-1.0876189999999999</v>
      </c>
      <c r="F141" s="423">
        <f t="shared" si="371"/>
        <v>-1.6193810000000002</v>
      </c>
      <c r="G141" s="423">
        <f t="shared" si="371"/>
        <v>-3.547399</v>
      </c>
      <c r="H141" s="423">
        <f t="shared" si="371"/>
        <v>-4.8277790000000005</v>
      </c>
      <c r="I141" s="423">
        <f t="shared" ref="I141" si="372">-I120</f>
        <v>-5.1394040000000007</v>
      </c>
      <c r="J141" s="423">
        <f t="shared" ref="J141:K141" si="373">-J120</f>
        <v>-6.9270869999999993</v>
      </c>
      <c r="K141" s="423">
        <f t="shared" si="373"/>
        <v>-7.5027270000000001</v>
      </c>
      <c r="L141" s="423">
        <f t="shared" ref="L141" si="374">-L120</f>
        <v>-6.7787360000000003</v>
      </c>
      <c r="M141" s="423" t="e">
        <f t="shared" ref="M141:N141" si="375">-M120</f>
        <v>#VALUE!</v>
      </c>
      <c r="N141" s="423">
        <f t="shared" si="375"/>
        <v>-8.190367620943146</v>
      </c>
      <c r="O141" s="423"/>
      <c r="P141" s="423"/>
      <c r="Q141" s="423">
        <f>-Q120</f>
        <v>-0.56499999999999995</v>
      </c>
      <c r="R141" s="423">
        <f>-R120</f>
        <v>-1.1279999999999999</v>
      </c>
      <c r="S141" s="423">
        <f>-S120</f>
        <v>-1.325</v>
      </c>
      <c r="T141" s="423">
        <f>-T120</f>
        <v>-2.7069999999999999</v>
      </c>
      <c r="U141" s="423">
        <f>-U120</f>
        <v>-8.375178</v>
      </c>
      <c r="V141" s="423">
        <f t="shared" ref="V141:W141" si="376">-V120</f>
        <v>-12.066490999999999</v>
      </c>
      <c r="W141" s="423">
        <f t="shared" si="376"/>
        <v>-14.281463</v>
      </c>
      <c r="X141" s="423" t="e">
        <f t="shared" ref="X141" si="377">-X120</f>
        <v>#VALUE!</v>
      </c>
      <c r="Y141" s="424"/>
    </row>
    <row r="142" spans="1:25" s="422" customFormat="1">
      <c r="A142" s="401" t="s">
        <v>157</v>
      </c>
      <c r="B142" s="423"/>
      <c r="C142" s="423">
        <f>-C132</f>
        <v>0</v>
      </c>
      <c r="D142" s="423">
        <f t="shared" ref="D142:E142" si="378">-D132</f>
        <v>0</v>
      </c>
      <c r="E142" s="423">
        <f t="shared" si="378"/>
        <v>8.6399999999999997E-4</v>
      </c>
      <c r="F142" s="423">
        <f t="shared" ref="F142:H142" si="379">-F132</f>
        <v>8.3660000000000002E-3</v>
      </c>
      <c r="G142" s="423">
        <f t="shared" si="379"/>
        <v>1.6088999999999999E-2</v>
      </c>
      <c r="H142" s="423">
        <f t="shared" si="379"/>
        <v>1.9535000000000004E-2</v>
      </c>
      <c r="I142" s="423">
        <f t="shared" ref="I142" si="380">-I132</f>
        <v>6.6822000000000006E-2</v>
      </c>
      <c r="J142" s="423">
        <f t="shared" ref="J142:K142" si="381">-J132</f>
        <v>0.18041699999999999</v>
      </c>
      <c r="K142" s="423">
        <f t="shared" si="381"/>
        <v>0.67751300000000003</v>
      </c>
      <c r="L142" s="423">
        <f t="shared" ref="L142" si="382">-L132</f>
        <v>1.4114030000000002</v>
      </c>
      <c r="M142" s="423" t="e">
        <f t="shared" ref="M142:N142" si="383">-M132</f>
        <v>#VALUE!</v>
      </c>
      <c r="N142" s="423">
        <f t="shared" si="383"/>
        <v>0</v>
      </c>
      <c r="O142" s="423"/>
      <c r="P142" s="423"/>
      <c r="Q142" s="423">
        <f t="shared" ref="Q142:S142" si="384">-Q132</f>
        <v>0</v>
      </c>
      <c r="R142" s="423">
        <f t="shared" si="384"/>
        <v>0</v>
      </c>
      <c r="S142" s="423">
        <f t="shared" si="384"/>
        <v>0</v>
      </c>
      <c r="T142" s="423">
        <f t="shared" ref="T142:U142" si="385">-T132</f>
        <v>9.2300000000000004E-3</v>
      </c>
      <c r="U142" s="423">
        <f t="shared" si="385"/>
        <v>3.5624000000000003E-2</v>
      </c>
      <c r="V142" s="423">
        <f t="shared" ref="V142:W142" si="386">-V132</f>
        <v>0.24723899999999999</v>
      </c>
      <c r="W142" s="423">
        <f t="shared" si="386"/>
        <v>2.0889160000000002</v>
      </c>
      <c r="X142" s="423" t="e">
        <f t="shared" ref="X142" si="387">-X132</f>
        <v>#VALUE!</v>
      </c>
      <c r="Y142" s="424"/>
    </row>
    <row r="143" spans="1:25" s="419" customFormat="1" ht="21.5">
      <c r="A143" s="401" t="s">
        <v>158</v>
      </c>
      <c r="B143" s="420"/>
      <c r="C143" s="420">
        <f t="shared" ref="C143:E143" si="388">-C134</f>
        <v>-0.21975629999999999</v>
      </c>
      <c r="D143" s="420">
        <f t="shared" si="388"/>
        <v>-0.49694369999999999</v>
      </c>
      <c r="E143" s="420">
        <f t="shared" si="388"/>
        <v>-1.3601874</v>
      </c>
      <c r="F143" s="420">
        <f t="shared" ref="F143:H143" si="389">-F134</f>
        <v>0</v>
      </c>
      <c r="G143" s="420">
        <f t="shared" si="389"/>
        <v>0</v>
      </c>
      <c r="H143" s="420">
        <f t="shared" si="389"/>
        <v>0</v>
      </c>
      <c r="I143" s="420">
        <f t="shared" ref="I143" si="390">-I134</f>
        <v>-4.4350563000000003</v>
      </c>
      <c r="J143" s="420">
        <f t="shared" ref="J143:K143" si="391">-J134</f>
        <v>-3.0819665999999959</v>
      </c>
      <c r="K143" s="420">
        <f t="shared" si="391"/>
        <v>-7.0659650999999997</v>
      </c>
      <c r="L143" s="420">
        <f t="shared" ref="L143" si="392">-L134</f>
        <v>-0.77398260000000019</v>
      </c>
      <c r="M143" s="420" t="e">
        <f t="shared" ref="M143:N143" si="393">-M134</f>
        <v>#VALUE!</v>
      </c>
      <c r="N143" s="420">
        <f t="shared" si="393"/>
        <v>-3.4197545896698003</v>
      </c>
      <c r="O143" s="420"/>
      <c r="P143" s="420"/>
      <c r="Q143" s="420">
        <f t="shared" ref="Q143:S143" si="394">-Q134</f>
        <v>-5.0700000000000002E-2</v>
      </c>
      <c r="R143" s="420">
        <f t="shared" ref="R143" si="395">-R134</f>
        <v>-0.11009999999999999</v>
      </c>
      <c r="S143" s="420">
        <f t="shared" si="394"/>
        <v>-0.71669999999999989</v>
      </c>
      <c r="T143" s="420">
        <f t="shared" ref="T143:U143" si="396">-T134</f>
        <v>-0.48924450000000003</v>
      </c>
      <c r="U143" s="420">
        <f t="shared" si="396"/>
        <v>0</v>
      </c>
      <c r="V143" s="420">
        <f t="shared" ref="V143:W143" si="397">-V134</f>
        <v>-7.5170228999999962</v>
      </c>
      <c r="W143" s="420">
        <f t="shared" si="397"/>
        <v>-7.8399476999999997</v>
      </c>
      <c r="X143" s="420" t="e">
        <f t="shared" ref="X143" si="398">-X134</f>
        <v>#VALUE!</v>
      </c>
      <c r="Y143" s="421"/>
    </row>
    <row r="144" spans="1:25" s="422" customFormat="1">
      <c r="A144" s="418" t="s">
        <v>39</v>
      </c>
      <c r="B144" s="423"/>
      <c r="C144" s="423">
        <f t="shared" ref="C144:E144" si="399">SUM(C140:C143)</f>
        <v>0.13083069999999999</v>
      </c>
      <c r="D144" s="423">
        <f t="shared" si="399"/>
        <v>0.58246930000000019</v>
      </c>
      <c r="E144" s="423">
        <f t="shared" si="399"/>
        <v>2.3480575999999997</v>
      </c>
      <c r="F144" s="423">
        <f t="shared" ref="F144:H144" si="400">SUM(F140:F143)</f>
        <v>-4.1210150000000008</v>
      </c>
      <c r="G144" s="423">
        <f t="shared" si="400"/>
        <v>-13.677310000000002</v>
      </c>
      <c r="H144" s="423">
        <f t="shared" si="400"/>
        <v>-16.550243999999999</v>
      </c>
      <c r="I144" s="423">
        <f t="shared" ref="I144" si="401">SUM(I140:I143)</f>
        <v>6.957361699999999</v>
      </c>
      <c r="J144" s="423">
        <f t="shared" ref="J144:K144" si="402">SUM(J140:J143)</f>
        <v>2.5855053999999908</v>
      </c>
      <c r="K144" s="423">
        <f t="shared" si="402"/>
        <v>11.931962900000002</v>
      </c>
      <c r="L144" s="423">
        <f t="shared" ref="L144" si="403">SUM(L140:L143)</f>
        <v>-1.4277505999999995</v>
      </c>
      <c r="M144" s="423" t="e">
        <f t="shared" ref="M144:N144" si="404">SUM(M140:M143)</f>
        <v>#VALUE!</v>
      </c>
      <c r="N144" s="423">
        <f t="shared" si="404"/>
        <v>4.2622153118340407</v>
      </c>
      <c r="O144" s="423"/>
      <c r="P144" s="423"/>
      <c r="Q144" s="423">
        <f t="shared" ref="Q144:S144" si="405">SUM(Q140:Q143)</f>
        <v>-0.44669999999999993</v>
      </c>
      <c r="R144" s="423">
        <f t="shared" ref="R144" si="406">SUM(R140:R143)</f>
        <v>-0.63209999999999988</v>
      </c>
      <c r="S144" s="423">
        <f t="shared" si="405"/>
        <v>0.71330000000000005</v>
      </c>
      <c r="T144" s="423">
        <f t="shared" ref="T144:U144" si="407">SUM(T140:T143)</f>
        <v>-0.90201449999999972</v>
      </c>
      <c r="U144" s="423">
        <f t="shared" si="407"/>
        <v>-30.227554000000005</v>
      </c>
      <c r="V144" s="423">
        <f t="shared" ref="V144:W144" si="408">SUM(V140:V143)</f>
        <v>9.5428670999999916</v>
      </c>
      <c r="W144" s="423">
        <f t="shared" si="408"/>
        <v>10.504212299999999</v>
      </c>
      <c r="X144" s="423" t="e">
        <f t="shared" ref="X144" si="409">SUM(X140:X143)</f>
        <v>#VALUE!</v>
      </c>
      <c r="Y144" s="424"/>
    </row>
    <row r="145" spans="1:25">
      <c r="A145" s="467"/>
      <c r="B145" s="464"/>
      <c r="C145" s="464"/>
      <c r="D145" s="464"/>
      <c r="E145" s="464"/>
      <c r="F145" s="464"/>
      <c r="G145" s="464"/>
      <c r="H145" s="464"/>
      <c r="I145" s="464"/>
      <c r="J145" s="464"/>
      <c r="K145" s="464"/>
      <c r="L145" s="464"/>
      <c r="M145" s="464"/>
      <c r="N145" s="464"/>
      <c r="O145" s="468"/>
      <c r="P145" s="468"/>
      <c r="Q145" s="468"/>
      <c r="R145" s="468"/>
      <c r="S145" s="468"/>
      <c r="T145" s="468"/>
      <c r="U145" s="468"/>
      <c r="V145" s="468"/>
      <c r="W145" s="468"/>
      <c r="X145" s="468"/>
      <c r="Y145" s="466"/>
    </row>
    <row r="146" spans="1:25">
      <c r="A146" s="401" t="s">
        <v>4204</v>
      </c>
      <c r="B146" s="464"/>
      <c r="C146" s="464">
        <v>0</v>
      </c>
      <c r="D146" s="464">
        <v>0</v>
      </c>
      <c r="E146" s="464">
        <v>0</v>
      </c>
      <c r="F146" s="464">
        <v>0</v>
      </c>
      <c r="G146" s="464">
        <v>0</v>
      </c>
      <c r="H146" s="464">
        <v>0</v>
      </c>
      <c r="I146" s="464">
        <v>0</v>
      </c>
      <c r="J146" s="464">
        <v>0</v>
      </c>
      <c r="K146" s="464">
        <v>0</v>
      </c>
      <c r="L146" s="464">
        <f>+W146-K146</f>
        <v>0.91200000000000003</v>
      </c>
      <c r="M146" s="423" t="e">
        <f>+'Historical - USD'!M146*'Historical - USD'!M$181</f>
        <v>#VALUE!</v>
      </c>
      <c r="N146" s="423">
        <f>+'Historical - USD'!N146*'Historical - USD'!N$181</f>
        <v>0</v>
      </c>
      <c r="O146" s="468"/>
      <c r="P146" s="464"/>
      <c r="Q146" s="464">
        <v>0</v>
      </c>
      <c r="R146" s="464">
        <v>0</v>
      </c>
      <c r="S146" s="464">
        <v>0</v>
      </c>
      <c r="T146" s="464">
        <v>0</v>
      </c>
      <c r="U146" s="464">
        <v>0</v>
      </c>
      <c r="V146" s="464">
        <v>0</v>
      </c>
      <c r="W146" s="464">
        <f>+'Detailed Disclosure'!AP65/1000</f>
        <v>0.91200000000000003</v>
      </c>
      <c r="X146" s="423" t="e">
        <f t="shared" ref="X146:X148" si="410">+SUM(M146:N146)</f>
        <v>#VALUE!</v>
      </c>
      <c r="Y146" s="466"/>
    </row>
    <row r="147" spans="1:25" s="419" customFormat="1" ht="21.5">
      <c r="A147" s="401" t="s">
        <v>159</v>
      </c>
      <c r="B147" s="420"/>
      <c r="C147" s="420">
        <f>+C148-C144</f>
        <v>0.29379030000000039</v>
      </c>
      <c r="D147" s="420">
        <f t="shared" ref="D147:F147" si="411">+D148-D144</f>
        <v>3.1868406999999999</v>
      </c>
      <c r="E147" s="420">
        <f t="shared" si="411"/>
        <v>5.1415773999999983</v>
      </c>
      <c r="F147" s="420">
        <f t="shared" si="411"/>
        <v>6.6633800000000019</v>
      </c>
      <c r="G147" s="420">
        <f t="shared" ref="G147:H147" si="412">+G148-G144</f>
        <v>22.422709999999999</v>
      </c>
      <c r="H147" s="420">
        <f t="shared" si="412"/>
        <v>-15.244403000000002</v>
      </c>
      <c r="I147" s="420">
        <f t="shared" ref="I147:J147" si="413">+I148-I144</f>
        <v>23.737567300000002</v>
      </c>
      <c r="J147" s="420">
        <f t="shared" si="413"/>
        <v>-8.8964634000000196</v>
      </c>
      <c r="K147" s="420">
        <f t="shared" ref="K147" si="414">+K148-K144</f>
        <v>45.52662209999999</v>
      </c>
      <c r="L147" s="420">
        <f>+L148-L144-L146</f>
        <v>-8.2650724000000082</v>
      </c>
      <c r="M147" s="420" t="e">
        <f>+'Historical - USD'!M147*'Historical - USD'!M$181</f>
        <v>#VALUE!</v>
      </c>
      <c r="N147" s="420">
        <f>+'Historical - USD'!N147*'Historical - USD'!N$181</f>
        <v>-5.0791701140138432</v>
      </c>
      <c r="O147" s="420"/>
      <c r="P147" s="420"/>
      <c r="Q147" s="420">
        <f t="shared" ref="Q147" si="415">+Q148-Q144</f>
        <v>-0.61330000000000018</v>
      </c>
      <c r="R147" s="420">
        <f t="shared" ref="R147" si="416">+R148-R144</f>
        <v>0.2601</v>
      </c>
      <c r="S147" s="420">
        <f t="shared" ref="S147" si="417">+S148-S144</f>
        <v>3.4806309999999998</v>
      </c>
      <c r="T147" s="420">
        <f>SUM(E147:F147)</f>
        <v>11.804957399999999</v>
      </c>
      <c r="U147" s="420">
        <f>SUM(G147:H147)</f>
        <v>7.1783069999999967</v>
      </c>
      <c r="V147" s="420">
        <f t="shared" ref="V147:V148" si="418">+SUM(I147:J147)</f>
        <v>14.841103899999982</v>
      </c>
      <c r="W147" s="420">
        <f>+SUM(K147:L147)</f>
        <v>37.261549699999982</v>
      </c>
      <c r="X147" s="420" t="e">
        <f t="shared" si="410"/>
        <v>#VALUE!</v>
      </c>
      <c r="Y147" s="421"/>
    </row>
    <row r="148" spans="1:25" s="422" customFormat="1">
      <c r="A148" s="418" t="s">
        <v>42</v>
      </c>
      <c r="B148" s="423"/>
      <c r="C148" s="423">
        <f>+'Detailed Disclosure'!X228/1000+'Detailed Disclosure'!X232/1000</f>
        <v>0.42462100000000036</v>
      </c>
      <c r="D148" s="423">
        <f>+'Detailed Disclosure'!Y228/1000+'Detailed Disclosure'!Y232/1000</f>
        <v>3.7693099999999999</v>
      </c>
      <c r="E148" s="423">
        <f>+'Detailed Disclosure'!Z228/1000+'Detailed Disclosure'!Z232/1000</f>
        <v>7.489634999999998</v>
      </c>
      <c r="F148" s="423">
        <f>+'Detailed Disclosure'!AA228/1000+'Detailed Disclosure'!AA232/1000</f>
        <v>2.5423650000000007</v>
      </c>
      <c r="G148" s="423">
        <f>+'Detailed Disclosure'!AB228/1000+'Detailed Disclosure'!AB232/1000</f>
        <v>8.7453999999999965</v>
      </c>
      <c r="H148" s="423">
        <f>+'Detailed Disclosure'!AC228/1000+'Detailed Disclosure'!AC232/1000</f>
        <v>-31.794647000000001</v>
      </c>
      <c r="I148" s="423">
        <f>+'Detailed Disclosure'!AD228/1000+'Detailed Disclosure'!AD232/1000</f>
        <v>30.694929000000002</v>
      </c>
      <c r="J148" s="423">
        <f>+'Detailed Disclosure'!AE228/1000+'Detailed Disclosure'!AE232/1000</f>
        <v>-6.3109580000000278</v>
      </c>
      <c r="K148" s="423">
        <f>+'Detailed Disclosure'!AF228/1000+'Detailed Disclosure'!AF232/1000</f>
        <v>57.458584999999992</v>
      </c>
      <c r="L148" s="423">
        <f>+'Detailed Disclosure'!AG228/1000+'Detailed Disclosure'!AG232/1000</f>
        <v>-8.7808230000000069</v>
      </c>
      <c r="M148" s="423" t="e">
        <f>+'Historical - USD'!M148*'Historical - USD'!M$181</f>
        <v>#VALUE!</v>
      </c>
      <c r="N148" s="423">
        <f>+'Historical - USD'!N148*'Historical - USD'!N$181</f>
        <v>-0.81695480217980276</v>
      </c>
      <c r="O148" s="423"/>
      <c r="P148" s="423"/>
      <c r="Q148" s="423">
        <f>+'Detailed Disclosure'!AJ228/1000+'Detailed Disclosure'!AJ232/1000</f>
        <v>-1.06</v>
      </c>
      <c r="R148" s="423">
        <f>+'Detailed Disclosure'!AK228/1000+'Detailed Disclosure'!AK232/1000</f>
        <v>-0.37199999999999989</v>
      </c>
      <c r="S148" s="423">
        <f>+'Detailed Disclosure'!AL228/1000+'Detailed Disclosure'!AL232/1000</f>
        <v>4.1939310000000001</v>
      </c>
      <c r="T148" s="423">
        <f>SUM(E148:F148)</f>
        <v>10.031999999999998</v>
      </c>
      <c r="U148" s="423">
        <f>SUM(G148:H148)</f>
        <v>-23.049247000000005</v>
      </c>
      <c r="V148" s="423">
        <f t="shared" si="418"/>
        <v>24.383970999999974</v>
      </c>
      <c r="W148" s="423">
        <f t="shared" ref="W148:W155" si="419">+SUM(K148:L148)</f>
        <v>48.677761999999987</v>
      </c>
      <c r="X148" s="423" t="e">
        <f t="shared" si="410"/>
        <v>#VALUE!</v>
      </c>
      <c r="Y148" s="424"/>
    </row>
    <row r="149" spans="1:25">
      <c r="A149" s="470"/>
      <c r="B149" s="424"/>
      <c r="C149" s="424"/>
      <c r="D149" s="424"/>
      <c r="E149" s="424"/>
      <c r="F149" s="424"/>
      <c r="G149" s="424"/>
      <c r="H149" s="424"/>
      <c r="I149" s="424"/>
      <c r="J149" s="424"/>
      <c r="K149" s="424"/>
      <c r="L149" s="424"/>
      <c r="M149" s="424"/>
      <c r="N149" s="424"/>
      <c r="O149" s="424"/>
      <c r="P149" s="424"/>
      <c r="Q149" s="424"/>
      <c r="R149" s="424"/>
      <c r="S149" s="424"/>
      <c r="T149" s="471"/>
      <c r="U149" s="471"/>
      <c r="V149" s="471"/>
      <c r="W149" s="471"/>
      <c r="X149" s="471"/>
      <c r="Y149" s="471"/>
    </row>
    <row r="150" spans="1:25">
      <c r="A150" s="413" t="s">
        <v>160</v>
      </c>
      <c r="B150" s="424"/>
      <c r="C150" s="424"/>
      <c r="D150" s="424"/>
      <c r="E150" s="424"/>
      <c r="F150" s="424"/>
      <c r="G150" s="424"/>
      <c r="H150" s="424"/>
      <c r="I150" s="424"/>
      <c r="J150" s="424"/>
      <c r="K150" s="424"/>
      <c r="L150" s="424"/>
      <c r="M150" s="424"/>
      <c r="N150" s="424"/>
      <c r="O150" s="424"/>
      <c r="P150" s="424"/>
      <c r="Q150" s="424"/>
      <c r="R150" s="424"/>
      <c r="S150" s="424"/>
      <c r="T150" s="471"/>
      <c r="U150" s="471"/>
      <c r="V150" s="471"/>
      <c r="W150" s="471"/>
      <c r="X150" s="471"/>
      <c r="Y150" s="471"/>
    </row>
    <row r="151" spans="1:25" s="422" customFormat="1">
      <c r="A151" s="401" t="s">
        <v>161</v>
      </c>
      <c r="B151" s="423"/>
      <c r="C151" s="423">
        <f>+'Detailed Disclosure'!X228/1000</f>
        <v>0.9730340000000004</v>
      </c>
      <c r="D151" s="423">
        <f>+'Detailed Disclosure'!Y228/1000</f>
        <v>4.5458970000000001</v>
      </c>
      <c r="E151" s="423">
        <f>+'Detailed Disclosure'!Z228/1000</f>
        <v>8.5772539999999982</v>
      </c>
      <c r="F151" s="423">
        <f>+'Detailed Disclosure'!AA228/1000</f>
        <v>4.1617460000000008</v>
      </c>
      <c r="G151" s="423">
        <f>+'Detailed Disclosure'!AB228/1000</f>
        <v>12.292798999999997</v>
      </c>
      <c r="H151" s="423">
        <f>+'Detailed Disclosure'!AC228/1000</f>
        <v>-26.966868000000002</v>
      </c>
      <c r="I151" s="423">
        <f>+'Detailed Disclosure'!AD228/1000</f>
        <v>35.834333000000001</v>
      </c>
      <c r="J151" s="423">
        <f>+'Detailed Disclosure'!AE228/1000</f>
        <v>0.61612899999997173</v>
      </c>
      <c r="K151" s="423">
        <f>+'Detailed Disclosure'!AF228/1000</f>
        <v>64.961311999999992</v>
      </c>
      <c r="L151" s="423">
        <f>+'Detailed Disclosure'!AG228/1000</f>
        <v>-2.0020870000000066</v>
      </c>
      <c r="M151" s="423"/>
      <c r="N151" s="423"/>
      <c r="O151" s="423"/>
      <c r="P151" s="423"/>
      <c r="Q151" s="423">
        <f>+'Detailed Disclosure'!AJ228/1000</f>
        <v>-0.495</v>
      </c>
      <c r="R151" s="423">
        <f>+'Detailed Disclosure'!AK228/1000</f>
        <v>0.75600000000000001</v>
      </c>
      <c r="S151" s="423">
        <f>+'Detailed Disclosure'!AL228/1000</f>
        <v>5.5189310000000003</v>
      </c>
      <c r="T151" s="423">
        <f>+'Detailed Disclosure'!AM228/1000</f>
        <v>12.739000000000001</v>
      </c>
      <c r="U151" s="423">
        <f>+'Detailed Disclosure'!AN228/1000</f>
        <v>-14.674069000000005</v>
      </c>
      <c r="V151" s="423">
        <f t="shared" ref="V151:V154" si="420">+SUM(I151:J151)</f>
        <v>36.450461999999973</v>
      </c>
      <c r="W151" s="423">
        <f t="shared" si="419"/>
        <v>62.959224999999989</v>
      </c>
      <c r="X151" s="423"/>
      <c r="Y151" s="424"/>
    </row>
    <row r="152" spans="1:25" s="422" customFormat="1">
      <c r="A152" s="401" t="s">
        <v>162</v>
      </c>
      <c r="B152" s="423"/>
      <c r="C152" s="423">
        <v>0</v>
      </c>
      <c r="D152" s="423">
        <v>0</v>
      </c>
      <c r="E152" s="423">
        <v>0</v>
      </c>
      <c r="F152" s="423">
        <v>0</v>
      </c>
      <c r="G152" s="423">
        <v>0</v>
      </c>
      <c r="H152" s="423">
        <v>0</v>
      </c>
      <c r="I152" s="423">
        <v>0</v>
      </c>
      <c r="J152" s="423">
        <v>0</v>
      </c>
      <c r="K152" s="423">
        <v>0</v>
      </c>
      <c r="L152" s="423">
        <v>0</v>
      </c>
      <c r="M152" s="423"/>
      <c r="N152" s="423"/>
      <c r="O152" s="423"/>
      <c r="P152" s="423"/>
      <c r="Q152" s="423">
        <v>0</v>
      </c>
      <c r="R152" s="423">
        <v>0</v>
      </c>
      <c r="S152" s="423">
        <v>0</v>
      </c>
      <c r="T152" s="423">
        <v>0</v>
      </c>
      <c r="U152" s="423">
        <v>0</v>
      </c>
      <c r="V152" s="423">
        <f t="shared" si="420"/>
        <v>0</v>
      </c>
      <c r="W152" s="423">
        <f t="shared" si="419"/>
        <v>0</v>
      </c>
      <c r="X152" s="423"/>
      <c r="Y152" s="424"/>
    </row>
    <row r="153" spans="1:25" s="422" customFormat="1" hidden="1" outlineLevel="1">
      <c r="A153" s="401" t="s">
        <v>163</v>
      </c>
      <c r="B153" s="423"/>
      <c r="C153" s="423">
        <v>0</v>
      </c>
      <c r="D153" s="423">
        <v>0</v>
      </c>
      <c r="E153" s="423">
        <v>0</v>
      </c>
      <c r="F153" s="423">
        <v>0</v>
      </c>
      <c r="G153" s="423">
        <v>0</v>
      </c>
      <c r="H153" s="423">
        <v>0</v>
      </c>
      <c r="I153" s="423">
        <v>0</v>
      </c>
      <c r="J153" s="423">
        <v>0</v>
      </c>
      <c r="K153" s="423">
        <v>0</v>
      </c>
      <c r="L153" s="423">
        <v>0</v>
      </c>
      <c r="M153" s="423"/>
      <c r="N153" s="423"/>
      <c r="O153" s="423"/>
      <c r="P153" s="423"/>
      <c r="Q153" s="423">
        <v>0</v>
      </c>
      <c r="R153" s="423">
        <v>0</v>
      </c>
      <c r="S153" s="423">
        <v>0</v>
      </c>
      <c r="T153" s="423">
        <v>0</v>
      </c>
      <c r="U153" s="423">
        <v>0</v>
      </c>
      <c r="V153" s="423">
        <f t="shared" si="420"/>
        <v>0</v>
      </c>
      <c r="W153" s="423">
        <f t="shared" si="419"/>
        <v>0</v>
      </c>
      <c r="X153" s="423"/>
      <c r="Y153" s="424"/>
    </row>
    <row r="154" spans="1:25" s="422" customFormat="1" hidden="1" outlineLevel="1" collapsed="1">
      <c r="A154" s="401" t="s">
        <v>164</v>
      </c>
      <c r="B154" s="423"/>
      <c r="C154" s="423">
        <f>+'Detailed Disclosure'!X239/1000</f>
        <v>0</v>
      </c>
      <c r="D154" s="423">
        <f>+'Detailed Disclosure'!Y239/1000</f>
        <v>0</v>
      </c>
      <c r="E154" s="423">
        <f>+'Detailed Disclosure'!Z239/1000</f>
        <v>-3.3050000000000002</v>
      </c>
      <c r="F154" s="423">
        <f>+'Detailed Disclosure'!AA239/1000</f>
        <v>0</v>
      </c>
      <c r="G154" s="423">
        <f>+'Detailed Disclosure'!AB239/1000</f>
        <v>0</v>
      </c>
      <c r="H154" s="423">
        <f>+'Detailed Disclosure'!AC239/1000</f>
        <v>0</v>
      </c>
      <c r="I154" s="423">
        <f>+'Detailed Disclosure'!AD239/1000</f>
        <v>0</v>
      </c>
      <c r="J154" s="423">
        <f>+'Detailed Disclosure'!AE239/1000</f>
        <v>0</v>
      </c>
      <c r="K154" s="423">
        <f>+'Detailed Disclosure'!AF239/1000</f>
        <v>0</v>
      </c>
      <c r="L154" s="423">
        <f>+'Detailed Disclosure'!AG239/1000</f>
        <v>0</v>
      </c>
      <c r="M154" s="423"/>
      <c r="N154" s="423"/>
      <c r="O154" s="423"/>
      <c r="P154" s="423"/>
      <c r="Q154" s="423">
        <f>+'Detailed Disclosure'!AJ239/1000</f>
        <v>0</v>
      </c>
      <c r="R154" s="423">
        <f>+'Detailed Disclosure'!AK239/1000</f>
        <v>0</v>
      </c>
      <c r="S154" s="423">
        <f>+'Detailed Disclosure'!AL239/1000</f>
        <v>0</v>
      </c>
      <c r="T154" s="423">
        <f>+'Detailed Disclosure'!AM239/1000</f>
        <v>-3.3050000000000002</v>
      </c>
      <c r="U154" s="423">
        <f>+'Detailed Disclosure'!AN239/1000</f>
        <v>0</v>
      </c>
      <c r="V154" s="423">
        <f t="shared" si="420"/>
        <v>0</v>
      </c>
      <c r="W154" s="423">
        <f t="shared" si="419"/>
        <v>0</v>
      </c>
      <c r="X154" s="423"/>
      <c r="Y154" s="424"/>
    </row>
    <row r="155" spans="1:25" s="422" customFormat="1" collapsed="1">
      <c r="A155" s="401" t="s">
        <v>165</v>
      </c>
      <c r="B155" s="423"/>
      <c r="C155" s="423">
        <f>+'Detailed Disclosure'!X236/1000</f>
        <v>0</v>
      </c>
      <c r="D155" s="423">
        <f>+'Detailed Disclosure'!Y236/1000</f>
        <v>0</v>
      </c>
      <c r="E155" s="423">
        <f>+'Detailed Disclosure'!Z236/1000</f>
        <v>40</v>
      </c>
      <c r="F155" s="423">
        <f>+'Detailed Disclosure'!AA236/1000</f>
        <v>0</v>
      </c>
      <c r="G155" s="423">
        <f>+'Detailed Disclosure'!AB236/1000</f>
        <v>0</v>
      </c>
      <c r="H155" s="423">
        <f>+'Detailed Disclosure'!AC236/1000</f>
        <v>0</v>
      </c>
      <c r="I155" s="423">
        <f>+'Detailed Disclosure'!AD236/1000+'Detailed Disclosure'!AD238/1000</f>
        <v>0</v>
      </c>
      <c r="J155" s="423">
        <f>+'Detailed Disclosure'!AE236/1000+'Detailed Disclosure'!AE238/1000</f>
        <v>-1.3527020000000001</v>
      </c>
      <c r="K155" s="423">
        <f>+'Detailed Disclosure'!AF236/1000+'Detailed Disclosure'!AF238/1000</f>
        <v>0</v>
      </c>
      <c r="L155" s="423">
        <f>+'Detailed Disclosure'!AG236/1000+'Detailed Disclosure'!AG238/1000</f>
        <v>-10.291264</v>
      </c>
      <c r="M155" s="423"/>
      <c r="N155" s="423"/>
      <c r="O155" s="423"/>
      <c r="P155" s="423"/>
      <c r="Q155" s="423">
        <f>+'Detailed Disclosure'!AJ236/1000</f>
        <v>0</v>
      </c>
      <c r="R155" s="423">
        <f>+'Detailed Disclosure'!AK236/1000</f>
        <v>0</v>
      </c>
      <c r="S155" s="423">
        <f>+'Detailed Disclosure'!AL236/1000</f>
        <v>0</v>
      </c>
      <c r="T155" s="423">
        <f>+'Detailed Disclosure'!AM236/1000</f>
        <v>40</v>
      </c>
      <c r="U155" s="423">
        <f>+'Detailed Disclosure'!AN236/1000</f>
        <v>0</v>
      </c>
      <c r="V155" s="423">
        <f>+SUM(I155:J155)</f>
        <v>-1.3527020000000001</v>
      </c>
      <c r="W155" s="423">
        <f t="shared" si="419"/>
        <v>-10.291264</v>
      </c>
      <c r="X155" s="423"/>
      <c r="Y155" s="424"/>
    </row>
    <row r="156" spans="1:25" s="473" customFormat="1">
      <c r="A156" s="472"/>
      <c r="B156" s="424"/>
      <c r="C156" s="424"/>
      <c r="D156" s="424"/>
      <c r="E156" s="424"/>
      <c r="F156" s="424"/>
      <c r="G156" s="424"/>
      <c r="H156" s="424"/>
      <c r="I156" s="424"/>
      <c r="J156" s="424"/>
      <c r="K156" s="424"/>
      <c r="L156" s="424"/>
      <c r="M156" s="424"/>
      <c r="N156" s="424"/>
      <c r="O156" s="424"/>
      <c r="P156" s="424"/>
      <c r="Q156" s="424"/>
      <c r="R156" s="424"/>
      <c r="S156" s="424"/>
      <c r="T156" s="424"/>
      <c r="U156" s="424"/>
      <c r="V156" s="424"/>
      <c r="W156" s="424"/>
      <c r="X156" s="424"/>
      <c r="Y156" s="471"/>
    </row>
    <row r="157" spans="1:25" s="422" customFormat="1">
      <c r="A157" s="401" t="s">
        <v>71</v>
      </c>
      <c r="B157" s="423"/>
      <c r="C157" s="423"/>
      <c r="D157" s="423">
        <f>+'Detailed Disclosure'!Y214/1000</f>
        <v>-4.669244</v>
      </c>
      <c r="E157" s="423">
        <f>+'Detailed Disclosure'!Z214/1000</f>
        <v>-44.861222999999995</v>
      </c>
      <c r="F157" s="423">
        <f>+'Detailed Disclosure'!AA214/1000</f>
        <v>-47.131</v>
      </c>
      <c r="G157" s="423">
        <f>+'Detailed Disclosure'!AB214/1000</f>
        <v>-55.493766999999998</v>
      </c>
      <c r="H157" s="423">
        <f>+'Detailed Disclosure'!AC214/1000</f>
        <v>-22.673442999999999</v>
      </c>
      <c r="I157" s="423">
        <f>+'Detailed Disclosure'!AD214/1000</f>
        <v>-53.314603000000005</v>
      </c>
      <c r="J157" s="423">
        <f>+'Detailed Disclosure'!AE214/1000</f>
        <v>-46.310727</v>
      </c>
      <c r="K157" s="423">
        <f>+'Detailed Disclosure'!AF214/1000</f>
        <v>-99.803008000000005</v>
      </c>
      <c r="L157" s="423">
        <f>+'Detailed Disclosure'!AG214/1000</f>
        <v>-78.957357000000002</v>
      </c>
      <c r="M157" s="423"/>
      <c r="N157" s="423"/>
      <c r="O157" s="423"/>
      <c r="P157" s="423"/>
      <c r="Q157" s="423">
        <f>+'Detailed Disclosure'!AJ214/1000</f>
        <v>-0.316</v>
      </c>
      <c r="R157" s="423">
        <f>+'Detailed Disclosure'!AK214/1000</f>
        <v>-0.81599999999999995</v>
      </c>
      <c r="S157" s="423">
        <f>+'Detailed Disclosure'!AL214/1000</f>
        <v>-4.6689999999999996</v>
      </c>
      <c r="T157" s="423">
        <f>+'Detailed Disclosure'!AM214/1000</f>
        <v>-47.131</v>
      </c>
      <c r="U157" s="423">
        <f>+'Detailed Disclosure'!AN214/1000</f>
        <v>-22.673442999999999</v>
      </c>
      <c r="V157" s="423">
        <f>+J157</f>
        <v>-46.310727</v>
      </c>
      <c r="W157" s="423">
        <f>+L157</f>
        <v>-78.957357000000002</v>
      </c>
      <c r="X157" s="423"/>
      <c r="Y157" s="424"/>
    </row>
    <row r="158" spans="1:25" s="438" customFormat="1" hidden="1" outlineLevel="1">
      <c r="A158" s="429" t="s">
        <v>166</v>
      </c>
      <c r="B158" s="474"/>
      <c r="C158" s="474"/>
      <c r="D158" s="474">
        <f>+D157/SUM(C114:D114)</f>
        <v>-1.6948254083484573</v>
      </c>
      <c r="E158" s="474">
        <f>+E157/SUM(D114:E114)</f>
        <v>-6.745034280559314</v>
      </c>
      <c r="F158" s="474">
        <f>+F157/SUM(E114:F114)</f>
        <v>-20.626258205689275</v>
      </c>
      <c r="G158" s="474"/>
      <c r="H158" s="474"/>
      <c r="I158" s="474"/>
      <c r="J158" s="474"/>
      <c r="K158" s="474"/>
      <c r="L158" s="474"/>
      <c r="M158" s="474"/>
      <c r="N158" s="474"/>
      <c r="O158" s="474"/>
      <c r="P158" s="474"/>
      <c r="Q158" s="474">
        <f>+Q157/Q114</f>
        <v>-1.8698224852071006</v>
      </c>
      <c r="R158" s="474">
        <f>+R157/R114</f>
        <v>-1.3465346534653464</v>
      </c>
      <c r="S158" s="474">
        <f>+S157/S114</f>
        <v>-1.6947368421052631</v>
      </c>
      <c r="T158" s="474">
        <f>+T157/T114</f>
        <v>-20.626258205689275</v>
      </c>
      <c r="U158" s="474"/>
      <c r="V158" s="474"/>
      <c r="W158" s="474"/>
      <c r="X158" s="474"/>
      <c r="Y158" s="474"/>
    </row>
    <row r="159" spans="1:25" ht="12" customHeight="1" collapsed="1">
      <c r="A159" s="418"/>
      <c r="B159" s="475"/>
      <c r="C159" s="476"/>
      <c r="D159" s="476"/>
      <c r="E159" s="476"/>
      <c r="F159" s="476"/>
      <c r="G159" s="476"/>
      <c r="H159" s="476"/>
      <c r="I159" s="476"/>
      <c r="J159" s="476"/>
      <c r="K159" s="476"/>
      <c r="L159" s="476"/>
      <c r="M159" s="476"/>
      <c r="N159" s="476"/>
      <c r="O159" s="476"/>
      <c r="P159" s="476"/>
      <c r="Q159" s="476"/>
      <c r="R159" s="476"/>
      <c r="S159" s="476"/>
      <c r="T159" s="476"/>
      <c r="U159" s="476"/>
      <c r="V159" s="476"/>
      <c r="W159" s="476"/>
      <c r="X159" s="476"/>
      <c r="Y159" s="476"/>
    </row>
    <row r="160" spans="1:25">
      <c r="A160" s="477" t="s">
        <v>62</v>
      </c>
      <c r="B160" s="478"/>
      <c r="C160" s="478"/>
      <c r="D160" s="479"/>
      <c r="E160" s="402"/>
      <c r="F160" s="402"/>
      <c r="G160" s="402"/>
      <c r="H160" s="402"/>
      <c r="I160" s="402"/>
      <c r="J160" s="402"/>
      <c r="K160" s="402"/>
      <c r="L160" s="402"/>
      <c r="M160" s="402"/>
      <c r="N160" s="402"/>
      <c r="O160" s="402"/>
      <c r="P160" s="402"/>
      <c r="Q160" s="477" t="s">
        <v>168</v>
      </c>
      <c r="R160" s="478"/>
      <c r="S160" s="478"/>
      <c r="T160" s="478"/>
      <c r="U160" s="478"/>
      <c r="V160" s="478"/>
      <c r="W160" s="478"/>
      <c r="X160" s="479"/>
      <c r="Y160" s="402"/>
    </row>
    <row r="161" spans="1:25" ht="21.5">
      <c r="B161" s="475"/>
      <c r="C161" s="480" t="s">
        <v>64</v>
      </c>
      <c r="D161" s="481" t="s">
        <v>66</v>
      </c>
      <c r="E161" s="402"/>
      <c r="F161" s="402"/>
      <c r="G161" s="402"/>
      <c r="H161" s="402"/>
      <c r="I161" s="402"/>
      <c r="J161" s="402"/>
      <c r="K161" s="402"/>
      <c r="L161" s="402"/>
      <c r="M161" s="402"/>
      <c r="N161" s="402"/>
      <c r="O161" s="402"/>
      <c r="P161" s="402"/>
      <c r="Q161" s="402"/>
      <c r="R161" s="402"/>
      <c r="S161" s="411"/>
      <c r="T161" s="411" t="s">
        <v>121</v>
      </c>
      <c r="U161" s="411" t="s">
        <v>122</v>
      </c>
      <c r="V161" s="411" t="s">
        <v>123</v>
      </c>
      <c r="W161" s="411" t="s">
        <v>4190</v>
      </c>
      <c r="X161" s="411" t="s">
        <v>4189</v>
      </c>
      <c r="Y161" s="402"/>
    </row>
    <row r="162" spans="1:25">
      <c r="A162" s="401" t="s">
        <v>69</v>
      </c>
      <c r="B162" s="482"/>
      <c r="C162" s="414">
        <f>+D162*D165</f>
        <v>711.0092803</v>
      </c>
      <c r="D162" s="483">
        <f>+Simple!D76</f>
        <v>1.865</v>
      </c>
      <c r="E162" s="402"/>
      <c r="F162" s="402"/>
      <c r="G162" s="402"/>
      <c r="H162" s="402"/>
      <c r="I162" s="402"/>
      <c r="J162" s="402"/>
      <c r="K162" s="402"/>
      <c r="L162" s="402"/>
      <c r="M162" s="402"/>
      <c r="N162" s="402"/>
      <c r="O162" s="402"/>
      <c r="P162" s="402"/>
      <c r="Q162" s="402"/>
      <c r="R162" s="484" t="s">
        <v>169</v>
      </c>
      <c r="S162" s="476"/>
      <c r="T162" s="476">
        <f>+$C$164/T33</f>
        <v>6.839722573558852</v>
      </c>
      <c r="U162" s="476">
        <f>+$C$164/U33</f>
        <v>3.0114366028773389</v>
      </c>
      <c r="V162" s="476">
        <f>+$C$164/V33</f>
        <v>1.5185269655740739</v>
      </c>
      <c r="W162" s="476">
        <f>+$C$164/W33</f>
        <v>0.85152920498563922</v>
      </c>
      <c r="X162" s="476" t="e">
        <f>+$C$164/X33</f>
        <v>#VALUE!</v>
      </c>
      <c r="Y162" s="402"/>
    </row>
    <row r="163" spans="1:25" ht="21.5">
      <c r="A163" s="401" t="s">
        <v>43</v>
      </c>
      <c r="B163" s="485"/>
      <c r="C163" s="420">
        <f>+Simple!C77</f>
        <v>-78.957357000000002</v>
      </c>
      <c r="D163" s="486">
        <f>+C163/D165</f>
        <v>-0.20710766354957799</v>
      </c>
      <c r="E163" s="428"/>
      <c r="F163" s="402"/>
      <c r="G163" s="402"/>
      <c r="H163" s="402"/>
      <c r="I163" s="402"/>
      <c r="J163" s="402"/>
      <c r="K163" s="402"/>
      <c r="L163" s="402"/>
      <c r="M163" s="402"/>
      <c r="N163" s="402"/>
      <c r="O163" s="402"/>
      <c r="P163" s="402"/>
      <c r="Q163" s="402"/>
      <c r="R163" s="484" t="s">
        <v>170</v>
      </c>
      <c r="S163" s="476"/>
      <c r="T163" s="476">
        <f>+$C$164/T40</f>
        <v>28.761635426072502</v>
      </c>
      <c r="U163" s="476">
        <f>+$C$164/U40</f>
        <v>16.918443188359181</v>
      </c>
      <c r="V163" s="476">
        <f>+$C$164/V40</f>
        <v>6.6097784736949512</v>
      </c>
      <c r="W163" s="476">
        <f>+$C$164/W40</f>
        <v>4.0776525340947938</v>
      </c>
      <c r="X163" s="476" t="e">
        <f>+$C$164/X40</f>
        <v>#VALUE!</v>
      </c>
      <c r="Y163" s="402"/>
    </row>
    <row r="164" spans="1:25" s="492" customFormat="1">
      <c r="A164" s="487" t="s">
        <v>72</v>
      </c>
      <c r="B164" s="488"/>
      <c r="C164" s="489">
        <f>+C163+C162</f>
        <v>632.0519233</v>
      </c>
      <c r="D164" s="490">
        <f>+C164/D165</f>
        <v>1.6578923364504219</v>
      </c>
      <c r="E164" s="491"/>
      <c r="F164" s="553"/>
      <c r="G164" s="491"/>
      <c r="H164" s="491"/>
      <c r="I164" s="491"/>
      <c r="J164" s="491"/>
      <c r="K164" s="491"/>
      <c r="L164" s="491"/>
      <c r="M164" s="491"/>
      <c r="N164" s="491"/>
      <c r="O164" s="404"/>
      <c r="P164" s="404"/>
      <c r="Q164" s="404"/>
      <c r="R164" s="484" t="s">
        <v>171</v>
      </c>
      <c r="S164" s="476"/>
      <c r="T164" s="476">
        <f>+$C$162/T135</f>
        <v>622.83431491966542</v>
      </c>
      <c r="U164" s="476">
        <f t="shared" ref="U164:W164" si="421">+$C$162/U135</f>
        <v>-30.089420710459923</v>
      </c>
      <c r="V164" s="476">
        <f t="shared" si="421"/>
        <v>40.537093878710209</v>
      </c>
      <c r="W164" s="476">
        <f t="shared" si="421"/>
        <v>38.867384661981127</v>
      </c>
      <c r="X164" s="476" t="e">
        <f t="shared" ref="X164" si="422">+$C$162/X135</f>
        <v>#VALUE!</v>
      </c>
      <c r="Y164" s="402"/>
    </row>
    <row r="165" spans="1:25" s="438" customFormat="1">
      <c r="A165" s="429" t="s">
        <v>74</v>
      </c>
      <c r="B165" s="493"/>
      <c r="D165" s="494">
        <f>+Simple!D79</f>
        <v>381.23822000000001</v>
      </c>
      <c r="R165" s="484" t="s">
        <v>172</v>
      </c>
      <c r="S165" s="476"/>
      <c r="T165" s="476">
        <f>+$C$162/(SUM(E33:F33)*0.05*0.7)</f>
        <v>219.83303429010468</v>
      </c>
      <c r="U165" s="476">
        <f>+$C$162/(SUM(G33:H33)*0.05*0.7)</f>
        <v>96.789488003802305</v>
      </c>
      <c r="V165" s="476">
        <f>+$C$162/(SUM(I33:J33)*0.05*0.7)</f>
        <v>48.806422614857482</v>
      </c>
      <c r="W165" s="476">
        <f>+$C$162/(SUM(K33:L33)*0.05*0.7)</f>
        <v>27.368690309500739</v>
      </c>
      <c r="X165" s="476" t="e">
        <f>+$C$162/(SUM(L33:M33)*0.05*0.7)</f>
        <v>#VALUE!</v>
      </c>
    </row>
    <row r="166" spans="1:25">
      <c r="R166" s="484" t="s">
        <v>173</v>
      </c>
      <c r="S166" s="438"/>
      <c r="T166" s="476">
        <f>+$C$162/(SUM(E33:F33)*0.03*0.7)</f>
        <v>366.38839048350781</v>
      </c>
      <c r="U166" s="476">
        <f>+$C$162/(SUM(G33:H33)*0.03*0.7)</f>
        <v>161.31581333967057</v>
      </c>
      <c r="V166" s="476">
        <f>+$C$162/(SUM(I33:J33)*0.03*0.7)</f>
        <v>81.344037691429151</v>
      </c>
      <c r="W166" s="476">
        <f>+$C$162/(SUM(K33:L33)*0.03*0.7)</f>
        <v>45.614483849167904</v>
      </c>
      <c r="X166" s="476" t="e">
        <f>+$C$162/(SUM(L33:M33)*0.03*0.7)</f>
        <v>#VALUE!</v>
      </c>
      <c r="Y166" s="492"/>
    </row>
    <row r="167" spans="1:25">
      <c r="R167" s="484" t="s">
        <v>174</v>
      </c>
      <c r="S167" s="476"/>
      <c r="T167" s="476">
        <f>+C162/T148</f>
        <v>70.874130811403518</v>
      </c>
      <c r="U167" s="476">
        <f>+C162/U148</f>
        <v>-30.847397327123087</v>
      </c>
      <c r="V167" s="476">
        <f>+C162/V148</f>
        <v>29.158879835446029</v>
      </c>
      <c r="W167" s="476">
        <f>+C162/W148</f>
        <v>14.606449661757255</v>
      </c>
      <c r="X167" s="476" t="e">
        <f>+C162/X148</f>
        <v>#VALUE!</v>
      </c>
    </row>
    <row r="171" spans="1:25">
      <c r="E171" s="470"/>
      <c r="L171" s="401" t="s">
        <v>407</v>
      </c>
      <c r="M171" s="401" t="s">
        <v>408</v>
      </c>
    </row>
    <row r="172" spans="1:25">
      <c r="J172" s="470">
        <f>SUM(H135:I135)</f>
        <v>-2.6792273000000009</v>
      </c>
      <c r="L172" s="470">
        <f>SUM(J135:K135)</f>
        <v>23.678507299999993</v>
      </c>
      <c r="M172" s="470" t="e">
        <f>SUM(L135:M135)</f>
        <v>#VALUE!</v>
      </c>
    </row>
    <row r="173" spans="1:25">
      <c r="J173" s="401">
        <f>+J172/D165</f>
        <v>-7.0276985869884732E-3</v>
      </c>
      <c r="L173" s="401">
        <f>+L172/D165</f>
        <v>6.2109479212236363E-2</v>
      </c>
      <c r="M173" s="401" t="e">
        <f>+M172/D165</f>
        <v>#VALUE!</v>
      </c>
    </row>
  </sheetData>
  <printOptions horizontalCentered="1"/>
  <pageMargins left="0.3" right="0.3" top="0.3" bottom="0.3" header="0.3" footer="0.3"/>
  <pageSetup scale="31" fitToHeight="0" orientation="portrait" r:id="rId1"/>
  <headerFooter>
    <oddFooter>Page &amp;P of &amp;N</oddFooter>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02A06-21D3-4606-8419-F5A45502C940}">
  <sheetPr>
    <pageSetUpPr fitToPage="1"/>
  </sheetPr>
  <dimension ref="A1:BG297"/>
  <sheetViews>
    <sheetView view="pageBreakPreview" zoomScale="55" zoomScaleNormal="55" zoomScaleSheetLayoutView="55" workbookViewId="0">
      <pane xSplit="2" ySplit="5" topLeftCell="Q43" activePane="bottomRight" state="frozen"/>
      <selection activeCell="D86" sqref="D86"/>
      <selection pane="topRight" activeCell="D86" sqref="D86"/>
      <selection pane="bottomLeft" activeCell="D86" sqref="D86"/>
      <selection pane="bottomRight" activeCell="A43" sqref="A43"/>
    </sheetView>
  </sheetViews>
  <sheetFormatPr defaultColWidth="8.7265625" defaultRowHeight="15.5" outlineLevelRow="1" outlineLevelCol="1"/>
  <cols>
    <col min="1" max="1" width="31.54296875" style="319" customWidth="1"/>
    <col min="2" max="3" width="3.453125" style="319" customWidth="1"/>
    <col min="4" max="5" width="11.54296875" style="319" hidden="1" customWidth="1" outlineLevel="1"/>
    <col min="6" max="6" width="11.54296875" style="319" customWidth="1" collapsed="1"/>
    <col min="7" max="22" width="11.54296875" style="319" customWidth="1"/>
    <col min="23" max="23" width="6.7265625" style="319" customWidth="1"/>
    <col min="24" max="25" width="11.54296875" style="319" hidden="1" customWidth="1" outlineLevel="1"/>
    <col min="26" max="26" width="11.54296875" style="319" customWidth="1" collapsed="1"/>
    <col min="27" max="29" width="11.54296875" style="319" customWidth="1"/>
    <col min="30" max="30" width="12.453125" style="319" bestFit="1" customWidth="1"/>
    <col min="31" max="33" width="12.453125" style="319" customWidth="1"/>
    <col min="34" max="35" width="3.7265625" style="319" customWidth="1"/>
    <col min="36" max="40" width="11.54296875" style="319" customWidth="1"/>
    <col min="41" max="42" width="14.1796875" style="319" bestFit="1" customWidth="1"/>
    <col min="43" max="43" width="8.7265625" style="319"/>
    <col min="44" max="44" width="10.453125" style="319" bestFit="1" customWidth="1"/>
    <col min="45" max="45" width="12.81640625" style="319" bestFit="1" customWidth="1"/>
    <col min="46" max="16384" width="8.7265625" style="319"/>
  </cols>
  <sheetData>
    <row r="1" spans="1:46">
      <c r="A1" s="318" t="s">
        <v>0</v>
      </c>
      <c r="B1" s="318"/>
      <c r="C1" s="318"/>
      <c r="D1" s="318"/>
      <c r="E1" s="318"/>
      <c r="F1" s="318"/>
      <c r="G1" s="318"/>
      <c r="H1" s="318"/>
      <c r="I1" s="318"/>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20"/>
      <c r="AK1" s="320"/>
      <c r="AL1" s="320"/>
      <c r="AM1" s="320"/>
      <c r="AN1" s="320"/>
      <c r="AO1" s="320"/>
      <c r="AP1" s="320">
        <f>+Historical!X1</f>
        <v>45565</v>
      </c>
    </row>
    <row r="2" spans="1:46">
      <c r="A2" s="321" t="s">
        <v>258</v>
      </c>
      <c r="B2" s="318"/>
      <c r="C2" s="318"/>
      <c r="D2" s="318"/>
      <c r="E2" s="318"/>
      <c r="F2" s="318"/>
      <c r="G2" s="318"/>
      <c r="H2" s="318"/>
      <c r="I2" s="318"/>
      <c r="J2" s="318"/>
      <c r="K2" s="318"/>
      <c r="L2" s="318"/>
      <c r="M2" s="318"/>
      <c r="N2" s="318"/>
      <c r="O2" s="318"/>
      <c r="P2" s="318"/>
      <c r="Q2" s="318"/>
      <c r="R2" s="318"/>
      <c r="S2" s="318"/>
      <c r="T2" s="318"/>
      <c r="U2" s="318"/>
      <c r="V2" s="318"/>
      <c r="W2" s="318"/>
      <c r="X2" s="318"/>
      <c r="Y2" s="322"/>
      <c r="Z2" s="322"/>
      <c r="AA2" s="322"/>
      <c r="AB2" s="322"/>
      <c r="AC2" s="322"/>
      <c r="AD2" s="322"/>
      <c r="AE2" s="322"/>
      <c r="AF2" s="322"/>
      <c r="AG2" s="322"/>
      <c r="AH2" s="322"/>
      <c r="AI2" s="322"/>
      <c r="AJ2" s="322"/>
      <c r="AK2" s="322"/>
      <c r="AL2" s="322"/>
      <c r="AM2" s="322"/>
      <c r="AN2" s="322"/>
      <c r="AO2" s="322"/>
      <c r="AP2" s="322"/>
    </row>
    <row r="3" spans="1:46">
      <c r="A3" s="323" t="s">
        <v>409</v>
      </c>
      <c r="B3" s="324"/>
      <c r="C3" s="324"/>
      <c r="D3" s="324"/>
      <c r="E3" s="324"/>
      <c r="F3" s="324"/>
      <c r="G3" s="324"/>
      <c r="H3" s="324"/>
      <c r="I3" s="324"/>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row>
    <row r="4" spans="1:46" ht="18.5">
      <c r="D4" s="325" t="s">
        <v>105</v>
      </c>
      <c r="E4" s="325"/>
      <c r="F4" s="325" t="s">
        <v>105</v>
      </c>
      <c r="G4" s="325"/>
      <c r="H4" s="325"/>
      <c r="I4" s="325"/>
      <c r="J4" s="325"/>
      <c r="K4" s="325"/>
      <c r="L4" s="325"/>
      <c r="M4" s="325"/>
      <c r="N4" s="325"/>
      <c r="O4" s="325"/>
      <c r="P4" s="325"/>
      <c r="Q4" s="325"/>
      <c r="R4" s="325"/>
      <c r="S4" s="325"/>
      <c r="T4" s="325"/>
      <c r="U4" s="325"/>
      <c r="V4" s="325"/>
      <c r="X4" s="325" t="s">
        <v>105</v>
      </c>
      <c r="Y4" s="325"/>
      <c r="Z4" s="325" t="s">
        <v>105</v>
      </c>
      <c r="AA4" s="325"/>
      <c r="AB4" s="325"/>
      <c r="AC4" s="325"/>
      <c r="AD4" s="325"/>
      <c r="AE4" s="325"/>
      <c r="AF4" s="325"/>
      <c r="AG4" s="325"/>
      <c r="AJ4" s="325" t="s">
        <v>105</v>
      </c>
      <c r="AK4" s="325"/>
      <c r="AL4" s="325"/>
      <c r="AM4" s="325"/>
      <c r="AN4" s="325"/>
      <c r="AO4" s="325"/>
      <c r="AP4" s="325"/>
    </row>
    <row r="5" spans="1:46" s="505" customFormat="1" ht="18.5">
      <c r="D5" s="326" t="s">
        <v>199</v>
      </c>
      <c r="E5" s="326" t="s">
        <v>200</v>
      </c>
      <c r="F5" s="326" t="s">
        <v>201</v>
      </c>
      <c r="G5" s="326" t="s">
        <v>202</v>
      </c>
      <c r="H5" s="326" t="s">
        <v>203</v>
      </c>
      <c r="I5" s="326" t="s">
        <v>204</v>
      </c>
      <c r="J5" s="326" t="s">
        <v>205</v>
      </c>
      <c r="K5" s="326" t="s">
        <v>206</v>
      </c>
      <c r="L5" s="326" t="s">
        <v>207</v>
      </c>
      <c r="M5" s="326" t="s">
        <v>208</v>
      </c>
      <c r="N5" s="326" t="s">
        <v>209</v>
      </c>
      <c r="O5" s="326" t="s">
        <v>210</v>
      </c>
      <c r="P5" s="326" t="s">
        <v>259</v>
      </c>
      <c r="Q5" s="326" t="s">
        <v>260</v>
      </c>
      <c r="R5" s="326" t="s">
        <v>213</v>
      </c>
      <c r="S5" s="326" t="s">
        <v>214</v>
      </c>
      <c r="T5" s="326" t="s">
        <v>1604</v>
      </c>
      <c r="U5" s="326" t="s">
        <v>4193</v>
      </c>
      <c r="V5" s="326" t="s">
        <v>4183</v>
      </c>
      <c r="X5" s="326" t="s">
        <v>106</v>
      </c>
      <c r="Y5" s="326" t="s">
        <v>107</v>
      </c>
      <c r="Z5" s="326" t="s">
        <v>108</v>
      </c>
      <c r="AA5" s="326" t="s">
        <v>109</v>
      </c>
      <c r="AB5" s="326" t="s">
        <v>110</v>
      </c>
      <c r="AC5" s="326" t="s">
        <v>111</v>
      </c>
      <c r="AD5" s="326" t="s">
        <v>410</v>
      </c>
      <c r="AE5" s="326" t="s">
        <v>411</v>
      </c>
      <c r="AF5" s="326" t="s">
        <v>412</v>
      </c>
      <c r="AG5" s="326" t="s">
        <v>4197</v>
      </c>
      <c r="AH5" s="326"/>
      <c r="AI5" s="326"/>
      <c r="AJ5" s="326" t="s">
        <v>216</v>
      </c>
      <c r="AK5" s="326" t="s">
        <v>217</v>
      </c>
      <c r="AL5" s="326" t="s">
        <v>218</v>
      </c>
      <c r="AM5" s="326" t="s">
        <v>219</v>
      </c>
      <c r="AN5" s="326" t="s">
        <v>220</v>
      </c>
      <c r="AO5" s="326" t="s">
        <v>221</v>
      </c>
      <c r="AP5" s="326" t="s">
        <v>455</v>
      </c>
    </row>
    <row r="6" spans="1:46">
      <c r="A6" s="353" t="s">
        <v>262</v>
      </c>
      <c r="B6" s="354"/>
      <c r="C6" s="352"/>
      <c r="D6" s="355"/>
      <c r="E6" s="355"/>
      <c r="F6" s="355"/>
      <c r="G6" s="355"/>
      <c r="H6" s="355"/>
      <c r="I6" s="355"/>
      <c r="J6" s="355"/>
      <c r="K6" s="355"/>
      <c r="L6" s="355"/>
      <c r="M6" s="355"/>
      <c r="N6" s="355"/>
      <c r="O6" s="355"/>
      <c r="P6" s="355"/>
      <c r="Q6" s="355"/>
      <c r="R6" s="355"/>
      <c r="S6" s="355"/>
      <c r="T6" s="355"/>
      <c r="U6" s="355"/>
      <c r="V6" s="355"/>
      <c r="W6" s="352"/>
      <c r="X6" s="355"/>
      <c r="Y6" s="355"/>
      <c r="Z6" s="355"/>
      <c r="AA6" s="355"/>
      <c r="AB6" s="355"/>
      <c r="AC6" s="355"/>
      <c r="AD6" s="355"/>
      <c r="AE6" s="355"/>
      <c r="AF6" s="355"/>
      <c r="AG6" s="355"/>
      <c r="AH6" s="355"/>
      <c r="AI6" s="355"/>
      <c r="AJ6" s="355"/>
      <c r="AK6" s="355"/>
      <c r="AL6" s="355"/>
      <c r="AM6" s="355"/>
      <c r="AN6" s="355"/>
      <c r="AO6" s="355"/>
      <c r="AP6" s="355"/>
      <c r="AQ6" s="355"/>
    </row>
    <row r="7" spans="1:46">
      <c r="D7" s="355"/>
      <c r="E7" s="534"/>
      <c r="F7" s="535"/>
      <c r="G7" s="535"/>
      <c r="H7" s="535"/>
      <c r="I7" s="534"/>
      <c r="J7" s="534"/>
      <c r="K7" s="534"/>
      <c r="L7" s="534"/>
      <c r="M7" s="534"/>
      <c r="N7" s="534"/>
      <c r="O7" s="534"/>
      <c r="P7" s="534"/>
      <c r="Q7" s="534"/>
      <c r="R7" s="534"/>
      <c r="S7" s="534"/>
      <c r="T7" s="534"/>
      <c r="U7" s="534"/>
      <c r="V7" s="534"/>
      <c r="X7" s="355"/>
      <c r="Y7" s="355"/>
      <c r="Z7" s="355"/>
      <c r="AA7" s="355"/>
      <c r="AB7" s="355"/>
      <c r="AC7" s="355"/>
      <c r="AD7" s="355"/>
      <c r="AE7" s="355"/>
      <c r="AF7" s="355"/>
      <c r="AG7" s="355"/>
      <c r="AH7" s="355"/>
      <c r="AI7" s="355"/>
      <c r="AJ7" s="355"/>
      <c r="AK7" s="355"/>
      <c r="AL7" s="355"/>
      <c r="AM7" s="355"/>
      <c r="AN7" s="355"/>
      <c r="AO7" s="355"/>
      <c r="AP7" s="355"/>
      <c r="AQ7" s="355"/>
    </row>
    <row r="8" spans="1:46">
      <c r="A8" s="319" t="s">
        <v>131</v>
      </c>
      <c r="D8" s="355">
        <f>+H8/(1+367%)</f>
        <v>5417.5588865096361</v>
      </c>
      <c r="E8" s="355">
        <f>+Historical!D27*1000-'Detailed Disclosure'!D8</f>
        <v>14154.441113490364</v>
      </c>
      <c r="F8" s="355">
        <f>+'Detailed Disclosures - USD'!F8/'Detailed Disclosures - USD'!F$299</f>
        <v>18400</v>
      </c>
      <c r="G8" s="355">
        <f>+'Detailed Disclosures - USD'!G8/'Detailed Disclosures - USD'!G$299</f>
        <v>34146.482311107393</v>
      </c>
      <c r="H8" s="355">
        <v>25300</v>
      </c>
      <c r="I8" s="355">
        <f>+AA8-H8</f>
        <v>46422</v>
      </c>
      <c r="J8" s="355">
        <v>52100</v>
      </c>
      <c r="K8" s="355">
        <f>+AB8-J8</f>
        <v>102000</v>
      </c>
      <c r="L8" s="355">
        <v>70800</v>
      </c>
      <c r="M8" s="355">
        <f>+AC8-L8</f>
        <v>62900</v>
      </c>
      <c r="N8" s="355">
        <f>+J8*1.62</f>
        <v>84402</v>
      </c>
      <c r="O8" s="355">
        <f>+AD8-N8</f>
        <v>158248</v>
      </c>
      <c r="P8" s="355">
        <v>131800</v>
      </c>
      <c r="Q8" s="355">
        <f>+AE8-P8</f>
        <v>164750</v>
      </c>
      <c r="R8" s="355">
        <v>167400</v>
      </c>
      <c r="S8" s="355">
        <f>+AF8-R8</f>
        <v>293100</v>
      </c>
      <c r="T8" s="355">
        <v>256700</v>
      </c>
      <c r="U8" s="355">
        <f>+AG8-T8</f>
        <v>261100</v>
      </c>
      <c r="V8" s="355"/>
      <c r="X8" s="355">
        <v>9157</v>
      </c>
      <c r="Y8" s="355">
        <f>+AL8-X8</f>
        <v>19572</v>
      </c>
      <c r="Z8" s="355">
        <v>52733</v>
      </c>
      <c r="AA8" s="355">
        <f>+AM8-Z8</f>
        <v>71722</v>
      </c>
      <c r="AB8" s="355">
        <v>154100</v>
      </c>
      <c r="AC8" s="355">
        <f>+AN8-AB8</f>
        <v>133700</v>
      </c>
      <c r="AD8" s="355">
        <v>242650</v>
      </c>
      <c r="AE8" s="355">
        <f>+AO8-AD8</f>
        <v>296550</v>
      </c>
      <c r="AF8" s="355">
        <v>460500</v>
      </c>
      <c r="AG8" s="355">
        <f>+AP8-AF8</f>
        <v>517800</v>
      </c>
      <c r="AH8" s="355"/>
      <c r="AI8" s="355"/>
      <c r="AJ8" s="355">
        <v>580</v>
      </c>
      <c r="AK8" s="355">
        <v>7272</v>
      </c>
      <c r="AL8" s="355">
        <v>28729</v>
      </c>
      <c r="AM8" s="355">
        <v>124455</v>
      </c>
      <c r="AN8" s="328">
        <v>287800</v>
      </c>
      <c r="AO8" s="328">
        <v>539200</v>
      </c>
      <c r="AP8" s="328">
        <v>978300</v>
      </c>
      <c r="AQ8" s="355"/>
      <c r="AR8" s="319" t="s">
        <v>1620</v>
      </c>
      <c r="AS8" s="334">
        <f>+AO8-AO17</f>
        <v>122973</v>
      </c>
    </row>
    <row r="9" spans="1:46">
      <c r="A9" s="546" t="s">
        <v>237</v>
      </c>
      <c r="D9" s="617"/>
      <c r="E9" s="617"/>
      <c r="F9" s="617"/>
      <c r="G9" s="617"/>
      <c r="H9" s="554">
        <f>+H8/D8-1</f>
        <v>3.67</v>
      </c>
      <c r="I9" s="554">
        <f>+I8/E8-1</f>
        <v>2.279677355523134</v>
      </c>
      <c r="J9" s="554">
        <f t="shared" ref="J9:K9" si="0">+J8/F8-1</f>
        <v>1.8315217391304346</v>
      </c>
      <c r="K9" s="554">
        <f t="shared" si="0"/>
        <v>1.9871305357512847</v>
      </c>
      <c r="L9" s="554">
        <f t="shared" ref="L9:P9" si="1">+L8/H8-1</f>
        <v>1.7984189723320156</v>
      </c>
      <c r="M9" s="554">
        <f t="shared" si="1"/>
        <v>0.35496100986601187</v>
      </c>
      <c r="N9" s="554">
        <f t="shared" si="1"/>
        <v>0.62000000000000011</v>
      </c>
      <c r="O9" s="554">
        <f t="shared" si="1"/>
        <v>0.55145098039215679</v>
      </c>
      <c r="P9" s="554">
        <f t="shared" si="1"/>
        <v>0.8615819209039548</v>
      </c>
      <c r="Q9" s="554">
        <f t="shared" ref="Q9" si="2">+Q8/M8-1</f>
        <v>1.6192368839427664</v>
      </c>
      <c r="R9" s="554">
        <f t="shared" ref="R9" si="3">+R8/N8-1</f>
        <v>0.98336532309660907</v>
      </c>
      <c r="S9" s="554">
        <f t="shared" ref="S9" si="4">+S8/O8-1</f>
        <v>0.85215610939790709</v>
      </c>
      <c r="T9" s="554">
        <f t="shared" ref="T9" si="5">+T8/P8-1</f>
        <v>0.9476479514415781</v>
      </c>
      <c r="U9" s="554">
        <f t="shared" ref="U9" si="6">+U8/Q8-1</f>
        <v>0.58482549317147203</v>
      </c>
      <c r="V9" s="554"/>
      <c r="W9" s="555"/>
      <c r="X9" s="554"/>
      <c r="Y9" s="554"/>
      <c r="Z9" s="554">
        <f>+Z8/X8-1</f>
        <v>4.758763787266572</v>
      </c>
      <c r="AA9" s="554">
        <f>+AA8/Y8-1</f>
        <v>2.6645207439198857</v>
      </c>
      <c r="AB9" s="554">
        <f t="shared" ref="AB9:AD9" si="7">+AB8/Z8-1</f>
        <v>1.9222687880454363</v>
      </c>
      <c r="AC9" s="554">
        <f t="shared" si="7"/>
        <v>0.86414210423579929</v>
      </c>
      <c r="AD9" s="554">
        <f t="shared" si="7"/>
        <v>0.57462686567164178</v>
      </c>
      <c r="AE9" s="554">
        <f t="shared" ref="AE9" si="8">+AE8/AC8-1</f>
        <v>1.218025430067315</v>
      </c>
      <c r="AF9" s="554">
        <f t="shared" ref="AF9:AG9" si="9">+AF8/AD8-1</f>
        <v>0.89779517824026378</v>
      </c>
      <c r="AG9" s="554">
        <f t="shared" si="9"/>
        <v>0.74607991906929683</v>
      </c>
      <c r="AH9" s="556"/>
      <c r="AI9" s="556"/>
      <c r="AJ9" s="554"/>
      <c r="AK9" s="554">
        <f>+AK8/AJ8-1</f>
        <v>11.537931034482758</v>
      </c>
      <c r="AL9" s="554">
        <f>+AL8/AK8-1</f>
        <v>2.9506325632563257</v>
      </c>
      <c r="AM9" s="554">
        <f>+AM8/AL8-1</f>
        <v>3.3320338334087509</v>
      </c>
      <c r="AN9" s="348">
        <f>+AN8/AM8-1</f>
        <v>1.3124824233658754</v>
      </c>
      <c r="AO9" s="348">
        <f t="shared" ref="AO9:AP9" si="10">+AO8/AN8-1</f>
        <v>0.8735232800555941</v>
      </c>
      <c r="AP9" s="348">
        <f t="shared" si="10"/>
        <v>0.81435459940652821</v>
      </c>
      <c r="AQ9" s="355"/>
      <c r="AR9" s="319" t="s">
        <v>1619</v>
      </c>
      <c r="AS9" s="334">
        <f>+AO110</f>
        <v>747</v>
      </c>
    </row>
    <row r="10" spans="1:46">
      <c r="A10" s="546" t="s">
        <v>226</v>
      </c>
      <c r="D10" s="617"/>
      <c r="E10" s="617"/>
      <c r="F10" s="617"/>
      <c r="G10" s="617"/>
      <c r="H10" s="554"/>
      <c r="I10" s="554"/>
      <c r="J10" s="554"/>
      <c r="K10" s="554"/>
      <c r="L10" s="554">
        <f>+L9+H9</f>
        <v>5.4684189723320156</v>
      </c>
      <c r="M10" s="554">
        <f t="shared" ref="M10:P10" si="11">+M9+I9</f>
        <v>2.6346383653891459</v>
      </c>
      <c r="N10" s="554">
        <f t="shared" si="11"/>
        <v>2.4515217391304347</v>
      </c>
      <c r="O10" s="554">
        <f t="shared" si="11"/>
        <v>2.5385815161434415</v>
      </c>
      <c r="P10" s="554">
        <f t="shared" si="11"/>
        <v>2.6600008932359707</v>
      </c>
      <c r="Q10" s="554">
        <f t="shared" ref="Q10" si="12">+Q9+M9</f>
        <v>1.9741978938087783</v>
      </c>
      <c r="R10" s="554">
        <f t="shared" ref="R10" si="13">+R9+N9</f>
        <v>1.6033653230966092</v>
      </c>
      <c r="S10" s="554">
        <f t="shared" ref="S10" si="14">+S9+O9</f>
        <v>1.4036070897900639</v>
      </c>
      <c r="T10" s="554">
        <f t="shared" ref="T10" si="15">+T9+P9</f>
        <v>1.8092298723455329</v>
      </c>
      <c r="U10" s="554">
        <f t="shared" ref="U10" si="16">+U9+Q9</f>
        <v>2.2040623771142385</v>
      </c>
      <c r="V10" s="554"/>
      <c r="W10" s="555"/>
      <c r="X10" s="554"/>
      <c r="Y10" s="554"/>
      <c r="Z10" s="554"/>
      <c r="AA10" s="554"/>
      <c r="AB10" s="554">
        <f t="shared" ref="AB10:AD10" si="17">+AB9+Z9</f>
        <v>6.6810325753120079</v>
      </c>
      <c r="AC10" s="554">
        <f t="shared" si="17"/>
        <v>3.528662848155685</v>
      </c>
      <c r="AD10" s="554">
        <f t="shared" si="17"/>
        <v>2.4968956537170781</v>
      </c>
      <c r="AE10" s="554">
        <f t="shared" ref="AE10" si="18">+AE9+AC9</f>
        <v>2.0821675343031143</v>
      </c>
      <c r="AF10" s="554">
        <f t="shared" ref="AF10:AG10" si="19">+AF9+AD9</f>
        <v>1.4724220439119056</v>
      </c>
      <c r="AG10" s="554">
        <f t="shared" si="19"/>
        <v>1.9641053491366118</v>
      </c>
      <c r="AH10" s="556"/>
      <c r="AI10" s="556"/>
      <c r="AJ10" s="554"/>
      <c r="AK10" s="554"/>
      <c r="AL10" s="554">
        <f t="shared" ref="AL10" si="20">+AL9+AK9</f>
        <v>14.488563597739084</v>
      </c>
      <c r="AM10" s="554">
        <f t="shared" ref="AM10" si="21">+AM9+AL9</f>
        <v>6.2826663966650766</v>
      </c>
      <c r="AN10" s="348">
        <f t="shared" ref="AN10" si="22">+AN9+AM9</f>
        <v>4.6445162567746259</v>
      </c>
      <c r="AO10" s="348">
        <f t="shared" ref="AO10:AP10" si="23">+AO9+AN9</f>
        <v>2.1860057034214693</v>
      </c>
      <c r="AP10" s="348">
        <f t="shared" si="23"/>
        <v>1.6878778794621223</v>
      </c>
      <c r="AQ10" s="355"/>
      <c r="AR10" s="319" t="s">
        <v>1621</v>
      </c>
      <c r="AS10" s="334">
        <f>+AS8*1000/AS9</f>
        <v>164622.48995983935</v>
      </c>
      <c r="AT10" s="511">
        <f>+AS10/AO106</f>
        <v>0.23206334768354514</v>
      </c>
    </row>
    <row r="11" spans="1:46">
      <c r="A11" s="546" t="s">
        <v>264</v>
      </c>
      <c r="D11" s="617"/>
      <c r="E11" s="617"/>
      <c r="F11" s="617"/>
      <c r="G11" s="617"/>
      <c r="H11" s="554"/>
      <c r="I11" s="554"/>
      <c r="J11" s="557"/>
      <c r="K11" s="554"/>
      <c r="L11" s="554"/>
      <c r="M11" s="554"/>
      <c r="N11" s="554"/>
      <c r="O11" s="554"/>
      <c r="P11" s="554"/>
      <c r="Q11" s="554"/>
      <c r="R11" s="554"/>
      <c r="S11" s="554"/>
      <c r="T11" s="554"/>
      <c r="U11" s="554"/>
      <c r="V11" s="554"/>
      <c r="W11" s="555"/>
      <c r="X11" s="554"/>
      <c r="Y11" s="554"/>
      <c r="Z11" s="554"/>
      <c r="AA11" s="554"/>
      <c r="AB11" s="554">
        <v>1.93</v>
      </c>
      <c r="AC11" s="554"/>
      <c r="AD11" s="554"/>
      <c r="AE11" s="554"/>
      <c r="AF11" s="554"/>
      <c r="AG11" s="554"/>
      <c r="AH11" s="556"/>
      <c r="AI11" s="556"/>
      <c r="AJ11" s="554"/>
      <c r="AK11" s="554"/>
      <c r="AL11" s="554"/>
      <c r="AM11" s="554">
        <v>3.84</v>
      </c>
      <c r="AN11" s="348"/>
      <c r="AO11" s="348"/>
      <c r="AP11" s="348"/>
      <c r="AQ11" s="355"/>
      <c r="AR11" s="319" t="s">
        <v>1622</v>
      </c>
      <c r="AS11" s="334">
        <f>+'Detailed Disclosures - USD'!AO313*25</f>
        <v>37.165428082191745</v>
      </c>
    </row>
    <row r="12" spans="1:46">
      <c r="D12" s="355"/>
      <c r="E12" s="355"/>
      <c r="F12" s="355"/>
      <c r="G12" s="355"/>
      <c r="H12" s="355"/>
      <c r="I12" s="355"/>
      <c r="J12" s="509"/>
      <c r="K12" s="355"/>
      <c r="L12" s="355"/>
      <c r="M12" s="355"/>
      <c r="N12" s="355"/>
      <c r="O12" s="355"/>
      <c r="P12" s="355"/>
      <c r="Q12" s="355"/>
      <c r="R12" s="355"/>
      <c r="S12" s="355"/>
      <c r="T12" s="355"/>
      <c r="U12" s="355"/>
      <c r="V12" s="355"/>
      <c r="X12" s="355"/>
      <c r="Y12" s="355"/>
      <c r="Z12" s="355"/>
      <c r="AA12" s="355"/>
      <c r="AB12" s="355"/>
      <c r="AC12" s="355"/>
      <c r="AD12" s="355"/>
      <c r="AE12" s="355"/>
      <c r="AF12" s="355"/>
      <c r="AG12" s="355"/>
      <c r="AH12" s="355"/>
      <c r="AI12" s="355"/>
      <c r="AJ12" s="355"/>
      <c r="AK12" s="355"/>
      <c r="AL12" s="355"/>
      <c r="AM12" s="355"/>
      <c r="AN12" s="328"/>
      <c r="AO12" s="328"/>
      <c r="AP12" s="328"/>
      <c r="AQ12" s="355"/>
      <c r="AR12" s="319" t="s">
        <v>1623</v>
      </c>
      <c r="AS12" s="334">
        <f>+AS10*AS11/1000</f>
        <v>6118.2653113137421</v>
      </c>
    </row>
    <row r="13" spans="1:46">
      <c r="A13" s="513" t="s">
        <v>413</v>
      </c>
      <c r="D13" s="355"/>
      <c r="E13" s="355"/>
      <c r="F13" s="355"/>
      <c r="G13" s="355"/>
      <c r="H13" s="355"/>
      <c r="I13" s="355"/>
      <c r="J13" s="509"/>
      <c r="K13" s="355"/>
      <c r="L13" s="355"/>
      <c r="M13" s="355"/>
      <c r="N13" s="355"/>
      <c r="O13" s="355"/>
      <c r="P13" s="355"/>
      <c r="Q13" s="355"/>
      <c r="R13" s="355"/>
      <c r="S13" s="355"/>
      <c r="T13" s="355"/>
      <c r="U13" s="355"/>
      <c r="V13" s="355"/>
      <c r="X13" s="355"/>
      <c r="Y13" s="355"/>
      <c r="Z13" s="355"/>
      <c r="AA13" s="355"/>
      <c r="AB13" s="355"/>
      <c r="AC13" s="617"/>
      <c r="AD13" s="355"/>
      <c r="AE13" s="355"/>
      <c r="AF13" s="355"/>
      <c r="AG13" s="355"/>
      <c r="AH13" s="355"/>
      <c r="AI13" s="355"/>
      <c r="AJ13" s="355"/>
      <c r="AK13" s="355"/>
      <c r="AL13" s="355"/>
      <c r="AM13" s="355"/>
      <c r="AN13" s="328"/>
      <c r="AO13" s="328"/>
      <c r="AP13" s="328"/>
      <c r="AQ13" s="355"/>
      <c r="AR13" s="319" t="s">
        <v>245</v>
      </c>
      <c r="AS13" s="334">
        <f>+AO67</f>
        <v>29322.119999999984</v>
      </c>
    </row>
    <row r="14" spans="1:46">
      <c r="A14" s="319" t="s">
        <v>238</v>
      </c>
      <c r="D14" s="359"/>
      <c r="E14" s="355"/>
      <c r="F14" s="355"/>
      <c r="G14" s="355"/>
      <c r="H14" s="355"/>
      <c r="I14" s="355"/>
      <c r="J14" s="509"/>
      <c r="K14" s="355"/>
      <c r="L14" s="355"/>
      <c r="M14" s="355"/>
      <c r="N14" s="355"/>
      <c r="O14" s="355"/>
      <c r="P14" s="355"/>
      <c r="Q14" s="355"/>
      <c r="R14" s="355"/>
      <c r="S14" s="355"/>
      <c r="T14" s="355"/>
      <c r="U14" s="355"/>
      <c r="V14" s="355"/>
      <c r="X14" s="355">
        <v>4001.864</v>
      </c>
      <c r="Y14" s="355">
        <f>+AL14-X14</f>
        <v>11080.698</v>
      </c>
      <c r="Z14" s="355">
        <v>26700.819</v>
      </c>
      <c r="AA14" s="355">
        <f>+AM14-Z14</f>
        <v>35622.588000000003</v>
      </c>
      <c r="AB14" s="355">
        <v>68311.44</v>
      </c>
      <c r="AC14" s="355">
        <f>+AN14-AB14</f>
        <v>53262.902999999991</v>
      </c>
      <c r="AD14" s="355">
        <v>115568.602</v>
      </c>
      <c r="AE14" s="355">
        <f t="shared" ref="AE14" si="24">+AO14-AD14</f>
        <v>131685.799</v>
      </c>
      <c r="AF14" s="355">
        <v>192194.47500000001</v>
      </c>
      <c r="AG14" s="355">
        <f>+AP14-AF14</f>
        <v>222280.791</v>
      </c>
      <c r="AH14" s="355"/>
      <c r="AI14" s="355"/>
      <c r="AJ14" s="355"/>
      <c r="AK14" s="355"/>
      <c r="AL14" s="355">
        <v>15082.562</v>
      </c>
      <c r="AM14" s="355">
        <v>62323.406999999999</v>
      </c>
      <c r="AN14" s="328">
        <v>121574.34299999999</v>
      </c>
      <c r="AO14" s="328">
        <v>247254.40100000001</v>
      </c>
      <c r="AP14" s="328">
        <v>414475.266</v>
      </c>
      <c r="AQ14" s="359"/>
      <c r="AR14" s="511"/>
      <c r="AS14" s="511">
        <f>+AS12/AS13</f>
        <v>0.20865699039884378</v>
      </c>
    </row>
    <row r="15" spans="1:46">
      <c r="A15" s="319" t="s">
        <v>266</v>
      </c>
      <c r="D15" s="359"/>
      <c r="E15" s="355"/>
      <c r="F15" s="355"/>
      <c r="G15" s="355"/>
      <c r="H15" s="355"/>
      <c r="I15" s="355"/>
      <c r="J15" s="509"/>
      <c r="K15" s="355"/>
      <c r="L15" s="355"/>
      <c r="M15" s="355"/>
      <c r="N15" s="355"/>
      <c r="O15" s="355"/>
      <c r="P15" s="355"/>
      <c r="Q15" s="355"/>
      <c r="R15" s="355"/>
      <c r="S15" s="355"/>
      <c r="T15" s="355"/>
      <c r="U15" s="355"/>
      <c r="V15" s="355"/>
      <c r="X15" s="356" t="s">
        <v>251</v>
      </c>
      <c r="Y15" s="356" t="s">
        <v>251</v>
      </c>
      <c r="Z15" s="355">
        <v>3512.643</v>
      </c>
      <c r="AA15" s="355">
        <f>+AM15-Z15</f>
        <v>4806.9639999999999</v>
      </c>
      <c r="AB15" s="355">
        <v>11337.47</v>
      </c>
      <c r="AC15" s="355">
        <f>+AN15-AB15</f>
        <v>11798.321000000002</v>
      </c>
      <c r="AD15" s="355">
        <v>15973.05</v>
      </c>
      <c r="AE15" s="355">
        <f>+AO15-AD15</f>
        <v>18330.108000000004</v>
      </c>
      <c r="AF15" s="355">
        <v>22732.984</v>
      </c>
      <c r="AG15" s="355">
        <f t="shared" ref="AG15:AG17" si="25">+AP15-AF15</f>
        <v>20169.363000000001</v>
      </c>
      <c r="AI15" s="355"/>
      <c r="AJ15" s="359"/>
      <c r="AK15" s="359"/>
      <c r="AL15" s="355">
        <v>1411.39</v>
      </c>
      <c r="AM15" s="355">
        <v>8319.607</v>
      </c>
      <c r="AN15" s="328">
        <v>23135.791000000001</v>
      </c>
      <c r="AO15" s="328">
        <v>34303.158000000003</v>
      </c>
      <c r="AP15" s="328">
        <v>42902.347000000002</v>
      </c>
      <c r="AQ15" s="359"/>
      <c r="AR15" s="511" t="s">
        <v>1624</v>
      </c>
      <c r="AS15" s="334">
        <f>+AO55</f>
        <v>15965.513999999988</v>
      </c>
    </row>
    <row r="16" spans="1:46" s="513" customFormat="1" ht="18.5">
      <c r="A16" s="319" t="s">
        <v>41</v>
      </c>
      <c r="D16" s="533"/>
      <c r="E16" s="534"/>
      <c r="F16" s="535"/>
      <c r="G16" s="535"/>
      <c r="H16" s="535"/>
      <c r="I16" s="534"/>
      <c r="J16" s="561"/>
      <c r="K16" s="534"/>
      <c r="L16" s="534"/>
      <c r="M16" s="534"/>
      <c r="N16" s="534"/>
      <c r="O16" s="534"/>
      <c r="P16" s="534"/>
      <c r="Q16" s="534"/>
      <c r="R16" s="534"/>
      <c r="S16" s="534"/>
      <c r="T16" s="534"/>
      <c r="U16" s="534"/>
      <c r="V16" s="534"/>
      <c r="X16" s="562" t="s">
        <v>251</v>
      </c>
      <c r="Y16" s="562" t="s">
        <v>251</v>
      </c>
      <c r="Z16" s="535">
        <f>13826.684-Z15</f>
        <v>10314.040999999999</v>
      </c>
      <c r="AA16" s="535">
        <f t="shared" ref="AA16" si="26">+AM16-Z16</f>
        <v>11451.945000000002</v>
      </c>
      <c r="AB16" s="535">
        <f>+AB17-AB14-AB15</f>
        <v>34057.358999999997</v>
      </c>
      <c r="AC16" s="535">
        <f>+AN16-AB16</f>
        <v>31116.362000000023</v>
      </c>
      <c r="AD16" s="535">
        <f>+AD17-AD14-AD15</f>
        <v>56155.758999999991</v>
      </c>
      <c r="AE16" s="535">
        <f>+AE17-AE14-AE15</f>
        <v>78513.682000000001</v>
      </c>
      <c r="AF16" s="535">
        <f>+AF17-AF15-AF14</f>
        <v>139329.91500000001</v>
      </c>
      <c r="AG16" s="535">
        <f t="shared" si="25"/>
        <v>145547.60500000001</v>
      </c>
      <c r="AH16" s="535"/>
      <c r="AI16" s="535"/>
      <c r="AJ16" s="535"/>
      <c r="AK16" s="535"/>
      <c r="AL16" s="577">
        <f t="shared" ref="AL16:AN16" si="27">+AL17-AL14-AL15</f>
        <v>6362.0479999999998</v>
      </c>
      <c r="AM16" s="577">
        <f t="shared" si="27"/>
        <v>21765.986000000001</v>
      </c>
      <c r="AN16" s="577">
        <f t="shared" si="27"/>
        <v>65173.72100000002</v>
      </c>
      <c r="AO16" s="577">
        <f>+AO17-AO14-AO15</f>
        <v>134669.44099999999</v>
      </c>
      <c r="AP16" s="577">
        <f>+AP17-AP14-AP15</f>
        <v>284877.52</v>
      </c>
      <c r="AQ16" s="355"/>
      <c r="AS16" s="618">
        <f>+AS12/AS15</f>
        <v>0.38321755950442604</v>
      </c>
    </row>
    <row r="17" spans="1:43">
      <c r="A17" s="527" t="s">
        <v>414</v>
      </c>
      <c r="D17" s="355">
        <f>+H17/(1+331%)</f>
        <v>4292.3433874709972</v>
      </c>
      <c r="E17" s="355">
        <f>+Historical!D33*1000-'Detailed Disclosure'!D17</f>
        <v>11566.285612529004</v>
      </c>
      <c r="F17" s="355">
        <f>+'Detailed Disclosures - USD'!F17*'Detailed Disclosures - USD'!F313</f>
        <v>14600.000000000002</v>
      </c>
      <c r="G17" s="355">
        <f>+'Detailed Disclosures - USD'!G17*'Detailed Disclosures - USD'!G313</f>
        <v>22321.941277909402</v>
      </c>
      <c r="H17" s="355">
        <v>18500</v>
      </c>
      <c r="I17" s="355">
        <f>+Historical!F33*1000-'Detailed Disclosure'!H17</f>
        <v>33381.49700000001</v>
      </c>
      <c r="J17" s="355">
        <v>38600</v>
      </c>
      <c r="K17" s="355">
        <f>+AB17-J17</f>
        <v>75106.269</v>
      </c>
      <c r="L17" s="355">
        <v>48800</v>
      </c>
      <c r="M17" s="355">
        <f>+AC17-L17</f>
        <v>47377.58600000001</v>
      </c>
      <c r="N17" s="355">
        <f>+J17*1.72</f>
        <v>66392</v>
      </c>
      <c r="O17" s="355">
        <f>+AD17-N17</f>
        <v>121305.41099999999</v>
      </c>
      <c r="P17" s="355">
        <v>101500</v>
      </c>
      <c r="Q17" s="355">
        <f>+AE17-P17</f>
        <v>127029.58900000001</v>
      </c>
      <c r="R17" s="355">
        <v>127100</v>
      </c>
      <c r="S17" s="355">
        <f>+AF17-R17</f>
        <v>227157.37400000001</v>
      </c>
      <c r="T17" s="355">
        <v>191000</v>
      </c>
      <c r="U17" s="355">
        <f>+AG17-T17</f>
        <v>196997.75900000002</v>
      </c>
      <c r="V17" s="355"/>
      <c r="X17" s="355">
        <f>+X37</f>
        <v>6997.3710000000001</v>
      </c>
      <c r="Y17" s="355">
        <f>+Y37</f>
        <v>15858.629000000001</v>
      </c>
      <c r="Z17" s="355">
        <f>+SUM(Z14:Z16)</f>
        <v>40527.502999999997</v>
      </c>
      <c r="AA17" s="355">
        <f>SUM(H17:I17)</f>
        <v>51881.49700000001</v>
      </c>
      <c r="AB17" s="355">
        <v>113706.269</v>
      </c>
      <c r="AC17" s="355">
        <f>+AN17-AB17</f>
        <v>96177.58600000001</v>
      </c>
      <c r="AD17" s="355">
        <v>187697.41099999999</v>
      </c>
      <c r="AE17" s="355">
        <f>+AO17-AD17</f>
        <v>228529.58900000001</v>
      </c>
      <c r="AF17" s="355">
        <v>354257.37400000001</v>
      </c>
      <c r="AG17" s="355">
        <f t="shared" si="25"/>
        <v>387997.75900000002</v>
      </c>
      <c r="AH17" s="355"/>
      <c r="AI17" s="355"/>
      <c r="AJ17" s="355">
        <f t="shared" ref="AJ17:AL17" si="28">+AJ37</f>
        <v>544</v>
      </c>
      <c r="AK17" s="355">
        <f t="shared" si="28"/>
        <v>5710</v>
      </c>
      <c r="AL17" s="355">
        <f t="shared" si="28"/>
        <v>22856</v>
      </c>
      <c r="AM17" s="355">
        <f>SUM(Z17:AA17)</f>
        <v>92409</v>
      </c>
      <c r="AN17" s="328">
        <v>209883.85500000001</v>
      </c>
      <c r="AO17" s="328">
        <v>416227</v>
      </c>
      <c r="AP17" s="328">
        <v>742255.13300000003</v>
      </c>
      <c r="AQ17" s="355"/>
    </row>
    <row r="18" spans="1:43">
      <c r="A18" s="539" t="s">
        <v>237</v>
      </c>
      <c r="D18" s="355"/>
      <c r="E18" s="355"/>
      <c r="F18" s="355"/>
      <c r="G18" s="355"/>
      <c r="H18" s="554">
        <f>+H17/D17-1</f>
        <v>3.3100000000000005</v>
      </c>
      <c r="I18" s="554">
        <f>+I17/E17-1</f>
        <v>1.886103466426595</v>
      </c>
      <c r="J18" s="554">
        <f t="shared" ref="J18:K18" si="29">+J17/F17-1</f>
        <v>1.6438356164383556</v>
      </c>
      <c r="K18" s="554">
        <f t="shared" si="29"/>
        <v>2.3646835669408319</v>
      </c>
      <c r="L18" s="554">
        <f t="shared" ref="L18:Q18" si="30">+L17/H17-1</f>
        <v>1.637837837837838</v>
      </c>
      <c r="M18" s="554">
        <f t="shared" si="30"/>
        <v>0.41927685268278991</v>
      </c>
      <c r="N18" s="554">
        <f t="shared" si="30"/>
        <v>0.72</v>
      </c>
      <c r="O18" s="554">
        <f t="shared" si="30"/>
        <v>0.61511698843674401</v>
      </c>
      <c r="P18" s="554">
        <f t="shared" si="30"/>
        <v>1.0799180327868854</v>
      </c>
      <c r="Q18" s="554">
        <f t="shared" si="30"/>
        <v>1.681216999954366</v>
      </c>
      <c r="R18" s="554">
        <f t="shared" ref="R18" si="31">+R17/N17-1</f>
        <v>0.91438727557537058</v>
      </c>
      <c r="S18" s="554">
        <f t="shared" ref="S18" si="32">+S17/O17-1</f>
        <v>0.87260710076651105</v>
      </c>
      <c r="T18" s="554">
        <f t="shared" ref="T18" si="33">+T17/P17-1</f>
        <v>0.88177339901477825</v>
      </c>
      <c r="U18" s="554">
        <f t="shared" ref="U18" si="34">+U17/Q17-1</f>
        <v>0.55080214421539231</v>
      </c>
      <c r="V18" s="554"/>
      <c r="W18" s="555"/>
      <c r="X18" s="554"/>
      <c r="Y18" s="554"/>
      <c r="Z18" s="554">
        <f>+Z17/X17-1</f>
        <v>4.791818527272599</v>
      </c>
      <c r="AA18" s="554">
        <f>+AA17/Y17-1</f>
        <v>2.2714995098252193</v>
      </c>
      <c r="AB18" s="554">
        <f t="shared" ref="AB18:AE18" si="35">+AB17/Z17-1</f>
        <v>1.8056569140220655</v>
      </c>
      <c r="AC18" s="554">
        <f t="shared" si="35"/>
        <v>0.85379357885528995</v>
      </c>
      <c r="AD18" s="554">
        <f t="shared" si="35"/>
        <v>0.65072174692496509</v>
      </c>
      <c r="AE18" s="554">
        <f t="shared" si="35"/>
        <v>1.3761210746129557</v>
      </c>
      <c r="AF18" s="554">
        <f t="shared" ref="AF18:AG18" si="36">+AF17/AD17-1</f>
        <v>0.88738551114058795</v>
      </c>
      <c r="AG18" s="554">
        <f t="shared" si="36"/>
        <v>0.69780097491008042</v>
      </c>
      <c r="AH18" s="556"/>
      <c r="AI18" s="556"/>
      <c r="AJ18" s="554"/>
      <c r="AK18" s="554">
        <f t="shared" ref="AK18:AP18" si="37">+AK17/AJ17-1</f>
        <v>9.4963235294117645</v>
      </c>
      <c r="AL18" s="554">
        <f t="shared" si="37"/>
        <v>3.0028021015761821</v>
      </c>
      <c r="AM18" s="554">
        <f t="shared" si="37"/>
        <v>3.0430959047952397</v>
      </c>
      <c r="AN18" s="348">
        <f t="shared" si="37"/>
        <v>1.2712490666493523</v>
      </c>
      <c r="AO18" s="348">
        <f t="shared" si="37"/>
        <v>0.9831301459562003</v>
      </c>
      <c r="AP18" s="348">
        <f t="shared" si="37"/>
        <v>0.78329405108270245</v>
      </c>
      <c r="AQ18" s="355"/>
    </row>
    <row r="19" spans="1:43">
      <c r="A19" s="539" t="s">
        <v>226</v>
      </c>
      <c r="D19" s="355"/>
      <c r="E19" s="355"/>
      <c r="F19" s="355"/>
      <c r="G19" s="355"/>
      <c r="H19" s="554"/>
      <c r="I19" s="554"/>
      <c r="J19" s="554"/>
      <c r="K19" s="554"/>
      <c r="L19" s="554">
        <f>+L18+H18</f>
        <v>4.947837837837838</v>
      </c>
      <c r="M19" s="554">
        <f t="shared" ref="M19" si="38">+M18+I18</f>
        <v>2.3053803191093847</v>
      </c>
      <c r="N19" s="554">
        <f t="shared" ref="N19" si="39">+N18+J18</f>
        <v>2.3638356164383554</v>
      </c>
      <c r="O19" s="554">
        <f t="shared" ref="O19" si="40">+O18+K18</f>
        <v>2.9798005553775759</v>
      </c>
      <c r="P19" s="554">
        <f t="shared" ref="P19:Q19" si="41">+P18+L18</f>
        <v>2.7177558706247233</v>
      </c>
      <c r="Q19" s="554">
        <f t="shared" si="41"/>
        <v>2.1004938526371557</v>
      </c>
      <c r="R19" s="554">
        <f t="shared" ref="R19" si="42">+R18+N18</f>
        <v>1.6343872755753706</v>
      </c>
      <c r="S19" s="554">
        <f t="shared" ref="S19" si="43">+S18+O18</f>
        <v>1.4877240892032551</v>
      </c>
      <c r="T19" s="554">
        <f t="shared" ref="T19" si="44">+T18+P18</f>
        <v>1.9616914318016636</v>
      </c>
      <c r="U19" s="554">
        <f t="shared" ref="U19" si="45">+U18+Q18</f>
        <v>2.2320191441697581</v>
      </c>
      <c r="V19" s="554"/>
      <c r="W19" s="555"/>
      <c r="X19" s="554"/>
      <c r="Y19" s="554"/>
      <c r="Z19" s="554"/>
      <c r="AA19" s="554"/>
      <c r="AB19" s="554">
        <f t="shared" ref="AB19" si="46">+AB18+Z18</f>
        <v>6.5974754412946641</v>
      </c>
      <c r="AC19" s="554">
        <f t="shared" ref="AC19" si="47">+AC18+AA18</f>
        <v>3.1252930886805093</v>
      </c>
      <c r="AD19" s="554">
        <f t="shared" ref="AD19:AE19" si="48">+AD18+AB18</f>
        <v>2.4563786609470304</v>
      </c>
      <c r="AE19" s="554">
        <f t="shared" si="48"/>
        <v>2.2299146534682457</v>
      </c>
      <c r="AF19" s="554">
        <f t="shared" ref="AF19:AG19" si="49">+AF18+AD18</f>
        <v>1.538107258065553</v>
      </c>
      <c r="AG19" s="554">
        <f t="shared" si="49"/>
        <v>2.0739220495230359</v>
      </c>
      <c r="AH19" s="556"/>
      <c r="AI19" s="556"/>
      <c r="AJ19" s="554"/>
      <c r="AK19" s="554"/>
      <c r="AL19" s="554">
        <f t="shared" ref="AL19" si="50">+AL18+AK18</f>
        <v>12.499125630987947</v>
      </c>
      <c r="AM19" s="554">
        <f t="shared" ref="AM19" si="51">+AM18+AL18</f>
        <v>6.0458980063714218</v>
      </c>
      <c r="AN19" s="348">
        <f t="shared" ref="AN19:AP19" si="52">+AN18+AM18</f>
        <v>4.3143449714445925</v>
      </c>
      <c r="AO19" s="348">
        <f t="shared" si="52"/>
        <v>2.2543792126055529</v>
      </c>
      <c r="AP19" s="348">
        <f t="shared" si="52"/>
        <v>1.7664241970389027</v>
      </c>
      <c r="AQ19" s="355"/>
    </row>
    <row r="20" spans="1:43" hidden="1" outlineLevel="1">
      <c r="A20" s="539" t="s">
        <v>264</v>
      </c>
      <c r="D20" s="355"/>
      <c r="E20" s="355"/>
      <c r="F20" s="355"/>
      <c r="G20" s="355"/>
      <c r="H20" s="554"/>
      <c r="I20" s="554"/>
      <c r="J20" s="557"/>
      <c r="K20" s="554"/>
      <c r="L20" s="554"/>
      <c r="M20" s="554"/>
      <c r="N20" s="554"/>
      <c r="O20" s="554"/>
      <c r="P20" s="554"/>
      <c r="Q20" s="554"/>
      <c r="R20" s="554"/>
      <c r="S20" s="554"/>
      <c r="T20" s="554"/>
      <c r="U20" s="554"/>
      <c r="V20" s="554"/>
      <c r="W20" s="555"/>
      <c r="X20" s="554"/>
      <c r="Y20" s="554"/>
      <c r="Z20" s="554"/>
      <c r="AA20" s="554"/>
      <c r="AB20" s="554">
        <v>1.82</v>
      </c>
      <c r="AC20" s="554"/>
      <c r="AD20" s="554"/>
      <c r="AE20" s="554"/>
      <c r="AF20" s="554"/>
      <c r="AG20" s="554"/>
      <c r="AH20" s="556"/>
      <c r="AI20" s="556"/>
      <c r="AJ20" s="554"/>
      <c r="AK20" s="554"/>
      <c r="AL20" s="554"/>
      <c r="AM20" s="554">
        <v>3.52</v>
      </c>
      <c r="AN20" s="348"/>
      <c r="AO20" s="348"/>
      <c r="AP20" s="348"/>
      <c r="AQ20" s="355"/>
    </row>
    <row r="21" spans="1:43" collapsed="1">
      <c r="A21" s="539" t="s">
        <v>415</v>
      </c>
      <c r="D21" s="554">
        <f t="shared" ref="D21:P21" si="53">+D17/D8</f>
        <v>0.79230211934741335</v>
      </c>
      <c r="E21" s="554">
        <f t="shared" si="53"/>
        <v>0.81714887361432931</v>
      </c>
      <c r="F21" s="554">
        <f t="shared" si="53"/>
        <v>0.7934782608695653</v>
      </c>
      <c r="G21" s="554">
        <f t="shared" si="53"/>
        <v>0.65371129812245321</v>
      </c>
      <c r="H21" s="554">
        <f t="shared" si="53"/>
        <v>0.73122529644268774</v>
      </c>
      <c r="I21" s="554">
        <f t="shared" si="53"/>
        <v>0.71908786782129186</v>
      </c>
      <c r="J21" s="554">
        <f t="shared" si="53"/>
        <v>0.74088291746641077</v>
      </c>
      <c r="K21" s="554">
        <f t="shared" si="53"/>
        <v>0.7363359705882353</v>
      </c>
      <c r="L21" s="554">
        <f t="shared" si="53"/>
        <v>0.68926553672316382</v>
      </c>
      <c r="M21" s="554">
        <f t="shared" si="53"/>
        <v>0.75322076311605735</v>
      </c>
      <c r="N21" s="554">
        <f t="shared" si="53"/>
        <v>0.78661643089026323</v>
      </c>
      <c r="O21" s="554">
        <f t="shared" si="53"/>
        <v>0.76655256938476313</v>
      </c>
      <c r="P21" s="554">
        <f t="shared" si="53"/>
        <v>0.77010622154779973</v>
      </c>
      <c r="Q21" s="554">
        <f>+'Detailed Disclosures - USD'!Q21</f>
        <v>0.77104454628224584</v>
      </c>
      <c r="R21" s="554">
        <f>+R17/R8</f>
        <v>0.7592592592592593</v>
      </c>
      <c r="S21" s="554">
        <f t="shared" ref="S21:T21" si="54">+S17/S8</f>
        <v>0.77501662913681346</v>
      </c>
      <c r="T21" s="554">
        <f t="shared" si="54"/>
        <v>0.74405921308920919</v>
      </c>
      <c r="U21" s="554">
        <f t="shared" ref="U21" si="55">+U17/U8</f>
        <v>0.75449160857908859</v>
      </c>
      <c r="V21" s="554"/>
      <c r="W21" s="555"/>
      <c r="X21" s="554">
        <f t="shared" ref="X21:AE21" si="56">+X17/X8</f>
        <v>0.76415540024025341</v>
      </c>
      <c r="Y21" s="554">
        <f t="shared" si="56"/>
        <v>0.81027125485387297</v>
      </c>
      <c r="Z21" s="554">
        <f t="shared" si="56"/>
        <v>0.76854157738038797</v>
      </c>
      <c r="AA21" s="554">
        <f t="shared" si="56"/>
        <v>0.72336935668274738</v>
      </c>
      <c r="AB21" s="554">
        <f t="shared" si="56"/>
        <v>0.73787325762491884</v>
      </c>
      <c r="AC21" s="554">
        <f t="shared" si="56"/>
        <v>0.71935367240089765</v>
      </c>
      <c r="AD21" s="554">
        <f t="shared" si="56"/>
        <v>0.77353146919431282</v>
      </c>
      <c r="AE21" s="554">
        <f t="shared" si="56"/>
        <v>0.77062751306693644</v>
      </c>
      <c r="AF21" s="554">
        <f t="shared" ref="AF21:AG21" si="57">+AF17/AF8</f>
        <v>0.76928854288816506</v>
      </c>
      <c r="AG21" s="554">
        <f t="shared" si="57"/>
        <v>0.74931973541908081</v>
      </c>
      <c r="AH21" s="556"/>
      <c r="AI21" s="556"/>
      <c r="AJ21" s="554">
        <f t="shared" ref="AJ21:AO21" si="58">+AJ17/AJ8</f>
        <v>0.93793103448275861</v>
      </c>
      <c r="AK21" s="554">
        <f t="shared" si="58"/>
        <v>0.78520352035203522</v>
      </c>
      <c r="AL21" s="554">
        <f t="shared" si="58"/>
        <v>0.79557241811410073</v>
      </c>
      <c r="AM21" s="554">
        <f t="shared" si="58"/>
        <v>0.7425093407255634</v>
      </c>
      <c r="AN21" s="348">
        <f t="shared" si="58"/>
        <v>0.72926982279360675</v>
      </c>
      <c r="AO21" s="348">
        <f t="shared" si="58"/>
        <v>0.77193434718100895</v>
      </c>
      <c r="AP21" s="348">
        <f t="shared" ref="AP21" si="59">+AP17/AP8</f>
        <v>0.7587193427374016</v>
      </c>
      <c r="AQ21" s="355"/>
    </row>
    <row r="22" spans="1:43">
      <c r="A22" s="539"/>
      <c r="D22" s="519"/>
      <c r="E22" s="519"/>
      <c r="F22" s="355"/>
      <c r="G22" s="355"/>
      <c r="H22" s="519"/>
      <c r="I22" s="519"/>
      <c r="J22" s="532"/>
      <c r="K22" s="519"/>
      <c r="L22" s="519"/>
      <c r="M22" s="519"/>
      <c r="N22" s="519"/>
      <c r="O22" s="519"/>
      <c r="P22" s="519"/>
      <c r="Q22" s="519"/>
      <c r="R22" s="519"/>
      <c r="S22" s="519"/>
      <c r="T22" s="519"/>
      <c r="U22" s="519"/>
      <c r="V22" s="519"/>
      <c r="X22" s="519"/>
      <c r="Y22" s="519"/>
      <c r="Z22" s="519"/>
      <c r="AA22" s="519"/>
      <c r="AB22" s="519"/>
      <c r="AC22" s="519"/>
      <c r="AD22" s="519"/>
      <c r="AE22" s="519"/>
      <c r="AF22" s="519"/>
      <c r="AG22" s="519"/>
      <c r="AH22" s="355"/>
      <c r="AI22" s="355"/>
      <c r="AJ22" s="519"/>
      <c r="AK22" s="519"/>
      <c r="AL22" s="519"/>
      <c r="AM22" s="519"/>
      <c r="AN22" s="345"/>
      <c r="AO22" s="345"/>
      <c r="AP22" s="345"/>
      <c r="AQ22" s="355"/>
    </row>
    <row r="23" spans="1:43">
      <c r="A23" s="540" t="s">
        <v>237</v>
      </c>
      <c r="D23" s="519"/>
      <c r="E23" s="519"/>
      <c r="F23" s="355"/>
      <c r="G23" s="355"/>
      <c r="H23" s="519"/>
      <c r="I23" s="519"/>
      <c r="J23" s="532"/>
      <c r="K23" s="519"/>
      <c r="L23" s="519"/>
      <c r="M23" s="519"/>
      <c r="N23" s="519"/>
      <c r="O23" s="519"/>
      <c r="P23" s="519"/>
      <c r="Q23" s="519"/>
      <c r="R23" s="519"/>
      <c r="S23" s="519"/>
      <c r="T23" s="519"/>
      <c r="U23" s="519"/>
      <c r="V23" s="519"/>
      <c r="X23" s="519"/>
      <c r="Y23" s="519"/>
      <c r="Z23" s="519"/>
      <c r="AA23" s="519"/>
      <c r="AB23" s="519"/>
      <c r="AC23" s="519"/>
      <c r="AD23" s="519"/>
      <c r="AE23" s="519"/>
      <c r="AF23" s="519"/>
      <c r="AG23" s="519"/>
      <c r="AH23" s="355"/>
      <c r="AI23" s="355"/>
      <c r="AJ23" s="519"/>
      <c r="AK23" s="519"/>
      <c r="AL23" s="519"/>
      <c r="AM23" s="519"/>
      <c r="AN23" s="345"/>
      <c r="AO23" s="345"/>
      <c r="AP23" s="345"/>
      <c r="AQ23" s="355"/>
    </row>
    <row r="24" spans="1:43">
      <c r="A24" s="539" t="str">
        <f>+A14</f>
        <v>United States</v>
      </c>
      <c r="D24" s="355"/>
      <c r="E24" s="355"/>
      <c r="F24" s="355"/>
      <c r="G24" s="355"/>
      <c r="H24" s="554"/>
      <c r="I24" s="554"/>
      <c r="J24" s="554"/>
      <c r="K24" s="554"/>
      <c r="L24" s="554"/>
      <c r="M24" s="554"/>
      <c r="N24" s="554"/>
      <c r="O24" s="554"/>
      <c r="P24" s="554"/>
      <c r="Q24" s="554"/>
      <c r="R24" s="554"/>
      <c r="S24" s="554"/>
      <c r="T24" s="554"/>
      <c r="U24" s="554"/>
      <c r="V24" s="554"/>
      <c r="W24" s="555"/>
      <c r="X24" s="554"/>
      <c r="Y24" s="554"/>
      <c r="Z24" s="554">
        <f t="shared" ref="Z24:AE24" si="60">+Z14/X14-1</f>
        <v>5.6720955534720821</v>
      </c>
      <c r="AA24" s="554">
        <f t="shared" si="60"/>
        <v>2.2148324952092371</v>
      </c>
      <c r="AB24" s="554">
        <f t="shared" si="60"/>
        <v>1.5584024220380659</v>
      </c>
      <c r="AC24" s="554">
        <f t="shared" si="60"/>
        <v>0.49520026450632915</v>
      </c>
      <c r="AD24" s="554">
        <f t="shared" si="60"/>
        <v>0.69178986711449797</v>
      </c>
      <c r="AE24" s="554">
        <f t="shared" si="60"/>
        <v>1.4723736706577939</v>
      </c>
      <c r="AF24" s="554">
        <f t="shared" ref="AF24:AG27" si="61">+AF14/AD14-1</f>
        <v>0.66303365857103658</v>
      </c>
      <c r="AG24" s="554">
        <f t="shared" si="61"/>
        <v>0.68796326322172363</v>
      </c>
      <c r="AH24" s="556"/>
      <c r="AI24" s="556"/>
      <c r="AJ24" s="554"/>
      <c r="AK24" s="554"/>
      <c r="AL24" s="554"/>
      <c r="AM24" s="554">
        <f>+AM14/AL14-1</f>
        <v>3.1321498960189924</v>
      </c>
      <c r="AN24" s="554">
        <f>+AN14/AM14-1</f>
        <v>0.95070117074953875</v>
      </c>
      <c r="AO24" s="554">
        <f>+AO14/AN14-1</f>
        <v>1.0337712291811441</v>
      </c>
      <c r="AP24" s="554">
        <f>+AP14/AO14-1</f>
        <v>0.67631097494600301</v>
      </c>
      <c r="AQ24" s="355"/>
    </row>
    <row r="25" spans="1:43">
      <c r="A25" s="539" t="str">
        <f t="shared" ref="A25:A27" si="62">+A15</f>
        <v>Australia</v>
      </c>
      <c r="D25" s="355"/>
      <c r="E25" s="355"/>
      <c r="F25" s="355"/>
      <c r="G25" s="355"/>
      <c r="H25" s="554"/>
      <c r="I25" s="554"/>
      <c r="J25" s="554"/>
      <c r="K25" s="554"/>
      <c r="L25" s="554"/>
      <c r="M25" s="554"/>
      <c r="N25" s="554"/>
      <c r="O25" s="554"/>
      <c r="P25" s="554"/>
      <c r="Q25" s="554"/>
      <c r="R25" s="554"/>
      <c r="S25" s="554"/>
      <c r="T25" s="554"/>
      <c r="U25" s="554"/>
      <c r="V25" s="554"/>
      <c r="W25" s="555"/>
      <c r="X25" s="554"/>
      <c r="Y25" s="554"/>
      <c r="Z25" s="564" t="s">
        <v>251</v>
      </c>
      <c r="AA25" s="564" t="s">
        <v>251</v>
      </c>
      <c r="AB25" s="554">
        <f t="shared" ref="AB25:AE25" si="63">+AB15/Z15-1</f>
        <v>2.2276180642325447</v>
      </c>
      <c r="AC25" s="554">
        <f t="shared" si="63"/>
        <v>1.45442258356834</v>
      </c>
      <c r="AD25" s="554">
        <f t="shared" si="63"/>
        <v>0.4088725262338071</v>
      </c>
      <c r="AE25" s="554">
        <f t="shared" si="63"/>
        <v>0.55362004475043536</v>
      </c>
      <c r="AF25" s="554">
        <f t="shared" si="61"/>
        <v>0.42320871718300523</v>
      </c>
      <c r="AG25" s="554">
        <f t="shared" si="61"/>
        <v>0.10034065265736558</v>
      </c>
      <c r="AH25" s="556"/>
      <c r="AI25" s="556"/>
      <c r="AJ25" s="554"/>
      <c r="AK25" s="554"/>
      <c r="AL25" s="554"/>
      <c r="AM25" s="554">
        <f t="shared" ref="AM25:AP25" si="64">+AM15/AL15-1</f>
        <v>4.8946194885892629</v>
      </c>
      <c r="AN25" s="554">
        <f t="shared" si="64"/>
        <v>1.7808754668339501</v>
      </c>
      <c r="AO25" s="554">
        <f t="shared" si="64"/>
        <v>0.48268792711690733</v>
      </c>
      <c r="AP25" s="554">
        <f t="shared" si="64"/>
        <v>0.25068213836172171</v>
      </c>
      <c r="AQ25" s="355"/>
    </row>
    <row r="26" spans="1:43" ht="18.5">
      <c r="A26" s="539" t="str">
        <f t="shared" si="62"/>
        <v>Other</v>
      </c>
      <c r="D26" s="355"/>
      <c r="E26" s="355"/>
      <c r="F26" s="355"/>
      <c r="G26" s="355"/>
      <c r="H26" s="554"/>
      <c r="I26" s="554"/>
      <c r="J26" s="554"/>
      <c r="K26" s="554"/>
      <c r="L26" s="554"/>
      <c r="M26" s="554"/>
      <c r="N26" s="554"/>
      <c r="O26" s="554"/>
      <c r="P26" s="554"/>
      <c r="Q26" s="554"/>
      <c r="R26" s="554"/>
      <c r="S26" s="554"/>
      <c r="T26" s="554"/>
      <c r="U26" s="554"/>
      <c r="V26" s="554"/>
      <c r="W26" s="555"/>
      <c r="X26" s="554"/>
      <c r="Y26" s="554"/>
      <c r="Z26" s="567" t="s">
        <v>251</v>
      </c>
      <c r="AA26" s="567" t="s">
        <v>251</v>
      </c>
      <c r="AB26" s="619">
        <f t="shared" ref="AB26:AE26" si="65">+AB16/Z16-1</f>
        <v>2.3020383572258436</v>
      </c>
      <c r="AC26" s="619">
        <f t="shared" si="65"/>
        <v>1.7171246456387994</v>
      </c>
      <c r="AD26" s="619">
        <f t="shared" si="65"/>
        <v>0.64885829814343499</v>
      </c>
      <c r="AE26" s="619">
        <f t="shared" si="65"/>
        <v>1.5232281974351611</v>
      </c>
      <c r="AF26" s="619">
        <f t="shared" si="61"/>
        <v>1.4811331461124055</v>
      </c>
      <c r="AG26" s="619">
        <f t="shared" si="61"/>
        <v>0.85378651583299847</v>
      </c>
      <c r="AH26" s="620"/>
      <c r="AI26" s="620"/>
      <c r="AJ26" s="619"/>
      <c r="AK26" s="619"/>
      <c r="AL26" s="619"/>
      <c r="AM26" s="619">
        <f t="shared" ref="AM26:AP26" si="66">+AM16/AL16-1</f>
        <v>2.4212231658736307</v>
      </c>
      <c r="AN26" s="619">
        <f t="shared" si="66"/>
        <v>1.9942921492276993</v>
      </c>
      <c r="AO26" s="619">
        <f t="shared" si="66"/>
        <v>1.0663150566468338</v>
      </c>
      <c r="AP26" s="619">
        <f t="shared" si="66"/>
        <v>1.1153835486701102</v>
      </c>
      <c r="AQ26" s="355"/>
    </row>
    <row r="27" spans="1:43">
      <c r="A27" s="531" t="str">
        <f t="shared" si="62"/>
        <v>Total Revenue</v>
      </c>
      <c r="D27" s="554"/>
      <c r="E27" s="554"/>
      <c r="F27" s="554"/>
      <c r="G27" s="554"/>
      <c r="H27" s="554">
        <f t="shared" ref="H27:R27" si="67">+H18</f>
        <v>3.3100000000000005</v>
      </c>
      <c r="I27" s="554">
        <f t="shared" si="67"/>
        <v>1.886103466426595</v>
      </c>
      <c r="J27" s="554">
        <f t="shared" si="67"/>
        <v>1.6438356164383556</v>
      </c>
      <c r="K27" s="554">
        <f t="shared" si="67"/>
        <v>2.3646835669408319</v>
      </c>
      <c r="L27" s="554">
        <f t="shared" si="67"/>
        <v>1.637837837837838</v>
      </c>
      <c r="M27" s="554">
        <f t="shared" si="67"/>
        <v>0.41927685268278991</v>
      </c>
      <c r="N27" s="554">
        <f t="shared" si="67"/>
        <v>0.72</v>
      </c>
      <c r="O27" s="554">
        <f t="shared" si="67"/>
        <v>0.61511698843674401</v>
      </c>
      <c r="P27" s="554">
        <f t="shared" si="67"/>
        <v>1.0799180327868854</v>
      </c>
      <c r="Q27" s="554">
        <f t="shared" si="67"/>
        <v>1.681216999954366</v>
      </c>
      <c r="R27" s="554">
        <f t="shared" si="67"/>
        <v>0.91438727557537058</v>
      </c>
      <c r="S27" s="554">
        <f>+S18</f>
        <v>0.87260710076651105</v>
      </c>
      <c r="T27" s="554">
        <f>+T18</f>
        <v>0.88177339901477825</v>
      </c>
      <c r="U27" s="554">
        <f>+U18</f>
        <v>0.55080214421539231</v>
      </c>
      <c r="V27" s="554"/>
      <c r="W27" s="555"/>
      <c r="X27" s="554"/>
      <c r="Y27" s="554"/>
      <c r="Z27" s="554">
        <f t="shared" ref="Z27:AE27" si="68">+Z17/X17-1</f>
        <v>4.791818527272599</v>
      </c>
      <c r="AA27" s="554">
        <f t="shared" si="68"/>
        <v>2.2714995098252193</v>
      </c>
      <c r="AB27" s="554">
        <f t="shared" si="68"/>
        <v>1.8056569140220655</v>
      </c>
      <c r="AC27" s="554">
        <f t="shared" si="68"/>
        <v>0.85379357885528995</v>
      </c>
      <c r="AD27" s="554">
        <f t="shared" si="68"/>
        <v>0.65072174692496509</v>
      </c>
      <c r="AE27" s="554">
        <f t="shared" si="68"/>
        <v>1.3761210746129557</v>
      </c>
      <c r="AF27" s="554">
        <f t="shared" si="61"/>
        <v>0.88738551114058795</v>
      </c>
      <c r="AG27" s="554">
        <f t="shared" si="61"/>
        <v>0.69780097491008042</v>
      </c>
      <c r="AH27" s="556"/>
      <c r="AI27" s="556"/>
      <c r="AJ27" s="554"/>
      <c r="AK27" s="554">
        <f t="shared" ref="AK27:AP27" si="69">+AK17/AJ17-1</f>
        <v>9.4963235294117645</v>
      </c>
      <c r="AL27" s="554">
        <f t="shared" si="69"/>
        <v>3.0028021015761821</v>
      </c>
      <c r="AM27" s="554">
        <f t="shared" si="69"/>
        <v>3.0430959047952397</v>
      </c>
      <c r="AN27" s="554">
        <f t="shared" si="69"/>
        <v>1.2712490666493523</v>
      </c>
      <c r="AO27" s="554">
        <f t="shared" si="69"/>
        <v>0.9831301459562003</v>
      </c>
      <c r="AP27" s="554">
        <f t="shared" si="69"/>
        <v>0.78329405108270245</v>
      </c>
      <c r="AQ27" s="355"/>
    </row>
    <row r="28" spans="1:43">
      <c r="A28" s="539"/>
      <c r="D28" s="519"/>
      <c r="E28" s="519"/>
      <c r="F28" s="355"/>
      <c r="G28" s="355"/>
      <c r="H28" s="519"/>
      <c r="I28" s="519"/>
      <c r="J28" s="532"/>
      <c r="K28" s="519"/>
      <c r="L28" s="519"/>
      <c r="M28" s="519"/>
      <c r="N28" s="519"/>
      <c r="O28" s="519"/>
      <c r="P28" s="519"/>
      <c r="Q28" s="519"/>
      <c r="R28" s="519"/>
      <c r="S28" s="519"/>
      <c r="T28" s="519"/>
      <c r="U28" s="519"/>
      <c r="V28" s="519"/>
      <c r="X28" s="519"/>
      <c r="Y28" s="519"/>
      <c r="Z28" s="519"/>
      <c r="AA28" s="519"/>
      <c r="AB28" s="519"/>
      <c r="AC28" s="519"/>
      <c r="AD28" s="519"/>
      <c r="AE28" s="519"/>
      <c r="AF28" s="519"/>
      <c r="AG28" s="519"/>
      <c r="AH28" s="355"/>
      <c r="AI28" s="355"/>
      <c r="AJ28" s="519"/>
      <c r="AK28" s="519"/>
      <c r="AL28" s="519"/>
      <c r="AM28" s="519"/>
      <c r="AN28" s="345"/>
      <c r="AO28" s="345"/>
      <c r="AP28" s="345"/>
      <c r="AQ28" s="355"/>
    </row>
    <row r="29" spans="1:43">
      <c r="A29" s="513" t="s">
        <v>267</v>
      </c>
      <c r="D29" s="355"/>
      <c r="E29" s="355"/>
      <c r="F29" s="355"/>
      <c r="G29" s="355"/>
      <c r="H29" s="355"/>
      <c r="I29" s="519"/>
      <c r="J29" s="532"/>
      <c r="K29" s="519"/>
      <c r="L29" s="519"/>
      <c r="M29" s="519"/>
      <c r="N29" s="519"/>
      <c r="O29" s="519"/>
      <c r="P29" s="519"/>
      <c r="Q29" s="519"/>
      <c r="R29" s="519"/>
      <c r="S29" s="519"/>
      <c r="T29" s="519"/>
      <c r="U29" s="519"/>
      <c r="V29" s="519"/>
      <c r="X29" s="355"/>
      <c r="Y29" s="355"/>
      <c r="Z29" s="355"/>
      <c r="AA29" s="355"/>
      <c r="AB29" s="355"/>
      <c r="AC29" s="554"/>
      <c r="AD29" s="355"/>
      <c r="AE29" s="355"/>
      <c r="AF29" s="355"/>
      <c r="AG29" s="355"/>
      <c r="AH29" s="355"/>
      <c r="AI29" s="355"/>
      <c r="AJ29" s="355"/>
      <c r="AK29" s="355"/>
      <c r="AL29" s="355"/>
      <c r="AM29" s="355"/>
      <c r="AN29" s="355"/>
      <c r="AO29" s="355"/>
      <c r="AP29" s="355"/>
      <c r="AQ29" s="355"/>
    </row>
    <row r="30" spans="1:43" hidden="1" outlineLevel="1">
      <c r="A30" s="337" t="s">
        <v>268</v>
      </c>
      <c r="B30" s="337"/>
      <c r="C30" s="337"/>
      <c r="D30" s="547"/>
      <c r="E30" s="547"/>
      <c r="F30" s="547"/>
      <c r="G30" s="547"/>
      <c r="H30" s="547"/>
      <c r="I30" s="519"/>
      <c r="J30" s="532"/>
      <c r="K30" s="519"/>
      <c r="L30" s="519"/>
      <c r="M30" s="519"/>
      <c r="N30" s="519"/>
      <c r="O30" s="519"/>
      <c r="P30" s="519"/>
      <c r="Q30" s="519"/>
      <c r="R30" s="519"/>
      <c r="S30" s="519"/>
      <c r="T30" s="519"/>
      <c r="U30" s="519"/>
      <c r="V30" s="519"/>
      <c r="W30" s="337"/>
      <c r="X30" s="547"/>
      <c r="Y30" s="547"/>
      <c r="Z30" s="554"/>
      <c r="AA30" s="554"/>
      <c r="AB30" s="554">
        <v>0.16</v>
      </c>
      <c r="AC30" s="554">
        <f>+((AN30*AN17)-(AB30*AB17))/AC17</f>
        <v>0.26911266529396982</v>
      </c>
      <c r="AD30" s="554">
        <v>0.25</v>
      </c>
      <c r="AE30" s="554">
        <f>+((AO30*AO17)-(AD30*AD17))/AE17</f>
        <v>0.28642653030807319</v>
      </c>
      <c r="AF30" s="554">
        <v>0.31</v>
      </c>
      <c r="AG30" s="554">
        <f>+((AP30*AP17)-(AF30*AF17))/AG17</f>
        <v>0.31000000000000005</v>
      </c>
      <c r="AH30" s="547"/>
      <c r="AI30" s="547"/>
      <c r="AJ30" s="547"/>
      <c r="AK30" s="547"/>
      <c r="AL30" s="547"/>
      <c r="AM30" s="547"/>
      <c r="AN30" s="554">
        <v>0.21</v>
      </c>
      <c r="AO30" s="554">
        <v>0.27</v>
      </c>
      <c r="AP30" s="554">
        <v>0.31</v>
      </c>
      <c r="AQ30" s="355"/>
    </row>
    <row r="31" spans="1:43" hidden="1" outlineLevel="1">
      <c r="A31" s="337" t="s">
        <v>269</v>
      </c>
      <c r="B31" s="337"/>
      <c r="C31" s="337"/>
      <c r="D31" s="547"/>
      <c r="E31" s="547"/>
      <c r="F31" s="547"/>
      <c r="G31" s="547"/>
      <c r="H31" s="547"/>
      <c r="I31" s="519"/>
      <c r="J31" s="532"/>
      <c r="K31" s="519"/>
      <c r="L31" s="519"/>
      <c r="M31" s="519"/>
      <c r="N31" s="519"/>
      <c r="O31" s="519"/>
      <c r="P31" s="519"/>
      <c r="Q31" s="519"/>
      <c r="R31" s="519"/>
      <c r="S31" s="519"/>
      <c r="T31" s="519"/>
      <c r="U31" s="519"/>
      <c r="V31" s="519"/>
      <c r="W31" s="337"/>
      <c r="X31" s="547"/>
      <c r="Y31" s="547"/>
      <c r="Z31" s="554"/>
      <c r="AA31" s="554"/>
      <c r="AB31" s="554">
        <f t="shared" ref="AB31:AG31" si="70">1-AB30</f>
        <v>0.84</v>
      </c>
      <c r="AC31" s="554">
        <f t="shared" si="70"/>
        <v>0.73088733470603018</v>
      </c>
      <c r="AD31" s="554">
        <f t="shared" si="70"/>
        <v>0.75</v>
      </c>
      <c r="AE31" s="554">
        <f t="shared" si="70"/>
        <v>0.71357346969192681</v>
      </c>
      <c r="AF31" s="554">
        <f t="shared" si="70"/>
        <v>0.69</v>
      </c>
      <c r="AG31" s="554">
        <f t="shared" si="70"/>
        <v>0.69</v>
      </c>
      <c r="AH31" s="547"/>
      <c r="AI31" s="547"/>
      <c r="AJ31" s="547"/>
      <c r="AK31" s="547"/>
      <c r="AL31" s="547"/>
      <c r="AM31" s="547"/>
      <c r="AN31" s="554">
        <f>1-AN30</f>
        <v>0.79</v>
      </c>
      <c r="AO31" s="554">
        <f>1-AO30</f>
        <v>0.73</v>
      </c>
      <c r="AP31" s="554">
        <f>1-AP30</f>
        <v>0.69</v>
      </c>
      <c r="AQ31" s="355"/>
    </row>
    <row r="32" spans="1:43" hidden="1" outlineLevel="1">
      <c r="A32" s="337" t="s">
        <v>270</v>
      </c>
      <c r="B32" s="337"/>
      <c r="C32" s="337"/>
      <c r="D32" s="547"/>
      <c r="E32" s="547"/>
      <c r="F32" s="547"/>
      <c r="G32" s="547"/>
      <c r="H32" s="547"/>
      <c r="I32" s="519"/>
      <c r="J32" s="532"/>
      <c r="K32" s="519"/>
      <c r="L32" s="519"/>
      <c r="M32" s="519"/>
      <c r="N32" s="519"/>
      <c r="O32" s="519"/>
      <c r="P32" s="519"/>
      <c r="Q32" s="519"/>
      <c r="R32" s="519"/>
      <c r="S32" s="519"/>
      <c r="T32" s="519"/>
      <c r="U32" s="519"/>
      <c r="V32" s="519"/>
      <c r="W32" s="337"/>
      <c r="X32" s="547"/>
      <c r="Y32" s="547"/>
      <c r="Z32" s="554"/>
      <c r="AA32" s="554"/>
      <c r="AB32" s="554">
        <f>+AB31-AB14/AB17-AB15/AB17</f>
        <v>0.13952050401020541</v>
      </c>
      <c r="AC32" s="554">
        <f>+AC33/AC17</f>
        <v>5.4417621689943824E-2</v>
      </c>
      <c r="AD32" s="554">
        <f>+AD31-AD14/AD17-AD15/AD17</f>
        <v>4.9182384566828108E-2</v>
      </c>
      <c r="AE32" s="554">
        <f>+AE33/AE17</f>
        <v>5.7133716500929688E-2</v>
      </c>
      <c r="AF32" s="554">
        <f>+AF31-AF14/AF17-AF15/AF17</f>
        <v>8.3301382626971079E-2</v>
      </c>
      <c r="AG32" s="554">
        <f>+AG33/AG17</f>
        <v>6.512485993508009E-2</v>
      </c>
      <c r="AH32" s="547"/>
      <c r="AI32" s="547"/>
      <c r="AJ32" s="547"/>
      <c r="AK32" s="547"/>
      <c r="AL32" s="547"/>
      <c r="AM32" s="547"/>
      <c r="AN32" s="554">
        <f>+AN31-AN14/AN17-AN15/AN17</f>
        <v>0.10052279366604941</v>
      </c>
      <c r="AO32" s="554">
        <f>+AO31-AO14/AO17-AO15/AO17</f>
        <v>5.3548066319580354E-2</v>
      </c>
      <c r="AP32" s="554">
        <f>+AP31-AP14/AP17-AP15/AP17</f>
        <v>7.3799999938834987E-2</v>
      </c>
      <c r="AQ32" s="355"/>
    </row>
    <row r="33" spans="1:44" collapsed="1">
      <c r="A33" s="319" t="s">
        <v>271</v>
      </c>
      <c r="D33" s="355"/>
      <c r="E33" s="355"/>
      <c r="F33" s="355"/>
      <c r="G33" s="355"/>
      <c r="H33" s="355"/>
      <c r="I33" s="355"/>
      <c r="J33" s="355"/>
      <c r="K33" s="355"/>
      <c r="L33" s="355"/>
      <c r="M33" s="355"/>
      <c r="N33" s="355"/>
      <c r="O33" s="355"/>
      <c r="P33" s="355"/>
      <c r="Q33" s="355"/>
      <c r="R33" s="355"/>
      <c r="S33" s="355"/>
      <c r="T33" s="355"/>
      <c r="U33" s="355"/>
      <c r="V33" s="355"/>
      <c r="X33" s="355"/>
      <c r="Y33" s="355"/>
      <c r="Z33" s="355"/>
      <c r="AA33" s="355"/>
      <c r="AB33" s="355">
        <f t="shared" ref="AB33:AD33" si="71">+AB32*AB17</f>
        <v>15864.355959999995</v>
      </c>
      <c r="AC33" s="355">
        <f>+AN33-AB33</f>
        <v>5233.7554900000378</v>
      </c>
      <c r="AD33" s="355">
        <f t="shared" si="71"/>
        <v>9231.4062499999927</v>
      </c>
      <c r="AE33" s="355">
        <f>+AO33-AD33</f>
        <v>13056.74474999998</v>
      </c>
      <c r="AF33" s="355">
        <f>+AF32*AF17</f>
        <v>29510.129059999996</v>
      </c>
      <c r="AG33" s="355">
        <f>+AP33-AF33</f>
        <v>25268.299709999959</v>
      </c>
      <c r="AH33" s="355"/>
      <c r="AI33" s="355"/>
      <c r="AJ33" s="355"/>
      <c r="AK33" s="355"/>
      <c r="AL33" s="355"/>
      <c r="AM33" s="355"/>
      <c r="AN33" s="355">
        <f>+AN32*AN17</f>
        <v>21098.111450000033</v>
      </c>
      <c r="AO33" s="355">
        <f>+AO32*AO17</f>
        <v>22288.150999999973</v>
      </c>
      <c r="AP33" s="355">
        <f>+AP32*AP17</f>
        <v>54778.428769999955</v>
      </c>
      <c r="AQ33" s="359"/>
      <c r="AR33" s="511"/>
    </row>
    <row r="34" spans="1:44">
      <c r="A34" s="563" t="s">
        <v>237</v>
      </c>
      <c r="B34" s="569"/>
      <c r="C34" s="569"/>
      <c r="D34" s="570"/>
      <c r="E34" s="570"/>
      <c r="F34" s="570"/>
      <c r="G34" s="570"/>
      <c r="H34" s="554"/>
      <c r="I34" s="554"/>
      <c r="J34" s="571"/>
      <c r="K34" s="571"/>
      <c r="L34" s="554"/>
      <c r="M34" s="554"/>
      <c r="N34" s="572"/>
      <c r="O34" s="572"/>
      <c r="P34" s="572"/>
      <c r="Q34" s="572"/>
      <c r="R34" s="572"/>
      <c r="S34" s="572"/>
      <c r="T34" s="572"/>
      <c r="U34" s="572"/>
      <c r="V34" s="572"/>
      <c r="W34" s="569"/>
      <c r="X34" s="554"/>
      <c r="Y34" s="554"/>
      <c r="Z34" s="554"/>
      <c r="AA34" s="554"/>
      <c r="AB34" s="554"/>
      <c r="AC34" s="554"/>
      <c r="AD34" s="339">
        <f>+AD33/AB33-1</f>
        <v>-0.41810393858560424</v>
      </c>
      <c r="AE34" s="339">
        <f t="shared" ref="AE34:AG34" si="72">+AE33/AC33-1</f>
        <v>1.4947181378547523</v>
      </c>
      <c r="AF34" s="339">
        <f t="shared" si="72"/>
        <v>2.1967100418747165</v>
      </c>
      <c r="AG34" s="339">
        <f t="shared" si="72"/>
        <v>0.93526795490123971</v>
      </c>
      <c r="AH34" s="339"/>
      <c r="AI34" s="339"/>
      <c r="AJ34" s="339"/>
      <c r="AK34" s="339"/>
      <c r="AL34" s="339"/>
      <c r="AM34" s="339"/>
      <c r="AN34" s="339"/>
      <c r="AO34" s="339">
        <f>+AO33/AN33-1</f>
        <v>5.6405027190238766E-2</v>
      </c>
      <c r="AP34" s="339">
        <f>+AP33/AO33-1</f>
        <v>1.4577376907577495</v>
      </c>
      <c r="AQ34" s="355"/>
    </row>
    <row r="35" spans="1:44">
      <c r="A35" s="539"/>
      <c r="D35" s="519"/>
      <c r="E35" s="519"/>
      <c r="F35" s="355"/>
      <c r="G35" s="355"/>
      <c r="H35" s="519"/>
      <c r="I35" s="519"/>
      <c r="J35" s="532"/>
      <c r="K35" s="519"/>
      <c r="L35" s="519"/>
      <c r="M35" s="519"/>
      <c r="N35" s="519"/>
      <c r="O35" s="519"/>
      <c r="P35" s="519"/>
      <c r="Q35" s="519"/>
      <c r="R35" s="519"/>
      <c r="S35" s="519"/>
      <c r="T35" s="519"/>
      <c r="U35" s="519"/>
      <c r="V35" s="519"/>
      <c r="X35" s="519"/>
      <c r="Y35" s="519"/>
      <c r="Z35" s="519"/>
      <c r="AA35" s="519"/>
      <c r="AB35" s="519"/>
      <c r="AC35" s="519"/>
      <c r="AD35" s="519"/>
      <c r="AE35" s="519"/>
      <c r="AF35" s="339"/>
      <c r="AG35" s="339"/>
      <c r="AH35" s="355"/>
      <c r="AI35" s="355"/>
      <c r="AJ35" s="519"/>
      <c r="AK35" s="519"/>
      <c r="AL35" s="519"/>
      <c r="AM35" s="519"/>
      <c r="AN35" s="345"/>
      <c r="AO35" s="345"/>
      <c r="AP35" s="345"/>
      <c r="AQ35" s="355"/>
    </row>
    <row r="36" spans="1:44">
      <c r="A36" s="513" t="s">
        <v>26</v>
      </c>
      <c r="D36" s="355"/>
      <c r="E36" s="355"/>
      <c r="F36" s="355"/>
      <c r="G36" s="355"/>
      <c r="H36" s="355"/>
      <c r="I36" s="355"/>
      <c r="J36" s="509"/>
      <c r="K36" s="355"/>
      <c r="L36" s="355"/>
      <c r="M36" s="355"/>
      <c r="N36" s="355"/>
      <c r="O36" s="355"/>
      <c r="P36" s="355"/>
      <c r="Q36" s="355"/>
      <c r="R36" s="355"/>
      <c r="S36" s="355"/>
      <c r="T36" s="355"/>
      <c r="U36" s="355"/>
      <c r="V36" s="355"/>
      <c r="X36" s="355"/>
      <c r="Y36" s="355"/>
      <c r="Z36" s="355"/>
      <c r="AA36" s="355"/>
      <c r="AB36" s="355"/>
      <c r="AC36" s="355"/>
      <c r="AD36" s="355"/>
      <c r="AE36" s="355"/>
      <c r="AF36" s="355"/>
      <c r="AG36" s="355"/>
      <c r="AH36" s="355"/>
      <c r="AI36" s="355"/>
      <c r="AJ36" s="355"/>
      <c r="AK36" s="355"/>
      <c r="AL36" s="355"/>
      <c r="AM36" s="355"/>
      <c r="AN36" s="328"/>
      <c r="AO36" s="328"/>
      <c r="AP36" s="328"/>
      <c r="AQ36" s="355"/>
    </row>
    <row r="37" spans="1:44">
      <c r="A37" s="319" t="s">
        <v>272</v>
      </c>
      <c r="D37" s="355">
        <f t="shared" ref="D37:L37" si="73">+D17</f>
        <v>4292.3433874709972</v>
      </c>
      <c r="E37" s="355">
        <f t="shared" si="73"/>
        <v>11566.285612529004</v>
      </c>
      <c r="F37" s="355">
        <f t="shared" si="73"/>
        <v>14600.000000000002</v>
      </c>
      <c r="G37" s="355">
        <f t="shared" si="73"/>
        <v>22321.941277909402</v>
      </c>
      <c r="H37" s="355">
        <f t="shared" si="73"/>
        <v>18500</v>
      </c>
      <c r="I37" s="355">
        <f t="shared" si="73"/>
        <v>33381.49700000001</v>
      </c>
      <c r="J37" s="355">
        <f t="shared" si="73"/>
        <v>38600</v>
      </c>
      <c r="K37" s="355">
        <f t="shared" si="73"/>
        <v>75106.269</v>
      </c>
      <c r="L37" s="355">
        <f t="shared" si="73"/>
        <v>48800</v>
      </c>
      <c r="M37" s="355">
        <f>+AC37-L37</f>
        <v>47377.58600000001</v>
      </c>
      <c r="N37" s="355">
        <f>+N17</f>
        <v>66392</v>
      </c>
      <c r="O37" s="355">
        <f>+AD37-N37</f>
        <v>121305.41099999999</v>
      </c>
      <c r="P37" s="355">
        <f>+P17</f>
        <v>101500</v>
      </c>
      <c r="Q37" s="355">
        <f>+AE37-P37</f>
        <v>127029.58900000001</v>
      </c>
      <c r="R37" s="355">
        <f>+R17</f>
        <v>127100</v>
      </c>
      <c r="S37" s="355">
        <f>+AF37-R37</f>
        <v>227157.37400000001</v>
      </c>
      <c r="T37" s="355">
        <f>+T17</f>
        <v>191000</v>
      </c>
      <c r="U37" s="355">
        <f>+U17</f>
        <v>196997.75900000002</v>
      </c>
      <c r="V37" s="355"/>
      <c r="X37" s="355">
        <v>6997.3710000000001</v>
      </c>
      <c r="Y37" s="355">
        <f>+AL37-X37</f>
        <v>15858.629000000001</v>
      </c>
      <c r="Z37" s="355">
        <v>40527.502999999997</v>
      </c>
      <c r="AA37" s="355">
        <f>SUM(H37:I37)</f>
        <v>51881.49700000001</v>
      </c>
      <c r="AB37" s="355">
        <f>SUM(J37:K37)</f>
        <v>113706.269</v>
      </c>
      <c r="AC37" s="355">
        <f>+AN37-AB37</f>
        <v>96177.58600000001</v>
      </c>
      <c r="AD37" s="355">
        <f>+AD17</f>
        <v>187697.41099999999</v>
      </c>
      <c r="AE37" s="355">
        <f t="shared" ref="AE37:AE39" si="74">+AO37-AD37</f>
        <v>228529.58900000001</v>
      </c>
      <c r="AF37" s="355">
        <f>+AF17</f>
        <v>354257.37400000001</v>
      </c>
      <c r="AG37" s="355">
        <f>+AP37-AF37</f>
        <v>387997.75900000002</v>
      </c>
      <c r="AH37" s="355"/>
      <c r="AI37" s="355"/>
      <c r="AJ37" s="355">
        <v>544</v>
      </c>
      <c r="AK37" s="355">
        <v>5710</v>
      </c>
      <c r="AL37" s="355">
        <v>22856</v>
      </c>
      <c r="AM37" s="355">
        <v>92409</v>
      </c>
      <c r="AN37" s="328">
        <f>+AN17</f>
        <v>209883.85500000001</v>
      </c>
      <c r="AO37" s="328">
        <f>AO17</f>
        <v>416227</v>
      </c>
      <c r="AP37" s="328">
        <f>AP17</f>
        <v>742255.13300000003</v>
      </c>
      <c r="AQ37" s="355"/>
    </row>
    <row r="38" spans="1:44" s="513" customFormat="1">
      <c r="A38" s="319" t="s">
        <v>273</v>
      </c>
      <c r="D38" s="535"/>
      <c r="E38" s="535"/>
      <c r="F38" s="535"/>
      <c r="G38" s="535"/>
      <c r="H38" s="535"/>
      <c r="I38" s="535"/>
      <c r="J38" s="573"/>
      <c r="K38" s="535"/>
      <c r="L38" s="535"/>
      <c r="M38" s="535"/>
      <c r="N38" s="535"/>
      <c r="O38" s="535"/>
      <c r="P38" s="535"/>
      <c r="Q38" s="535"/>
      <c r="R38" s="535"/>
      <c r="S38" s="535"/>
      <c r="T38" s="535"/>
      <c r="U38" s="535"/>
      <c r="V38" s="535"/>
      <c r="X38" s="535">
        <v>-4766.6719999999996</v>
      </c>
      <c r="Y38" s="535">
        <f>+AL38-X38</f>
        <v>-11675.328000000001</v>
      </c>
      <c r="Z38" s="535">
        <v>-29181.99</v>
      </c>
      <c r="AA38" s="535">
        <f>+AM38-Z38</f>
        <v>-41251.489000000001</v>
      </c>
      <c r="AB38" s="535">
        <v>-88993.876999999993</v>
      </c>
      <c r="AC38" s="535">
        <f t="shared" ref="AC38:AC39" si="75">+AN38-AB38</f>
        <v>-83531.22600000001</v>
      </c>
      <c r="AD38" s="535">
        <v>-140669.576</v>
      </c>
      <c r="AE38" s="535">
        <f t="shared" si="74"/>
        <v>-179933.65600000002</v>
      </c>
      <c r="AF38" s="535">
        <v>-272077.59600000002</v>
      </c>
      <c r="AG38" s="535">
        <f t="shared" ref="AG38:AG39" si="76">+AP38-AF38</f>
        <v>-315173.66700000002</v>
      </c>
      <c r="AH38" s="535"/>
      <c r="AI38" s="535"/>
      <c r="AJ38" s="535">
        <v>-263</v>
      </c>
      <c r="AK38" s="535">
        <v>-4247</v>
      </c>
      <c r="AL38" s="535">
        <v>-16442</v>
      </c>
      <c r="AM38" s="535">
        <v>-70433.479000000007</v>
      </c>
      <c r="AN38" s="577">
        <f>+AN39-AN37</f>
        <v>-172525.103</v>
      </c>
      <c r="AO38" s="577">
        <v>-320603.23200000002</v>
      </c>
      <c r="AP38" s="577">
        <v>-587251.26300000004</v>
      </c>
      <c r="AQ38" s="535"/>
    </row>
    <row r="39" spans="1:44">
      <c r="A39" s="527" t="s">
        <v>26</v>
      </c>
      <c r="D39" s="355"/>
      <c r="E39" s="355"/>
      <c r="F39" s="355"/>
      <c r="G39" s="355"/>
      <c r="H39" s="355"/>
      <c r="I39" s="355"/>
      <c r="J39" s="509"/>
      <c r="K39" s="355"/>
      <c r="L39" s="355"/>
      <c r="M39" s="355"/>
      <c r="N39" s="355"/>
      <c r="O39" s="355"/>
      <c r="P39" s="355"/>
      <c r="Q39" s="355"/>
      <c r="R39" s="355"/>
      <c r="S39" s="355"/>
      <c r="T39" s="355"/>
      <c r="U39" s="355"/>
      <c r="V39" s="355"/>
      <c r="X39" s="355">
        <f t="shared" ref="X39" si="77">+SUM(X37:X38)</f>
        <v>2230.6990000000005</v>
      </c>
      <c r="Y39" s="355">
        <f>+SUM(Y37:Y38)</f>
        <v>4183.3009999999995</v>
      </c>
      <c r="Z39" s="355">
        <f>+SUM(Z37:Z38)</f>
        <v>11345.512999999995</v>
      </c>
      <c r="AA39" s="355">
        <f t="shared" ref="AA39:AD39" si="78">+SUM(AA37:AA38)</f>
        <v>10630.008000000009</v>
      </c>
      <c r="AB39" s="355">
        <f t="shared" si="78"/>
        <v>24712.392000000007</v>
      </c>
      <c r="AC39" s="355">
        <f t="shared" si="75"/>
        <v>12646.359999999993</v>
      </c>
      <c r="AD39" s="355">
        <f t="shared" si="78"/>
        <v>47027.834999999992</v>
      </c>
      <c r="AE39" s="355">
        <f t="shared" si="74"/>
        <v>48595.93299999999</v>
      </c>
      <c r="AF39" s="355">
        <f t="shared" ref="AF39" si="79">+SUM(AF37:AF38)</f>
        <v>82179.777999999991</v>
      </c>
      <c r="AG39" s="355">
        <f t="shared" si="76"/>
        <v>72824.092000000004</v>
      </c>
      <c r="AH39" s="355"/>
      <c r="AI39" s="355"/>
      <c r="AJ39" s="355">
        <f t="shared" ref="AJ39:AL39" si="80">+SUM(AJ37:AJ38)</f>
        <v>281</v>
      </c>
      <c r="AK39" s="355">
        <f t="shared" si="80"/>
        <v>1463</v>
      </c>
      <c r="AL39" s="355">
        <f t="shared" si="80"/>
        <v>6414</v>
      </c>
      <c r="AM39" s="355">
        <f t="shared" ref="AM39" si="81">+SUM(AM37:AM38)</f>
        <v>21975.520999999993</v>
      </c>
      <c r="AN39" s="328">
        <v>37358.752</v>
      </c>
      <c r="AO39" s="328">
        <f>+AO37+AO38</f>
        <v>95623.767999999982</v>
      </c>
      <c r="AP39" s="328">
        <f>+AP37+AP38</f>
        <v>155003.87</v>
      </c>
      <c r="AQ39" s="355"/>
    </row>
    <row r="40" spans="1:44">
      <c r="A40" s="539" t="s">
        <v>239</v>
      </c>
      <c r="D40" s="355"/>
      <c r="E40" s="355"/>
      <c r="F40" s="355"/>
      <c r="G40" s="355"/>
      <c r="H40" s="554"/>
      <c r="I40" s="554"/>
      <c r="J40" s="557"/>
      <c r="K40" s="554"/>
      <c r="L40" s="554"/>
      <c r="M40" s="554"/>
      <c r="N40" s="572" t="s">
        <v>416</v>
      </c>
      <c r="O40" s="572"/>
      <c r="P40" s="572" t="s">
        <v>416</v>
      </c>
      <c r="Q40" s="572"/>
      <c r="R40" s="572" t="s">
        <v>416</v>
      </c>
      <c r="S40" s="572"/>
      <c r="T40" s="572" t="s">
        <v>416</v>
      </c>
      <c r="U40" s="572"/>
      <c r="V40" s="572"/>
      <c r="W40" s="555"/>
      <c r="X40" s="554">
        <f t="shared" ref="X40:AE40" si="82">+X39/X17</f>
        <v>0.31879101451102143</v>
      </c>
      <c r="Y40" s="554">
        <f t="shared" si="82"/>
        <v>0.26378705246210121</v>
      </c>
      <c r="Z40" s="554">
        <f t="shared" si="82"/>
        <v>0.27994601591911539</v>
      </c>
      <c r="AA40" s="554">
        <f t="shared" si="82"/>
        <v>0.20489015573317029</v>
      </c>
      <c r="AB40" s="554">
        <f t="shared" si="82"/>
        <v>0.21733535202003687</v>
      </c>
      <c r="AC40" s="554">
        <f t="shared" si="82"/>
        <v>0.13148967993436633</v>
      </c>
      <c r="AD40" s="554">
        <f t="shared" si="82"/>
        <v>0.25055132486616982</v>
      </c>
      <c r="AE40" s="554">
        <f t="shared" si="82"/>
        <v>0.21264613135063218</v>
      </c>
      <c r="AF40" s="554">
        <f t="shared" ref="AF40:AG40" si="83">+AF39/AF17</f>
        <v>0.23197760733132966</v>
      </c>
      <c r="AG40" s="554">
        <f t="shared" si="83"/>
        <v>0.18769204282955665</v>
      </c>
      <c r="AH40" s="556"/>
      <c r="AI40" s="556"/>
      <c r="AJ40" s="554">
        <f t="shared" ref="AJ40:AO40" si="84">+AJ39/AJ17</f>
        <v>0.51654411764705888</v>
      </c>
      <c r="AK40" s="554">
        <f t="shared" si="84"/>
        <v>0.25621716287215412</v>
      </c>
      <c r="AL40" s="554">
        <f t="shared" si="84"/>
        <v>0.28062653132656634</v>
      </c>
      <c r="AM40" s="554">
        <f t="shared" si="84"/>
        <v>0.23780715081864312</v>
      </c>
      <c r="AN40" s="348">
        <f t="shared" si="84"/>
        <v>0.17799726424883897</v>
      </c>
      <c r="AO40" s="348">
        <f t="shared" si="84"/>
        <v>0.22973946428271108</v>
      </c>
      <c r="AP40" s="348">
        <f t="shared" ref="AP40" si="85">+AP39/AP17</f>
        <v>0.20882828977351106</v>
      </c>
      <c r="AQ40" s="355"/>
    </row>
    <row r="41" spans="1:44">
      <c r="D41" s="355"/>
      <c r="E41" s="355"/>
      <c r="F41" s="355"/>
      <c r="G41" s="355"/>
      <c r="H41" s="355"/>
      <c r="I41" s="355"/>
      <c r="J41" s="509"/>
      <c r="K41" s="355"/>
      <c r="L41" s="355"/>
      <c r="M41" s="355"/>
      <c r="N41" s="355"/>
      <c r="O41" s="355"/>
      <c r="P41" s="355"/>
      <c r="Q41" s="355"/>
      <c r="R41" s="355"/>
      <c r="S41" s="355"/>
      <c r="T41" s="355"/>
      <c r="U41" s="355"/>
      <c r="V41" s="355"/>
      <c r="X41" s="355"/>
      <c r="Y41" s="355"/>
      <c r="Z41" s="519"/>
      <c r="AA41" s="519"/>
      <c r="AB41" s="519"/>
      <c r="AC41" s="355"/>
      <c r="AD41" s="519"/>
      <c r="AE41" s="519"/>
      <c r="AF41" s="519"/>
      <c r="AG41" s="519"/>
      <c r="AH41" s="355"/>
      <c r="AI41" s="355"/>
      <c r="AJ41" s="355"/>
      <c r="AK41" s="355"/>
      <c r="AL41" s="355"/>
      <c r="AM41" s="355"/>
      <c r="AN41" s="328"/>
      <c r="AO41" s="328"/>
      <c r="AP41" s="328"/>
      <c r="AQ41" s="355"/>
    </row>
    <row r="42" spans="1:44">
      <c r="A42" s="319" t="s">
        <v>274</v>
      </c>
      <c r="D42" s="355"/>
      <c r="E42" s="355"/>
      <c r="F42" s="355"/>
      <c r="G42" s="355"/>
      <c r="H42" s="355"/>
      <c r="I42" s="355"/>
      <c r="J42" s="509"/>
      <c r="K42" s="355"/>
      <c r="L42" s="355"/>
      <c r="M42" s="355"/>
      <c r="N42" s="355"/>
      <c r="O42" s="355"/>
      <c r="P42" s="355"/>
      <c r="Q42" s="355"/>
      <c r="R42" s="355"/>
      <c r="S42" s="355"/>
      <c r="T42" s="355"/>
      <c r="U42" s="355"/>
      <c r="V42" s="355"/>
      <c r="X42" s="355">
        <v>187.20699999999999</v>
      </c>
      <c r="Y42" s="355">
        <f t="shared" ref="Y42:Y43" si="86">+AL42-X42</f>
        <v>298.79300000000001</v>
      </c>
      <c r="Z42" s="355">
        <v>517.17200000000003</v>
      </c>
      <c r="AA42" s="355">
        <f t="shared" ref="AA42:AA51" si="87">+AM42-Z42</f>
        <v>588.75199999999995</v>
      </c>
      <c r="AB42" s="355">
        <v>814.92499999999995</v>
      </c>
      <c r="AC42" s="355">
        <f>+AN42-AB42</f>
        <v>1039.354</v>
      </c>
      <c r="AD42" s="355">
        <v>911.93399999999997</v>
      </c>
      <c r="AE42" s="355">
        <f t="shared" ref="AE42:AE43" si="88">+AO42-AD42</f>
        <v>1232.204</v>
      </c>
      <c r="AF42" s="355">
        <v>1407.56</v>
      </c>
      <c r="AG42" s="355">
        <f t="shared" ref="AG42:AG54" si="89">+AP42-AF42</f>
        <v>1674.0529999999999</v>
      </c>
      <c r="AH42" s="355"/>
      <c r="AI42" s="355"/>
      <c r="AJ42" s="355">
        <v>9</v>
      </c>
      <c r="AK42" s="355">
        <v>139</v>
      </c>
      <c r="AL42" s="355">
        <v>486</v>
      </c>
      <c r="AM42" s="355">
        <v>1105.924</v>
      </c>
      <c r="AN42" s="328">
        <v>1854.279</v>
      </c>
      <c r="AO42" s="328">
        <v>2144.1379999999999</v>
      </c>
      <c r="AP42" s="328">
        <v>3081.6129999999998</v>
      </c>
      <c r="AQ42" s="355"/>
    </row>
    <row r="43" spans="1:44">
      <c r="A43" s="319" t="s">
        <v>275</v>
      </c>
      <c r="D43" s="355"/>
      <c r="E43" s="355"/>
      <c r="F43" s="355"/>
      <c r="G43" s="355"/>
      <c r="H43" s="355"/>
      <c r="I43" s="355"/>
      <c r="J43" s="509"/>
      <c r="K43" s="355"/>
      <c r="L43" s="355"/>
      <c r="M43" s="355"/>
      <c r="N43" s="355"/>
      <c r="O43" s="355"/>
      <c r="P43" s="355"/>
      <c r="Q43" s="355"/>
      <c r="R43" s="355"/>
      <c r="S43" s="355"/>
      <c r="T43" s="355"/>
      <c r="U43" s="355"/>
      <c r="V43" s="355"/>
      <c r="X43" s="355">
        <v>0</v>
      </c>
      <c r="Y43" s="355">
        <f t="shared" si="86"/>
        <v>0</v>
      </c>
      <c r="Z43" s="355">
        <v>0.86399999999999999</v>
      </c>
      <c r="AA43" s="355">
        <f t="shared" si="87"/>
        <v>8.3659999999999997</v>
      </c>
      <c r="AB43" s="355">
        <v>16.088999999999999</v>
      </c>
      <c r="AC43" s="355">
        <f>+AN43-AB43</f>
        <v>19.535000000000004</v>
      </c>
      <c r="AD43" s="355">
        <v>66.822000000000003</v>
      </c>
      <c r="AE43" s="355">
        <f t="shared" si="88"/>
        <v>180.417</v>
      </c>
      <c r="AF43" s="355">
        <v>677.51300000000003</v>
      </c>
      <c r="AG43" s="355">
        <f t="shared" si="89"/>
        <v>1411.4030000000002</v>
      </c>
      <c r="AH43" s="355"/>
      <c r="AI43" s="355"/>
      <c r="AJ43" s="355">
        <v>0</v>
      </c>
      <c r="AK43" s="355">
        <v>0</v>
      </c>
      <c r="AL43" s="355">
        <v>0</v>
      </c>
      <c r="AM43" s="355">
        <v>9.23</v>
      </c>
      <c r="AN43" s="328">
        <v>35.624000000000002</v>
      </c>
      <c r="AO43" s="328">
        <v>247.239</v>
      </c>
      <c r="AP43" s="328">
        <v>2088.9160000000002</v>
      </c>
      <c r="AQ43" s="355"/>
    </row>
    <row r="44" spans="1:44">
      <c r="D44" s="355"/>
      <c r="E44" s="355"/>
      <c r="F44" s="355"/>
      <c r="G44" s="355"/>
      <c r="H44" s="355"/>
      <c r="I44" s="355"/>
      <c r="J44" s="509"/>
      <c r="K44" s="355"/>
      <c r="L44" s="355"/>
      <c r="M44" s="355"/>
      <c r="N44" s="355"/>
      <c r="O44" s="355"/>
      <c r="P44" s="355"/>
      <c r="Q44" s="355"/>
      <c r="R44" s="355"/>
      <c r="S44" s="355"/>
      <c r="T44" s="355"/>
      <c r="U44" s="355"/>
      <c r="V44" s="355"/>
      <c r="X44" s="558"/>
      <c r="Y44" s="355"/>
      <c r="Z44" s="355"/>
      <c r="AA44" s="355"/>
      <c r="AB44" s="355"/>
      <c r="AC44" s="355"/>
      <c r="AD44" s="355"/>
      <c r="AE44" s="355"/>
      <c r="AF44" s="355"/>
      <c r="AG44" s="355"/>
      <c r="AH44" s="355"/>
      <c r="AI44" s="355"/>
      <c r="AJ44" s="355"/>
      <c r="AK44" s="355"/>
      <c r="AL44" s="355"/>
      <c r="AM44" s="355"/>
      <c r="AN44" s="328"/>
      <c r="AO44" s="328"/>
      <c r="AP44" s="328"/>
      <c r="AQ44" s="355"/>
    </row>
    <row r="45" spans="1:44">
      <c r="A45" s="319" t="s">
        <v>276</v>
      </c>
      <c r="D45" s="355"/>
      <c r="E45" s="355"/>
      <c r="F45" s="355"/>
      <c r="G45" s="355"/>
      <c r="H45" s="355"/>
      <c r="I45" s="355"/>
      <c r="J45" s="509"/>
      <c r="K45" s="355"/>
      <c r="L45" s="355"/>
      <c r="M45" s="355"/>
      <c r="N45" s="355"/>
      <c r="O45" s="355"/>
      <c r="P45" s="355"/>
      <c r="Q45" s="355"/>
      <c r="R45" s="355"/>
      <c r="S45" s="355"/>
      <c r="T45" s="355"/>
      <c r="U45" s="355"/>
      <c r="V45" s="355"/>
      <c r="X45" s="355">
        <v>-585.36</v>
      </c>
      <c r="Y45" s="355">
        <f t="shared" ref="Y45:Y51" si="90">+AL45-X45</f>
        <v>-1349.6399999999999</v>
      </c>
      <c r="Z45" s="355">
        <v>-3864.6379999999999</v>
      </c>
      <c r="AA45" s="355">
        <f t="shared" si="87"/>
        <v>-7872.9540000000006</v>
      </c>
      <c r="AB45" s="355">
        <v>-25875.832999999999</v>
      </c>
      <c r="AC45" s="355">
        <f>+AN45-AB45</f>
        <v>-17155.363000000005</v>
      </c>
      <c r="AD45" s="355">
        <v>-16422.716</v>
      </c>
      <c r="AE45" s="355">
        <f t="shared" ref="AE45:AE54" si="91">+AO45-AD45</f>
        <v>-20141.917000000001</v>
      </c>
      <c r="AF45" s="355">
        <v>-34215.879999999997</v>
      </c>
      <c r="AG45" s="355">
        <f t="shared" si="89"/>
        <v>-41507.993999999999</v>
      </c>
      <c r="AH45" s="355"/>
      <c r="AI45" s="355"/>
      <c r="AJ45" s="355">
        <v>-41</v>
      </c>
      <c r="AK45" s="355">
        <v>-411</v>
      </c>
      <c r="AL45" s="355">
        <v>-1935</v>
      </c>
      <c r="AM45" s="355">
        <v>-11737.592000000001</v>
      </c>
      <c r="AN45" s="328">
        <v>-43031.196000000004</v>
      </c>
      <c r="AO45" s="328">
        <v>-36564.633000000002</v>
      </c>
      <c r="AP45" s="328">
        <v>-75723.873999999996</v>
      </c>
      <c r="AQ45" s="355"/>
    </row>
    <row r="46" spans="1:44">
      <c r="A46" s="319" t="s">
        <v>277</v>
      </c>
      <c r="D46" s="355"/>
      <c r="E46" s="355"/>
      <c r="F46" s="355"/>
      <c r="G46" s="355"/>
      <c r="H46" s="355"/>
      <c r="I46" s="355"/>
      <c r="J46" s="509"/>
      <c r="K46" s="355"/>
      <c r="L46" s="355"/>
      <c r="M46" s="355"/>
      <c r="N46" s="355"/>
      <c r="O46" s="355"/>
      <c r="P46" s="355"/>
      <c r="Q46" s="355"/>
      <c r="R46" s="355"/>
      <c r="S46" s="355"/>
      <c r="T46" s="355"/>
      <c r="U46" s="355"/>
      <c r="V46" s="355"/>
      <c r="X46" s="355">
        <v>-584.19799999999998</v>
      </c>
      <c r="Y46" s="355">
        <f t="shared" si="90"/>
        <v>-276.30200000000002</v>
      </c>
      <c r="Z46" s="355">
        <v>-1777.72</v>
      </c>
      <c r="AA46" s="355">
        <f t="shared" si="87"/>
        <v>-2682.5839999999998</v>
      </c>
      <c r="AB46" s="355">
        <v>-5380.643</v>
      </c>
      <c r="AC46" s="355">
        <f t="shared" ref="AC46:AC51" si="92">+AN46-AB46</f>
        <v>-4687.4290000000001</v>
      </c>
      <c r="AD46" s="355">
        <v>-7673.634</v>
      </c>
      <c r="AE46" s="355">
        <f t="shared" si="91"/>
        <v>-9208.259</v>
      </c>
      <c r="AF46" s="355">
        <v>-12820.898999999999</v>
      </c>
      <c r="AG46" s="355">
        <f t="shared" si="89"/>
        <v>-15287.403</v>
      </c>
      <c r="AH46" s="355"/>
      <c r="AI46" s="355"/>
      <c r="AJ46" s="355">
        <v>-15</v>
      </c>
      <c r="AK46" s="355">
        <v>-252</v>
      </c>
      <c r="AL46" s="355">
        <v>-860.5</v>
      </c>
      <c r="AM46" s="355">
        <v>-4460.3040000000001</v>
      </c>
      <c r="AN46" s="328">
        <v>-10068.072</v>
      </c>
      <c r="AO46" s="328">
        <v>-16881.893</v>
      </c>
      <c r="AP46" s="328">
        <v>-28108.302</v>
      </c>
      <c r="AQ46" s="355"/>
    </row>
    <row r="47" spans="1:44">
      <c r="A47" s="319" t="s">
        <v>278</v>
      </c>
      <c r="D47" s="355"/>
      <c r="E47" s="355"/>
      <c r="F47" s="355"/>
      <c r="G47" s="355"/>
      <c r="H47" s="355"/>
      <c r="I47" s="355"/>
      <c r="J47" s="509"/>
      <c r="K47" s="355"/>
      <c r="L47" s="355"/>
      <c r="M47" s="355"/>
      <c r="N47" s="355"/>
      <c r="O47" s="355"/>
      <c r="P47" s="355"/>
      <c r="Q47" s="355"/>
      <c r="R47" s="355"/>
      <c r="S47" s="355"/>
      <c r="T47" s="355"/>
      <c r="U47" s="355"/>
      <c r="V47" s="355"/>
      <c r="X47" s="355">
        <v>-135.108</v>
      </c>
      <c r="Y47" s="355">
        <f t="shared" si="90"/>
        <v>-215.392</v>
      </c>
      <c r="Z47" s="355">
        <v>-539.25800000000004</v>
      </c>
      <c r="AA47" s="355">
        <f t="shared" si="87"/>
        <v>-1325.981</v>
      </c>
      <c r="AB47" s="355">
        <v>-1380.6</v>
      </c>
      <c r="AC47" s="355">
        <f t="shared" si="92"/>
        <v>-1555.364</v>
      </c>
      <c r="AD47" s="355">
        <f>-1929.86-221.489</f>
        <v>-2151.3489999999997</v>
      </c>
      <c r="AE47" s="355">
        <f t="shared" si="91"/>
        <v>-1551.2920000000004</v>
      </c>
      <c r="AF47" s="355">
        <f>-3010.535-270.858</f>
        <v>-3281.393</v>
      </c>
      <c r="AG47" s="355">
        <f t="shared" si="89"/>
        <v>-4474.1499999999996</v>
      </c>
      <c r="AH47" s="355"/>
      <c r="AI47" s="355"/>
      <c r="AJ47" s="355">
        <v>-11</v>
      </c>
      <c r="AK47" s="355">
        <v>-153</v>
      </c>
      <c r="AL47" s="355">
        <v>-350.5</v>
      </c>
      <c r="AM47" s="355">
        <v>-1865.239</v>
      </c>
      <c r="AN47" s="328">
        <f>-2523.057-412.907</f>
        <v>-2935.9639999999999</v>
      </c>
      <c r="AO47" s="328">
        <f>-3259.663-442.978</f>
        <v>-3702.6410000000001</v>
      </c>
      <c r="AP47" s="328">
        <f>-5798.25-1957.293</f>
        <v>-7755.5429999999997</v>
      </c>
      <c r="AQ47" s="355"/>
    </row>
    <row r="48" spans="1:44">
      <c r="A48" s="319" t="s">
        <v>279</v>
      </c>
      <c r="D48" s="355"/>
      <c r="E48" s="355"/>
      <c r="F48" s="355"/>
      <c r="G48" s="355"/>
      <c r="H48" s="355"/>
      <c r="I48" s="355"/>
      <c r="J48" s="509"/>
      <c r="K48" s="355"/>
      <c r="L48" s="355"/>
      <c r="M48" s="355"/>
      <c r="N48" s="355"/>
      <c r="O48" s="355"/>
      <c r="P48" s="355"/>
      <c r="Q48" s="355"/>
      <c r="R48" s="355"/>
      <c r="S48" s="355"/>
      <c r="T48" s="355"/>
      <c r="U48" s="355"/>
      <c r="V48" s="355"/>
      <c r="X48" s="355">
        <v>-214.17599999999999</v>
      </c>
      <c r="Y48" s="355">
        <f t="shared" si="90"/>
        <v>-986.82400000000007</v>
      </c>
      <c r="Z48" s="355">
        <v>-1237.4480000000001</v>
      </c>
      <c r="AA48" s="355">
        <f t="shared" si="87"/>
        <v>-2137.2089999999998</v>
      </c>
      <c r="AB48" s="355">
        <v>-3901.4160000000002</v>
      </c>
      <c r="AC48" s="355">
        <f t="shared" si="92"/>
        <v>-3390.6499999999996</v>
      </c>
      <c r="AD48" s="355">
        <v>-7781.1949999999997</v>
      </c>
      <c r="AE48" s="355">
        <f t="shared" si="91"/>
        <v>-7017.402</v>
      </c>
      <c r="AF48" s="355">
        <v>-10874.016</v>
      </c>
      <c r="AG48" s="355">
        <f t="shared" si="89"/>
        <v>-11335.725999999999</v>
      </c>
      <c r="AH48" s="355"/>
      <c r="AI48" s="355"/>
      <c r="AJ48" s="355">
        <v>-32</v>
      </c>
      <c r="AK48" s="355">
        <v>-180</v>
      </c>
      <c r="AL48" s="355">
        <v>-1201</v>
      </c>
      <c r="AM48" s="355">
        <v>-3374.6570000000002</v>
      </c>
      <c r="AN48" s="328">
        <v>-7292.0659999999998</v>
      </c>
      <c r="AO48" s="328">
        <v>-14798.597</v>
      </c>
      <c r="AP48" s="328">
        <v>-22209.741999999998</v>
      </c>
      <c r="AQ48" s="355"/>
    </row>
    <row r="49" spans="1:43">
      <c r="A49" s="319" t="s">
        <v>280</v>
      </c>
      <c r="D49" s="355"/>
      <c r="E49" s="355"/>
      <c r="F49" s="355"/>
      <c r="G49" s="355"/>
      <c r="H49" s="355"/>
      <c r="I49" s="355"/>
      <c r="J49" s="509"/>
      <c r="K49" s="355"/>
      <c r="L49" s="355"/>
      <c r="M49" s="355"/>
      <c r="N49" s="355"/>
      <c r="O49" s="355"/>
      <c r="P49" s="355"/>
      <c r="Q49" s="355"/>
      <c r="R49" s="355"/>
      <c r="S49" s="355"/>
      <c r="T49" s="355"/>
      <c r="U49" s="355"/>
      <c r="V49" s="355"/>
      <c r="X49" s="355">
        <v>0</v>
      </c>
      <c r="Y49" s="355">
        <f t="shared" si="90"/>
        <v>0</v>
      </c>
      <c r="Z49" s="355">
        <v>-846.81600000000003</v>
      </c>
      <c r="AA49" s="355">
        <f t="shared" si="87"/>
        <v>0</v>
      </c>
      <c r="AB49" s="355">
        <v>0</v>
      </c>
      <c r="AC49" s="355">
        <f t="shared" si="92"/>
        <v>0</v>
      </c>
      <c r="AD49" s="355">
        <v>0</v>
      </c>
      <c r="AE49" s="355">
        <f t="shared" si="91"/>
        <v>0</v>
      </c>
      <c r="AF49" s="355">
        <v>0</v>
      </c>
      <c r="AG49" s="355">
        <f t="shared" si="89"/>
        <v>0</v>
      </c>
      <c r="AH49" s="355"/>
      <c r="AI49" s="355"/>
      <c r="AJ49" s="355">
        <v>0</v>
      </c>
      <c r="AK49" s="355">
        <v>0</v>
      </c>
      <c r="AL49" s="355">
        <v>0</v>
      </c>
      <c r="AM49" s="355">
        <v>-846.81600000000003</v>
      </c>
      <c r="AN49" s="328">
        <v>0</v>
      </c>
      <c r="AO49" s="328">
        <v>0</v>
      </c>
      <c r="AP49" s="328">
        <v>0</v>
      </c>
      <c r="AQ49" s="355"/>
    </row>
    <row r="50" spans="1:43">
      <c r="A50" s="319" t="s">
        <v>281</v>
      </c>
      <c r="D50" s="355"/>
      <c r="E50" s="355"/>
      <c r="F50" s="355"/>
      <c r="G50" s="355"/>
      <c r="H50" s="355"/>
      <c r="I50" s="355"/>
      <c r="J50" s="509"/>
      <c r="K50" s="355"/>
      <c r="L50" s="355"/>
      <c r="M50" s="355"/>
      <c r="N50" s="355"/>
      <c r="O50" s="355"/>
      <c r="P50" s="355"/>
      <c r="Q50" s="355"/>
      <c r="R50" s="355"/>
      <c r="S50" s="355"/>
      <c r="T50" s="355"/>
      <c r="U50" s="355"/>
      <c r="V50" s="355"/>
      <c r="X50" s="355">
        <v>0</v>
      </c>
      <c r="Y50" s="355">
        <v>0</v>
      </c>
      <c r="Z50" s="355">
        <v>0</v>
      </c>
      <c r="AA50" s="355">
        <v>0</v>
      </c>
      <c r="AB50" s="355">
        <v>0</v>
      </c>
      <c r="AC50" s="355">
        <v>0</v>
      </c>
      <c r="AD50" s="355">
        <v>0</v>
      </c>
      <c r="AE50" s="355">
        <f t="shared" si="91"/>
        <v>0</v>
      </c>
      <c r="AF50" s="355">
        <v>0</v>
      </c>
      <c r="AG50" s="355">
        <f t="shared" si="89"/>
        <v>0</v>
      </c>
      <c r="AH50" s="355"/>
      <c r="AI50" s="355"/>
      <c r="AJ50" s="355">
        <v>-22.5</v>
      </c>
      <c r="AK50" s="355">
        <v>0</v>
      </c>
      <c r="AL50" s="355">
        <v>0</v>
      </c>
      <c r="AM50" s="355">
        <v>0</v>
      </c>
      <c r="AN50" s="328">
        <v>0</v>
      </c>
      <c r="AO50" s="328">
        <v>0</v>
      </c>
      <c r="AP50" s="328">
        <v>0</v>
      </c>
      <c r="AQ50" s="355"/>
    </row>
    <row r="51" spans="1:43" s="513" customFormat="1">
      <c r="A51" s="319" t="s">
        <v>282</v>
      </c>
      <c r="D51" s="535"/>
      <c r="E51" s="535"/>
      <c r="F51" s="535"/>
      <c r="G51" s="535"/>
      <c r="H51" s="535"/>
      <c r="I51" s="535"/>
      <c r="J51" s="573"/>
      <c r="K51" s="535"/>
      <c r="L51" s="535"/>
      <c r="M51" s="535"/>
      <c r="N51" s="535"/>
      <c r="O51" s="535"/>
      <c r="P51" s="535"/>
      <c r="Q51" s="535"/>
      <c r="R51" s="535"/>
      <c r="S51" s="535"/>
      <c r="T51" s="535"/>
      <c r="U51" s="535"/>
      <c r="V51" s="535"/>
      <c r="X51" s="535">
        <v>-166.47900000000001</v>
      </c>
      <c r="Y51" s="535">
        <f t="shared" si="90"/>
        <v>-199.52099999999999</v>
      </c>
      <c r="Z51" s="535">
        <v>-261.90600000000001</v>
      </c>
      <c r="AA51" s="535">
        <f t="shared" si="87"/>
        <v>-401.50899999999996</v>
      </c>
      <c r="AB51" s="535">
        <v>-472.27300000000002</v>
      </c>
      <c r="AC51" s="535">
        <f t="shared" si="92"/>
        <v>-1305.2269999999999</v>
      </c>
      <c r="AD51" s="535">
        <v>-1748.3009999999999</v>
      </c>
      <c r="AE51" s="535">
        <f t="shared" si="91"/>
        <v>-2321.337</v>
      </c>
      <c r="AF51" s="535">
        <v>-2947.4380000000001</v>
      </c>
      <c r="AG51" s="535">
        <f t="shared" si="89"/>
        <v>-3545.0259999999998</v>
      </c>
      <c r="AH51" s="535"/>
      <c r="AI51" s="535"/>
      <c r="AJ51" s="535">
        <v>0</v>
      </c>
      <c r="AK51" s="535">
        <v>-239</v>
      </c>
      <c r="AL51" s="535">
        <v>-366</v>
      </c>
      <c r="AM51" s="535">
        <v>-663.41499999999996</v>
      </c>
      <c r="AN51" s="577">
        <v>-1777.5</v>
      </c>
      <c r="AO51" s="577">
        <v>-4069.6379999999999</v>
      </c>
      <c r="AP51" s="577">
        <v>-6492.4639999999999</v>
      </c>
      <c r="AQ51" s="535"/>
    </row>
    <row r="52" spans="1:43">
      <c r="A52" s="527" t="s">
        <v>283</v>
      </c>
      <c r="D52" s="355"/>
      <c r="E52" s="355"/>
      <c r="F52" s="355"/>
      <c r="G52" s="355"/>
      <c r="H52" s="355"/>
      <c r="I52" s="355"/>
      <c r="J52" s="509"/>
      <c r="K52" s="355"/>
      <c r="L52" s="355"/>
      <c r="M52" s="355"/>
      <c r="N52" s="355"/>
      <c r="O52" s="355"/>
      <c r="P52" s="355"/>
      <c r="Q52" s="355"/>
      <c r="R52" s="355"/>
      <c r="S52" s="355"/>
      <c r="T52" s="355"/>
      <c r="U52" s="355"/>
      <c r="V52" s="355"/>
      <c r="X52" s="355">
        <f t="shared" ref="X52:AG52" si="93">+SUM(X45:X51,X42:X43,X39)</f>
        <v>732.58500000000049</v>
      </c>
      <c r="Y52" s="355">
        <f t="shared" si="93"/>
        <v>1454.4149999999991</v>
      </c>
      <c r="Z52" s="355">
        <f t="shared" si="93"/>
        <v>3335.7629999999936</v>
      </c>
      <c r="AA52" s="355">
        <f t="shared" si="93"/>
        <v>-3193.1109999999899</v>
      </c>
      <c r="AB52" s="355">
        <f t="shared" si="93"/>
        <v>-11467.358999999989</v>
      </c>
      <c r="AC52" s="355">
        <f t="shared" si="93"/>
        <v>-14388.784000000011</v>
      </c>
      <c r="AD52" s="355">
        <f t="shared" si="93"/>
        <v>12229.395999999993</v>
      </c>
      <c r="AE52" s="355">
        <f t="shared" si="93"/>
        <v>9768.346999999987</v>
      </c>
      <c r="AF52" s="355">
        <f t="shared" si="93"/>
        <v>20125.224999999991</v>
      </c>
      <c r="AG52" s="355">
        <f t="shared" si="93"/>
        <v>-240.75099999998929</v>
      </c>
      <c r="AH52" s="355"/>
      <c r="AI52" s="355"/>
      <c r="AJ52" s="355">
        <f t="shared" ref="AJ52:AP52" si="94">+SUM(AJ45:AJ51,AJ42:AJ43,AJ39)</f>
        <v>168.5</v>
      </c>
      <c r="AK52" s="355">
        <f t="shared" si="94"/>
        <v>367</v>
      </c>
      <c r="AL52" s="355">
        <f t="shared" si="94"/>
        <v>2187</v>
      </c>
      <c r="AM52" s="355">
        <f t="shared" si="94"/>
        <v>142.65199999999095</v>
      </c>
      <c r="AN52" s="355">
        <f t="shared" si="94"/>
        <v>-25856.142999999996</v>
      </c>
      <c r="AO52" s="355">
        <f t="shared" si="94"/>
        <v>21997.742999999988</v>
      </c>
      <c r="AP52" s="355">
        <f t="shared" si="94"/>
        <v>19884.473999999987</v>
      </c>
      <c r="AQ52" s="355"/>
    </row>
    <row r="53" spans="1:43">
      <c r="D53" s="355"/>
      <c r="E53" s="355"/>
      <c r="F53" s="355"/>
      <c r="G53" s="355"/>
      <c r="H53" s="355"/>
      <c r="I53" s="355"/>
      <c r="J53" s="509"/>
      <c r="K53" s="355"/>
      <c r="L53" s="355"/>
      <c r="M53" s="355"/>
      <c r="N53" s="355"/>
      <c r="O53" s="355"/>
      <c r="P53" s="355"/>
      <c r="Q53" s="355"/>
      <c r="R53" s="355"/>
      <c r="S53" s="355"/>
      <c r="T53" s="355"/>
      <c r="U53" s="355"/>
      <c r="V53" s="355"/>
      <c r="X53" s="355"/>
      <c r="Y53" s="355"/>
      <c r="Z53" s="355"/>
      <c r="AA53" s="355"/>
      <c r="AB53" s="355"/>
      <c r="AC53" s="355"/>
      <c r="AD53" s="355"/>
      <c r="AE53" s="355"/>
      <c r="AF53" s="355"/>
      <c r="AG53" s="355"/>
      <c r="AH53" s="355"/>
      <c r="AI53" s="355"/>
      <c r="AJ53" s="355"/>
      <c r="AK53" s="355"/>
      <c r="AL53" s="355"/>
      <c r="AM53" s="355"/>
      <c r="AN53" s="328"/>
      <c r="AO53" s="328"/>
      <c r="AP53" s="328"/>
      <c r="AQ53" s="355"/>
    </row>
    <row r="54" spans="1:43" s="513" customFormat="1">
      <c r="A54" s="319" t="s">
        <v>284</v>
      </c>
      <c r="D54" s="535"/>
      <c r="E54" s="535"/>
      <c r="F54" s="535"/>
      <c r="G54" s="535"/>
      <c r="H54" s="535"/>
      <c r="I54" s="535"/>
      <c r="J54" s="573"/>
      <c r="K54" s="535"/>
      <c r="L54" s="535"/>
      <c r="M54" s="535"/>
      <c r="N54" s="535"/>
      <c r="O54" s="535"/>
      <c r="P54" s="535"/>
      <c r="Q54" s="535"/>
      <c r="R54" s="535"/>
      <c r="S54" s="535"/>
      <c r="T54" s="535"/>
      <c r="U54" s="535"/>
      <c r="V54" s="535"/>
      <c r="X54" s="535">
        <v>-225.64699999999999</v>
      </c>
      <c r="Y54" s="535">
        <f>+AL54-X54</f>
        <v>-429.35300000000001</v>
      </c>
      <c r="Z54" s="535">
        <v>-1032.8050000000001</v>
      </c>
      <c r="AA54" s="535">
        <f t="shared" ref="AA54" si="95">+AM54-Z54</f>
        <v>638.82400000000007</v>
      </c>
      <c r="AB54" s="535">
        <v>3168.1729999999998</v>
      </c>
      <c r="AC54" s="535">
        <f>+SUM(AC47:AC53,AC44:AC45,AC41)</f>
        <v>-37795.388000000014</v>
      </c>
      <c r="AD54" s="535">
        <v>-4204.62</v>
      </c>
      <c r="AE54" s="535">
        <f t="shared" si="91"/>
        <v>-1827.6090000000004</v>
      </c>
      <c r="AF54" s="535">
        <v>-7311.82</v>
      </c>
      <c r="AG54" s="535">
        <f t="shared" si="89"/>
        <v>-2098.1470000000008</v>
      </c>
      <c r="AH54" s="535"/>
      <c r="AI54" s="535"/>
      <c r="AJ54" s="535">
        <v>-57</v>
      </c>
      <c r="AK54" s="535">
        <v>-126</v>
      </c>
      <c r="AL54" s="535">
        <v>-655</v>
      </c>
      <c r="AM54" s="535">
        <v>-393.98099999999999</v>
      </c>
      <c r="AN54" s="577">
        <v>6793.799</v>
      </c>
      <c r="AO54" s="577">
        <v>-6032.2290000000003</v>
      </c>
      <c r="AP54" s="577">
        <v>-9409.9670000000006</v>
      </c>
      <c r="AQ54" s="535"/>
    </row>
    <row r="55" spans="1:43">
      <c r="A55" s="527" t="s">
        <v>285</v>
      </c>
      <c r="D55" s="355"/>
      <c r="E55" s="355"/>
      <c r="F55" s="355"/>
      <c r="G55" s="355"/>
      <c r="H55" s="355"/>
      <c r="I55" s="355"/>
      <c r="J55" s="509"/>
      <c r="K55" s="355"/>
      <c r="L55" s="355"/>
      <c r="M55" s="355"/>
      <c r="N55" s="355"/>
      <c r="O55" s="355"/>
      <c r="P55" s="355"/>
      <c r="Q55" s="355"/>
      <c r="R55" s="355"/>
      <c r="S55" s="355"/>
      <c r="T55" s="355"/>
      <c r="U55" s="355"/>
      <c r="V55" s="355"/>
      <c r="X55" s="355">
        <f>+X54+X52</f>
        <v>506.9380000000005</v>
      </c>
      <c r="Y55" s="355">
        <f t="shared" ref="Y55:AG55" si="96">+Y54+Y52</f>
        <v>1025.061999999999</v>
      </c>
      <c r="Z55" s="355">
        <f t="shared" si="96"/>
        <v>2302.9579999999933</v>
      </c>
      <c r="AA55" s="355">
        <f t="shared" si="96"/>
        <v>-2554.2869999999898</v>
      </c>
      <c r="AB55" s="355">
        <f t="shared" si="96"/>
        <v>-8299.1859999999906</v>
      </c>
      <c r="AC55" s="355">
        <f>+SUM(AC48:AC54,AC45:AC46,AC42)</f>
        <v>-77683.487000000037</v>
      </c>
      <c r="AD55" s="355">
        <f t="shared" si="96"/>
        <v>8024.7759999999935</v>
      </c>
      <c r="AE55" s="355">
        <f t="shared" si="96"/>
        <v>7940.7379999999866</v>
      </c>
      <c r="AF55" s="355">
        <f t="shared" si="96"/>
        <v>12813.404999999992</v>
      </c>
      <c r="AG55" s="355">
        <f t="shared" si="96"/>
        <v>-2338.8979999999901</v>
      </c>
      <c r="AH55" s="355"/>
      <c r="AI55" s="355"/>
      <c r="AJ55" s="355">
        <f t="shared" ref="AJ55" si="97">+AJ54+AJ52</f>
        <v>111.5</v>
      </c>
      <c r="AK55" s="355">
        <f t="shared" ref="AK55" si="98">+AK54+AK52</f>
        <v>241</v>
      </c>
      <c r="AL55" s="355">
        <f t="shared" ref="AL55:AP55" si="99">+AL54+AL52</f>
        <v>1532</v>
      </c>
      <c r="AM55" s="355">
        <f t="shared" si="99"/>
        <v>-251.32900000000905</v>
      </c>
      <c r="AN55" s="355">
        <f t="shared" si="99"/>
        <v>-19062.343999999997</v>
      </c>
      <c r="AO55" s="355">
        <f t="shared" si="99"/>
        <v>15965.513999999988</v>
      </c>
      <c r="AP55" s="355">
        <f t="shared" si="99"/>
        <v>10474.506999999987</v>
      </c>
      <c r="AQ55" s="355"/>
    </row>
    <row r="56" spans="1:43">
      <c r="D56" s="355"/>
      <c r="E56" s="355"/>
      <c r="F56" s="355"/>
      <c r="G56" s="355"/>
      <c r="H56" s="355"/>
      <c r="I56" s="355"/>
      <c r="J56" s="509"/>
      <c r="K56" s="355"/>
      <c r="L56" s="355"/>
      <c r="M56" s="355"/>
      <c r="N56" s="355"/>
      <c r="O56" s="355"/>
      <c r="P56" s="355"/>
      <c r="Q56" s="355"/>
      <c r="R56" s="355"/>
      <c r="S56" s="355"/>
      <c r="T56" s="355"/>
      <c r="U56" s="355"/>
      <c r="V56" s="355"/>
      <c r="X56" s="355"/>
      <c r="Y56" s="355"/>
      <c r="Z56" s="355"/>
      <c r="AA56" s="355"/>
      <c r="AB56" s="355"/>
      <c r="AC56" s="355"/>
      <c r="AD56" s="355"/>
      <c r="AE56" s="355"/>
      <c r="AF56" s="355"/>
      <c r="AG56" s="355"/>
      <c r="AH56" s="355"/>
      <c r="AI56" s="355"/>
      <c r="AJ56" s="355"/>
      <c r="AK56" s="355"/>
      <c r="AL56" s="355"/>
      <c r="AM56" s="355"/>
      <c r="AN56" s="328"/>
      <c r="AO56" s="328"/>
      <c r="AP56" s="328"/>
      <c r="AQ56" s="355"/>
    </row>
    <row r="57" spans="1:43">
      <c r="A57" s="513" t="s">
        <v>28</v>
      </c>
      <c r="D57" s="355"/>
      <c r="E57" s="355"/>
      <c r="F57" s="355"/>
      <c r="G57" s="355"/>
      <c r="H57" s="355"/>
      <c r="I57" s="355"/>
      <c r="J57" s="509"/>
      <c r="K57" s="355"/>
      <c r="L57" s="355"/>
      <c r="M57" s="355"/>
      <c r="N57" s="355"/>
      <c r="O57" s="355"/>
      <c r="P57" s="355"/>
      <c r="Q57" s="355"/>
      <c r="R57" s="355"/>
      <c r="S57" s="355"/>
      <c r="T57" s="355"/>
      <c r="U57" s="355"/>
      <c r="V57" s="355"/>
      <c r="X57" s="355"/>
      <c r="Y57" s="355"/>
      <c r="Z57" s="355"/>
      <c r="AA57" s="355"/>
      <c r="AB57" s="355"/>
      <c r="AC57" s="355"/>
      <c r="AD57" s="355"/>
      <c r="AE57" s="355"/>
      <c r="AF57" s="355"/>
      <c r="AG57" s="355"/>
      <c r="AH57" s="355"/>
      <c r="AI57" s="355"/>
      <c r="AJ57" s="355"/>
      <c r="AK57" s="355"/>
      <c r="AL57" s="355"/>
      <c r="AM57" s="355"/>
      <c r="AN57" s="328"/>
      <c r="AO57" s="328"/>
      <c r="AP57" s="328"/>
      <c r="AQ57" s="355"/>
    </row>
    <row r="58" spans="1:43">
      <c r="A58" s="319" t="str">
        <f>+A52</f>
        <v>Profit Before Income Tax Expense</v>
      </c>
      <c r="D58" s="355"/>
      <c r="E58" s="355"/>
      <c r="F58" s="355"/>
      <c r="G58" s="355"/>
      <c r="H58" s="355"/>
      <c r="I58" s="355"/>
      <c r="J58" s="509"/>
      <c r="K58" s="355"/>
      <c r="L58" s="355"/>
      <c r="M58" s="355"/>
      <c r="N58" s="355"/>
      <c r="O58" s="355"/>
      <c r="P58" s="356"/>
      <c r="Q58" s="356"/>
      <c r="R58" s="356"/>
      <c r="S58" s="356"/>
      <c r="T58" s="356"/>
      <c r="U58" s="356"/>
      <c r="V58" s="356"/>
      <c r="X58" s="355">
        <f t="shared" ref="X58:Y58" si="100">+X52</f>
        <v>732.58500000000049</v>
      </c>
      <c r="Y58" s="355">
        <f t="shared" si="100"/>
        <v>1454.4149999999991</v>
      </c>
      <c r="Z58" s="355">
        <f t="shared" ref="Z58:AA58" si="101">+Z52</f>
        <v>3335.7629999999936</v>
      </c>
      <c r="AA58" s="355">
        <f t="shared" si="101"/>
        <v>-3193.1109999999899</v>
      </c>
      <c r="AB58" s="355">
        <f t="shared" ref="AB58:AD58" si="102">+AB52</f>
        <v>-11467.358999999989</v>
      </c>
      <c r="AC58" s="355">
        <f t="shared" si="102"/>
        <v>-14388.784000000011</v>
      </c>
      <c r="AD58" s="355">
        <f t="shared" si="102"/>
        <v>12229.395999999993</v>
      </c>
      <c r="AE58" s="355">
        <f t="shared" ref="AE58:AF58" si="103">+AE52</f>
        <v>9768.346999999987</v>
      </c>
      <c r="AF58" s="355">
        <f t="shared" si="103"/>
        <v>20125.224999999991</v>
      </c>
      <c r="AG58" s="355">
        <f t="shared" ref="AG58:AG67" si="104">+AP58-AF58</f>
        <v>-240.75100000000384</v>
      </c>
      <c r="AH58" s="355"/>
      <c r="AI58" s="355"/>
      <c r="AJ58" s="355">
        <f>+AJ52</f>
        <v>168.5</v>
      </c>
      <c r="AK58" s="355">
        <f t="shared" ref="AK58:AN58" si="105">+AK52</f>
        <v>367</v>
      </c>
      <c r="AL58" s="355">
        <f t="shared" si="105"/>
        <v>2187</v>
      </c>
      <c r="AM58" s="355">
        <f t="shared" si="105"/>
        <v>142.65199999999095</v>
      </c>
      <c r="AN58" s="328">
        <f t="shared" si="105"/>
        <v>-25856.142999999996</v>
      </c>
      <c r="AO58" s="328">
        <f t="shared" ref="AO58:AP58" si="106">+AO52</f>
        <v>21997.742999999988</v>
      </c>
      <c r="AP58" s="328">
        <f t="shared" si="106"/>
        <v>19884.473999999987</v>
      </c>
      <c r="AQ58" s="355"/>
    </row>
    <row r="59" spans="1:43">
      <c r="A59" s="319" t="str">
        <f>+A51</f>
        <v>Depreciation and Amortization Expense</v>
      </c>
      <c r="D59" s="355"/>
      <c r="E59" s="355"/>
      <c r="F59" s="355"/>
      <c r="G59" s="355"/>
      <c r="H59" s="355"/>
      <c r="I59" s="355"/>
      <c r="J59" s="509"/>
      <c r="K59" s="355"/>
      <c r="L59" s="355"/>
      <c r="M59" s="355"/>
      <c r="N59" s="355"/>
      <c r="O59" s="355"/>
      <c r="P59" s="356"/>
      <c r="Q59" s="356"/>
      <c r="R59" s="544"/>
      <c r="S59" s="356"/>
      <c r="T59" s="356"/>
      <c r="U59" s="356"/>
      <c r="V59" s="356"/>
      <c r="X59" s="355">
        <f t="shared" ref="X59:Y59" si="107">-X51</f>
        <v>166.47900000000001</v>
      </c>
      <c r="Y59" s="355">
        <f t="shared" si="107"/>
        <v>199.52099999999999</v>
      </c>
      <c r="Z59" s="355">
        <f t="shared" ref="Z59:AA59" si="108">-Z51</f>
        <v>261.90600000000001</v>
      </c>
      <c r="AA59" s="355">
        <f t="shared" si="108"/>
        <v>401.50899999999996</v>
      </c>
      <c r="AB59" s="355">
        <f t="shared" ref="AB59:AD59" si="109">-AB51</f>
        <v>472.27300000000002</v>
      </c>
      <c r="AC59" s="355">
        <f t="shared" si="109"/>
        <v>1305.2269999999999</v>
      </c>
      <c r="AD59" s="355">
        <f t="shared" si="109"/>
        <v>1748.3009999999999</v>
      </c>
      <c r="AE59" s="355">
        <f t="shared" ref="AE59:AF59" si="110">-AE51</f>
        <v>2321.337</v>
      </c>
      <c r="AF59" s="355">
        <f t="shared" si="110"/>
        <v>2947.4380000000001</v>
      </c>
      <c r="AG59" s="355">
        <f t="shared" si="104"/>
        <v>3545.0259999999998</v>
      </c>
      <c r="AH59" s="355"/>
      <c r="AI59" s="355"/>
      <c r="AJ59" s="355">
        <f>-AJ51</f>
        <v>0</v>
      </c>
      <c r="AK59" s="355">
        <f t="shared" ref="AK59:AN59" si="111">-AK51</f>
        <v>239</v>
      </c>
      <c r="AL59" s="355">
        <f t="shared" si="111"/>
        <v>366</v>
      </c>
      <c r="AM59" s="355">
        <f t="shared" si="111"/>
        <v>663.41499999999996</v>
      </c>
      <c r="AN59" s="328">
        <f t="shared" si="111"/>
        <v>1777.5</v>
      </c>
      <c r="AO59" s="328">
        <f t="shared" ref="AO59:AP59" si="112">-AO51</f>
        <v>4069.6379999999999</v>
      </c>
      <c r="AP59" s="328">
        <f t="shared" si="112"/>
        <v>6492.4639999999999</v>
      </c>
      <c r="AQ59" s="355"/>
    </row>
    <row r="60" spans="1:43" s="524" customFormat="1" ht="18.5">
      <c r="A60" s="319" t="str">
        <f>+A43</f>
        <v>Interest Revenue, calculated using effective interest method</v>
      </c>
      <c r="D60" s="525"/>
      <c r="E60" s="525"/>
      <c r="F60" s="525"/>
      <c r="G60" s="525"/>
      <c r="H60" s="525"/>
      <c r="I60" s="525"/>
      <c r="J60" s="575"/>
      <c r="K60" s="525"/>
      <c r="L60" s="525"/>
      <c r="M60" s="525"/>
      <c r="N60" s="525"/>
      <c r="O60" s="525"/>
      <c r="P60" s="562"/>
      <c r="Q60" s="562"/>
      <c r="R60" s="562"/>
      <c r="S60" s="562"/>
      <c r="T60" s="562"/>
      <c r="U60" s="562"/>
      <c r="V60" s="562"/>
      <c r="X60" s="525">
        <f t="shared" ref="X60:Y60" si="113">-X43</f>
        <v>0</v>
      </c>
      <c r="Y60" s="525">
        <f t="shared" si="113"/>
        <v>0</v>
      </c>
      <c r="Z60" s="525">
        <f t="shared" ref="Z60:AA60" si="114">-Z43</f>
        <v>-0.86399999999999999</v>
      </c>
      <c r="AA60" s="525">
        <f t="shared" si="114"/>
        <v>-8.3659999999999997</v>
      </c>
      <c r="AB60" s="525">
        <f t="shared" ref="AB60:AD60" si="115">-AB43</f>
        <v>-16.088999999999999</v>
      </c>
      <c r="AC60" s="525">
        <f t="shared" si="115"/>
        <v>-19.535000000000004</v>
      </c>
      <c r="AD60" s="525">
        <f t="shared" si="115"/>
        <v>-66.822000000000003</v>
      </c>
      <c r="AE60" s="525">
        <f t="shared" ref="AE60:AF60" si="116">-AE43</f>
        <v>-180.417</v>
      </c>
      <c r="AF60" s="525">
        <f t="shared" si="116"/>
        <v>-677.51300000000003</v>
      </c>
      <c r="AG60" s="525">
        <f t="shared" si="104"/>
        <v>-1411.4030000000002</v>
      </c>
      <c r="AH60" s="525"/>
      <c r="AI60" s="525"/>
      <c r="AJ60" s="525">
        <f>-AJ43</f>
        <v>0</v>
      </c>
      <c r="AK60" s="525">
        <f t="shared" ref="AK60:AN60" si="117">-AK43</f>
        <v>0</v>
      </c>
      <c r="AL60" s="525">
        <f t="shared" si="117"/>
        <v>0</v>
      </c>
      <c r="AM60" s="525">
        <f t="shared" si="117"/>
        <v>-9.23</v>
      </c>
      <c r="AN60" s="526">
        <f t="shared" si="117"/>
        <v>-35.624000000000002</v>
      </c>
      <c r="AO60" s="526">
        <f t="shared" ref="AO60:AP60" si="118">-AO43</f>
        <v>-247.239</v>
      </c>
      <c r="AP60" s="526">
        <f t="shared" si="118"/>
        <v>-2088.9160000000002</v>
      </c>
      <c r="AQ60" s="525"/>
    </row>
    <row r="61" spans="1:43">
      <c r="A61" s="527" t="s">
        <v>286</v>
      </c>
      <c r="D61" s="355"/>
      <c r="E61" s="355"/>
      <c r="F61" s="355"/>
      <c r="G61" s="355"/>
      <c r="H61" s="355"/>
      <c r="I61" s="355"/>
      <c r="J61" s="509"/>
      <c r="K61" s="355"/>
      <c r="L61" s="355"/>
      <c r="M61" s="355"/>
      <c r="N61" s="355"/>
      <c r="O61" s="355"/>
      <c r="P61" s="356"/>
      <c r="Q61" s="356"/>
      <c r="R61" s="356"/>
      <c r="S61" s="356"/>
      <c r="T61" s="356"/>
      <c r="U61" s="356"/>
      <c r="V61" s="356"/>
      <c r="X61" s="355">
        <f t="shared" ref="X61" si="119">+SUM(X58:X60)</f>
        <v>899.06400000000053</v>
      </c>
      <c r="Y61" s="355">
        <f t="shared" ref="Y61" si="120">+SUM(Y58:Y60)</f>
        <v>1653.935999999999</v>
      </c>
      <c r="Z61" s="355">
        <f t="shared" ref="Z61" si="121">+SUM(Z58:Z60)</f>
        <v>3596.8049999999935</v>
      </c>
      <c r="AA61" s="355">
        <f t="shared" ref="AA61" si="122">+SUM(AA58:AA60)</f>
        <v>-2799.9679999999898</v>
      </c>
      <c r="AB61" s="355">
        <f t="shared" ref="AB61" si="123">+SUM(AB58:AB60)</f>
        <v>-11011.17499999999</v>
      </c>
      <c r="AC61" s="355">
        <f t="shared" ref="AC61" si="124">+SUM(AC58:AC60)</f>
        <v>-13103.092000000011</v>
      </c>
      <c r="AD61" s="355">
        <f t="shared" ref="AD61:AE61" si="125">+SUM(AD58:AD60)</f>
        <v>13910.874999999993</v>
      </c>
      <c r="AE61" s="355">
        <f t="shared" si="125"/>
        <v>11909.266999999987</v>
      </c>
      <c r="AF61" s="355">
        <f t="shared" ref="AF61" si="126">+SUM(AF58:AF60)</f>
        <v>22395.149999999994</v>
      </c>
      <c r="AG61" s="355">
        <f t="shared" si="104"/>
        <v>1892.8719999999921</v>
      </c>
      <c r="AH61" s="355"/>
      <c r="AI61" s="355"/>
      <c r="AJ61" s="355">
        <f>+SUM(AJ58:AJ60)</f>
        <v>168.5</v>
      </c>
      <c r="AK61" s="355">
        <f t="shared" ref="AK61:AN61" si="127">+SUM(AK58:AK60)</f>
        <v>606</v>
      </c>
      <c r="AL61" s="355">
        <f t="shared" si="127"/>
        <v>2553</v>
      </c>
      <c r="AM61" s="355">
        <f t="shared" si="127"/>
        <v>796.83699999999089</v>
      </c>
      <c r="AN61" s="328">
        <f t="shared" si="127"/>
        <v>-24114.266999999996</v>
      </c>
      <c r="AO61" s="328">
        <f t="shared" ref="AO61:AP61" si="128">+SUM(AO58:AO60)</f>
        <v>25820.141999999985</v>
      </c>
      <c r="AP61" s="328">
        <f t="shared" si="128"/>
        <v>24288.021999999986</v>
      </c>
      <c r="AQ61" s="355"/>
    </row>
    <row r="62" spans="1:43">
      <c r="A62" s="319" t="s">
        <v>247</v>
      </c>
      <c r="D62" s="355"/>
      <c r="E62" s="355"/>
      <c r="F62" s="355"/>
      <c r="G62" s="355"/>
      <c r="H62" s="355"/>
      <c r="I62" s="355"/>
      <c r="J62" s="509"/>
      <c r="K62" s="355"/>
      <c r="L62" s="355"/>
      <c r="M62" s="355"/>
      <c r="N62" s="355"/>
      <c r="O62" s="355"/>
      <c r="P62" s="356"/>
      <c r="Q62" s="356"/>
      <c r="R62" s="356"/>
      <c r="S62" s="356"/>
      <c r="T62" s="356"/>
      <c r="U62" s="356"/>
      <c r="V62" s="356"/>
      <c r="X62" s="355">
        <v>0</v>
      </c>
      <c r="Y62" s="355">
        <v>0</v>
      </c>
      <c r="Z62" s="355">
        <v>0</v>
      </c>
      <c r="AA62" s="355">
        <f>+AA76</f>
        <v>64</v>
      </c>
      <c r="AB62" s="355">
        <v>206</v>
      </c>
      <c r="AC62" s="355">
        <f>+AN62-AB62</f>
        <v>207</v>
      </c>
      <c r="AD62" s="355">
        <v>221</v>
      </c>
      <c r="AE62" s="355">
        <f>+AO62-AD62</f>
        <v>221.97800000000001</v>
      </c>
      <c r="AF62" s="355">
        <v>270.858</v>
      </c>
      <c r="AG62" s="355">
        <f t="shared" si="104"/>
        <v>1686.4349999999999</v>
      </c>
      <c r="AH62" s="355"/>
      <c r="AI62" s="355"/>
      <c r="AJ62" s="355">
        <v>0</v>
      </c>
      <c r="AK62" s="355">
        <v>0</v>
      </c>
      <c r="AL62" s="355">
        <v>0</v>
      </c>
      <c r="AM62" s="355">
        <v>64</v>
      </c>
      <c r="AN62" s="328">
        <v>413</v>
      </c>
      <c r="AO62" s="328">
        <v>442.97800000000001</v>
      </c>
      <c r="AP62" s="328">
        <v>1957.2929999999999</v>
      </c>
      <c r="AQ62" s="355"/>
    </row>
    <row r="63" spans="1:43">
      <c r="A63" s="319" t="s">
        <v>287</v>
      </c>
      <c r="D63" s="355"/>
      <c r="E63" s="355"/>
      <c r="F63" s="355"/>
      <c r="G63" s="355"/>
      <c r="H63" s="355"/>
      <c r="I63" s="355"/>
      <c r="J63" s="509"/>
      <c r="K63" s="355"/>
      <c r="L63" s="355"/>
      <c r="M63" s="355"/>
      <c r="N63" s="355"/>
      <c r="O63" s="355"/>
      <c r="P63" s="356"/>
      <c r="Q63" s="356"/>
      <c r="R63" s="356"/>
      <c r="S63" s="356"/>
      <c r="T63" s="356"/>
      <c r="U63" s="356"/>
      <c r="V63" s="356"/>
      <c r="X63" s="355">
        <v>0</v>
      </c>
      <c r="Y63" s="355">
        <v>0</v>
      </c>
      <c r="Z63" s="355">
        <f>-Z49</f>
        <v>846.81600000000003</v>
      </c>
      <c r="AA63" s="355">
        <v>0</v>
      </c>
      <c r="AB63" s="355">
        <v>0</v>
      </c>
      <c r="AC63" s="355">
        <f t="shared" ref="AC63:AC66" si="129">+AN63-AB63</f>
        <v>0</v>
      </c>
      <c r="AD63" s="355">
        <v>0</v>
      </c>
      <c r="AE63" s="355">
        <f t="shared" ref="AE63:AE67" si="130">+AO63-AD63</f>
        <v>0</v>
      </c>
      <c r="AF63" s="355">
        <v>0</v>
      </c>
      <c r="AG63" s="355">
        <f t="shared" si="104"/>
        <v>0</v>
      </c>
      <c r="AH63" s="355"/>
      <c r="AI63" s="355"/>
      <c r="AJ63" s="355">
        <v>0</v>
      </c>
      <c r="AK63" s="355">
        <v>0</v>
      </c>
      <c r="AL63" s="355">
        <v>0</v>
      </c>
      <c r="AM63" s="355">
        <v>847</v>
      </c>
      <c r="AN63" s="328">
        <v>0</v>
      </c>
      <c r="AO63" s="328">
        <v>0</v>
      </c>
      <c r="AP63" s="328">
        <v>0</v>
      </c>
      <c r="AQ63" s="355"/>
    </row>
    <row r="64" spans="1:43">
      <c r="A64" s="319" t="s">
        <v>288</v>
      </c>
      <c r="D64" s="355"/>
      <c r="E64" s="355"/>
      <c r="F64" s="355"/>
      <c r="G64" s="355"/>
      <c r="H64" s="355"/>
      <c r="I64" s="355"/>
      <c r="J64" s="509"/>
      <c r="K64" s="355"/>
      <c r="L64" s="355"/>
      <c r="M64" s="355"/>
      <c r="N64" s="355"/>
      <c r="O64" s="355"/>
      <c r="P64" s="356"/>
      <c r="Q64" s="621"/>
      <c r="R64" s="356"/>
      <c r="S64" s="356"/>
      <c r="T64" s="356"/>
      <c r="U64" s="356"/>
      <c r="V64" s="356"/>
      <c r="X64" s="355">
        <f t="shared" ref="X64:Y64" si="131">+X67-X66-X63-X61-X62</f>
        <v>-6.4000000000532964E-2</v>
      </c>
      <c r="Y64" s="355">
        <f t="shared" si="131"/>
        <v>202.06400000000099</v>
      </c>
      <c r="Z64" s="355">
        <f>+Z67-Z66-Z63-Z61-Z62</f>
        <v>351.37900000000673</v>
      </c>
      <c r="AA64" s="355">
        <f>+AA67-AA66-AA63-AA61-AA62</f>
        <v>289.96799999998984</v>
      </c>
      <c r="AB64" s="355">
        <v>865</v>
      </c>
      <c r="AC64" s="355">
        <f t="shared" si="129"/>
        <v>1196</v>
      </c>
      <c r="AD64" s="355">
        <v>2343</v>
      </c>
      <c r="AE64" s="355">
        <f t="shared" si="130"/>
        <v>506</v>
      </c>
      <c r="AF64" s="355">
        <v>3079</v>
      </c>
      <c r="AG64" s="355">
        <f t="shared" si="104"/>
        <v>1609</v>
      </c>
      <c r="AH64" s="355"/>
      <c r="AI64" s="355"/>
      <c r="AJ64" s="355">
        <v>0</v>
      </c>
      <c r="AK64" s="355">
        <v>0</v>
      </c>
      <c r="AL64" s="355">
        <v>205</v>
      </c>
      <c r="AM64" s="355">
        <v>639</v>
      </c>
      <c r="AN64" s="328">
        <v>2061</v>
      </c>
      <c r="AO64" s="328">
        <v>2849</v>
      </c>
      <c r="AP64" s="328">
        <v>4688</v>
      </c>
      <c r="AQ64" s="355"/>
    </row>
    <row r="65" spans="1:44">
      <c r="A65" s="319" t="s">
        <v>4198</v>
      </c>
      <c r="D65" s="355"/>
      <c r="E65" s="355"/>
      <c r="F65" s="355"/>
      <c r="G65" s="355"/>
      <c r="H65" s="355"/>
      <c r="I65" s="355"/>
      <c r="J65" s="509"/>
      <c r="K65" s="355"/>
      <c r="L65" s="355"/>
      <c r="M65" s="355"/>
      <c r="N65" s="355"/>
      <c r="O65" s="355"/>
      <c r="P65" s="356"/>
      <c r="Q65" s="621"/>
      <c r="R65" s="356"/>
      <c r="S65" s="356"/>
      <c r="T65" s="356"/>
      <c r="U65" s="356"/>
      <c r="V65" s="356"/>
      <c r="X65" s="355">
        <v>0</v>
      </c>
      <c r="Y65" s="355">
        <v>0</v>
      </c>
      <c r="Z65" s="355">
        <v>0</v>
      </c>
      <c r="AA65" s="355">
        <v>0</v>
      </c>
      <c r="AB65" s="355">
        <v>0</v>
      </c>
      <c r="AC65" s="355">
        <v>0</v>
      </c>
      <c r="AD65" s="355">
        <v>0</v>
      </c>
      <c r="AE65" s="355">
        <v>0</v>
      </c>
      <c r="AF65" s="355">
        <v>0</v>
      </c>
      <c r="AG65" s="355">
        <f t="shared" si="104"/>
        <v>912</v>
      </c>
      <c r="AH65" s="355"/>
      <c r="AI65" s="355"/>
      <c r="AJ65" s="355">
        <v>0</v>
      </c>
      <c r="AK65" s="355">
        <v>0</v>
      </c>
      <c r="AL65" s="355">
        <v>0</v>
      </c>
      <c r="AM65" s="355">
        <v>0</v>
      </c>
      <c r="AN65" s="328">
        <v>0</v>
      </c>
      <c r="AO65" s="328">
        <v>0</v>
      </c>
      <c r="AP65" s="328">
        <v>912</v>
      </c>
      <c r="AQ65" s="355"/>
    </row>
    <row r="66" spans="1:44" s="513" customFormat="1">
      <c r="A66" s="319" t="s">
        <v>289</v>
      </c>
      <c r="D66" s="535"/>
      <c r="E66" s="535"/>
      <c r="F66" s="535"/>
      <c r="G66" s="535"/>
      <c r="H66" s="535"/>
      <c r="I66" s="535"/>
      <c r="J66" s="573"/>
      <c r="K66" s="535"/>
      <c r="L66" s="535"/>
      <c r="M66" s="535"/>
      <c r="N66" s="535"/>
      <c r="O66" s="535"/>
      <c r="P66" s="576"/>
      <c r="Q66" s="576"/>
      <c r="R66" s="576"/>
      <c r="S66" s="576"/>
      <c r="T66" s="576"/>
      <c r="U66" s="576"/>
      <c r="V66" s="576"/>
      <c r="X66" s="535">
        <v>0</v>
      </c>
      <c r="Y66" s="535">
        <v>0</v>
      </c>
      <c r="Z66" s="535">
        <v>0</v>
      </c>
      <c r="AA66" s="535">
        <v>0</v>
      </c>
      <c r="AB66" s="535">
        <f t="shared" ref="AB66:AF66" si="132">+AB67-SUM(AB61:AB64)</f>
        <v>0.17499999999017746</v>
      </c>
      <c r="AC66" s="535">
        <f t="shared" si="129"/>
        <v>165.09200000000601</v>
      </c>
      <c r="AD66" s="535">
        <f t="shared" si="132"/>
        <v>211.12500000000728</v>
      </c>
      <c r="AE66" s="535">
        <f t="shared" si="130"/>
        <v>-1.125000000007276</v>
      </c>
      <c r="AF66" s="535">
        <f t="shared" si="132"/>
        <v>348.99200000000565</v>
      </c>
      <c r="AG66" s="535">
        <f t="shared" si="104"/>
        <v>301.00799999999435</v>
      </c>
      <c r="AH66" s="535"/>
      <c r="AI66" s="535"/>
      <c r="AJ66" s="577">
        <v>0</v>
      </c>
      <c r="AK66" s="577">
        <f t="shared" ref="AK66:AM66" si="133">+AK67-SUM(AK61:AK64)</f>
        <v>0</v>
      </c>
      <c r="AL66" s="577">
        <f t="shared" si="133"/>
        <v>-3</v>
      </c>
      <c r="AM66" s="577">
        <f t="shared" si="133"/>
        <v>2.1630000000091059</v>
      </c>
      <c r="AN66" s="577">
        <f>+AN67-SUM(AN61:AN64)</f>
        <v>165.26699999999619</v>
      </c>
      <c r="AO66" s="577">
        <v>210</v>
      </c>
      <c r="AP66" s="577">
        <v>650</v>
      </c>
      <c r="AQ66" s="535"/>
    </row>
    <row r="67" spans="1:44">
      <c r="A67" s="527" t="s">
        <v>245</v>
      </c>
      <c r="D67" s="355"/>
      <c r="E67" s="355"/>
      <c r="F67" s="355"/>
      <c r="G67" s="355"/>
      <c r="H67" s="355"/>
      <c r="I67" s="355"/>
      <c r="J67" s="509"/>
      <c r="K67" s="355"/>
      <c r="L67" s="355"/>
      <c r="M67" s="355"/>
      <c r="N67" s="355">
        <v>5500</v>
      </c>
      <c r="O67" s="355">
        <f>+AD67-N67</f>
        <v>11186</v>
      </c>
      <c r="P67" s="543">
        <f>+AE67-Q67</f>
        <v>3108.9008249999843</v>
      </c>
      <c r="Q67" s="543">
        <f>+Q69*Q17</f>
        <v>9527.2191750000002</v>
      </c>
      <c r="R67" s="356">
        <v>8700</v>
      </c>
      <c r="S67" s="356">
        <f>+AF67-R67</f>
        <v>17394</v>
      </c>
      <c r="T67" s="356">
        <v>6000</v>
      </c>
      <c r="U67" s="355">
        <f>+AG67-T67</f>
        <v>400</v>
      </c>
      <c r="V67" s="355"/>
      <c r="X67" s="355">
        <v>899</v>
      </c>
      <c r="Y67" s="355">
        <f>+AL67-X67</f>
        <v>1856</v>
      </c>
      <c r="Z67" s="355">
        <v>4795</v>
      </c>
      <c r="AA67" s="355">
        <f>+AM67-Z67</f>
        <v>-2446</v>
      </c>
      <c r="AB67" s="355">
        <v>-9940</v>
      </c>
      <c r="AC67" s="355">
        <f>+AN67-AB67</f>
        <v>-11535</v>
      </c>
      <c r="AD67" s="355">
        <v>16686</v>
      </c>
      <c r="AE67" s="355">
        <f t="shared" si="130"/>
        <v>12636.119999999984</v>
      </c>
      <c r="AF67" s="355">
        <v>26094</v>
      </c>
      <c r="AG67" s="355">
        <f t="shared" si="104"/>
        <v>6400</v>
      </c>
      <c r="AH67" s="355"/>
      <c r="AI67" s="355"/>
      <c r="AJ67" s="355">
        <v>169</v>
      </c>
      <c r="AK67" s="355">
        <v>606</v>
      </c>
      <c r="AL67" s="355">
        <v>2755</v>
      </c>
      <c r="AM67" s="355">
        <v>2349</v>
      </c>
      <c r="AN67" s="328">
        <v>-21475</v>
      </c>
      <c r="AO67" s="328">
        <f>+SUM(AO61:AO66)</f>
        <v>29322.119999999984</v>
      </c>
      <c r="AP67" s="328">
        <v>32494</v>
      </c>
      <c r="AQ67" s="355"/>
    </row>
    <row r="68" spans="1:44" s="544" customFormat="1">
      <c r="A68" s="539" t="s">
        <v>237</v>
      </c>
      <c r="H68" s="578"/>
      <c r="P68" s="343"/>
      <c r="Q68" s="343"/>
      <c r="R68" s="544">
        <f t="shared" ref="R68:U68" si="134">+R67/N67-1</f>
        <v>0.58181818181818179</v>
      </c>
      <c r="S68" s="544">
        <f t="shared" si="134"/>
        <v>0.55497943858394416</v>
      </c>
      <c r="T68" s="544">
        <f t="shared" si="134"/>
        <v>0.92994255453614549</v>
      </c>
      <c r="U68" s="544">
        <f t="shared" si="134"/>
        <v>-0.95801503118038633</v>
      </c>
      <c r="Z68" s="544">
        <f>+Z67/X67-1</f>
        <v>4.3337041156840934</v>
      </c>
      <c r="AA68" s="544">
        <f>+AA67/Y67-1</f>
        <v>-2.3178879310344827</v>
      </c>
      <c r="AB68" s="544">
        <f t="shared" ref="AB68" si="135">+AB67/Z67-1</f>
        <v>-3.0729927007299271</v>
      </c>
      <c r="AC68" s="544">
        <f t="shared" ref="AC68" si="136">+AC67/AA67-1</f>
        <v>3.7158626328699915</v>
      </c>
      <c r="AD68" s="544">
        <f t="shared" ref="AD68" si="137">+AD67/AB67-1</f>
        <v>-2.678672032193159</v>
      </c>
      <c r="AE68" s="544">
        <f t="shared" ref="AE68" si="138">+AE67/AC67-1</f>
        <v>-2.0954590377113123</v>
      </c>
      <c r="AF68" s="544">
        <f t="shared" ref="AF68" si="139">+AF67/AD67-1</f>
        <v>0.5638259618842143</v>
      </c>
      <c r="AG68" s="544">
        <f t="shared" ref="AG68" si="140">+AG67/AE67-1</f>
        <v>-0.49351541454180492</v>
      </c>
      <c r="AH68" s="339"/>
      <c r="AI68" s="339"/>
      <c r="AK68" s="544">
        <f>+AK67/AJ67-1</f>
        <v>2.5857988165680474</v>
      </c>
      <c r="AL68" s="544">
        <f>+AL67/AK67-1</f>
        <v>3.5462046204620465</v>
      </c>
      <c r="AM68" s="544">
        <f>+AM67/AL67-1</f>
        <v>-0.14736842105263159</v>
      </c>
      <c r="AN68" s="544">
        <f>+AN67/AM67-1</f>
        <v>-10.142188165176671</v>
      </c>
      <c r="AO68" s="544">
        <f>+AO67/AN67-1</f>
        <v>-2.3654072176949934</v>
      </c>
      <c r="AP68" s="544">
        <f t="shared" ref="AP68" si="141">+AP67/AO67-1</f>
        <v>0.10817362455375035</v>
      </c>
    </row>
    <row r="69" spans="1:44" s="544" customFormat="1">
      <c r="A69" s="539" t="s">
        <v>239</v>
      </c>
      <c r="H69" s="578"/>
      <c r="N69" s="544">
        <f>N67/N17</f>
        <v>8.284130618146765E-2</v>
      </c>
      <c r="O69" s="544">
        <f>O67/O17</f>
        <v>9.2213528710603024E-2</v>
      </c>
      <c r="P69" s="343">
        <f>P67/P17</f>
        <v>3.0629564778324968E-2</v>
      </c>
      <c r="Q69" s="343">
        <v>7.4999999999999997E-2</v>
      </c>
      <c r="R69" s="544">
        <f>R67/R17</f>
        <v>6.8450039339103069E-2</v>
      </c>
      <c r="S69" s="544">
        <f>S67/S17</f>
        <v>7.6572464691372952E-2</v>
      </c>
      <c r="T69" s="544">
        <f>T67/T17</f>
        <v>3.1413612565445025E-2</v>
      </c>
      <c r="U69" s="544">
        <f>U67/U17</f>
        <v>2.0304799507896939E-3</v>
      </c>
      <c r="X69" s="544">
        <f t="shared" ref="X69:AE69" si="142">X67/X17</f>
        <v>0.12847682365276902</v>
      </c>
      <c r="Y69" s="544">
        <f t="shared" si="142"/>
        <v>0.11703407652704403</v>
      </c>
      <c r="Z69" s="544">
        <f t="shared" si="142"/>
        <v>0.11831471581163044</v>
      </c>
      <c r="AA69" s="544">
        <f t="shared" si="142"/>
        <v>-4.7145902517037999E-2</v>
      </c>
      <c r="AB69" s="544">
        <f t="shared" si="142"/>
        <v>-8.7418223176419591E-2</v>
      </c>
      <c r="AC69" s="544">
        <f t="shared" si="142"/>
        <v>-0.11993438887102031</v>
      </c>
      <c r="AD69" s="544">
        <f t="shared" si="142"/>
        <v>8.8898402546426183E-2</v>
      </c>
      <c r="AE69" s="544">
        <f t="shared" si="142"/>
        <v>5.5293146306756732E-2</v>
      </c>
      <c r="AF69" s="544">
        <f t="shared" ref="AF69:AG69" si="143">AF67/AF17</f>
        <v>7.3658311485140737E-2</v>
      </c>
      <c r="AG69" s="544">
        <f t="shared" si="143"/>
        <v>1.6494940631860709E-2</v>
      </c>
      <c r="AH69" s="339"/>
      <c r="AI69" s="339"/>
      <c r="AJ69" s="544">
        <f t="shared" ref="AJ69:AO69" si="144">AJ67/AJ17</f>
        <v>0.31066176470588236</v>
      </c>
      <c r="AK69" s="544">
        <f t="shared" si="144"/>
        <v>0.10612959719789843</v>
      </c>
      <c r="AL69" s="544">
        <f t="shared" si="144"/>
        <v>0.12053727686384319</v>
      </c>
      <c r="AM69" s="544">
        <f t="shared" si="144"/>
        <v>2.5419601986819466E-2</v>
      </c>
      <c r="AN69" s="544">
        <f t="shared" si="144"/>
        <v>-0.10231849419765994</v>
      </c>
      <c r="AO69" s="544">
        <f t="shared" si="144"/>
        <v>7.044742412193343E-2</v>
      </c>
      <c r="AP69" s="544">
        <f t="shared" ref="AP69" si="145">AP67/AP17</f>
        <v>4.3777400189430549E-2</v>
      </c>
    </row>
    <row r="70" spans="1:44">
      <c r="D70" s="355"/>
      <c r="E70" s="355"/>
      <c r="F70" s="355"/>
      <c r="G70" s="355"/>
      <c r="H70" s="355"/>
      <c r="I70" s="355"/>
      <c r="J70" s="509"/>
      <c r="K70" s="355"/>
      <c r="L70" s="355"/>
      <c r="M70" s="355"/>
      <c r="N70" s="355"/>
      <c r="O70" s="355"/>
      <c r="P70" s="355"/>
      <c r="Q70" s="622"/>
      <c r="R70" s="355"/>
      <c r="S70" s="355"/>
      <c r="T70" s="355"/>
      <c r="U70" s="355"/>
      <c r="V70" s="355"/>
      <c r="X70" s="355"/>
      <c r="Y70" s="355"/>
      <c r="Z70" s="355"/>
      <c r="AA70" s="355"/>
      <c r="AB70" s="355"/>
      <c r="AC70" s="355"/>
      <c r="AD70" s="355"/>
      <c r="AE70" s="355"/>
      <c r="AF70" s="355"/>
      <c r="AG70" s="355"/>
      <c r="AH70" s="355"/>
      <c r="AI70" s="355"/>
      <c r="AJ70" s="355"/>
      <c r="AK70" s="355"/>
      <c r="AL70" s="355"/>
      <c r="AM70" s="355"/>
      <c r="AN70" s="328"/>
      <c r="AO70" s="328"/>
      <c r="AP70" s="328"/>
      <c r="AQ70" s="355"/>
    </row>
    <row r="71" spans="1:44" ht="18.5">
      <c r="A71" s="513" t="s">
        <v>1612</v>
      </c>
      <c r="D71" s="355"/>
      <c r="E71" s="355"/>
      <c r="F71" s="355"/>
      <c r="G71" s="355"/>
      <c r="H71" s="355"/>
      <c r="I71" s="355"/>
      <c r="J71" s="509"/>
      <c r="K71" s="355"/>
      <c r="L71" s="525" t="s">
        <v>1606</v>
      </c>
      <c r="M71" s="355"/>
      <c r="N71" s="355"/>
      <c r="O71" s="355"/>
      <c r="P71" s="525" t="s">
        <v>1606</v>
      </c>
      <c r="Q71" s="525" t="s">
        <v>1609</v>
      </c>
      <c r="R71" s="355"/>
      <c r="S71" s="355"/>
      <c r="T71" s="355"/>
      <c r="U71" s="355"/>
      <c r="V71" s="355"/>
      <c r="X71" s="355"/>
      <c r="Y71" s="355"/>
      <c r="Z71" s="355"/>
      <c r="AA71" s="355"/>
      <c r="AB71" s="355"/>
      <c r="AC71" s="355"/>
      <c r="AD71" s="355"/>
      <c r="AE71" s="355"/>
      <c r="AF71" s="355"/>
      <c r="AG71" s="355"/>
      <c r="AH71" s="355"/>
      <c r="AI71" s="355"/>
      <c r="AJ71" s="355"/>
      <c r="AK71" s="355"/>
      <c r="AL71" s="355"/>
      <c r="AM71" s="355"/>
      <c r="AN71" s="328"/>
      <c r="AO71" s="328"/>
      <c r="AP71" s="328"/>
      <c r="AQ71" s="355"/>
    </row>
    <row r="72" spans="1:44">
      <c r="A72" s="319" t="s">
        <v>499</v>
      </c>
      <c r="D72" s="355"/>
      <c r="E72" s="355"/>
      <c r="F72" s="355"/>
      <c r="G72" s="355"/>
      <c r="H72" s="355"/>
      <c r="I72" s="355"/>
      <c r="J72" s="509"/>
      <c r="K72" s="355"/>
      <c r="L72" s="355">
        <f>+P72/(1.22+1)</f>
        <v>63648.648648648654</v>
      </c>
      <c r="M72" s="355"/>
      <c r="N72" s="355"/>
      <c r="O72" s="355"/>
      <c r="P72" s="355">
        <v>141300</v>
      </c>
      <c r="Q72" s="334">
        <f>+AE37-P72</f>
        <v>87229.589000000007</v>
      </c>
      <c r="R72" s="355"/>
      <c r="S72" s="355"/>
      <c r="T72" s="355"/>
      <c r="U72" s="355"/>
      <c r="V72" s="355"/>
      <c r="X72" s="355"/>
      <c r="Y72" s="355"/>
      <c r="Z72" s="355"/>
      <c r="AA72" s="355"/>
      <c r="AB72" s="355"/>
      <c r="AC72" s="355"/>
      <c r="AD72" s="355"/>
      <c r="AE72" s="355"/>
      <c r="AF72" s="355"/>
      <c r="AG72" s="355"/>
      <c r="AH72" s="355"/>
      <c r="AI72" s="355"/>
      <c r="AJ72" s="355"/>
      <c r="AK72" s="355"/>
      <c r="AL72" s="355"/>
      <c r="AM72" s="355"/>
      <c r="AN72" s="328"/>
      <c r="AO72" s="328"/>
      <c r="AP72" s="328"/>
      <c r="AQ72" s="355"/>
    </row>
    <row r="73" spans="1:44">
      <c r="A73" s="319" t="s">
        <v>245</v>
      </c>
      <c r="D73" s="355"/>
      <c r="E73" s="355"/>
      <c r="F73" s="355"/>
      <c r="G73" s="355"/>
      <c r="H73" s="355"/>
      <c r="I73" s="355"/>
      <c r="J73" s="509"/>
      <c r="K73" s="355"/>
      <c r="L73" s="617"/>
      <c r="M73" s="355"/>
      <c r="N73" s="355"/>
      <c r="O73" s="355"/>
      <c r="P73" s="356" t="s">
        <v>1607</v>
      </c>
      <c r="Q73" s="356" t="s">
        <v>1610</v>
      </c>
      <c r="R73" s="355"/>
      <c r="S73" s="355"/>
      <c r="T73" s="355"/>
      <c r="U73" s="355"/>
      <c r="V73" s="355"/>
      <c r="X73" s="355"/>
      <c r="Y73" s="355"/>
      <c r="Z73" s="355"/>
      <c r="AA73" s="355"/>
      <c r="AB73" s="355"/>
      <c r="AC73" s="355"/>
      <c r="AD73" s="355"/>
      <c r="AE73" s="355"/>
      <c r="AF73" s="355"/>
      <c r="AG73" s="355"/>
      <c r="AH73" s="355"/>
      <c r="AI73" s="355"/>
      <c r="AJ73" s="355"/>
      <c r="AK73" s="355"/>
      <c r="AL73" s="355"/>
      <c r="AM73" s="355"/>
      <c r="AN73" s="328"/>
      <c r="AO73" s="328"/>
      <c r="AP73" s="328"/>
      <c r="AQ73" s="355"/>
    </row>
    <row r="74" spans="1:44" s="337" customFormat="1">
      <c r="A74" s="546" t="s">
        <v>32</v>
      </c>
      <c r="D74" s="547"/>
      <c r="E74" s="547"/>
      <c r="F74" s="547"/>
      <c r="G74" s="547"/>
      <c r="H74" s="547"/>
      <c r="I74" s="547"/>
      <c r="J74" s="571"/>
      <c r="K74" s="547"/>
      <c r="L74" s="547"/>
      <c r="M74" s="547"/>
      <c r="N74" s="547"/>
      <c r="O74" s="547"/>
      <c r="P74" s="544" t="s">
        <v>1608</v>
      </c>
      <c r="Q74" s="564" t="s">
        <v>1611</v>
      </c>
      <c r="R74" s="547"/>
      <c r="S74" s="547"/>
      <c r="T74" s="547"/>
      <c r="U74" s="547"/>
      <c r="V74" s="547"/>
      <c r="X74" s="547"/>
      <c r="Y74" s="547"/>
      <c r="Z74" s="547"/>
      <c r="AA74" s="547"/>
      <c r="AB74" s="547"/>
      <c r="AC74" s="547"/>
      <c r="AD74" s="547"/>
      <c r="AE74" s="547"/>
      <c r="AF74" s="547"/>
      <c r="AG74" s="547"/>
      <c r="AH74" s="547"/>
      <c r="AI74" s="547"/>
      <c r="AJ74" s="547"/>
      <c r="AK74" s="547"/>
      <c r="AL74" s="547"/>
      <c r="AM74" s="547"/>
      <c r="AN74" s="346"/>
      <c r="AO74" s="346"/>
      <c r="AP74" s="346"/>
      <c r="AQ74" s="547"/>
    </row>
    <row r="75" spans="1:44">
      <c r="D75" s="355"/>
      <c r="E75" s="355"/>
      <c r="F75" s="355"/>
      <c r="G75" s="355"/>
      <c r="H75" s="355"/>
      <c r="I75" s="355"/>
      <c r="J75" s="509"/>
      <c r="K75" s="355"/>
      <c r="L75" s="355"/>
      <c r="M75" s="355"/>
      <c r="N75" s="355"/>
      <c r="O75" s="355"/>
      <c r="P75" s="355"/>
      <c r="Q75" s="622"/>
      <c r="R75" s="355"/>
      <c r="S75" s="355"/>
      <c r="T75" s="355"/>
      <c r="U75" s="355"/>
      <c r="V75" s="355"/>
      <c r="X75" s="355"/>
      <c r="Y75" s="355"/>
      <c r="Z75" s="355"/>
      <c r="AA75" s="355"/>
      <c r="AB75" s="355"/>
      <c r="AC75" s="355"/>
      <c r="AD75" s="355"/>
      <c r="AE75" s="355"/>
      <c r="AF75" s="355"/>
      <c r="AG75" s="355"/>
      <c r="AH75" s="355"/>
      <c r="AI75" s="355"/>
      <c r="AJ75" s="355"/>
      <c r="AK75" s="355"/>
      <c r="AL75" s="355"/>
      <c r="AM75" s="355"/>
      <c r="AN75" s="328"/>
      <c r="AO75" s="328"/>
      <c r="AP75" s="328"/>
      <c r="AQ75" s="355"/>
    </row>
    <row r="76" spans="1:44" s="524" customFormat="1" ht="18.5">
      <c r="A76" s="319" t="s">
        <v>247</v>
      </c>
      <c r="D76" s="525"/>
      <c r="E76" s="525"/>
      <c r="F76" s="525"/>
      <c r="G76" s="525"/>
      <c r="H76" s="525"/>
      <c r="I76" s="525"/>
      <c r="J76" s="575"/>
      <c r="K76" s="525"/>
      <c r="L76" s="525"/>
      <c r="M76" s="525"/>
      <c r="N76" s="525"/>
      <c r="O76" s="525"/>
      <c r="P76" s="525"/>
      <c r="Q76" s="525"/>
      <c r="R76" s="544"/>
      <c r="S76" s="525"/>
      <c r="T76" s="525"/>
      <c r="U76" s="525"/>
      <c r="V76" s="525"/>
      <c r="X76" s="525">
        <f>+X77-X67</f>
        <v>0</v>
      </c>
      <c r="Y76" s="525">
        <f t="shared" ref="Y76:Y77" si="146">+AL76-X76</f>
        <v>0</v>
      </c>
      <c r="Z76" s="525">
        <v>0</v>
      </c>
      <c r="AA76" s="525">
        <f t="shared" ref="AA76" si="147">+AM76-Z76</f>
        <v>64</v>
      </c>
      <c r="AB76" s="525">
        <f>+AB62</f>
        <v>206</v>
      </c>
      <c r="AC76" s="525">
        <f t="shared" ref="AC76:AE76" si="148">+AC62</f>
        <v>207</v>
      </c>
      <c r="AD76" s="525">
        <f t="shared" si="148"/>
        <v>221</v>
      </c>
      <c r="AE76" s="525">
        <f t="shared" si="148"/>
        <v>221.97800000000001</v>
      </c>
      <c r="AF76" s="525">
        <f t="shared" ref="AF76:AG76" si="149">+AF62</f>
        <v>270.858</v>
      </c>
      <c r="AG76" s="525">
        <f t="shared" si="149"/>
        <v>1686.4349999999999</v>
      </c>
      <c r="AH76" s="525"/>
      <c r="AI76" s="525"/>
      <c r="AJ76" s="525">
        <v>0</v>
      </c>
      <c r="AK76" s="525">
        <v>0</v>
      </c>
      <c r="AL76" s="525">
        <v>0</v>
      </c>
      <c r="AM76" s="525">
        <v>64</v>
      </c>
      <c r="AN76" s="526">
        <v>413</v>
      </c>
      <c r="AO76" s="526">
        <f>+AO62</f>
        <v>442.97800000000001</v>
      </c>
      <c r="AP76" s="526">
        <f>+AP62</f>
        <v>1957.2929999999999</v>
      </c>
      <c r="AQ76" s="525"/>
    </row>
    <row r="77" spans="1:44">
      <c r="A77" s="527" t="s">
        <v>28</v>
      </c>
      <c r="D77" s="355"/>
      <c r="E77" s="355"/>
      <c r="F77" s="355"/>
      <c r="G77" s="355"/>
      <c r="H77" s="355"/>
      <c r="I77" s="355"/>
      <c r="J77" s="509"/>
      <c r="K77" s="355"/>
      <c r="L77" s="355"/>
      <c r="M77" s="355"/>
      <c r="N77" s="355"/>
      <c r="O77" s="355"/>
      <c r="P77" s="355"/>
      <c r="Q77" s="355"/>
      <c r="R77" s="355"/>
      <c r="S77" s="355"/>
      <c r="T77" s="355"/>
      <c r="U77" s="355"/>
      <c r="V77" s="355"/>
      <c r="X77" s="355">
        <v>899</v>
      </c>
      <c r="Y77" s="355">
        <f t="shared" si="146"/>
        <v>1856</v>
      </c>
      <c r="Z77" s="355">
        <f>+Z67-Z76</f>
        <v>4795</v>
      </c>
      <c r="AA77" s="355">
        <f t="shared" ref="AA77:AL77" si="150">+AA67-AA76</f>
        <v>-2510</v>
      </c>
      <c r="AB77" s="355">
        <f>+AB67-AB76</f>
        <v>-10146</v>
      </c>
      <c r="AC77" s="355">
        <f>+AC67-AC76</f>
        <v>-11742</v>
      </c>
      <c r="AD77" s="355">
        <f t="shared" ref="AD77:AE77" si="151">+AD67-AD76</f>
        <v>16465</v>
      </c>
      <c r="AE77" s="355">
        <f t="shared" si="151"/>
        <v>12414.141999999985</v>
      </c>
      <c r="AF77" s="355">
        <f t="shared" ref="AF77:AG77" si="152">+AF67-AF76</f>
        <v>25823.142</v>
      </c>
      <c r="AG77" s="355">
        <f t="shared" si="152"/>
        <v>4713.5650000000005</v>
      </c>
      <c r="AH77" s="355"/>
      <c r="AI77" s="355"/>
      <c r="AJ77" s="355">
        <f t="shared" si="150"/>
        <v>169</v>
      </c>
      <c r="AK77" s="355">
        <f t="shared" si="150"/>
        <v>606</v>
      </c>
      <c r="AL77" s="355">
        <f t="shared" si="150"/>
        <v>2755</v>
      </c>
      <c r="AM77" s="355">
        <f>+AM67-AM76</f>
        <v>2285</v>
      </c>
      <c r="AN77" s="328">
        <f>+AN67-AN76</f>
        <v>-21888</v>
      </c>
      <c r="AO77" s="328">
        <f>+AO67-AO76</f>
        <v>28879.141999999985</v>
      </c>
      <c r="AP77" s="328">
        <f>+AP67-AP76</f>
        <v>30536.706999999999</v>
      </c>
      <c r="AQ77" s="355"/>
    </row>
    <row r="78" spans="1:44" s="579" customFormat="1">
      <c r="A78" s="539" t="s">
        <v>239</v>
      </c>
      <c r="D78" s="580"/>
      <c r="E78" s="580"/>
      <c r="F78" s="580"/>
      <c r="G78" s="580"/>
      <c r="H78" s="578"/>
      <c r="I78" s="578"/>
      <c r="J78" s="581"/>
      <c r="K78" s="578"/>
      <c r="L78" s="578"/>
      <c r="M78" s="578"/>
      <c r="N78" s="578"/>
      <c r="O78" s="578"/>
      <c r="P78" s="578"/>
      <c r="Q78" s="578"/>
      <c r="R78" s="578"/>
      <c r="S78" s="578"/>
      <c r="T78" s="578"/>
      <c r="U78" s="578"/>
      <c r="V78" s="578"/>
      <c r="X78" s="339">
        <f t="shared" ref="X78:AE78" si="153">+X77/X17</f>
        <v>0.12847682365276902</v>
      </c>
      <c r="Y78" s="339">
        <f t="shared" si="153"/>
        <v>0.11703407652704403</v>
      </c>
      <c r="Z78" s="339">
        <f t="shared" si="153"/>
        <v>0.11831471581163044</v>
      </c>
      <c r="AA78" s="339">
        <f t="shared" si="153"/>
        <v>-4.837948295902101E-2</v>
      </c>
      <c r="AB78" s="339">
        <f t="shared" si="153"/>
        <v>-8.9229908686916812E-2</v>
      </c>
      <c r="AC78" s="339">
        <f t="shared" si="153"/>
        <v>-0.1220866574879515</v>
      </c>
      <c r="AD78" s="339">
        <f t="shared" si="153"/>
        <v>8.7720975543983393E-2</v>
      </c>
      <c r="AE78" s="339">
        <f t="shared" si="153"/>
        <v>5.4321814756337676E-2</v>
      </c>
      <c r="AF78" s="339">
        <f t="shared" ref="AF78:AG78" si="154">+AF77/AF17</f>
        <v>7.2893731775926271E-2</v>
      </c>
      <c r="AG78" s="339">
        <f t="shared" si="154"/>
        <v>1.2148433568658834E-2</v>
      </c>
      <c r="AH78" s="339"/>
      <c r="AI78" s="339"/>
      <c r="AJ78" s="339">
        <f t="shared" ref="AJ78:AO78" si="155">+AJ77/AJ17</f>
        <v>0.31066176470588236</v>
      </c>
      <c r="AK78" s="339">
        <f t="shared" si="155"/>
        <v>0.10612959719789843</v>
      </c>
      <c r="AL78" s="339">
        <f t="shared" si="155"/>
        <v>0.12053727686384319</v>
      </c>
      <c r="AM78" s="339">
        <f t="shared" si="155"/>
        <v>2.4727028752610677E-2</v>
      </c>
      <c r="AN78" s="339">
        <f t="shared" si="155"/>
        <v>-0.1042862491733821</v>
      </c>
      <c r="AO78" s="339">
        <f t="shared" si="155"/>
        <v>6.9383153903999462E-2</v>
      </c>
      <c r="AP78" s="339">
        <f t="shared" ref="AP78" si="156">+AP77/AP17</f>
        <v>4.114044570709624E-2</v>
      </c>
      <c r="AQ78" s="580"/>
    </row>
    <row r="79" spans="1:44">
      <c r="J79" s="586"/>
      <c r="AN79" s="318"/>
      <c r="AO79" s="318"/>
      <c r="AP79" s="318"/>
    </row>
    <row r="80" spans="1:44">
      <c r="A80" s="319" t="s">
        <v>290</v>
      </c>
      <c r="D80" s="558"/>
      <c r="E80" s="558"/>
      <c r="F80" s="558"/>
      <c r="G80" s="558"/>
      <c r="H80" s="558"/>
      <c r="I80" s="558"/>
      <c r="J80" s="584"/>
      <c r="K80" s="558"/>
      <c r="L80" s="558"/>
      <c r="M80" s="558"/>
      <c r="N80" s="558"/>
      <c r="O80" s="558"/>
      <c r="P80" s="558"/>
      <c r="Q80" s="558"/>
      <c r="R80" s="558"/>
      <c r="S80" s="558"/>
      <c r="T80" s="558"/>
      <c r="U80" s="558"/>
      <c r="V80" s="558"/>
      <c r="X80" s="558">
        <v>0.38</v>
      </c>
      <c r="Y80" s="558">
        <f>+(AL80*AL37-X37*X80)/Y37</f>
        <v>0.35608368289591735</v>
      </c>
      <c r="Z80" s="558">
        <v>0.35699999999999998</v>
      </c>
      <c r="AA80" s="558">
        <f>(AM80*AM17-Z17*Z80)/AA17</f>
        <v>0.38015501805971408</v>
      </c>
      <c r="AB80" s="558">
        <v>0.376</v>
      </c>
      <c r="AC80" s="583" t="s">
        <v>251</v>
      </c>
      <c r="AD80" s="583" t="s">
        <v>251</v>
      </c>
      <c r="AE80" s="583" t="s">
        <v>251</v>
      </c>
      <c r="AF80" s="583" t="s">
        <v>251</v>
      </c>
      <c r="AG80" s="583" t="s">
        <v>251</v>
      </c>
      <c r="AH80" s="558"/>
      <c r="AI80" s="558"/>
      <c r="AJ80" s="558">
        <f>354/AJ37</f>
        <v>0.65073529411764708</v>
      </c>
      <c r="AK80" s="558">
        <f>2055/AK37</f>
        <v>0.35989492119089317</v>
      </c>
      <c r="AL80" s="558">
        <f>8306/AL37</f>
        <v>0.36340567028351417</v>
      </c>
      <c r="AM80" s="558">
        <v>0.37</v>
      </c>
      <c r="AN80" s="623" t="s">
        <v>251</v>
      </c>
      <c r="AO80" s="623" t="s">
        <v>251</v>
      </c>
      <c r="AP80" s="623" t="s">
        <v>251</v>
      </c>
      <c r="AQ80" s="558"/>
      <c r="AR80" s="355"/>
    </row>
    <row r="81" spans="1:44" hidden="1" outlineLevel="1">
      <c r="A81" s="319" t="s">
        <v>291</v>
      </c>
      <c r="D81" s="558"/>
      <c r="E81" s="558"/>
      <c r="F81" s="558"/>
      <c r="G81" s="558"/>
      <c r="H81" s="558"/>
      <c r="I81" s="558"/>
      <c r="J81" s="584"/>
      <c r="K81" s="558"/>
      <c r="L81" s="558"/>
      <c r="M81" s="558"/>
      <c r="N81" s="583" t="s">
        <v>416</v>
      </c>
      <c r="O81" s="583"/>
      <c r="P81" s="583"/>
      <c r="Q81" s="583"/>
      <c r="R81" s="583"/>
      <c r="S81" s="583"/>
      <c r="T81" s="583"/>
      <c r="U81" s="583"/>
      <c r="V81" s="583"/>
      <c r="X81" s="558">
        <v>0.28000000000000003</v>
      </c>
      <c r="Y81" s="558">
        <f>+(AL81*AL37-X37*X81)/Y37</f>
        <v>0.28096603558857447</v>
      </c>
      <c r="Z81" s="558">
        <v>0.31900000000000001</v>
      </c>
      <c r="AA81" s="558">
        <f>(AM81*AM17-Z17*Z81)/AA17</f>
        <v>0.17828873640635309</v>
      </c>
      <c r="AB81" s="558">
        <v>0.217</v>
      </c>
      <c r="AC81" s="558">
        <f>+AC40</f>
        <v>0.13148967993436633</v>
      </c>
      <c r="AD81" s="558"/>
      <c r="AE81" s="558"/>
      <c r="AF81" s="558"/>
      <c r="AG81" s="558"/>
      <c r="AH81" s="558"/>
      <c r="AI81" s="558"/>
      <c r="AJ81" s="558">
        <f>283/AJ37</f>
        <v>0.52022058823529416</v>
      </c>
      <c r="AK81" s="558">
        <f>1463/AK37</f>
        <v>0.25621716287215412</v>
      </c>
      <c r="AL81" s="558">
        <f>6415/AL37</f>
        <v>0.28067028351417572</v>
      </c>
      <c r="AM81" s="558">
        <v>0.24</v>
      </c>
      <c r="AN81" s="585">
        <f>+AN40</f>
        <v>0.17799726424883897</v>
      </c>
      <c r="AO81" s="585"/>
      <c r="AP81" s="585"/>
      <c r="AQ81" s="558"/>
      <c r="AR81" s="558"/>
    </row>
    <row r="82" spans="1:44" collapsed="1">
      <c r="D82" s="558"/>
      <c r="E82" s="558"/>
      <c r="F82" s="558"/>
      <c r="G82" s="558"/>
      <c r="H82" s="558"/>
      <c r="I82" s="558"/>
      <c r="J82" s="584"/>
      <c r="K82" s="558"/>
      <c r="L82" s="558"/>
      <c r="M82" s="558"/>
      <c r="N82" s="558"/>
      <c r="O82" s="558"/>
      <c r="P82" s="558"/>
      <c r="Q82" s="558"/>
      <c r="R82" s="558"/>
      <c r="S82" s="558"/>
      <c r="T82" s="558"/>
      <c r="U82" s="558"/>
      <c r="V82" s="558"/>
      <c r="X82" s="558"/>
      <c r="Y82" s="558"/>
      <c r="Z82" s="558"/>
      <c r="AA82" s="558"/>
      <c r="AB82" s="558"/>
      <c r="AC82" s="558"/>
      <c r="AD82" s="558"/>
      <c r="AE82" s="558"/>
      <c r="AF82" s="558"/>
      <c r="AG82" s="558"/>
      <c r="AH82" s="558"/>
      <c r="AI82" s="558"/>
      <c r="AJ82" s="558"/>
      <c r="AK82" s="558"/>
      <c r="AL82" s="558"/>
      <c r="AM82" s="558"/>
      <c r="AN82" s="585"/>
      <c r="AO82" s="585"/>
      <c r="AP82" s="585"/>
      <c r="AQ82" s="559"/>
      <c r="AR82" s="558"/>
    </row>
    <row r="83" spans="1:44">
      <c r="A83" s="513" t="s">
        <v>292</v>
      </c>
      <c r="D83" s="558"/>
      <c r="E83" s="558"/>
      <c r="F83" s="558"/>
      <c r="G83" s="558"/>
      <c r="H83" s="558"/>
      <c r="I83" s="558"/>
      <c r="J83" s="584"/>
      <c r="K83" s="558"/>
      <c r="L83" s="558"/>
      <c r="M83" s="558"/>
      <c r="N83" s="558"/>
      <c r="O83" s="558"/>
      <c r="P83" s="558"/>
      <c r="Q83" s="558"/>
      <c r="R83" s="558"/>
      <c r="S83" s="558"/>
      <c r="T83" s="558"/>
      <c r="U83" s="558"/>
      <c r="V83" s="558"/>
      <c r="X83" s="558"/>
      <c r="Y83" s="558"/>
      <c r="Z83" s="558"/>
      <c r="AA83" s="558"/>
      <c r="AB83" s="558"/>
      <c r="AC83" s="558"/>
      <c r="AD83" s="558"/>
      <c r="AE83" s="558"/>
      <c r="AF83" s="558"/>
      <c r="AG83" s="558"/>
      <c r="AH83" s="558"/>
      <c r="AI83" s="558"/>
      <c r="AJ83" s="558"/>
      <c r="AK83" s="558"/>
      <c r="AL83" s="558"/>
      <c r="AM83" s="558"/>
      <c r="AN83" s="585"/>
      <c r="AO83" s="585"/>
      <c r="AP83" s="585"/>
      <c r="AQ83" s="558"/>
      <c r="AR83" s="558"/>
    </row>
    <row r="84" spans="1:44">
      <c r="A84" s="319" t="s">
        <v>293</v>
      </c>
      <c r="C84" s="355"/>
      <c r="D84" s="355"/>
      <c r="E84" s="355"/>
      <c r="F84" s="355"/>
      <c r="G84" s="355"/>
      <c r="H84" s="355"/>
      <c r="I84" s="355"/>
      <c r="J84" s="509"/>
      <c r="K84" s="355"/>
      <c r="L84" s="355"/>
      <c r="M84" s="355"/>
      <c r="N84" s="355"/>
      <c r="O84" s="355"/>
      <c r="P84" s="355"/>
      <c r="Q84" s="355"/>
      <c r="R84" s="355"/>
      <c r="S84" s="355"/>
      <c r="T84" s="355"/>
      <c r="U84" s="355"/>
      <c r="V84" s="355"/>
      <c r="W84" s="355"/>
      <c r="X84" s="355"/>
      <c r="Y84" s="355"/>
      <c r="Z84" s="355"/>
      <c r="AA84" s="355"/>
      <c r="AB84" s="355"/>
      <c r="AC84" s="355"/>
      <c r="AD84" s="355"/>
      <c r="AE84" s="558"/>
      <c r="AF84" s="355"/>
      <c r="AG84" s="355"/>
      <c r="AH84" s="355"/>
      <c r="AI84" s="355"/>
      <c r="AJ84" s="355"/>
      <c r="AK84" s="355"/>
      <c r="AL84" s="355"/>
      <c r="AM84" s="355">
        <v>-547.774</v>
      </c>
      <c r="AN84" s="328">
        <v>-1389.606</v>
      </c>
      <c r="AO84" s="328">
        <v>-3126.433</v>
      </c>
      <c r="AP84" s="328">
        <v>-5383.4120000000003</v>
      </c>
      <c r="AQ84" s="558"/>
      <c r="AR84" s="558"/>
    </row>
    <row r="85" spans="1:44">
      <c r="A85" s="319" t="s">
        <v>294</v>
      </c>
      <c r="C85" s="355"/>
      <c r="D85" s="355"/>
      <c r="E85" s="355"/>
      <c r="F85" s="355"/>
      <c r="G85" s="355"/>
      <c r="H85" s="355"/>
      <c r="I85" s="355"/>
      <c r="J85" s="509"/>
      <c r="K85" s="355"/>
      <c r="L85" s="355"/>
      <c r="M85" s="355"/>
      <c r="N85" s="355"/>
      <c r="O85" s="355"/>
      <c r="P85" s="355"/>
      <c r="Q85" s="355"/>
      <c r="R85" s="355"/>
      <c r="S85" s="355"/>
      <c r="T85" s="355"/>
      <c r="U85" s="355"/>
      <c r="V85" s="355"/>
      <c r="W85" s="355"/>
      <c r="X85" s="355"/>
      <c r="Y85" s="355"/>
      <c r="Z85" s="355"/>
      <c r="AA85" s="355"/>
      <c r="AB85" s="355"/>
      <c r="AC85" s="355"/>
      <c r="AD85" s="355"/>
      <c r="AE85" s="558"/>
      <c r="AF85" s="355"/>
      <c r="AG85" s="355"/>
      <c r="AH85" s="355"/>
      <c r="AI85" s="355"/>
      <c r="AJ85" s="355"/>
      <c r="AK85" s="355"/>
      <c r="AL85" s="355"/>
      <c r="AM85" s="355">
        <v>-949.23900000000003</v>
      </c>
      <c r="AN85" s="328">
        <v>-2051.163</v>
      </c>
      <c r="AO85" s="328">
        <v>-3559.9360000000001</v>
      </c>
      <c r="AP85" s="328">
        <v>-6686.7479999999996</v>
      </c>
      <c r="AQ85" s="558"/>
      <c r="AR85" s="558"/>
    </row>
    <row r="86" spans="1:44">
      <c r="A86" s="319" t="s">
        <v>295</v>
      </c>
      <c r="C86" s="355"/>
      <c r="D86" s="355"/>
      <c r="E86" s="355"/>
      <c r="F86" s="355"/>
      <c r="G86" s="355"/>
      <c r="H86" s="355"/>
      <c r="I86" s="355"/>
      <c r="J86" s="509"/>
      <c r="K86" s="355"/>
      <c r="L86" s="355"/>
      <c r="M86" s="355"/>
      <c r="N86" s="355"/>
      <c r="O86" s="355"/>
      <c r="P86" s="355"/>
      <c r="Q86" s="355"/>
      <c r="R86" s="355"/>
      <c r="S86" s="355"/>
      <c r="T86" s="355"/>
      <c r="U86" s="355"/>
      <c r="V86" s="355"/>
      <c r="W86" s="355"/>
      <c r="X86" s="355"/>
      <c r="Y86" s="355"/>
      <c r="Z86" s="355"/>
      <c r="AA86" s="355"/>
      <c r="AB86" s="355"/>
      <c r="AC86" s="355"/>
      <c r="AD86" s="355"/>
      <c r="AE86" s="355"/>
      <c r="AF86" s="355"/>
      <c r="AG86" s="355"/>
      <c r="AH86" s="355"/>
      <c r="AI86" s="355"/>
      <c r="AJ86" s="355"/>
      <c r="AK86" s="355"/>
      <c r="AL86" s="355"/>
      <c r="AM86" s="355">
        <v>-596.40800000000002</v>
      </c>
      <c r="AN86" s="328">
        <v>-1010.289</v>
      </c>
      <c r="AO86" s="328">
        <v>-1178.575</v>
      </c>
      <c r="AP86" s="328">
        <v>-3552.66</v>
      </c>
      <c r="AQ86" s="558"/>
      <c r="AR86" s="558"/>
    </row>
    <row r="87" spans="1:44">
      <c r="A87" s="319" t="s">
        <v>296</v>
      </c>
      <c r="C87" s="355"/>
      <c r="D87" s="355"/>
      <c r="E87" s="355"/>
      <c r="F87" s="355"/>
      <c r="G87" s="355"/>
      <c r="H87" s="355"/>
      <c r="I87" s="355"/>
      <c r="J87" s="509"/>
      <c r="K87" s="355"/>
      <c r="L87" s="355"/>
      <c r="M87" s="355"/>
      <c r="N87" s="355"/>
      <c r="O87" s="355"/>
      <c r="P87" s="355"/>
      <c r="Q87" s="355"/>
      <c r="R87" s="355"/>
      <c r="S87" s="355"/>
      <c r="T87" s="355"/>
      <c r="U87" s="355"/>
      <c r="V87" s="355"/>
      <c r="W87" s="355"/>
      <c r="X87" s="355"/>
      <c r="Y87" s="355"/>
      <c r="Z87" s="355"/>
      <c r="AA87" s="355"/>
      <c r="AB87" s="355"/>
      <c r="AC87" s="355"/>
      <c r="AD87" s="355"/>
      <c r="AE87" s="355"/>
      <c r="AF87" s="355"/>
      <c r="AG87" s="355"/>
      <c r="AH87" s="355"/>
      <c r="AI87" s="355"/>
      <c r="AJ87" s="355"/>
      <c r="AK87" s="355"/>
      <c r="AL87" s="355"/>
      <c r="AM87" s="355">
        <v>-568.69600000000003</v>
      </c>
      <c r="AN87" s="328">
        <v>-1193.1279999999999</v>
      </c>
      <c r="AO87" s="328">
        <v>-1159.355</v>
      </c>
      <c r="AP87" s="328">
        <v>-1627.825</v>
      </c>
      <c r="AQ87" s="558"/>
      <c r="AR87" s="558"/>
    </row>
    <row r="88" spans="1:44">
      <c r="A88" s="319" t="s">
        <v>176</v>
      </c>
      <c r="C88" s="355"/>
      <c r="D88" s="355"/>
      <c r="E88" s="355"/>
      <c r="F88" s="355"/>
      <c r="G88" s="355"/>
      <c r="H88" s="355"/>
      <c r="I88" s="355"/>
      <c r="J88" s="509"/>
      <c r="K88" s="355"/>
      <c r="L88" s="355"/>
      <c r="M88" s="355"/>
      <c r="N88" s="355"/>
      <c r="O88" s="355"/>
      <c r="P88" s="355"/>
      <c r="Q88" s="355"/>
      <c r="R88" s="355"/>
      <c r="S88" s="355"/>
      <c r="T88" s="355"/>
      <c r="U88" s="355"/>
      <c r="V88" s="355"/>
      <c r="W88" s="355"/>
      <c r="X88" s="355"/>
      <c r="Y88" s="355"/>
      <c r="Z88" s="355"/>
      <c r="AA88" s="355"/>
      <c r="AB88" s="355"/>
      <c r="AC88" s="355"/>
      <c r="AD88" s="355"/>
      <c r="AE88" s="355"/>
      <c r="AF88" s="355"/>
      <c r="AG88" s="355"/>
      <c r="AH88" s="355"/>
      <c r="AI88" s="355"/>
      <c r="AJ88" s="355"/>
      <c r="AK88" s="355"/>
      <c r="AL88" s="355"/>
      <c r="AM88" s="355">
        <v>-522.00099999999998</v>
      </c>
      <c r="AN88" s="328">
        <v>-1499.883</v>
      </c>
      <c r="AO88" s="328">
        <v>-4867.5140000000001</v>
      </c>
      <c r="AP88" s="328">
        <v>-3942.7620000000002</v>
      </c>
      <c r="AQ88" s="558"/>
      <c r="AR88" s="558"/>
    </row>
    <row r="89" spans="1:44" s="513" customFormat="1">
      <c r="A89" s="319" t="s">
        <v>41</v>
      </c>
      <c r="C89" s="535"/>
      <c r="D89" s="535"/>
      <c r="E89" s="535"/>
      <c r="F89" s="535"/>
      <c r="G89" s="535"/>
      <c r="H89" s="535"/>
      <c r="I89" s="535"/>
      <c r="J89" s="573"/>
      <c r="K89" s="535"/>
      <c r="L89" s="535"/>
      <c r="M89" s="535"/>
      <c r="N89" s="535"/>
      <c r="O89" s="535"/>
      <c r="P89" s="535"/>
      <c r="Q89" s="535"/>
      <c r="R89" s="535"/>
      <c r="S89" s="535"/>
      <c r="T89" s="535"/>
      <c r="U89" s="535"/>
      <c r="V89" s="535"/>
      <c r="W89" s="535"/>
      <c r="X89" s="535"/>
      <c r="Y89" s="535"/>
      <c r="Z89" s="535"/>
      <c r="AA89" s="535"/>
      <c r="AB89" s="535"/>
      <c r="AC89" s="535"/>
      <c r="AD89" s="535"/>
      <c r="AE89" s="535"/>
      <c r="AF89" s="535"/>
      <c r="AG89" s="535"/>
      <c r="AH89" s="535"/>
      <c r="AI89" s="535"/>
      <c r="AJ89" s="535"/>
      <c r="AK89" s="535"/>
      <c r="AL89" s="535"/>
      <c r="AM89" s="535">
        <v>-190.53899999999999</v>
      </c>
      <c r="AN89" s="577">
        <v>-147.99700000000001</v>
      </c>
      <c r="AO89" s="577">
        <v>-906.78399999999999</v>
      </c>
      <c r="AP89" s="577">
        <v>-1016.329</v>
      </c>
      <c r="AQ89" s="535"/>
    </row>
    <row r="90" spans="1:44">
      <c r="A90" s="527" t="str">
        <f>+A48</f>
        <v>General and Administrative Expense</v>
      </c>
      <c r="C90" s="355"/>
      <c r="D90" s="355"/>
      <c r="E90" s="355"/>
      <c r="F90" s="355"/>
      <c r="G90" s="355"/>
      <c r="H90" s="355"/>
      <c r="I90" s="355"/>
      <c r="J90" s="509"/>
      <c r="K90" s="355"/>
      <c r="L90" s="355"/>
      <c r="M90" s="355"/>
      <c r="N90" s="355"/>
      <c r="O90" s="355"/>
      <c r="P90" s="355"/>
      <c r="Q90" s="355"/>
      <c r="R90" s="355"/>
      <c r="S90" s="355"/>
      <c r="T90" s="355"/>
      <c r="U90" s="355"/>
      <c r="V90" s="355"/>
      <c r="W90" s="355"/>
      <c r="X90" s="355"/>
      <c r="Y90" s="355"/>
      <c r="Z90" s="355"/>
      <c r="AA90" s="355"/>
      <c r="AB90" s="355"/>
      <c r="AC90" s="355"/>
      <c r="AD90" s="355"/>
      <c r="AE90" s="355"/>
      <c r="AF90" s="355"/>
      <c r="AG90" s="355"/>
      <c r="AH90" s="355"/>
      <c r="AI90" s="355"/>
      <c r="AJ90" s="355"/>
      <c r="AK90" s="355"/>
      <c r="AL90" s="355"/>
      <c r="AM90" s="355">
        <f>+SUM(AM84:AM89)</f>
        <v>-3374.6569999999992</v>
      </c>
      <c r="AN90" s="355">
        <f>+SUM(AN84:AN89)</f>
        <v>-7292.0659999999998</v>
      </c>
      <c r="AO90" s="355">
        <f>+SUM(AO84:AO89)</f>
        <v>-14798.597000000002</v>
      </c>
      <c r="AP90" s="355">
        <f>+SUM(AP84:AP89)</f>
        <v>-22209.736000000001</v>
      </c>
      <c r="AQ90" s="355"/>
    </row>
    <row r="91" spans="1:44">
      <c r="A91" s="527"/>
      <c r="C91" s="355"/>
      <c r="D91" s="355"/>
      <c r="E91" s="355"/>
      <c r="F91" s="355"/>
      <c r="G91" s="355"/>
      <c r="H91" s="355"/>
      <c r="I91" s="355"/>
      <c r="J91" s="509"/>
      <c r="K91" s="355"/>
      <c r="L91" s="355"/>
      <c r="M91" s="355"/>
      <c r="N91" s="355"/>
      <c r="O91" s="355"/>
      <c r="P91" s="355"/>
      <c r="Q91" s="355"/>
      <c r="R91" s="355"/>
      <c r="S91" s="355"/>
      <c r="T91" s="355"/>
      <c r="U91" s="355"/>
      <c r="V91" s="355"/>
      <c r="W91" s="355"/>
      <c r="X91" s="355"/>
      <c r="Y91" s="355"/>
      <c r="Z91" s="355"/>
      <c r="AA91" s="355"/>
      <c r="AB91" s="355"/>
      <c r="AC91" s="355"/>
      <c r="AD91" s="355"/>
      <c r="AE91" s="355"/>
      <c r="AF91" s="355"/>
      <c r="AG91" s="355"/>
      <c r="AH91" s="355"/>
      <c r="AI91" s="355"/>
      <c r="AJ91" s="355"/>
      <c r="AK91" s="355"/>
      <c r="AL91" s="355"/>
      <c r="AM91" s="355"/>
      <c r="AN91" s="355"/>
      <c r="AO91" s="355"/>
      <c r="AP91" s="355"/>
      <c r="AQ91" s="355"/>
    </row>
    <row r="92" spans="1:44">
      <c r="A92" s="319" t="s">
        <v>4203</v>
      </c>
      <c r="C92" s="355"/>
      <c r="D92" s="355"/>
      <c r="E92" s="355"/>
      <c r="F92" s="355"/>
      <c r="G92" s="355"/>
      <c r="H92" s="355"/>
      <c r="I92" s="355"/>
      <c r="J92" s="509"/>
      <c r="K92" s="355"/>
      <c r="L92" s="355"/>
      <c r="M92" s="355"/>
      <c r="N92" s="355"/>
      <c r="O92" s="355"/>
      <c r="P92" s="355"/>
      <c r="Q92" s="355"/>
      <c r="R92" s="355"/>
      <c r="S92" s="355"/>
      <c r="T92" s="355"/>
      <c r="U92" s="355"/>
      <c r="V92" s="355"/>
      <c r="W92" s="355"/>
      <c r="X92" s="355"/>
      <c r="Y92" s="355"/>
      <c r="Z92" s="355"/>
      <c r="AA92" s="355"/>
      <c r="AB92" s="355"/>
      <c r="AC92" s="355"/>
      <c r="AD92" s="355"/>
      <c r="AE92" s="355"/>
      <c r="AF92" s="355"/>
      <c r="AG92" s="355"/>
      <c r="AH92" s="355"/>
      <c r="AI92" s="355"/>
      <c r="AJ92" s="355"/>
      <c r="AK92" s="355"/>
      <c r="AL92" s="355"/>
      <c r="AM92" s="355"/>
      <c r="AN92" s="328">
        <v>42</v>
      </c>
      <c r="AO92" s="328">
        <v>59</v>
      </c>
      <c r="AP92" s="328">
        <v>72</v>
      </c>
      <c r="AQ92" s="558"/>
      <c r="AR92" s="558"/>
    </row>
    <row r="93" spans="1:44">
      <c r="D93" s="558"/>
      <c r="E93" s="558"/>
      <c r="F93" s="558"/>
      <c r="G93" s="558"/>
      <c r="H93" s="558"/>
      <c r="I93" s="558"/>
      <c r="J93" s="584"/>
      <c r="K93" s="558"/>
      <c r="L93" s="558"/>
      <c r="M93" s="558"/>
      <c r="N93" s="558"/>
      <c r="O93" s="558"/>
      <c r="P93" s="558"/>
      <c r="Q93" s="558"/>
      <c r="R93" s="558"/>
      <c r="S93" s="558"/>
      <c r="T93" s="558"/>
      <c r="U93" s="558"/>
      <c r="V93" s="558"/>
      <c r="X93" s="558"/>
      <c r="Y93" s="558"/>
      <c r="Z93" s="558"/>
      <c r="AA93" s="558"/>
      <c r="AB93" s="558"/>
      <c r="AC93" s="558"/>
      <c r="AD93" s="558"/>
      <c r="AE93" s="558"/>
      <c r="AF93" s="558"/>
      <c r="AG93" s="558"/>
      <c r="AH93" s="558"/>
      <c r="AI93" s="558"/>
      <c r="AJ93" s="558"/>
      <c r="AK93" s="558"/>
      <c r="AL93" s="558"/>
      <c r="AM93" s="558"/>
      <c r="AN93" s="558"/>
      <c r="AO93" s="558"/>
      <c r="AP93" s="558"/>
      <c r="AQ93" s="558"/>
      <c r="AR93" s="558"/>
    </row>
    <row r="94" spans="1:44">
      <c r="A94" s="353" t="s">
        <v>124</v>
      </c>
      <c r="B94" s="354"/>
      <c r="C94" s="352"/>
      <c r="J94" s="586"/>
      <c r="W94" s="352"/>
    </row>
    <row r="95" spans="1:44">
      <c r="J95" s="586"/>
    </row>
    <row r="96" spans="1:44">
      <c r="A96" s="319" t="s">
        <v>297</v>
      </c>
      <c r="D96" s="355"/>
      <c r="E96" s="355">
        <f>+AL96</f>
        <v>29838</v>
      </c>
      <c r="F96" s="356" t="s">
        <v>251</v>
      </c>
      <c r="G96" s="355">
        <f>+Z96</f>
        <v>67657</v>
      </c>
      <c r="H96" s="355">
        <v>86764</v>
      </c>
      <c r="I96" s="355">
        <f>+AA96</f>
        <v>114800</v>
      </c>
      <c r="J96" s="355">
        <v>142543</v>
      </c>
      <c r="K96" s="355">
        <f>+AB96</f>
        <v>208700</v>
      </c>
      <c r="L96" s="355">
        <v>246880</v>
      </c>
      <c r="M96" s="355">
        <f>+AC96</f>
        <v>260596</v>
      </c>
      <c r="N96" s="355">
        <f>+'Detailed Disclosures - USD'!N96</f>
        <v>287626</v>
      </c>
      <c r="O96" s="355">
        <f>+AD96</f>
        <v>313982</v>
      </c>
      <c r="P96" s="355">
        <v>350653</v>
      </c>
      <c r="Q96" s="355">
        <f>+AO96</f>
        <v>423253</v>
      </c>
      <c r="R96" s="355">
        <v>487289</v>
      </c>
      <c r="S96" s="355">
        <f>+AF96</f>
        <v>575888</v>
      </c>
      <c r="T96" s="355">
        <v>644026</v>
      </c>
      <c r="U96" s="355">
        <f>+AG96</f>
        <v>692287</v>
      </c>
      <c r="V96" s="355"/>
      <c r="X96" s="355"/>
      <c r="Y96" s="355">
        <v>29838</v>
      </c>
      <c r="Z96" s="355">
        <v>67657</v>
      </c>
      <c r="AA96" s="355">
        <f>+AM96</f>
        <v>114800</v>
      </c>
      <c r="AB96" s="355">
        <v>208700</v>
      </c>
      <c r="AC96" s="355">
        <f>+AA96*2.27</f>
        <v>260596</v>
      </c>
      <c r="AD96" s="355">
        <v>313982</v>
      </c>
      <c r="AE96" s="355">
        <f>+AO96</f>
        <v>423253</v>
      </c>
      <c r="AF96" s="624">
        <v>575888</v>
      </c>
      <c r="AG96" s="624">
        <f>+AP96</f>
        <v>692287</v>
      </c>
      <c r="AH96" s="355"/>
      <c r="AI96" s="355"/>
      <c r="AJ96" s="355">
        <v>893</v>
      </c>
      <c r="AK96" s="355">
        <v>8800</v>
      </c>
      <c r="AL96" s="355">
        <f>+Y96</f>
        <v>29838</v>
      </c>
      <c r="AM96" s="355">
        <v>114800</v>
      </c>
      <c r="AN96" s="355">
        <f>+AC96</f>
        <v>260596</v>
      </c>
      <c r="AO96" s="355">
        <v>423253</v>
      </c>
      <c r="AP96" s="355">
        <v>692287</v>
      </c>
      <c r="AQ96" s="355"/>
    </row>
    <row r="97" spans="1:59" s="337" customFormat="1">
      <c r="A97" s="546" t="s">
        <v>298</v>
      </c>
      <c r="D97" s="554"/>
      <c r="E97" s="547"/>
      <c r="F97" s="547"/>
      <c r="G97" s="547"/>
      <c r="H97" s="547">
        <f>+H96-G96</f>
        <v>19107</v>
      </c>
      <c r="I97" s="547">
        <f t="shared" ref="I97:P97" si="157">+I96-H96</f>
        <v>28036</v>
      </c>
      <c r="J97" s="564">
        <f t="shared" si="157"/>
        <v>27743</v>
      </c>
      <c r="K97" s="547">
        <f t="shared" si="157"/>
        <v>66157</v>
      </c>
      <c r="L97" s="547">
        <f t="shared" si="157"/>
        <v>38180</v>
      </c>
      <c r="M97" s="547">
        <f t="shared" si="157"/>
        <v>13716</v>
      </c>
      <c r="N97" s="547">
        <f t="shared" si="157"/>
        <v>27030</v>
      </c>
      <c r="O97" s="547">
        <f t="shared" si="157"/>
        <v>26356</v>
      </c>
      <c r="P97" s="547">
        <f t="shared" si="157"/>
        <v>36671</v>
      </c>
      <c r="Q97" s="547">
        <f t="shared" ref="Q97" si="158">+Q96-P96</f>
        <v>72600</v>
      </c>
      <c r="R97" s="547">
        <f t="shared" ref="R97" si="159">+R96-Q96</f>
        <v>64036</v>
      </c>
      <c r="S97" s="547">
        <f t="shared" ref="S97" si="160">+S96-R96</f>
        <v>88599</v>
      </c>
      <c r="T97" s="547">
        <f t="shared" ref="T97:U97" si="161">+T96-S96</f>
        <v>68138</v>
      </c>
      <c r="U97" s="547">
        <f t="shared" si="161"/>
        <v>48261</v>
      </c>
      <c r="V97" s="547"/>
      <c r="W97" s="355"/>
      <c r="X97" s="547"/>
      <c r="Y97" s="547"/>
      <c r="Z97" s="547">
        <f t="shared" ref="Z97:AD97" si="162">+Z96-Y96</f>
        <v>37819</v>
      </c>
      <c r="AA97" s="547">
        <f t="shared" si="162"/>
        <v>47143</v>
      </c>
      <c r="AB97" s="547">
        <f t="shared" si="162"/>
        <v>93900</v>
      </c>
      <c r="AC97" s="547">
        <f t="shared" si="162"/>
        <v>51896</v>
      </c>
      <c r="AD97" s="547">
        <f t="shared" si="162"/>
        <v>53386</v>
      </c>
      <c r="AE97" s="547">
        <f t="shared" ref="AE97" si="163">+AE96-AD96</f>
        <v>109271</v>
      </c>
      <c r="AF97" s="547">
        <f t="shared" ref="AF97:AG97" si="164">+AF96-AE96</f>
        <v>152635</v>
      </c>
      <c r="AG97" s="547">
        <f t="shared" si="164"/>
        <v>116399</v>
      </c>
      <c r="AH97" s="355"/>
      <c r="AI97" s="355"/>
      <c r="AJ97" s="547"/>
      <c r="AK97" s="547">
        <f t="shared" ref="AK97:AN97" si="165">+AK96-AJ96</f>
        <v>7907</v>
      </c>
      <c r="AL97" s="547">
        <f t="shared" si="165"/>
        <v>21038</v>
      </c>
      <c r="AM97" s="547">
        <f t="shared" si="165"/>
        <v>84962</v>
      </c>
      <c r="AN97" s="547">
        <f t="shared" si="165"/>
        <v>145796</v>
      </c>
      <c r="AO97" s="547">
        <f t="shared" ref="AO97:AP97" si="166">+AO96-AN96</f>
        <v>162657</v>
      </c>
      <c r="AP97" s="547">
        <f t="shared" si="166"/>
        <v>269034</v>
      </c>
      <c r="AQ97" s="547"/>
    </row>
    <row r="98" spans="1:59" s="337" customFormat="1">
      <c r="A98" s="546" t="s">
        <v>237</v>
      </c>
      <c r="D98" s="554"/>
      <c r="E98" s="554"/>
      <c r="F98" s="554"/>
      <c r="G98" s="554"/>
      <c r="H98" s="554"/>
      <c r="I98" s="554">
        <f>+I96/E96-1</f>
        <v>2.847442858100409</v>
      </c>
      <c r="J98" s="572" t="s">
        <v>251</v>
      </c>
      <c r="K98" s="554">
        <f t="shared" ref="K98:P98" si="167">+K96/G96-1</f>
        <v>2.0846771213621649</v>
      </c>
      <c r="L98" s="554">
        <f t="shared" si="167"/>
        <v>1.8454197593471946</v>
      </c>
      <c r="M98" s="554">
        <f t="shared" si="167"/>
        <v>1.27</v>
      </c>
      <c r="N98" s="554">
        <f t="shared" si="167"/>
        <v>1.0178191843864659</v>
      </c>
      <c r="O98" s="554">
        <f t="shared" si="167"/>
        <v>0.50446574029707714</v>
      </c>
      <c r="P98" s="554">
        <f t="shared" si="167"/>
        <v>0.42033781594296826</v>
      </c>
      <c r="Q98" s="554">
        <f t="shared" ref="Q98" si="168">+Q96/M96-1</f>
        <v>0.6241730494712121</v>
      </c>
      <c r="R98" s="554">
        <f t="shared" ref="R98" si="169">+R96/N96-1</f>
        <v>0.69417576992344232</v>
      </c>
      <c r="S98" s="554">
        <f t="shared" ref="S98" si="170">+S96/O96-1</f>
        <v>0.83414335853647659</v>
      </c>
      <c r="T98" s="554">
        <f t="shared" ref="T98:U98" si="171">+T96/P96-1</f>
        <v>0.83664762600063303</v>
      </c>
      <c r="U98" s="554">
        <f t="shared" si="171"/>
        <v>0.63563400613817267</v>
      </c>
      <c r="V98" s="554"/>
      <c r="W98" s="555"/>
      <c r="X98" s="554"/>
      <c r="Y98" s="554"/>
      <c r="Z98" s="554"/>
      <c r="AA98" s="554">
        <f>+AA96/Y96-1</f>
        <v>2.847442858100409</v>
      </c>
      <c r="AB98" s="554">
        <f>+AB96/Z96-1</f>
        <v>2.0846771213621649</v>
      </c>
      <c r="AC98" s="554">
        <f>+AC96/AA96-1</f>
        <v>1.27</v>
      </c>
      <c r="AD98" s="554">
        <f>+AD96/AB96-1</f>
        <v>0.50446574029707714</v>
      </c>
      <c r="AE98" s="554">
        <f t="shared" ref="AE98" si="172">+AE96/AC96-1</f>
        <v>0.6241730494712121</v>
      </c>
      <c r="AF98" s="554">
        <f t="shared" ref="AF98:AG98" si="173">+AF96/AD96-1</f>
        <v>0.83414335853647659</v>
      </c>
      <c r="AG98" s="554">
        <f t="shared" si="173"/>
        <v>0.63563400613817267</v>
      </c>
      <c r="AH98" s="556"/>
      <c r="AI98" s="556"/>
      <c r="AJ98" s="554"/>
      <c r="AK98" s="554">
        <f>+AK96/AJ96-1</f>
        <v>8.8544232922732355</v>
      </c>
      <c r="AL98" s="554">
        <f>+AL96/AK96-1</f>
        <v>2.3906818181818181</v>
      </c>
      <c r="AM98" s="554">
        <f>+AM96/AL96-1</f>
        <v>2.847442858100409</v>
      </c>
      <c r="AN98" s="554">
        <f>+AN96/AM96-1</f>
        <v>1.27</v>
      </c>
      <c r="AO98" s="554">
        <f t="shared" ref="AO98:AP98" si="174">+AO96/AN96-1</f>
        <v>0.6241730494712121</v>
      </c>
      <c r="AP98" s="554">
        <f t="shared" si="174"/>
        <v>0.63563400613817267</v>
      </c>
      <c r="AR98" s="337">
        <f>500*0.78</f>
        <v>390</v>
      </c>
    </row>
    <row r="99" spans="1:59" s="337" customFormat="1">
      <c r="A99" s="546" t="s">
        <v>226</v>
      </c>
      <c r="D99" s="554"/>
      <c r="E99" s="554"/>
      <c r="F99" s="554"/>
      <c r="G99" s="554"/>
      <c r="H99" s="554"/>
      <c r="I99" s="554"/>
      <c r="J99" s="554"/>
      <c r="K99" s="554"/>
      <c r="L99" s="554">
        <f>+L98+H98</f>
        <v>1.8454197593471946</v>
      </c>
      <c r="M99" s="554">
        <f t="shared" ref="M99" si="175">+M98+I98</f>
        <v>4.117442858100409</v>
      </c>
      <c r="N99" s="572" t="s">
        <v>251</v>
      </c>
      <c r="O99" s="554">
        <f t="shared" ref="O99" si="176">+O98+K98</f>
        <v>2.589142861659242</v>
      </c>
      <c r="P99" s="554">
        <f t="shared" ref="P99" si="177">+P98+L98</f>
        <v>2.2657575752901629</v>
      </c>
      <c r="Q99" s="554">
        <f t="shared" ref="Q99" si="178">+Q98+M98</f>
        <v>1.8941730494712121</v>
      </c>
      <c r="R99" s="554">
        <f t="shared" ref="R99" si="179">+R98+N98</f>
        <v>1.7119949543099082</v>
      </c>
      <c r="S99" s="554">
        <f t="shared" ref="S99" si="180">+S98+O98</f>
        <v>1.3386090988335537</v>
      </c>
      <c r="T99" s="554">
        <f t="shared" ref="T99:U99" si="181">+T98+P98</f>
        <v>1.2569854419436013</v>
      </c>
      <c r="U99" s="554">
        <f t="shared" si="181"/>
        <v>1.2598070556093848</v>
      </c>
      <c r="V99" s="554"/>
      <c r="W99" s="555"/>
      <c r="X99" s="554"/>
      <c r="Y99" s="554"/>
      <c r="Z99" s="554"/>
      <c r="AA99" s="554"/>
      <c r="AB99" s="554"/>
      <c r="AC99" s="554">
        <f t="shared" ref="AC99" si="182">+AC98+AA98</f>
        <v>4.117442858100409</v>
      </c>
      <c r="AD99" s="554">
        <f t="shared" ref="AD99" si="183">+AD98+AB98</f>
        <v>2.589142861659242</v>
      </c>
      <c r="AE99" s="554">
        <f t="shared" ref="AE99" si="184">+AE98+AC98</f>
        <v>1.8941730494712121</v>
      </c>
      <c r="AF99" s="554">
        <f t="shared" ref="AF99:AG99" si="185">+AF98+AD98</f>
        <v>1.3386090988335537</v>
      </c>
      <c r="AG99" s="554">
        <f t="shared" si="185"/>
        <v>1.2598070556093848</v>
      </c>
      <c r="AH99" s="556"/>
      <c r="AI99" s="556"/>
      <c r="AJ99" s="554"/>
      <c r="AK99" s="554"/>
      <c r="AL99" s="554">
        <f t="shared" ref="AL99" si="186">+AL98+AK98</f>
        <v>11.245105110455054</v>
      </c>
      <c r="AM99" s="554">
        <f t="shared" ref="AM99" si="187">+AM98+AL98</f>
        <v>5.2381246762822276</v>
      </c>
      <c r="AN99" s="554">
        <f t="shared" ref="AN99" si="188">+AN98+AM98</f>
        <v>4.117442858100409</v>
      </c>
      <c r="AO99" s="554">
        <f t="shared" ref="AO99:AP99" si="189">+AO98+AN98</f>
        <v>1.8941730494712121</v>
      </c>
      <c r="AP99" s="554">
        <f t="shared" si="189"/>
        <v>1.2598070556093848</v>
      </c>
      <c r="AR99" s="337">
        <f>+AR98*0.8</f>
        <v>312</v>
      </c>
    </row>
    <row r="100" spans="1:59">
      <c r="J100" s="586"/>
    </row>
    <row r="101" spans="1:59">
      <c r="A101" s="319" t="s">
        <v>299</v>
      </c>
      <c r="D101" s="355">
        <f>+H101/(1+H102)</f>
        <v>847.05882352941171</v>
      </c>
      <c r="E101" s="355">
        <f>+Y101-D101</f>
        <v>1495.4411764705883</v>
      </c>
      <c r="F101" s="355">
        <f>+'Detailed Disclosures - USD'!F101</f>
        <v>2300</v>
      </c>
      <c r="G101" s="355">
        <f>+'Detailed Disclosures - USD'!G101</f>
        <v>3546</v>
      </c>
      <c r="H101" s="355">
        <v>3600</v>
      </c>
      <c r="I101" s="355">
        <f>+AA101-H101</f>
        <v>4490</v>
      </c>
      <c r="J101" s="509">
        <f>+'Detailed Disclosures - USD'!J101</f>
        <v>7279.9999999999991</v>
      </c>
      <c r="K101" s="355">
        <f>+AB101-J101</f>
        <v>16320</v>
      </c>
      <c r="L101" s="355">
        <v>13300</v>
      </c>
      <c r="M101" s="355">
        <f>+AC101-L101</f>
        <v>7800</v>
      </c>
      <c r="N101" s="355"/>
      <c r="O101" s="355"/>
      <c r="P101" s="355"/>
      <c r="Q101" s="355"/>
      <c r="R101" s="355"/>
      <c r="S101" s="355"/>
      <c r="T101" s="355"/>
      <c r="U101" s="355"/>
      <c r="V101" s="355"/>
      <c r="X101" s="355">
        <f>+Z101/(1+300%)</f>
        <v>1461.5</v>
      </c>
      <c r="Y101" s="355">
        <f>+AL101-X101</f>
        <v>2342.5</v>
      </c>
      <c r="Z101" s="355">
        <v>5846</v>
      </c>
      <c r="AA101" s="355">
        <f>+AM101-Z101</f>
        <v>8090</v>
      </c>
      <c r="AB101" s="355">
        <v>23600</v>
      </c>
      <c r="AC101" s="355">
        <f>+AN101-AB101</f>
        <v>21100</v>
      </c>
      <c r="AD101" s="355"/>
      <c r="AE101" s="355"/>
      <c r="AF101" s="355"/>
      <c r="AG101" s="355"/>
      <c r="AH101" s="355"/>
      <c r="AI101" s="355"/>
      <c r="AJ101" s="355">
        <f>+AK101/(1+AK102)</f>
        <v>193.6386768447837</v>
      </c>
      <c r="AK101" s="355">
        <v>1522</v>
      </c>
      <c r="AL101" s="355">
        <v>3804</v>
      </c>
      <c r="AM101" s="355">
        <v>13936</v>
      </c>
      <c r="AN101" s="508">
        <v>44700</v>
      </c>
      <c r="AO101" s="625" t="s">
        <v>417</v>
      </c>
      <c r="AP101" s="625"/>
      <c r="AQ101" s="355"/>
    </row>
    <row r="102" spans="1:59">
      <c r="A102" s="546" t="s">
        <v>237</v>
      </c>
      <c r="D102" s="554"/>
      <c r="E102" s="554"/>
      <c r="F102" s="554"/>
      <c r="G102" s="554"/>
      <c r="H102" s="554">
        <v>3.25</v>
      </c>
      <c r="I102" s="554">
        <f>+I101/E101-1</f>
        <v>2.0024584521585207</v>
      </c>
      <c r="J102" s="557">
        <f t="shared" ref="J102:K102" si="190">+J101/F101-1</f>
        <v>2.1652173913043473</v>
      </c>
      <c r="K102" s="554">
        <f t="shared" si="190"/>
        <v>3.6023688663282574</v>
      </c>
      <c r="L102" s="554">
        <f t="shared" ref="L102:M102" si="191">+L101/H101-1</f>
        <v>2.6944444444444446</v>
      </c>
      <c r="M102" s="554">
        <f t="shared" si="191"/>
        <v>0.73719376391982183</v>
      </c>
      <c r="N102" s="554"/>
      <c r="O102" s="554"/>
      <c r="P102" s="554"/>
      <c r="Q102" s="554"/>
      <c r="R102" s="554"/>
      <c r="S102" s="554"/>
      <c r="T102" s="554"/>
      <c r="U102" s="554"/>
      <c r="V102" s="554"/>
      <c r="W102" s="555"/>
      <c r="X102" s="554"/>
      <c r="Y102" s="554"/>
      <c r="Z102" s="554">
        <f>+Z101/X101-1</f>
        <v>3</v>
      </c>
      <c r="AA102" s="554">
        <f>+AA101/Y101-1</f>
        <v>2.4535752401280684</v>
      </c>
      <c r="AB102" s="554">
        <f t="shared" ref="AB102:AC102" si="192">+AB101/Z101-1</f>
        <v>3.0369483407458091</v>
      </c>
      <c r="AC102" s="554">
        <f t="shared" si="192"/>
        <v>1.608158220024722</v>
      </c>
      <c r="AD102" s="554"/>
      <c r="AE102" s="554"/>
      <c r="AF102" s="554"/>
      <c r="AG102" s="554"/>
      <c r="AH102" s="556"/>
      <c r="AI102" s="556"/>
      <c r="AJ102" s="554"/>
      <c r="AK102" s="554">
        <v>6.86</v>
      </c>
      <c r="AL102" s="554">
        <f>+AL101/AK101-1</f>
        <v>1.4993429697766096</v>
      </c>
      <c r="AM102" s="554">
        <f>+AM101/AL101-1</f>
        <v>2.6635120925341744</v>
      </c>
      <c r="AN102" s="554">
        <f>+AN101/AM101-1</f>
        <v>2.2075200918484499</v>
      </c>
      <c r="AO102" s="572" t="s">
        <v>251</v>
      </c>
      <c r="AP102" s="572"/>
    </row>
    <row r="103" spans="1:59">
      <c r="A103" s="546" t="s">
        <v>226</v>
      </c>
      <c r="D103" s="554"/>
      <c r="E103" s="554"/>
      <c r="F103" s="554"/>
      <c r="G103" s="554"/>
      <c r="H103" s="554"/>
      <c r="I103" s="554"/>
      <c r="J103" s="557"/>
      <c r="K103" s="554"/>
      <c r="L103" s="554">
        <f>+L102+H102</f>
        <v>5.9444444444444446</v>
      </c>
      <c r="M103" s="554">
        <f t="shared" ref="M103" si="193">+M102+I102</f>
        <v>2.7396522160783423</v>
      </c>
      <c r="N103" s="554"/>
      <c r="O103" s="554"/>
      <c r="P103" s="554"/>
      <c r="Q103" s="554"/>
      <c r="R103" s="554"/>
      <c r="S103" s="554"/>
      <c r="T103" s="554"/>
      <c r="U103" s="554"/>
      <c r="V103" s="554"/>
      <c r="W103" s="555"/>
      <c r="X103" s="554"/>
      <c r="Y103" s="554"/>
      <c r="Z103" s="554"/>
      <c r="AA103" s="554"/>
      <c r="AB103" s="554">
        <f t="shared" ref="AB103" si="194">+AB102+Z102</f>
        <v>6.0369483407458091</v>
      </c>
      <c r="AC103" s="554">
        <f t="shared" ref="AC103" si="195">+AC102+AA102</f>
        <v>4.0617334601527908</v>
      </c>
      <c r="AD103" s="554"/>
      <c r="AE103" s="554"/>
      <c r="AF103" s="554"/>
      <c r="AG103" s="554"/>
      <c r="AH103" s="556"/>
      <c r="AI103" s="556"/>
      <c r="AJ103" s="554"/>
      <c r="AK103" s="554"/>
      <c r="AL103" s="554">
        <f t="shared" ref="AL103" si="196">+AL102+AK102</f>
        <v>8.3593429697766091</v>
      </c>
      <c r="AM103" s="554">
        <f t="shared" ref="AM103" si="197">+AM102+AL102</f>
        <v>4.1628550623107845</v>
      </c>
      <c r="AN103" s="554">
        <f t="shared" ref="AN103" si="198">+AN102+AM102</f>
        <v>4.8710321843826243</v>
      </c>
      <c r="AO103" s="572" t="s">
        <v>251</v>
      </c>
      <c r="AP103" s="572"/>
    </row>
    <row r="104" spans="1:59">
      <c r="J104" s="586"/>
      <c r="BG104" s="319">
        <v>381.23822000000001</v>
      </c>
    </row>
    <row r="105" spans="1:59" s="513" customFormat="1" ht="18.5">
      <c r="A105" s="319" t="s">
        <v>230</v>
      </c>
      <c r="D105" s="587">
        <f>+D106/D101/1000</f>
        <v>8.0143673701634586E-3</v>
      </c>
      <c r="E105" s="587">
        <f>+E106/E101/1000</f>
        <v>1.2578641469066537E-2</v>
      </c>
      <c r="F105" s="587">
        <f t="shared" ref="F105:G105" si="199">+F106/F101/1000</f>
        <v>1.043695652173913E-2</v>
      </c>
      <c r="G105" s="587">
        <f t="shared" si="199"/>
        <v>1.2122391426959955E-2</v>
      </c>
      <c r="H105" s="587">
        <v>1.01E-2</v>
      </c>
      <c r="I105" s="587">
        <f>+I106/(I101*1000)</f>
        <v>1.4909354120267261E-2</v>
      </c>
      <c r="J105" s="587">
        <f>+J106/1000/J101</f>
        <v>9.8170005577413004E-3</v>
      </c>
      <c r="K105" s="587">
        <f t="shared" ref="K105:M105" si="200">+K106/1000/K101</f>
        <v>8.7839605355173635E-3</v>
      </c>
      <c r="L105" s="587">
        <f t="shared" si="200"/>
        <v>7.4940601503759403E-3</v>
      </c>
      <c r="M105" s="587">
        <f t="shared" si="200"/>
        <v>1.1400897435897436E-2</v>
      </c>
      <c r="N105" s="587"/>
      <c r="O105" s="587"/>
      <c r="P105" s="587"/>
      <c r="Q105" s="587"/>
      <c r="R105" s="587"/>
      <c r="S105" s="587"/>
      <c r="T105" s="587"/>
      <c r="U105" s="587"/>
      <c r="V105" s="587"/>
      <c r="W105" s="587"/>
      <c r="X105" s="587">
        <v>8.3000000000000001E-3</v>
      </c>
      <c r="Y105" s="587">
        <f>+Y106/Y101/1000</f>
        <v>1.0928178865658807E-2</v>
      </c>
      <c r="Z105" s="587">
        <v>1.15E-2</v>
      </c>
      <c r="AA105" s="587">
        <f>+AA106/(AA101*1000)</f>
        <v>1.278096415327565E-2</v>
      </c>
      <c r="AB105" s="587">
        <f t="shared" ref="AB105" si="201">+AB106/1000/AB101</f>
        <v>9.1026271186440671E-3</v>
      </c>
      <c r="AC105" s="587">
        <f t="shared" ref="AC105" si="202">+AC106/1000/AC101</f>
        <v>8.9382938388625592E-3</v>
      </c>
      <c r="AD105" s="587"/>
      <c r="AE105" s="587"/>
      <c r="AF105" s="587"/>
      <c r="AG105" s="587"/>
      <c r="AH105" s="587"/>
      <c r="AI105" s="587"/>
      <c r="AJ105" s="587">
        <v>5.0000000000000001E-3</v>
      </c>
      <c r="AK105" s="587">
        <v>6.7999999999999996E-3</v>
      </c>
      <c r="AL105" s="587">
        <v>9.9000000000000008E-3</v>
      </c>
      <c r="AM105" s="587">
        <v>1.2200000000000001E-2</v>
      </c>
      <c r="AN105" s="587">
        <f t="shared" ref="AN105" si="203">+AN106/1000/AN101</f>
        <v>9.0250559284116329E-3</v>
      </c>
      <c r="AO105" s="587"/>
      <c r="AP105" s="587"/>
    </row>
    <row r="106" spans="1:59">
      <c r="A106" s="527" t="s">
        <v>300</v>
      </c>
      <c r="D106" s="355">
        <f>+H106/(1+H107)</f>
        <v>6788.6405959031654</v>
      </c>
      <c r="E106" s="355">
        <f>+Y106-D106</f>
        <v>18810.618396902591</v>
      </c>
      <c r="F106" s="355">
        <f>+'Detailed Disclosures - USD'!F106</f>
        <v>24005</v>
      </c>
      <c r="G106" s="355">
        <f>+'Detailed Disclosures - USD'!G106</f>
        <v>42986</v>
      </c>
      <c r="H106" s="355">
        <v>36455</v>
      </c>
      <c r="I106" s="355">
        <f>+AA106-H106</f>
        <v>66943</v>
      </c>
      <c r="J106" s="355">
        <f>+J8/J110*1000</f>
        <v>71467.764060356654</v>
      </c>
      <c r="K106" s="355">
        <f>+AB106-J106</f>
        <v>143354.23593964335</v>
      </c>
      <c r="L106" s="355">
        <v>99671</v>
      </c>
      <c r="M106" s="355">
        <f>+AC106-L106</f>
        <v>88927</v>
      </c>
      <c r="N106" s="355">
        <f>+N8/N110*1000</f>
        <v>117388.03894297635</v>
      </c>
      <c r="O106" s="355">
        <f>+AD106-N106</f>
        <v>202308.93075399334</v>
      </c>
      <c r="P106" s="355">
        <f>+P8/P110*1000</f>
        <v>177150.5376344086</v>
      </c>
      <c r="Q106" s="355">
        <f>+AE106-P106</f>
        <v>212538.49266862174</v>
      </c>
      <c r="R106" s="355">
        <f>+R8/R110*1000</f>
        <v>229001.3679890561</v>
      </c>
      <c r="S106" s="355">
        <f>+AF106-R106</f>
        <v>343042.56170791358</v>
      </c>
      <c r="T106" s="355">
        <f>+T8/T110*1000</f>
        <v>308533.65384615387</v>
      </c>
      <c r="U106" s="355">
        <f>+AG106-T106</f>
        <v>315594.41645687644</v>
      </c>
      <c r="V106" s="355"/>
      <c r="X106" s="355">
        <f>+Z106/(1+Z107)</f>
        <v>12048.741007194245</v>
      </c>
      <c r="Y106" s="355">
        <f>+AL106-X106</f>
        <v>25599.258992805757</v>
      </c>
      <c r="Z106" s="355">
        <v>66991</v>
      </c>
      <c r="AA106" s="355">
        <f>+AM106-Z106</f>
        <v>103398</v>
      </c>
      <c r="AB106" s="355">
        <v>214822</v>
      </c>
      <c r="AC106" s="355">
        <f>+AN106-AB106</f>
        <v>188598</v>
      </c>
      <c r="AD106" s="355">
        <f>AD8/AD110*1000</f>
        <v>319696.96969696967</v>
      </c>
      <c r="AE106" s="355">
        <f>+AO106-AD106</f>
        <v>389689.03030303033</v>
      </c>
      <c r="AF106" s="355">
        <f>1.67*AF96-AE106</f>
        <v>572043.92969696969</v>
      </c>
      <c r="AG106" s="355">
        <f>+AP106-AF106</f>
        <v>624128.07030303031</v>
      </c>
      <c r="AH106" s="355"/>
      <c r="AI106" s="355"/>
      <c r="AJ106" s="355">
        <v>965</v>
      </c>
      <c r="AK106" s="355">
        <v>10388</v>
      </c>
      <c r="AL106" s="355">
        <v>37648</v>
      </c>
      <c r="AM106" s="355">
        <v>170389</v>
      </c>
      <c r="AN106" s="355">
        <v>403420</v>
      </c>
      <c r="AO106" s="355">
        <v>709386</v>
      </c>
      <c r="AP106" s="355">
        <v>1196172</v>
      </c>
      <c r="AQ106" s="355"/>
    </row>
    <row r="107" spans="1:59">
      <c r="A107" s="539" t="s">
        <v>237</v>
      </c>
      <c r="D107" s="554"/>
      <c r="E107" s="554"/>
      <c r="F107" s="554"/>
      <c r="G107" s="554"/>
      <c r="H107" s="554">
        <v>4.37</v>
      </c>
      <c r="I107" s="554">
        <f t="shared" ref="I107:P107" si="204">+I106/E106-1</f>
        <v>2.5587878392675818</v>
      </c>
      <c r="J107" s="554">
        <f t="shared" si="204"/>
        <v>1.9772032518373943</v>
      </c>
      <c r="K107" s="554">
        <f t="shared" si="204"/>
        <v>2.3349052235528625</v>
      </c>
      <c r="L107" s="554">
        <f t="shared" si="204"/>
        <v>1.7340831161706212</v>
      </c>
      <c r="M107" s="554">
        <f t="shared" si="204"/>
        <v>0.32839878702776981</v>
      </c>
      <c r="N107" s="554">
        <f t="shared" si="204"/>
        <v>0.64253129346314308</v>
      </c>
      <c r="O107" s="554">
        <f t="shared" si="204"/>
        <v>0.41125185054993274</v>
      </c>
      <c r="P107" s="554">
        <f t="shared" si="204"/>
        <v>0.77735286727742881</v>
      </c>
      <c r="Q107" s="554">
        <f t="shared" ref="Q107" si="205">+Q106/M106-1</f>
        <v>1.3900333157378721</v>
      </c>
      <c r="R107" s="554">
        <f t="shared" ref="R107:T107" si="206">+R106/N106-1</f>
        <v>0.95080665842197276</v>
      </c>
      <c r="S107" s="554">
        <f t="shared" si="206"/>
        <v>0.69563726341399956</v>
      </c>
      <c r="T107" s="554">
        <f t="shared" si="206"/>
        <v>0.74164672580833457</v>
      </c>
      <c r="U107" s="554">
        <f t="shared" ref="U107" si="207">+U106/Q106-1</f>
        <v>0.48488122078165774</v>
      </c>
      <c r="V107" s="554"/>
      <c r="W107" s="555"/>
      <c r="X107" s="554"/>
      <c r="Y107" s="554"/>
      <c r="Z107" s="554">
        <v>4.5599999999999996</v>
      </c>
      <c r="AA107" s="554">
        <f>+AA106/Y106-1</f>
        <v>3.0391012891841234</v>
      </c>
      <c r="AB107" s="554">
        <f t="shared" ref="AB107:AD107" si="208">+AB106/Z106-1</f>
        <v>2.2067292621396906</v>
      </c>
      <c r="AC107" s="554">
        <f t="shared" si="208"/>
        <v>0.82400046422561357</v>
      </c>
      <c r="AD107" s="554">
        <f t="shared" si="208"/>
        <v>0.48819473655849799</v>
      </c>
      <c r="AE107" s="554">
        <f t="shared" ref="AE107:AG107" si="209">+AE106/AC106-1</f>
        <v>1.0662415842322313</v>
      </c>
      <c r="AF107" s="554">
        <f t="shared" si="209"/>
        <v>0.78933172322274903</v>
      </c>
      <c r="AG107" s="554">
        <f t="shared" si="209"/>
        <v>0.60160543861780069</v>
      </c>
      <c r="AH107" s="556"/>
      <c r="AI107" s="556"/>
      <c r="AJ107" s="554"/>
      <c r="AK107" s="554">
        <f>+AK106/AJ106-1</f>
        <v>9.7647668393782379</v>
      </c>
      <c r="AL107" s="554">
        <f>+AL106/AK106-1</f>
        <v>2.6241817481709666</v>
      </c>
      <c r="AM107" s="554">
        <f>+AM106/AL106-1</f>
        <v>3.5258446663833407</v>
      </c>
      <c r="AN107" s="554">
        <f>+AN106/AM106-1</f>
        <v>1.3676411035923679</v>
      </c>
      <c r="AO107" s="554">
        <f t="shared" ref="AO107:AP107" si="210">+AO106/AN106-1</f>
        <v>0.75843041990977156</v>
      </c>
      <c r="AP107" s="554">
        <f t="shared" si="210"/>
        <v>0.68620750902893479</v>
      </c>
    </row>
    <row r="108" spans="1:59">
      <c r="A108" s="539" t="s">
        <v>226</v>
      </c>
      <c r="D108" s="554"/>
      <c r="E108" s="554"/>
      <c r="F108" s="554"/>
      <c r="G108" s="554"/>
      <c r="H108" s="554"/>
      <c r="I108" s="554"/>
      <c r="J108" s="554"/>
      <c r="K108" s="554"/>
      <c r="L108" s="554">
        <f>+L107+H107</f>
        <v>6.1040831161706208</v>
      </c>
      <c r="M108" s="554">
        <f t="shared" ref="M108" si="211">+M107+I107</f>
        <v>2.8871866262953514</v>
      </c>
      <c r="N108" s="554">
        <f t="shared" ref="N108" si="212">+N107+J107</f>
        <v>2.6197345453005374</v>
      </c>
      <c r="O108" s="554">
        <f t="shared" ref="O108" si="213">+O107+K107</f>
        <v>2.7461570741027952</v>
      </c>
      <c r="P108" s="554">
        <f t="shared" ref="P108" si="214">+P107+L107</f>
        <v>2.5114359834480497</v>
      </c>
      <c r="Q108" s="554">
        <f t="shared" ref="Q108" si="215">+Q107+M107</f>
        <v>1.718432102765642</v>
      </c>
      <c r="R108" s="554">
        <f t="shared" ref="R108:T108" si="216">+R107+N107</f>
        <v>1.5933379518851158</v>
      </c>
      <c r="S108" s="554">
        <f t="shared" si="216"/>
        <v>1.1068891139639323</v>
      </c>
      <c r="T108" s="554">
        <f t="shared" si="216"/>
        <v>1.5189995930857634</v>
      </c>
      <c r="U108" s="554">
        <f t="shared" ref="U108" si="217">+U107+Q107</f>
        <v>1.8749145365195299</v>
      </c>
      <c r="V108" s="554"/>
      <c r="W108" s="555"/>
      <c r="X108" s="554"/>
      <c r="Y108" s="554"/>
      <c r="Z108" s="554"/>
      <c r="AA108" s="554"/>
      <c r="AB108" s="554">
        <f t="shared" ref="AB108" si="218">+AB107+Z107</f>
        <v>6.7667292621396902</v>
      </c>
      <c r="AC108" s="554">
        <f t="shared" ref="AC108" si="219">+AC107+AA107</f>
        <v>3.8631017534097367</v>
      </c>
      <c r="AD108" s="554">
        <f t="shared" ref="AD108" si="220">+AD107+AB107</f>
        <v>2.6949239986981883</v>
      </c>
      <c r="AE108" s="554">
        <f t="shared" ref="AE108:AG108" si="221">+AE107+AC107</f>
        <v>1.8902420484578448</v>
      </c>
      <c r="AF108" s="554">
        <f t="shared" si="221"/>
        <v>1.277526459781247</v>
      </c>
      <c r="AG108" s="554">
        <f t="shared" si="221"/>
        <v>1.6678470228500319</v>
      </c>
      <c r="AH108" s="556"/>
      <c r="AI108" s="556"/>
      <c r="AJ108" s="554"/>
      <c r="AK108" s="554"/>
      <c r="AL108" s="554">
        <f t="shared" ref="AL108" si="222">+AL107+AK107</f>
        <v>12.388948587549205</v>
      </c>
      <c r="AM108" s="554">
        <f t="shared" ref="AM108" si="223">+AM107+AL107</f>
        <v>6.1500264145543078</v>
      </c>
      <c r="AN108" s="554">
        <f t="shared" ref="AN108" si="224">+AN107+AM107</f>
        <v>4.8934857699757082</v>
      </c>
      <c r="AO108" s="554">
        <f t="shared" ref="AO108:AP108" si="225">+AO107+AN107</f>
        <v>2.1260715235021395</v>
      </c>
      <c r="AP108" s="554">
        <f t="shared" si="225"/>
        <v>1.4446379289387064</v>
      </c>
    </row>
    <row r="109" spans="1:59">
      <c r="J109" s="586"/>
      <c r="AN109" s="334"/>
      <c r="AO109" s="511"/>
      <c r="AP109" s="511"/>
    </row>
    <row r="110" spans="1:59">
      <c r="A110" s="319" t="s">
        <v>223</v>
      </c>
      <c r="D110" s="355">
        <f>+D8/D106*1000</f>
        <v>798.03295077648465</v>
      </c>
      <c r="E110" s="355">
        <f>+E8/E106*1000</f>
        <v>752.47080211999162</v>
      </c>
      <c r="F110" s="355">
        <f>+F8/F106*1000</f>
        <v>766.50697771297644</v>
      </c>
      <c r="G110" s="355">
        <f>+G8/G106*1000</f>
        <v>794.36286956468143</v>
      </c>
      <c r="H110" s="355">
        <v>695</v>
      </c>
      <c r="I110" s="355">
        <f>+I8/I106*1000</f>
        <v>693.45562642845402</v>
      </c>
      <c r="J110" s="355">
        <v>729</v>
      </c>
      <c r="K110" s="355">
        <f>+K8/K106*1000</f>
        <v>711.52414389028036</v>
      </c>
      <c r="L110" s="355">
        <v>682</v>
      </c>
      <c r="M110" s="355">
        <f>+M8/M106*1000</f>
        <v>707.3217358057733</v>
      </c>
      <c r="N110" s="355">
        <v>719</v>
      </c>
      <c r="O110" s="355">
        <f>+O8/O106*1000</f>
        <v>782.20966029635531</v>
      </c>
      <c r="P110" s="355">
        <v>744</v>
      </c>
      <c r="Q110" s="355">
        <f>+Q8/Q106*1000</f>
        <v>775.15370477793442</v>
      </c>
      <c r="R110" s="355">
        <v>731</v>
      </c>
      <c r="S110" s="355">
        <f>+S8/S106*1000</f>
        <v>854.41292923168646</v>
      </c>
      <c r="T110" s="355">
        <v>832</v>
      </c>
      <c r="U110" s="355">
        <f>+U8/U106*1000</f>
        <v>827.32769144436793</v>
      </c>
      <c r="V110" s="355"/>
      <c r="X110" s="355">
        <f>+X8/X106*1000</f>
        <v>759.99641742920687</v>
      </c>
      <c r="Y110" s="355">
        <f>+Y8/Y106*1000</f>
        <v>764.55338045137876</v>
      </c>
      <c r="Z110" s="355">
        <v>776</v>
      </c>
      <c r="AA110" s="355">
        <f>+AA8/AA106*1000</f>
        <v>693.6497804599702</v>
      </c>
      <c r="AB110" s="355">
        <v>712</v>
      </c>
      <c r="AC110" s="355">
        <f>+AC8/AC106*1000</f>
        <v>708.91525891048695</v>
      </c>
      <c r="AD110" s="355">
        <v>759</v>
      </c>
      <c r="AE110" s="355">
        <f>+AE8/AE106*1000</f>
        <v>760.99139811402063</v>
      </c>
      <c r="AF110" s="355">
        <v>791</v>
      </c>
      <c r="AG110" s="355">
        <f>+AG8/AG106*1000</f>
        <v>829.63741680228338</v>
      </c>
      <c r="AH110" s="355"/>
      <c r="AI110" s="355"/>
      <c r="AJ110" s="508">
        <v>741</v>
      </c>
      <c r="AK110" s="508">
        <v>700</v>
      </c>
      <c r="AL110" s="508">
        <v>757</v>
      </c>
      <c r="AM110" s="508">
        <v>723</v>
      </c>
      <c r="AN110" s="508">
        <v>702</v>
      </c>
      <c r="AO110" s="508">
        <v>747</v>
      </c>
      <c r="AP110" s="508">
        <v>798</v>
      </c>
      <c r="AQ110" s="355"/>
    </row>
    <row r="111" spans="1:59">
      <c r="A111" s="546" t="s">
        <v>237</v>
      </c>
      <c r="D111" s="339"/>
      <c r="E111" s="339"/>
      <c r="F111" s="339"/>
      <c r="G111" s="339"/>
      <c r="H111" s="339">
        <f>+H110/D110-1</f>
        <v>-0.12910864228881003</v>
      </c>
      <c r="I111" s="339">
        <f>+I110/E110-1</f>
        <v>-7.8428525765079193E-2</v>
      </c>
      <c r="J111" s="339">
        <f>+J110/F110-1</f>
        <v>-4.893233695652166E-2</v>
      </c>
      <c r="K111" s="339">
        <f t="shared" ref="K111" si="226">+K110/G110-1</f>
        <v>-0.10428322980377658</v>
      </c>
      <c r="L111" s="339">
        <f t="shared" ref="L111:P111" si="227">+L110/H110-1</f>
        <v>-1.8705035971222972E-2</v>
      </c>
      <c r="M111" s="339">
        <f t="shared" si="227"/>
        <v>1.9995669295719276E-2</v>
      </c>
      <c r="N111" s="339">
        <f t="shared" si="227"/>
        <v>-1.3717421124828544E-2</v>
      </c>
      <c r="O111" s="339">
        <f t="shared" si="227"/>
        <v>9.9343805846980437E-2</v>
      </c>
      <c r="P111" s="339">
        <f t="shared" si="227"/>
        <v>9.0909090909090828E-2</v>
      </c>
      <c r="Q111" s="339">
        <f t="shared" ref="Q111:S111" si="228">+Q110/M110-1</f>
        <v>9.5899737754966186E-2</v>
      </c>
      <c r="R111" s="339">
        <f t="shared" si="228"/>
        <v>1.6689847009735637E-2</v>
      </c>
      <c r="S111" s="339">
        <f t="shared" si="228"/>
        <v>9.2306797781013694E-2</v>
      </c>
      <c r="T111" s="339">
        <f t="shared" ref="T111:U111" si="229">+T110/P110-1</f>
        <v>0.11827956989247301</v>
      </c>
      <c r="U111" s="339">
        <f t="shared" si="229"/>
        <v>6.730792402183039E-2</v>
      </c>
      <c r="V111" s="339"/>
      <c r="W111" s="339"/>
      <c r="X111" s="339"/>
      <c r="Y111" s="339"/>
      <c r="Z111" s="339">
        <f>+Z110/X110-1</f>
        <v>2.1057444750762766E-2</v>
      </c>
      <c r="AA111" s="339">
        <f>+AA110/Y110-1</f>
        <v>-9.2738586741384021E-2</v>
      </c>
      <c r="AB111" s="339">
        <f t="shared" ref="AB111:AF111" si="230">+AB110/Z110-1</f>
        <v>-8.2474226804123751E-2</v>
      </c>
      <c r="AC111" s="339">
        <f t="shared" si="230"/>
        <v>2.2007472474645517E-2</v>
      </c>
      <c r="AD111" s="339">
        <f t="shared" si="230"/>
        <v>6.6011235955056202E-2</v>
      </c>
      <c r="AE111" s="339">
        <f>+AE110/AC110-1</f>
        <v>7.3458905770441563E-2</v>
      </c>
      <c r="AF111" s="339">
        <f t="shared" si="230"/>
        <v>4.2160737812911631E-2</v>
      </c>
      <c r="AG111" s="339">
        <f>+AG110/AE110-1</f>
        <v>9.0206037621961999E-2</v>
      </c>
      <c r="AH111" s="339"/>
      <c r="AI111" s="339"/>
      <c r="AJ111" s="339"/>
      <c r="AK111" s="339">
        <f>+AK110/AJ110-1</f>
        <v>-5.5330634278002666E-2</v>
      </c>
      <c r="AL111" s="339">
        <f>+AL110/AK110-1</f>
        <v>8.1428571428571406E-2</v>
      </c>
      <c r="AM111" s="339">
        <f>+AM110/AL110-1</f>
        <v>-4.4914134742404244E-2</v>
      </c>
      <c r="AN111" s="339">
        <f>+AN110/AM110-1</f>
        <v>-2.9045643153526979E-2</v>
      </c>
      <c r="AO111" s="339">
        <f t="shared" ref="AO111:AP111" si="231">+AO110/AN110-1</f>
        <v>6.4102564102564097E-2</v>
      </c>
      <c r="AP111" s="339">
        <f t="shared" si="231"/>
        <v>6.8273092369477872E-2</v>
      </c>
    </row>
    <row r="112" spans="1:59">
      <c r="A112" s="546" t="s">
        <v>226</v>
      </c>
      <c r="D112" s="339"/>
      <c r="E112" s="339"/>
      <c r="F112" s="339"/>
      <c r="G112" s="339"/>
      <c r="H112" s="339"/>
      <c r="I112" s="339"/>
      <c r="J112" s="339"/>
      <c r="K112" s="339"/>
      <c r="L112" s="339">
        <f>+L111+H111</f>
        <v>-0.147813678260033</v>
      </c>
      <c r="M112" s="339">
        <f t="shared" ref="M112" si="232">+M111+I111</f>
        <v>-5.8432856469359917E-2</v>
      </c>
      <c r="N112" s="339">
        <f t="shared" ref="N112" si="233">+N111+J111</f>
        <v>-6.2649758081350204E-2</v>
      </c>
      <c r="O112" s="339">
        <f t="shared" ref="O112" si="234">+O111+K111</f>
        <v>-4.9394239567961407E-3</v>
      </c>
      <c r="P112" s="339">
        <f t="shared" ref="P112" si="235">+P111+L111</f>
        <v>7.2204054937867856E-2</v>
      </c>
      <c r="Q112" s="339">
        <f t="shared" ref="Q112:S112" si="236">+Q111+M111</f>
        <v>0.11589540705068546</v>
      </c>
      <c r="R112" s="339">
        <f t="shared" si="236"/>
        <v>2.9724258849070928E-3</v>
      </c>
      <c r="S112" s="339">
        <f t="shared" si="236"/>
        <v>0.19165060362799413</v>
      </c>
      <c r="T112" s="339">
        <f t="shared" ref="T112:U112" si="237">+T111+P111</f>
        <v>0.20918866080156384</v>
      </c>
      <c r="U112" s="339">
        <f t="shared" si="237"/>
        <v>0.16320766177679658</v>
      </c>
      <c r="V112" s="339"/>
      <c r="W112" s="339"/>
      <c r="X112" s="339"/>
      <c r="Y112" s="339"/>
      <c r="Z112" s="339"/>
      <c r="AA112" s="339"/>
      <c r="AB112" s="339">
        <f t="shared" ref="AB112" si="238">+AB111+Z111</f>
        <v>-6.1416782053360985E-2</v>
      </c>
      <c r="AC112" s="339">
        <f t="shared" ref="AC112" si="239">+AC111+AA111</f>
        <v>-7.0731114266738504E-2</v>
      </c>
      <c r="AD112" s="339">
        <f t="shared" ref="AD112:AG112" si="240">+AD111+AB111</f>
        <v>-1.6462990849067549E-2</v>
      </c>
      <c r="AE112" s="339">
        <f t="shared" si="240"/>
        <v>9.546637824508708E-2</v>
      </c>
      <c r="AF112" s="339">
        <f t="shared" si="240"/>
        <v>0.10817197376796783</v>
      </c>
      <c r="AG112" s="339">
        <f t="shared" si="240"/>
        <v>0.16366494339240356</v>
      </c>
      <c r="AH112" s="339"/>
      <c r="AI112" s="339"/>
      <c r="AJ112" s="339"/>
      <c r="AK112" s="339"/>
      <c r="AL112" s="339">
        <f t="shared" ref="AL112" si="241">+AL111+AK111</f>
        <v>2.609793715056874E-2</v>
      </c>
      <c r="AM112" s="339">
        <f t="shared" ref="AM112" si="242">+AM111+AL111</f>
        <v>3.6514436686167162E-2</v>
      </c>
      <c r="AN112" s="339">
        <f t="shared" ref="AN112" si="243">+AN111+AM111</f>
        <v>-7.3959777895931222E-2</v>
      </c>
      <c r="AO112" s="339">
        <f t="shared" ref="AO112:AP112" si="244">+AO111+AN111</f>
        <v>3.5056920949037118E-2</v>
      </c>
      <c r="AP112" s="339">
        <f t="shared" si="244"/>
        <v>0.13237565647204197</v>
      </c>
    </row>
    <row r="113" spans="1:43">
      <c r="J113" s="586"/>
      <c r="AL113" s="519"/>
      <c r="AM113" s="519"/>
      <c r="AN113" s="519"/>
      <c r="AO113" s="519"/>
      <c r="AP113" s="519"/>
    </row>
    <row r="114" spans="1:43">
      <c r="A114" s="319" t="s">
        <v>301</v>
      </c>
      <c r="D114" s="589"/>
      <c r="E114" s="589"/>
      <c r="F114" s="589"/>
      <c r="G114" s="589"/>
      <c r="H114" s="589"/>
      <c r="I114" s="589"/>
      <c r="J114" s="590"/>
      <c r="K114" s="589"/>
      <c r="L114" s="589"/>
      <c r="M114" s="589"/>
      <c r="N114" s="589">
        <v>0.56000000000000005</v>
      </c>
      <c r="O114" s="589"/>
      <c r="P114" s="589"/>
      <c r="Q114" s="589"/>
      <c r="R114" s="589">
        <v>0.59</v>
      </c>
      <c r="S114" s="589"/>
      <c r="T114" s="589">
        <v>0.62</v>
      </c>
      <c r="U114" s="589"/>
      <c r="V114" s="589"/>
      <c r="X114" s="589">
        <v>0.19</v>
      </c>
      <c r="Y114" s="589">
        <f>+(AL114*AL8-X114*X8)/Y8</f>
        <v>0.29275035765379115</v>
      </c>
      <c r="Z114" s="589">
        <v>0.34</v>
      </c>
      <c r="AA114" s="589">
        <f>+(AM114*AM8-Z114*Z8)/AA8</f>
        <v>0.44411449764367977</v>
      </c>
      <c r="AB114" s="589">
        <v>0.46</v>
      </c>
      <c r="AC114" s="589">
        <f>(AN114*AN8-AB114*AB8)/AC8</f>
        <v>0.54610321615557222</v>
      </c>
      <c r="AD114" s="589">
        <v>0.56000000000000005</v>
      </c>
      <c r="AE114" s="589">
        <f>(AO114*AO8-AD114*AD8)/AE8</f>
        <v>0.59636486258641042</v>
      </c>
      <c r="AF114" s="589">
        <v>0.57999999999999996</v>
      </c>
      <c r="AG114" s="589">
        <f>(AP114*AP8-AF114*AF8)/AG8</f>
        <v>0.63668018539976823</v>
      </c>
      <c r="AJ114" s="589">
        <v>0.08</v>
      </c>
      <c r="AK114" s="589">
        <v>0.17</v>
      </c>
      <c r="AL114" s="359">
        <v>0.26</v>
      </c>
      <c r="AM114" s="359">
        <v>0.4</v>
      </c>
      <c r="AN114" s="359">
        <v>0.5</v>
      </c>
      <c r="AO114" s="359">
        <v>0.57999999999999996</v>
      </c>
      <c r="AP114" s="359">
        <v>0.61</v>
      </c>
    </row>
    <row r="115" spans="1:43">
      <c r="J115" s="586"/>
      <c r="AL115" s="519"/>
      <c r="AM115" s="519"/>
      <c r="AN115" s="519"/>
      <c r="AO115" s="519"/>
      <c r="AP115" s="519"/>
    </row>
    <row r="116" spans="1:43">
      <c r="A116" s="319" t="s">
        <v>302</v>
      </c>
      <c r="D116" s="355"/>
      <c r="E116" s="355">
        <f>+E8/E96*1000</f>
        <v>474.37633599739809</v>
      </c>
      <c r="F116" s="356" t="s">
        <v>251</v>
      </c>
      <c r="G116" s="355">
        <f t="shared" ref="G116:U116" si="245">+G8/G96*1000</f>
        <v>504.69991739372711</v>
      </c>
      <c r="H116" s="355">
        <f t="shared" si="245"/>
        <v>291.59559264210964</v>
      </c>
      <c r="I116" s="355">
        <f t="shared" si="245"/>
        <v>404.37282229965155</v>
      </c>
      <c r="J116" s="355">
        <f t="shared" si="245"/>
        <v>365.50374273026387</v>
      </c>
      <c r="K116" s="355">
        <f t="shared" si="245"/>
        <v>488.73981792045998</v>
      </c>
      <c r="L116" s="355">
        <f t="shared" si="245"/>
        <v>286.77900194426445</v>
      </c>
      <c r="M116" s="355">
        <f t="shared" si="245"/>
        <v>241.36978311255734</v>
      </c>
      <c r="N116" s="355">
        <f t="shared" si="245"/>
        <v>293.44356907929046</v>
      </c>
      <c r="O116" s="355">
        <f t="shared" si="245"/>
        <v>504.00341420845785</v>
      </c>
      <c r="P116" s="355">
        <f t="shared" si="245"/>
        <v>375.87016224016332</v>
      </c>
      <c r="Q116" s="355">
        <f t="shared" si="245"/>
        <v>389.24709334606018</v>
      </c>
      <c r="R116" s="355">
        <f t="shared" si="245"/>
        <v>343.53330364527005</v>
      </c>
      <c r="S116" s="355">
        <f t="shared" si="245"/>
        <v>508.95312977523412</v>
      </c>
      <c r="T116" s="355">
        <f t="shared" si="245"/>
        <v>398.58639247483796</v>
      </c>
      <c r="U116" s="355">
        <f t="shared" si="245"/>
        <v>377.15571720976993</v>
      </c>
      <c r="V116" s="355"/>
      <c r="X116" s="355">
        <v>870</v>
      </c>
      <c r="Y116" s="355">
        <f>+Y8/Y96*1000</f>
        <v>655.94208727126477</v>
      </c>
      <c r="Z116" s="355">
        <v>1041</v>
      </c>
      <c r="AA116" s="355">
        <f t="shared" ref="AA116:AF116" si="246">+AA8/AA96*1000</f>
        <v>624.7560975609756</v>
      </c>
      <c r="AB116" s="355">
        <f t="shared" si="246"/>
        <v>738.38045040728321</v>
      </c>
      <c r="AC116" s="355">
        <f t="shared" si="246"/>
        <v>513.05469001826589</v>
      </c>
      <c r="AD116" s="355">
        <f t="shared" si="246"/>
        <v>772.81500213388028</v>
      </c>
      <c r="AE116" s="355">
        <f t="shared" si="246"/>
        <v>700.64476802290835</v>
      </c>
      <c r="AF116" s="355">
        <f t="shared" si="246"/>
        <v>799.63465118217437</v>
      </c>
      <c r="AG116" s="355">
        <f t="shared" ref="AG116" si="247">+AG8/AG96*1000</f>
        <v>747.95568889781259</v>
      </c>
      <c r="AH116" s="355"/>
      <c r="AI116" s="355"/>
      <c r="AJ116" s="355">
        <f>+AJ8/AJ96*1000</f>
        <v>649.49608062709967</v>
      </c>
      <c r="AK116" s="355">
        <f>+AK8/AK96*1000</f>
        <v>826.36363636363637</v>
      </c>
      <c r="AL116" s="355">
        <v>963</v>
      </c>
      <c r="AM116" s="355">
        <f>+AM8/AM96*1000</f>
        <v>1084.1027874564459</v>
      </c>
      <c r="AN116" s="355">
        <f>+AN8/AN96*1000</f>
        <v>1104.3914718568205</v>
      </c>
      <c r="AO116" s="355">
        <f>+AO8/AO96*1000</f>
        <v>1273.942535552022</v>
      </c>
      <c r="AP116" s="355">
        <f>+AP8/AP96*1000</f>
        <v>1413.1422372513134</v>
      </c>
      <c r="AQ116" s="355"/>
    </row>
    <row r="117" spans="1:43">
      <c r="A117" s="319" t="s">
        <v>303</v>
      </c>
      <c r="D117" s="355"/>
      <c r="E117" s="355"/>
      <c r="F117" s="355"/>
      <c r="G117" s="355"/>
      <c r="H117" s="355"/>
      <c r="I117" s="355"/>
      <c r="J117" s="509"/>
      <c r="K117" s="355"/>
      <c r="L117" s="355"/>
      <c r="M117" s="355"/>
      <c r="N117" s="355"/>
      <c r="O117" s="355"/>
      <c r="P117" s="355"/>
      <c r="Q117" s="355"/>
      <c r="R117" s="355"/>
      <c r="S117" s="355"/>
      <c r="T117" s="355"/>
      <c r="U117" s="355"/>
      <c r="V117" s="355"/>
      <c r="X117" s="355">
        <v>735</v>
      </c>
      <c r="Y117" s="355">
        <f>+(AL117*AL8-X117*X8)/Y8</f>
        <v>732.06427549560601</v>
      </c>
      <c r="Z117" s="355">
        <v>735</v>
      </c>
      <c r="AA117" s="355">
        <v>643</v>
      </c>
      <c r="AB117" s="355">
        <v>643</v>
      </c>
      <c r="AC117" s="355">
        <f>+AN117*2-AB117</f>
        <v>603</v>
      </c>
      <c r="AD117" s="355">
        <v>661</v>
      </c>
      <c r="AE117" s="355">
        <f>+AO117*2-AD117</f>
        <v>633</v>
      </c>
      <c r="AF117" s="355">
        <v>685</v>
      </c>
      <c r="AG117" s="355">
        <f>+AP117*2-AF117</f>
        <v>693</v>
      </c>
      <c r="AH117" s="355"/>
      <c r="AI117" s="355"/>
      <c r="AJ117" s="355"/>
      <c r="AK117" s="355"/>
      <c r="AL117" s="355">
        <v>733</v>
      </c>
      <c r="AM117" s="355">
        <v>683</v>
      </c>
      <c r="AN117" s="355">
        <v>623</v>
      </c>
      <c r="AO117" s="355">
        <v>647</v>
      </c>
      <c r="AP117" s="355">
        <v>689</v>
      </c>
      <c r="AQ117" s="355"/>
    </row>
    <row r="118" spans="1:43">
      <c r="A118" s="319" t="s">
        <v>304</v>
      </c>
      <c r="D118" s="355"/>
      <c r="E118" s="355"/>
      <c r="F118" s="355"/>
      <c r="G118" s="355"/>
      <c r="H118" s="355"/>
      <c r="I118" s="355"/>
      <c r="J118" s="509"/>
      <c r="K118" s="355"/>
      <c r="L118" s="355"/>
      <c r="M118" s="355"/>
      <c r="N118" s="355"/>
      <c r="O118" s="355"/>
      <c r="P118" s="355"/>
      <c r="Q118" s="355"/>
      <c r="R118" s="355"/>
      <c r="S118" s="355"/>
      <c r="T118" s="355"/>
      <c r="U118" s="355"/>
      <c r="V118" s="355"/>
      <c r="X118" s="355">
        <v>832</v>
      </c>
      <c r="Y118" s="355">
        <f>+(AL118*AL8-X118*X8)/Y8</f>
        <v>845.21076026977312</v>
      </c>
      <c r="Z118" s="355">
        <v>868</v>
      </c>
      <c r="AA118" s="355">
        <v>757</v>
      </c>
      <c r="AB118" s="355">
        <v>817</v>
      </c>
      <c r="AC118" s="355">
        <f>+AN118*2-AB118</f>
        <v>793</v>
      </c>
      <c r="AD118" s="355">
        <v>859</v>
      </c>
      <c r="AE118" s="355">
        <f>+AO118*2-AD118</f>
        <v>827</v>
      </c>
      <c r="AF118" s="355">
        <v>890</v>
      </c>
      <c r="AG118" s="355">
        <f>+AP118*2-AF118</f>
        <v>884</v>
      </c>
      <c r="AH118" s="355"/>
      <c r="AI118" s="355"/>
      <c r="AJ118" s="355"/>
      <c r="AK118" s="355"/>
      <c r="AL118" s="355">
        <v>841</v>
      </c>
      <c r="AM118" s="355">
        <v>794</v>
      </c>
      <c r="AN118" s="355">
        <v>805</v>
      </c>
      <c r="AO118" s="355">
        <v>843</v>
      </c>
      <c r="AP118" s="355">
        <v>887</v>
      </c>
      <c r="AQ118" s="355"/>
    </row>
    <row r="119" spans="1:43">
      <c r="D119" s="355"/>
      <c r="E119" s="355"/>
      <c r="F119" s="355"/>
      <c r="G119" s="355"/>
      <c r="H119" s="355"/>
      <c r="I119" s="355"/>
      <c r="J119" s="509"/>
      <c r="K119" s="355"/>
      <c r="L119" s="355"/>
      <c r="M119" s="355"/>
      <c r="N119" s="355"/>
      <c r="O119" s="355"/>
      <c r="P119" s="355"/>
      <c r="Q119" s="355"/>
      <c r="R119" s="355"/>
      <c r="S119" s="355"/>
      <c r="T119" s="355"/>
      <c r="U119" s="355"/>
      <c r="V119" s="355"/>
      <c r="X119" s="355"/>
      <c r="Y119" s="355"/>
      <c r="Z119" s="355"/>
      <c r="AA119" s="355"/>
      <c r="AB119" s="355"/>
      <c r="AC119" s="355"/>
      <c r="AD119" s="355"/>
      <c r="AE119" s="355"/>
      <c r="AF119" s="355"/>
      <c r="AG119" s="355"/>
      <c r="AH119" s="355"/>
      <c r="AI119" s="355"/>
      <c r="AJ119" s="355"/>
      <c r="AK119" s="355"/>
      <c r="AL119" s="355"/>
      <c r="AM119" s="355"/>
      <c r="AN119" s="355"/>
      <c r="AO119" s="355"/>
      <c r="AP119" s="355"/>
      <c r="AQ119" s="355"/>
    </row>
    <row r="120" spans="1:43" ht="18.5">
      <c r="A120" s="327" t="s">
        <v>305</v>
      </c>
      <c r="B120" s="318"/>
      <c r="C120" s="318"/>
      <c r="D120" s="591"/>
      <c r="E120" s="328"/>
      <c r="F120" s="328"/>
      <c r="G120" s="591" t="s">
        <v>306</v>
      </c>
      <c r="H120" s="591"/>
      <c r="I120" s="328"/>
      <c r="J120" s="591" t="s">
        <v>307</v>
      </c>
      <c r="K120" s="591" t="s">
        <v>308</v>
      </c>
      <c r="L120" s="591"/>
      <c r="M120" s="328"/>
      <c r="N120" s="591" t="s">
        <v>309</v>
      </c>
      <c r="O120" s="591" t="s">
        <v>310</v>
      </c>
      <c r="P120" s="591"/>
      <c r="R120" s="591" t="s">
        <v>311</v>
      </c>
      <c r="S120" s="591" t="str">
        <f>+AF120</f>
        <v>Jan 24</v>
      </c>
      <c r="T120" s="591"/>
      <c r="U120" s="591"/>
      <c r="V120" s="591" t="s">
        <v>4194</v>
      </c>
      <c r="W120" s="318"/>
      <c r="X120" s="328"/>
      <c r="Y120" s="592"/>
      <c r="Z120" s="591" t="s">
        <v>306</v>
      </c>
      <c r="AA120" s="328"/>
      <c r="AB120" s="591" t="s">
        <v>308</v>
      </c>
      <c r="AC120" s="328"/>
      <c r="AD120" s="591" t="s">
        <v>310</v>
      </c>
      <c r="AE120" s="591"/>
      <c r="AF120" s="591" t="s">
        <v>312</v>
      </c>
      <c r="AG120" s="591"/>
      <c r="AH120" s="355"/>
      <c r="AI120" s="355"/>
      <c r="AJ120" s="355"/>
      <c r="AK120" s="355"/>
      <c r="AL120" s="355"/>
      <c r="AM120" s="355"/>
      <c r="AN120" s="355"/>
      <c r="AO120" s="355"/>
      <c r="AP120" s="355"/>
      <c r="AQ120" s="355"/>
    </row>
    <row r="121" spans="1:43">
      <c r="A121" s="318" t="s">
        <v>313</v>
      </c>
      <c r="B121" s="318"/>
      <c r="C121" s="318"/>
      <c r="D121" s="593"/>
      <c r="E121" s="328"/>
      <c r="F121" s="328"/>
      <c r="G121" s="593">
        <f>G123-G122</f>
        <v>857</v>
      </c>
      <c r="H121" s="593"/>
      <c r="I121" s="328"/>
      <c r="J121" s="593">
        <f>J123-J122</f>
        <v>1107</v>
      </c>
      <c r="K121" s="593" t="s">
        <v>251</v>
      </c>
      <c r="L121" s="593"/>
      <c r="M121" s="328"/>
      <c r="N121" s="593" t="s">
        <v>314</v>
      </c>
      <c r="O121" s="593" t="s">
        <v>315</v>
      </c>
      <c r="P121" s="593"/>
      <c r="R121" s="593" t="s">
        <v>418</v>
      </c>
      <c r="S121" s="593" t="str">
        <f t="shared" ref="S121:S148" si="248">+AF121</f>
        <v>&lt;1,600</v>
      </c>
      <c r="T121" s="593"/>
      <c r="U121" s="593"/>
      <c r="V121" s="593" t="str">
        <f>+S121</f>
        <v>&lt;1,600</v>
      </c>
      <c r="W121" s="318"/>
      <c r="X121" s="328"/>
      <c r="Y121" s="328"/>
      <c r="Z121" s="593">
        <f>G121</f>
        <v>857</v>
      </c>
      <c r="AA121" s="328"/>
      <c r="AB121" s="593" t="str">
        <f>K121</f>
        <v>NA</v>
      </c>
      <c r="AC121" s="328"/>
      <c r="AD121" s="593" t="str">
        <f>O121</f>
        <v>&gt;1,841</v>
      </c>
      <c r="AE121" s="593"/>
      <c r="AF121" s="593" t="str">
        <f>R121</f>
        <v>&lt;1,600</v>
      </c>
      <c r="AG121" s="593"/>
      <c r="AH121" s="355"/>
      <c r="AI121" s="355"/>
      <c r="AJ121" s="355"/>
      <c r="AK121" s="355"/>
      <c r="AL121" s="355"/>
      <c r="AM121" s="355"/>
      <c r="AN121" s="355"/>
      <c r="AO121" s="355"/>
      <c r="AP121" s="355"/>
      <c r="AQ121" s="355"/>
    </row>
    <row r="122" spans="1:43" ht="18.5">
      <c r="A122" s="318" t="s">
        <v>316</v>
      </c>
      <c r="B122" s="594"/>
      <c r="C122" s="594"/>
      <c r="D122" s="595"/>
      <c r="E122" s="577"/>
      <c r="F122" s="577"/>
      <c r="G122" s="595">
        <v>466</v>
      </c>
      <c r="H122" s="595"/>
      <c r="I122" s="577"/>
      <c r="J122" s="595">
        <v>608</v>
      </c>
      <c r="K122" s="596" t="s">
        <v>251</v>
      </c>
      <c r="L122" s="595"/>
      <c r="M122" s="577"/>
      <c r="N122" s="595">
        <v>641</v>
      </c>
      <c r="O122" s="595">
        <v>659</v>
      </c>
      <c r="P122" s="595"/>
      <c r="R122" s="595">
        <v>974</v>
      </c>
      <c r="S122" s="595" t="str">
        <f t="shared" si="248"/>
        <v>&gt;1,000</v>
      </c>
      <c r="T122" s="595"/>
      <c r="U122" s="595"/>
      <c r="V122" s="595" t="str">
        <f t="shared" ref="V122:V123" si="249">+S122</f>
        <v>&gt;1,000</v>
      </c>
      <c r="W122" s="594"/>
      <c r="X122" s="577"/>
      <c r="Y122" s="577"/>
      <c r="Z122" s="595">
        <f t="shared" ref="Z122:Z123" si="250">G122</f>
        <v>466</v>
      </c>
      <c r="AA122" s="577"/>
      <c r="AB122" s="596" t="str">
        <f t="shared" ref="AB122:AB123" si="251">K122</f>
        <v>NA</v>
      </c>
      <c r="AC122" s="577"/>
      <c r="AD122" s="595">
        <f t="shared" ref="AD122:AD123" si="252">O122</f>
        <v>659</v>
      </c>
      <c r="AE122" s="595"/>
      <c r="AF122" s="595" t="s">
        <v>419</v>
      </c>
      <c r="AG122" s="595"/>
      <c r="AH122" s="355"/>
      <c r="AI122" s="355"/>
      <c r="AJ122" s="355"/>
      <c r="AK122" s="355"/>
      <c r="AL122" s="355"/>
      <c r="AM122" s="355"/>
      <c r="AN122" s="355"/>
      <c r="AO122" s="355"/>
      <c r="AP122" s="355"/>
      <c r="AQ122" s="355"/>
    </row>
    <row r="123" spans="1:43">
      <c r="A123" s="332" t="s">
        <v>317</v>
      </c>
      <c r="B123" s="318"/>
      <c r="C123" s="318"/>
      <c r="D123" s="593"/>
      <c r="E123" s="328"/>
      <c r="F123" s="328"/>
      <c r="G123" s="593">
        <v>1323</v>
      </c>
      <c r="H123" s="593"/>
      <c r="I123" s="328"/>
      <c r="J123" s="593">
        <v>1715</v>
      </c>
      <c r="K123" s="593">
        <v>2493</v>
      </c>
      <c r="L123" s="593"/>
      <c r="M123" s="328"/>
      <c r="N123" s="593" t="s">
        <v>318</v>
      </c>
      <c r="O123" s="593" t="s">
        <v>318</v>
      </c>
      <c r="P123" s="593"/>
      <c r="R123" s="593" t="s">
        <v>318</v>
      </c>
      <c r="S123" s="593" t="str">
        <f t="shared" si="248"/>
        <v>&gt;2,500</v>
      </c>
      <c r="T123" s="593"/>
      <c r="U123" s="593"/>
      <c r="V123" s="593" t="str">
        <f t="shared" si="249"/>
        <v>&gt;2,500</v>
      </c>
      <c r="W123" s="318"/>
      <c r="X123" s="328"/>
      <c r="Y123" s="592"/>
      <c r="Z123" s="593">
        <f t="shared" si="250"/>
        <v>1323</v>
      </c>
      <c r="AA123" s="328"/>
      <c r="AB123" s="593">
        <f t="shared" si="251"/>
        <v>2493</v>
      </c>
      <c r="AC123" s="328"/>
      <c r="AD123" s="593" t="str">
        <f t="shared" si="252"/>
        <v>&gt;2,500</v>
      </c>
      <c r="AE123" s="593"/>
      <c r="AF123" s="593" t="str">
        <f>R123</f>
        <v>&gt;2,500</v>
      </c>
      <c r="AG123" s="593"/>
      <c r="AH123" s="355"/>
      <c r="AI123" s="355"/>
      <c r="AJ123" s="355"/>
      <c r="AK123" s="355"/>
      <c r="AL123" s="355"/>
      <c r="AM123" s="355"/>
      <c r="AN123" s="355"/>
      <c r="AO123" s="355"/>
      <c r="AP123" s="355"/>
      <c r="AQ123" s="355"/>
    </row>
    <row r="124" spans="1:43">
      <c r="D124" s="355"/>
      <c r="E124" s="355"/>
      <c r="F124" s="355"/>
      <c r="G124" s="355"/>
      <c r="H124" s="355"/>
      <c r="I124" s="355"/>
      <c r="J124" s="355"/>
      <c r="K124" s="355"/>
      <c r="L124" s="355"/>
      <c r="M124" s="355"/>
      <c r="N124" s="355"/>
      <c r="O124" s="355"/>
      <c r="P124" s="355"/>
      <c r="R124" s="355"/>
      <c r="S124" s="355"/>
      <c r="T124" s="355"/>
      <c r="U124" s="355"/>
      <c r="V124" s="355"/>
      <c r="X124" s="355"/>
      <c r="Y124" s="355"/>
      <c r="Z124" s="355"/>
      <c r="AA124" s="355"/>
      <c r="AB124" s="355"/>
      <c r="AC124" s="355"/>
      <c r="AD124" s="355"/>
      <c r="AE124" s="355"/>
      <c r="AF124" s="355"/>
      <c r="AG124" s="355"/>
      <c r="AH124" s="355"/>
      <c r="AI124" s="355"/>
      <c r="AJ124" s="355"/>
      <c r="AK124" s="355"/>
      <c r="AL124" s="355"/>
      <c r="AM124" s="355"/>
      <c r="AN124" s="355"/>
      <c r="AO124" s="355"/>
      <c r="AP124" s="355"/>
      <c r="AQ124" s="355"/>
    </row>
    <row r="125" spans="1:43" ht="18.5">
      <c r="A125" s="336" t="s">
        <v>237</v>
      </c>
      <c r="B125" s="337"/>
      <c r="C125" s="337"/>
      <c r="D125" s="547"/>
      <c r="E125" s="547"/>
      <c r="F125" s="547"/>
      <c r="G125" s="547"/>
      <c r="H125" s="547"/>
      <c r="I125" s="547"/>
      <c r="J125" s="547"/>
      <c r="K125" s="547"/>
      <c r="L125" s="547"/>
      <c r="M125" s="547"/>
      <c r="N125" s="547"/>
      <c r="O125" s="591"/>
      <c r="P125" s="591"/>
      <c r="R125" s="591"/>
      <c r="S125" s="591"/>
      <c r="T125" s="591"/>
      <c r="U125" s="591"/>
      <c r="V125" s="591"/>
      <c r="W125" s="337"/>
      <c r="X125" s="547"/>
      <c r="Y125" s="547"/>
      <c r="Z125" s="547"/>
      <c r="AA125" s="547"/>
      <c r="AB125" s="547"/>
      <c r="AC125" s="547"/>
      <c r="AD125" s="591"/>
      <c r="AE125" s="591"/>
      <c r="AF125" s="591"/>
      <c r="AG125" s="591"/>
      <c r="AH125" s="355"/>
      <c r="AI125" s="355"/>
      <c r="AJ125" s="355"/>
      <c r="AK125" s="355"/>
      <c r="AL125" s="355"/>
      <c r="AM125" s="355"/>
      <c r="AN125" s="355"/>
      <c r="AO125" s="355"/>
      <c r="AP125" s="355"/>
      <c r="AQ125" s="355"/>
    </row>
    <row r="126" spans="1:43">
      <c r="A126" s="338" t="str">
        <f>A121</f>
        <v>Non-Published Brands</v>
      </c>
      <c r="B126" s="337"/>
      <c r="C126" s="337"/>
      <c r="D126" s="547"/>
      <c r="E126" s="547"/>
      <c r="F126" s="547"/>
      <c r="G126" s="547"/>
      <c r="H126" s="547"/>
      <c r="I126" s="547"/>
      <c r="J126" s="547"/>
      <c r="K126" s="597" t="s">
        <v>251</v>
      </c>
      <c r="L126" s="547"/>
      <c r="M126" s="547"/>
      <c r="N126" s="339">
        <f>1859/J121-1</f>
        <v>0.67931345980126467</v>
      </c>
      <c r="O126" s="597" t="s">
        <v>251</v>
      </c>
      <c r="P126" s="597"/>
      <c r="R126" s="597" t="s">
        <v>251</v>
      </c>
      <c r="S126" s="597" t="str">
        <f t="shared" si="248"/>
        <v>NA</v>
      </c>
      <c r="T126" s="597"/>
      <c r="U126" s="597"/>
      <c r="V126" s="597" t="s">
        <v>251</v>
      </c>
      <c r="W126" s="547"/>
      <c r="X126" s="547"/>
      <c r="Y126" s="547"/>
      <c r="Z126" s="547"/>
      <c r="AA126" s="547"/>
      <c r="AB126" s="597" t="str">
        <f t="shared" ref="AB126:AB128" si="253">K126</f>
        <v>NA</v>
      </c>
      <c r="AC126" s="547"/>
      <c r="AD126" s="597" t="str">
        <f t="shared" ref="AD126:AD128" si="254">O126</f>
        <v>NA</v>
      </c>
      <c r="AE126" s="597"/>
      <c r="AF126" s="597" t="str">
        <f>R126</f>
        <v>NA</v>
      </c>
      <c r="AG126" s="597"/>
      <c r="AH126" s="355"/>
      <c r="AI126" s="355"/>
      <c r="AJ126" s="355"/>
      <c r="AK126" s="355"/>
      <c r="AL126" s="355"/>
      <c r="AM126" s="355"/>
      <c r="AN126" s="355"/>
      <c r="AO126" s="355"/>
      <c r="AP126" s="355"/>
      <c r="AQ126" s="355"/>
    </row>
    <row r="127" spans="1:43" ht="18.5">
      <c r="A127" s="338" t="str">
        <f t="shared" ref="A127:A128" si="255">A122</f>
        <v>Published Brands</v>
      </c>
      <c r="B127" s="340"/>
      <c r="C127" s="340"/>
      <c r="D127" s="598"/>
      <c r="E127" s="598"/>
      <c r="F127" s="598"/>
      <c r="G127" s="598"/>
      <c r="H127" s="598"/>
      <c r="I127" s="598"/>
      <c r="J127" s="598"/>
      <c r="K127" s="591" t="s">
        <v>251</v>
      </c>
      <c r="L127" s="598"/>
      <c r="M127" s="598"/>
      <c r="N127" s="330">
        <f>N122/J122-1</f>
        <v>5.4276315789473673E-2</v>
      </c>
      <c r="O127" s="591" t="s">
        <v>251</v>
      </c>
      <c r="P127" s="591"/>
      <c r="R127" s="591" t="s">
        <v>251</v>
      </c>
      <c r="S127" s="591" t="str">
        <f t="shared" si="248"/>
        <v>NA</v>
      </c>
      <c r="T127" s="591"/>
      <c r="U127" s="591"/>
      <c r="V127" s="330" t="s">
        <v>251</v>
      </c>
      <c r="W127" s="340"/>
      <c r="X127" s="598"/>
      <c r="Y127" s="598"/>
      <c r="Z127" s="598"/>
      <c r="AA127" s="598"/>
      <c r="AB127" s="591" t="str">
        <f t="shared" si="253"/>
        <v>NA</v>
      </c>
      <c r="AC127" s="598"/>
      <c r="AD127" s="591" t="str">
        <f t="shared" si="254"/>
        <v>NA</v>
      </c>
      <c r="AE127" s="591"/>
      <c r="AF127" s="591" t="str">
        <f>R127</f>
        <v>NA</v>
      </c>
      <c r="AG127" s="591"/>
      <c r="AH127" s="355"/>
      <c r="AI127" s="355"/>
      <c r="AJ127" s="355"/>
      <c r="AK127" s="355"/>
      <c r="AL127" s="355"/>
      <c r="AM127" s="355"/>
      <c r="AN127" s="355"/>
      <c r="AO127" s="355"/>
      <c r="AP127" s="355"/>
      <c r="AQ127" s="355"/>
    </row>
    <row r="128" spans="1:43">
      <c r="A128" s="341" t="str">
        <f t="shared" si="255"/>
        <v>Total Brands</v>
      </c>
      <c r="B128" s="337"/>
      <c r="C128" s="337"/>
      <c r="D128" s="547"/>
      <c r="E128" s="547"/>
      <c r="F128" s="547"/>
      <c r="G128" s="547"/>
      <c r="H128" s="547"/>
      <c r="I128" s="547"/>
      <c r="J128" s="547"/>
      <c r="K128" s="339">
        <f>K123/G123-1</f>
        <v>0.88435374149659873</v>
      </c>
      <c r="L128" s="547"/>
      <c r="M128" s="547"/>
      <c r="N128" s="339">
        <f t="shared" ref="N128" si="256">2500/J123-1</f>
        <v>0.45772594752186579</v>
      </c>
      <c r="O128" s="339">
        <f>2500/K123-1</f>
        <v>2.8078620136382515E-3</v>
      </c>
      <c r="P128" s="339"/>
      <c r="R128" s="339">
        <v>0</v>
      </c>
      <c r="S128" s="339">
        <f t="shared" si="248"/>
        <v>0</v>
      </c>
      <c r="T128" s="339"/>
      <c r="U128" s="339"/>
      <c r="V128" s="597">
        <v>0</v>
      </c>
      <c r="W128" s="337"/>
      <c r="X128" s="547"/>
      <c r="Y128" s="547"/>
      <c r="Z128" s="547"/>
      <c r="AA128" s="547"/>
      <c r="AB128" s="339">
        <f t="shared" si="253"/>
        <v>0.88435374149659873</v>
      </c>
      <c r="AC128" s="547"/>
      <c r="AD128" s="339">
        <f t="shared" si="254"/>
        <v>2.8078620136382515E-3</v>
      </c>
      <c r="AE128" s="339"/>
      <c r="AF128" s="339">
        <f>R128</f>
        <v>0</v>
      </c>
      <c r="AG128" s="339"/>
      <c r="AH128" s="355"/>
      <c r="AI128" s="355"/>
      <c r="AJ128" s="355"/>
      <c r="AK128" s="355"/>
      <c r="AL128" s="355"/>
      <c r="AM128" s="355"/>
      <c r="AN128" s="355"/>
      <c r="AO128" s="355"/>
      <c r="AP128" s="355"/>
      <c r="AQ128" s="355"/>
    </row>
    <row r="129" spans="1:43">
      <c r="A129" s="341"/>
      <c r="B129" s="337"/>
      <c r="C129" s="337"/>
      <c r="D129" s="547"/>
      <c r="E129" s="547"/>
      <c r="F129" s="547"/>
      <c r="G129" s="547"/>
      <c r="H129" s="547"/>
      <c r="I129" s="547"/>
      <c r="J129" s="547"/>
      <c r="K129" s="547"/>
      <c r="L129" s="547"/>
      <c r="M129" s="547"/>
      <c r="N129" s="547"/>
      <c r="O129" s="339"/>
      <c r="P129" s="339"/>
      <c r="R129" s="339"/>
      <c r="S129" s="339"/>
      <c r="T129" s="339"/>
      <c r="U129" s="339"/>
      <c r="V129" s="339"/>
      <c r="W129" s="337"/>
      <c r="X129" s="547"/>
      <c r="Y129" s="547"/>
      <c r="Z129" s="547"/>
      <c r="AA129" s="547"/>
      <c r="AB129" s="547"/>
      <c r="AC129" s="547"/>
      <c r="AD129" s="339"/>
      <c r="AE129" s="339"/>
      <c r="AF129" s="339"/>
      <c r="AG129" s="339"/>
      <c r="AH129" s="355"/>
      <c r="AI129" s="355"/>
      <c r="AJ129" s="355"/>
      <c r="AK129" s="355"/>
      <c r="AL129" s="355"/>
      <c r="AM129" s="355"/>
      <c r="AN129" s="355"/>
      <c r="AO129" s="355"/>
      <c r="AP129" s="355"/>
      <c r="AQ129" s="355"/>
    </row>
    <row r="130" spans="1:43" ht="18.5">
      <c r="A130" s="327" t="s">
        <v>319</v>
      </c>
      <c r="B130" s="318"/>
      <c r="C130" s="318"/>
      <c r="D130" s="328"/>
      <c r="E130" s="328"/>
      <c r="F130" s="328"/>
      <c r="G130" s="591" t="s">
        <v>306</v>
      </c>
      <c r="H130" s="591"/>
      <c r="I130" s="328"/>
      <c r="J130" s="591" t="s">
        <v>307</v>
      </c>
      <c r="K130" s="591" t="s">
        <v>308</v>
      </c>
      <c r="L130" s="591"/>
      <c r="M130" s="328"/>
      <c r="N130" s="591" t="s">
        <v>309</v>
      </c>
      <c r="O130" s="591" t="s">
        <v>310</v>
      </c>
      <c r="P130" s="591"/>
      <c r="R130" s="591" t="str">
        <f>+R120</f>
        <v>Aug 23</v>
      </c>
      <c r="S130" s="591" t="str">
        <f t="shared" si="248"/>
        <v>Jan 24</v>
      </c>
      <c r="T130" s="591"/>
      <c r="U130" s="591"/>
      <c r="V130" s="591" t="str">
        <f>+V120</f>
        <v>Aug 24</v>
      </c>
      <c r="W130" s="318"/>
      <c r="X130" s="328"/>
      <c r="Y130" s="592"/>
      <c r="Z130" s="591" t="s">
        <v>306</v>
      </c>
      <c r="AA130" s="328"/>
      <c r="AB130" s="591" t="s">
        <v>308</v>
      </c>
      <c r="AC130" s="328"/>
      <c r="AD130" s="591" t="s">
        <v>310</v>
      </c>
      <c r="AE130" s="591"/>
      <c r="AF130" s="591" t="s">
        <v>312</v>
      </c>
      <c r="AG130" s="591"/>
      <c r="AH130" s="355"/>
      <c r="AI130" s="355"/>
      <c r="AJ130" s="355"/>
      <c r="AK130" s="355"/>
      <c r="AL130" s="355"/>
      <c r="AM130" s="355"/>
      <c r="AN130" s="355"/>
      <c r="AO130" s="355"/>
      <c r="AP130" s="355"/>
      <c r="AQ130" s="355"/>
    </row>
    <row r="131" spans="1:43">
      <c r="A131" s="318" t="s">
        <v>320</v>
      </c>
      <c r="B131" s="318"/>
      <c r="C131" s="318"/>
      <c r="D131" s="328"/>
      <c r="E131" s="328"/>
      <c r="F131" s="328"/>
      <c r="G131" s="593">
        <f>G133-G132</f>
        <v>120000</v>
      </c>
      <c r="H131" s="593"/>
      <c r="I131" s="328"/>
      <c r="J131" s="593">
        <f>J133-J132</f>
        <v>112000</v>
      </c>
      <c r="K131" s="593" t="s">
        <v>251</v>
      </c>
      <c r="L131" s="593"/>
      <c r="M131" s="328"/>
      <c r="N131" s="593" t="s">
        <v>321</v>
      </c>
      <c r="O131" s="593" t="s">
        <v>322</v>
      </c>
      <c r="P131" s="593"/>
      <c r="R131" s="593" t="s">
        <v>323</v>
      </c>
      <c r="S131" s="593" t="str">
        <f t="shared" si="248"/>
        <v>&lt;301,000</v>
      </c>
      <c r="T131" s="593"/>
      <c r="U131" s="593"/>
      <c r="V131" s="593" t="s">
        <v>4199</v>
      </c>
      <c r="W131" s="318"/>
      <c r="X131" s="328"/>
      <c r="Y131" s="328"/>
      <c r="Z131" s="593">
        <f t="shared" ref="Z131:Z133" si="257">G131</f>
        <v>120000</v>
      </c>
      <c r="AA131" s="328"/>
      <c r="AB131" s="593" t="str">
        <f t="shared" ref="AB131:AB133" si="258">K131</f>
        <v>NA</v>
      </c>
      <c r="AC131" s="328"/>
      <c r="AD131" s="593" t="str">
        <f t="shared" ref="AD131:AD133" si="259">O131</f>
        <v>&gt;260,000</v>
      </c>
      <c r="AE131" s="593"/>
      <c r="AF131" s="593" t="s">
        <v>420</v>
      </c>
      <c r="AG131" s="593"/>
      <c r="AH131" s="355"/>
      <c r="AI131" s="355"/>
      <c r="AJ131" s="355"/>
      <c r="AK131" s="355"/>
      <c r="AL131" s="355"/>
      <c r="AM131" s="355"/>
      <c r="AN131" s="355"/>
      <c r="AO131" s="355"/>
      <c r="AP131" s="355"/>
      <c r="AQ131" s="355"/>
    </row>
    <row r="132" spans="1:43" ht="18.5">
      <c r="A132" s="318" t="s">
        <v>324</v>
      </c>
      <c r="B132" s="594"/>
      <c r="C132" s="594"/>
      <c r="D132" s="599"/>
      <c r="E132" s="577"/>
      <c r="F132" s="577"/>
      <c r="G132" s="595">
        <v>48000</v>
      </c>
      <c r="H132" s="595"/>
      <c r="I132" s="577"/>
      <c r="J132" s="595">
        <v>87000</v>
      </c>
      <c r="K132" s="596" t="s">
        <v>251</v>
      </c>
      <c r="L132" s="595"/>
      <c r="M132" s="577"/>
      <c r="N132" s="595">
        <v>113000</v>
      </c>
      <c r="O132" s="595">
        <v>140000</v>
      </c>
      <c r="P132" s="595"/>
      <c r="R132" s="595">
        <v>184000</v>
      </c>
      <c r="S132" s="595">
        <f t="shared" si="248"/>
        <v>199000</v>
      </c>
      <c r="T132" s="595"/>
      <c r="U132" s="595"/>
      <c r="V132" s="595">
        <v>200000</v>
      </c>
      <c r="W132" s="594"/>
      <c r="X132" s="577"/>
      <c r="Y132" s="577"/>
      <c r="Z132" s="595">
        <f t="shared" si="257"/>
        <v>48000</v>
      </c>
      <c r="AA132" s="577"/>
      <c r="AB132" s="596" t="str">
        <f t="shared" si="258"/>
        <v>NA</v>
      </c>
      <c r="AC132" s="577"/>
      <c r="AD132" s="595">
        <f t="shared" si="259"/>
        <v>140000</v>
      </c>
      <c r="AE132" s="595"/>
      <c r="AF132" s="595">
        <v>199000</v>
      </c>
      <c r="AG132" s="595"/>
      <c r="AH132" s="355"/>
      <c r="AI132" s="355"/>
      <c r="AJ132" s="355"/>
      <c r="AK132" s="355"/>
      <c r="AL132" s="355"/>
      <c r="AM132" s="355"/>
      <c r="AN132" s="355"/>
      <c r="AO132" s="355"/>
      <c r="AP132" s="355"/>
      <c r="AQ132" s="355"/>
    </row>
    <row r="133" spans="1:43">
      <c r="A133" s="332" t="s">
        <v>325</v>
      </c>
      <c r="B133" s="318"/>
      <c r="C133" s="318"/>
      <c r="D133" s="328"/>
      <c r="E133" s="328"/>
      <c r="F133" s="328"/>
      <c r="G133" s="593">
        <v>168000</v>
      </c>
      <c r="H133" s="593"/>
      <c r="I133" s="328"/>
      <c r="J133" s="593">
        <v>199000</v>
      </c>
      <c r="K133" s="593">
        <v>274000</v>
      </c>
      <c r="L133" s="593"/>
      <c r="M133" s="328"/>
      <c r="N133" s="593" t="s">
        <v>326</v>
      </c>
      <c r="O133" s="593" t="s">
        <v>326</v>
      </c>
      <c r="P133" s="593"/>
      <c r="R133" s="593" t="s">
        <v>327</v>
      </c>
      <c r="S133" s="593" t="str">
        <f t="shared" si="248"/>
        <v>&gt;500,000</v>
      </c>
      <c r="T133" s="593"/>
      <c r="U133" s="593"/>
      <c r="V133" s="593" t="str">
        <f>+S133</f>
        <v>&gt;500,000</v>
      </c>
      <c r="W133" s="318"/>
      <c r="X133" s="328"/>
      <c r="Y133" s="592"/>
      <c r="Z133" s="593">
        <f t="shared" si="257"/>
        <v>168000</v>
      </c>
      <c r="AA133" s="328"/>
      <c r="AB133" s="593">
        <f t="shared" si="258"/>
        <v>274000</v>
      </c>
      <c r="AC133" s="328"/>
      <c r="AD133" s="593" t="str">
        <f t="shared" si="259"/>
        <v>&gt;400,000</v>
      </c>
      <c r="AE133" s="593"/>
      <c r="AF133" s="593" t="str">
        <f>R133</f>
        <v>&gt;500,000</v>
      </c>
      <c r="AG133" s="593"/>
      <c r="AH133" s="355"/>
      <c r="AI133" s="355"/>
      <c r="AJ133" s="355"/>
      <c r="AK133" s="355"/>
      <c r="AL133" s="355"/>
      <c r="AM133" s="355"/>
      <c r="AN133" s="355"/>
      <c r="AO133" s="355"/>
      <c r="AP133" s="355"/>
      <c r="AQ133" s="355"/>
    </row>
    <row r="134" spans="1:43">
      <c r="D134" s="355"/>
      <c r="E134" s="355"/>
      <c r="F134" s="355"/>
      <c r="G134" s="355"/>
      <c r="H134" s="355"/>
      <c r="I134" s="355"/>
      <c r="J134" s="355"/>
      <c r="K134" s="355"/>
      <c r="L134" s="355"/>
      <c r="M134" s="355"/>
      <c r="N134" s="355"/>
      <c r="O134" s="355"/>
      <c r="P134" s="355"/>
      <c r="R134" s="355"/>
      <c r="S134" s="355"/>
      <c r="T134" s="355"/>
      <c r="U134" s="355"/>
      <c r="V134" s="355"/>
      <c r="X134" s="355"/>
      <c r="Y134" s="355"/>
      <c r="Z134" s="355"/>
      <c r="AA134" s="355"/>
      <c r="AB134" s="355"/>
      <c r="AC134" s="355"/>
      <c r="AD134" s="355"/>
      <c r="AE134" s="355"/>
      <c r="AF134" s="355"/>
      <c r="AG134" s="355"/>
      <c r="AH134" s="355"/>
      <c r="AI134" s="355"/>
      <c r="AJ134" s="355"/>
      <c r="AK134" s="355"/>
      <c r="AL134" s="355"/>
      <c r="AM134" s="355"/>
      <c r="AN134" s="355"/>
      <c r="AO134" s="355"/>
      <c r="AP134" s="355"/>
      <c r="AQ134" s="355"/>
    </row>
    <row r="135" spans="1:43" ht="18.5">
      <c r="A135" s="336" t="s">
        <v>237</v>
      </c>
      <c r="B135" s="337"/>
      <c r="C135" s="337"/>
      <c r="D135" s="547"/>
      <c r="E135" s="547"/>
      <c r="F135" s="547"/>
      <c r="G135" s="547"/>
      <c r="H135" s="547"/>
      <c r="I135" s="547"/>
      <c r="J135" s="547"/>
      <c r="K135" s="547"/>
      <c r="L135" s="547"/>
      <c r="M135" s="547"/>
      <c r="N135" s="547"/>
      <c r="O135" s="591"/>
      <c r="P135" s="591"/>
      <c r="R135" s="591"/>
      <c r="S135" s="591"/>
      <c r="T135" s="591"/>
      <c r="U135" s="591"/>
      <c r="W135" s="337"/>
      <c r="X135" s="547"/>
      <c r="Y135" s="547"/>
      <c r="Z135" s="547"/>
      <c r="AA135" s="547"/>
      <c r="AB135" s="547"/>
      <c r="AC135" s="547"/>
      <c r="AD135" s="591"/>
      <c r="AE135" s="591"/>
      <c r="AF135" s="591"/>
      <c r="AG135" s="591"/>
      <c r="AH135" s="355"/>
      <c r="AI135" s="355"/>
      <c r="AJ135" s="355"/>
      <c r="AK135" s="355"/>
      <c r="AL135" s="355"/>
      <c r="AM135" s="355"/>
      <c r="AN135" s="355"/>
      <c r="AO135" s="355"/>
      <c r="AP135" s="355"/>
      <c r="AQ135" s="355"/>
    </row>
    <row r="136" spans="1:43">
      <c r="A136" s="338" t="str">
        <f>A131</f>
        <v>Non-Published Products</v>
      </c>
      <c r="B136" s="337"/>
      <c r="C136" s="337"/>
      <c r="D136" s="547"/>
      <c r="E136" s="547"/>
      <c r="F136" s="547"/>
      <c r="G136" s="547"/>
      <c r="H136" s="547"/>
      <c r="I136" s="547"/>
      <c r="J136" s="547"/>
      <c r="K136" s="597" t="s">
        <v>251</v>
      </c>
      <c r="L136" s="547"/>
      <c r="M136" s="547"/>
      <c r="N136" s="339">
        <f>287000/J131-1</f>
        <v>1.5625</v>
      </c>
      <c r="O136" s="597" t="s">
        <v>251</v>
      </c>
      <c r="P136" s="597"/>
      <c r="R136" s="339">
        <f>1.10104529616725-1</f>
        <v>0.10104529616725011</v>
      </c>
      <c r="S136" s="339">
        <f t="shared" si="248"/>
        <v>0.15769230769231002</v>
      </c>
      <c r="T136" s="339"/>
      <c r="U136" s="339"/>
      <c r="V136" s="597" t="s">
        <v>251</v>
      </c>
      <c r="W136" s="547"/>
      <c r="X136" s="547"/>
      <c r="Y136" s="547"/>
      <c r="Z136" s="547"/>
      <c r="AA136" s="547"/>
      <c r="AB136" s="597" t="str">
        <f t="shared" ref="AB136:AB138" si="260">K136</f>
        <v>NA</v>
      </c>
      <c r="AC136" s="547"/>
      <c r="AD136" s="597" t="str">
        <f t="shared" ref="AD136:AD138" si="261">O136</f>
        <v>NA</v>
      </c>
      <c r="AE136" s="597"/>
      <c r="AF136" s="339">
        <f>1.15769230769231-1</f>
        <v>0.15769230769231002</v>
      </c>
      <c r="AG136" s="339"/>
      <c r="AH136" s="355"/>
      <c r="AI136" s="355"/>
      <c r="AJ136" s="355"/>
      <c r="AK136" s="355"/>
      <c r="AL136" s="355"/>
      <c r="AM136" s="355"/>
      <c r="AN136" s="355"/>
      <c r="AO136" s="355"/>
      <c r="AP136" s="355"/>
      <c r="AQ136" s="355"/>
    </row>
    <row r="137" spans="1:43" ht="18.5">
      <c r="A137" s="338" t="str">
        <f t="shared" ref="A137:A138" si="262">A132</f>
        <v>Published Products</v>
      </c>
      <c r="B137" s="340"/>
      <c r="C137" s="340"/>
      <c r="D137" s="598"/>
      <c r="E137" s="598"/>
      <c r="F137" s="598"/>
      <c r="G137" s="598"/>
      <c r="H137" s="598"/>
      <c r="I137" s="598"/>
      <c r="J137" s="598"/>
      <c r="K137" s="591" t="s">
        <v>251</v>
      </c>
      <c r="L137" s="598"/>
      <c r="M137" s="598"/>
      <c r="N137" s="330">
        <f>N132/J132-1</f>
        <v>0.29885057471264376</v>
      </c>
      <c r="O137" s="591" t="s">
        <v>251</v>
      </c>
      <c r="P137" s="591"/>
      <c r="R137" s="330">
        <f>+R132/N132-1</f>
        <v>0.62831858407079655</v>
      </c>
      <c r="S137" s="330">
        <f t="shared" si="248"/>
        <v>0.42142857142856993</v>
      </c>
      <c r="T137" s="330"/>
      <c r="U137" s="330"/>
      <c r="V137" s="330">
        <f>+V132/R132-1</f>
        <v>8.6956521739130377E-2</v>
      </c>
      <c r="W137" s="340"/>
      <c r="X137" s="598"/>
      <c r="Y137" s="598"/>
      <c r="Z137" s="598"/>
      <c r="AA137" s="598"/>
      <c r="AB137" s="591" t="str">
        <f t="shared" si="260"/>
        <v>NA</v>
      </c>
      <c r="AC137" s="598"/>
      <c r="AD137" s="591" t="str">
        <f t="shared" si="261"/>
        <v>NA</v>
      </c>
      <c r="AE137" s="591"/>
      <c r="AF137" s="330">
        <f>1.42142857142857-1</f>
        <v>0.42142857142856993</v>
      </c>
      <c r="AG137" s="330"/>
      <c r="AH137" s="355"/>
      <c r="AI137" s="355"/>
      <c r="AJ137" s="355"/>
      <c r="AK137" s="355"/>
      <c r="AL137" s="355"/>
      <c r="AM137" s="355"/>
      <c r="AN137" s="355"/>
      <c r="AO137" s="355"/>
      <c r="AP137" s="355"/>
      <c r="AQ137" s="355"/>
    </row>
    <row r="138" spans="1:43">
      <c r="A138" s="341" t="str">
        <f t="shared" si="262"/>
        <v>Total Products</v>
      </c>
      <c r="B138" s="337"/>
      <c r="C138" s="337"/>
      <c r="D138" s="547"/>
      <c r="E138" s="547"/>
      <c r="F138" s="547"/>
      <c r="G138" s="547"/>
      <c r="H138" s="547"/>
      <c r="I138" s="547"/>
      <c r="J138" s="547"/>
      <c r="K138" s="339">
        <f>K133/G133-1</f>
        <v>0.63095238095238093</v>
      </c>
      <c r="L138" s="547"/>
      <c r="M138" s="547"/>
      <c r="N138" s="339">
        <f>400000/J133-1</f>
        <v>1.0100502512562812</v>
      </c>
      <c r="O138" s="339">
        <f>400000/K133-1</f>
        <v>0.45985401459854014</v>
      </c>
      <c r="P138" s="339"/>
      <c r="R138" s="339">
        <f>1.25-1</f>
        <v>0.25</v>
      </c>
      <c r="S138" s="339">
        <f t="shared" si="248"/>
        <v>0.25</v>
      </c>
      <c r="T138" s="339"/>
      <c r="U138" s="339"/>
      <c r="V138" s="597" t="s">
        <v>251</v>
      </c>
      <c r="W138" s="337"/>
      <c r="X138" s="547"/>
      <c r="Y138" s="547"/>
      <c r="Z138" s="547"/>
      <c r="AA138" s="547"/>
      <c r="AB138" s="339">
        <f t="shared" si="260"/>
        <v>0.63095238095238093</v>
      </c>
      <c r="AC138" s="547"/>
      <c r="AD138" s="339">
        <f t="shared" si="261"/>
        <v>0.45985401459854014</v>
      </c>
      <c r="AE138" s="339"/>
      <c r="AF138" s="339">
        <f>R138</f>
        <v>0.25</v>
      </c>
      <c r="AG138" s="339"/>
      <c r="AH138" s="355"/>
      <c r="AI138" s="355"/>
      <c r="AJ138" s="355"/>
      <c r="AK138" s="355"/>
      <c r="AL138" s="355"/>
      <c r="AM138" s="355"/>
      <c r="AN138" s="355"/>
      <c r="AO138" s="355"/>
      <c r="AP138" s="355"/>
      <c r="AQ138" s="355"/>
    </row>
    <row r="139" spans="1:43">
      <c r="A139" s="341"/>
      <c r="B139" s="337"/>
      <c r="C139" s="337"/>
      <c r="D139" s="547"/>
      <c r="E139" s="547"/>
      <c r="F139" s="547"/>
      <c r="G139" s="547"/>
      <c r="H139" s="547"/>
      <c r="I139" s="547"/>
      <c r="J139" s="547"/>
      <c r="K139" s="547"/>
      <c r="L139" s="547"/>
      <c r="M139" s="547"/>
      <c r="N139" s="547"/>
      <c r="O139" s="339"/>
      <c r="P139" s="339"/>
      <c r="R139" s="339"/>
      <c r="S139" s="339"/>
      <c r="T139" s="339"/>
      <c r="U139" s="339"/>
      <c r="V139" s="339"/>
      <c r="W139" s="337"/>
      <c r="X139" s="547"/>
      <c r="Y139" s="547"/>
      <c r="Z139" s="547"/>
      <c r="AA139" s="547"/>
      <c r="AB139" s="547"/>
      <c r="AC139" s="547"/>
      <c r="AD139" s="339"/>
      <c r="AE139" s="339"/>
      <c r="AF139" s="339"/>
      <c r="AG139" s="339"/>
      <c r="AH139" s="355"/>
      <c r="AI139" s="355"/>
      <c r="AJ139" s="355"/>
      <c r="AK139" s="355"/>
      <c r="AL139" s="355"/>
      <c r="AM139" s="355"/>
      <c r="AN139" s="355"/>
      <c r="AO139" s="355"/>
      <c r="AP139" s="355"/>
      <c r="AQ139" s="355"/>
    </row>
    <row r="140" spans="1:43" ht="18.5">
      <c r="A140" s="327" t="s">
        <v>328</v>
      </c>
      <c r="B140" s="318"/>
      <c r="C140" s="318"/>
      <c r="D140" s="328"/>
      <c r="E140" s="328"/>
      <c r="F140" s="328"/>
      <c r="G140" s="591" t="s">
        <v>306</v>
      </c>
      <c r="H140" s="591"/>
      <c r="I140" s="328"/>
      <c r="J140" s="591" t="s">
        <v>307</v>
      </c>
      <c r="K140" s="591" t="s">
        <v>308</v>
      </c>
      <c r="L140" s="591"/>
      <c r="M140" s="328"/>
      <c r="N140" s="591" t="s">
        <v>309</v>
      </c>
      <c r="O140" s="591" t="s">
        <v>310</v>
      </c>
      <c r="P140" s="591"/>
      <c r="R140" s="591" t="str">
        <f>+R130</f>
        <v>Aug 23</v>
      </c>
      <c r="S140" s="591" t="str">
        <f t="shared" si="248"/>
        <v>Jan 24</v>
      </c>
      <c r="T140" s="591"/>
      <c r="U140" s="591"/>
      <c r="V140" s="591" t="str">
        <f>+V130</f>
        <v>Aug 24</v>
      </c>
      <c r="W140" s="318"/>
      <c r="X140" s="328"/>
      <c r="Y140" s="592"/>
      <c r="Z140" s="591" t="s">
        <v>306</v>
      </c>
      <c r="AA140" s="328"/>
      <c r="AB140" s="591" t="s">
        <v>308</v>
      </c>
      <c r="AC140" s="328"/>
      <c r="AD140" s="591" t="s">
        <v>310</v>
      </c>
      <c r="AE140" s="591"/>
      <c r="AF140" s="591" t="s">
        <v>312</v>
      </c>
      <c r="AG140" s="591"/>
      <c r="AH140" s="355"/>
      <c r="AI140" s="355"/>
      <c r="AJ140" s="355"/>
      <c r="AK140" s="355"/>
      <c r="AL140" s="355"/>
      <c r="AM140" s="355"/>
      <c r="AN140" s="355"/>
      <c r="AO140" s="355"/>
      <c r="AP140" s="355"/>
      <c r="AQ140" s="355"/>
    </row>
    <row r="141" spans="1:43">
      <c r="A141" s="318" t="s">
        <v>329</v>
      </c>
      <c r="B141" s="349"/>
      <c r="C141" s="349"/>
      <c r="D141" s="600"/>
      <c r="E141" s="328"/>
      <c r="F141" s="328"/>
      <c r="G141" s="593">
        <v>265000</v>
      </c>
      <c r="H141" s="593"/>
      <c r="I141" s="328"/>
      <c r="J141" s="593">
        <v>416000</v>
      </c>
      <c r="K141" s="601" t="s">
        <v>251</v>
      </c>
      <c r="L141" s="593"/>
      <c r="M141" s="328"/>
      <c r="N141" s="593">
        <v>400000</v>
      </c>
      <c r="O141" s="593">
        <v>600000</v>
      </c>
      <c r="P141" s="593"/>
      <c r="R141" s="593" t="s">
        <v>421</v>
      </c>
      <c r="S141" s="593" t="str">
        <f t="shared" si="248"/>
        <v>&lt;1,000,000</v>
      </c>
      <c r="T141" s="593"/>
      <c r="U141" s="593"/>
      <c r="V141" s="593" t="str">
        <f>+S141</f>
        <v>&lt;1,000,000</v>
      </c>
      <c r="W141" s="349"/>
      <c r="X141" s="328"/>
      <c r="Y141" s="328"/>
      <c r="Z141" s="593">
        <f t="shared" ref="Z141:Z143" si="263">G141</f>
        <v>265000</v>
      </c>
      <c r="AA141" s="328"/>
      <c r="AB141" s="601" t="str">
        <f t="shared" ref="AB141:AB143" si="264">K141</f>
        <v>NA</v>
      </c>
      <c r="AC141" s="328"/>
      <c r="AD141" s="593">
        <v>600000</v>
      </c>
      <c r="AE141" s="593"/>
      <c r="AF141" s="593" t="s">
        <v>421</v>
      </c>
      <c r="AG141" s="593"/>
      <c r="AH141" s="355"/>
      <c r="AI141" s="355"/>
      <c r="AJ141" s="355"/>
      <c r="AK141" s="355"/>
      <c r="AL141" s="355"/>
      <c r="AM141" s="355"/>
      <c r="AN141" s="355"/>
      <c r="AO141" s="355"/>
      <c r="AP141" s="355"/>
      <c r="AQ141" s="355"/>
    </row>
    <row r="142" spans="1:43" s="513" customFormat="1">
      <c r="A142" s="318" t="s">
        <v>331</v>
      </c>
      <c r="B142" s="327"/>
      <c r="C142" s="327"/>
      <c r="D142" s="577"/>
      <c r="E142" s="577"/>
      <c r="F142" s="577"/>
      <c r="G142" s="595">
        <f>G143-G141</f>
        <v>255000</v>
      </c>
      <c r="H142" s="595"/>
      <c r="I142" s="577"/>
      <c r="J142" s="595">
        <f>J143-J141</f>
        <v>297000</v>
      </c>
      <c r="K142" s="595" t="s">
        <v>251</v>
      </c>
      <c r="L142" s="595"/>
      <c r="M142" s="577"/>
      <c r="N142" s="595" t="s">
        <v>422</v>
      </c>
      <c r="O142" s="602" t="s">
        <v>422</v>
      </c>
      <c r="P142" s="595"/>
      <c r="R142" s="595" t="s">
        <v>423</v>
      </c>
      <c r="S142" s="595" t="str">
        <f t="shared" si="248"/>
        <v>&gt;1,000,000</v>
      </c>
      <c r="T142" s="595"/>
      <c r="U142" s="595"/>
      <c r="V142" s="595" t="str">
        <f>+S142</f>
        <v>&gt;1,000,000</v>
      </c>
      <c r="W142" s="327"/>
      <c r="X142" s="577"/>
      <c r="Y142" s="577"/>
      <c r="Z142" s="595">
        <f>G142</f>
        <v>255000</v>
      </c>
      <c r="AA142" s="577"/>
      <c r="AB142" s="595" t="str">
        <f>K142</f>
        <v>NA</v>
      </c>
      <c r="AC142" s="577"/>
      <c r="AD142" s="602" t="s">
        <v>422</v>
      </c>
      <c r="AE142" s="602"/>
      <c r="AF142" s="595" t="s">
        <v>423</v>
      </c>
      <c r="AG142" s="595"/>
      <c r="AH142" s="535"/>
      <c r="AI142" s="535"/>
      <c r="AJ142" s="535"/>
      <c r="AK142" s="535"/>
      <c r="AL142" s="535"/>
      <c r="AM142" s="535"/>
      <c r="AN142" s="535"/>
      <c r="AO142" s="535"/>
      <c r="AP142" s="535"/>
      <c r="AQ142" s="535"/>
    </row>
    <row r="143" spans="1:43">
      <c r="A143" s="332" t="s">
        <v>335</v>
      </c>
      <c r="B143" s="318"/>
      <c r="C143" s="318"/>
      <c r="D143" s="328"/>
      <c r="E143" s="328"/>
      <c r="F143" s="328"/>
      <c r="G143" s="593">
        <v>520000</v>
      </c>
      <c r="H143" s="593"/>
      <c r="I143" s="328"/>
      <c r="J143" s="593">
        <v>713000</v>
      </c>
      <c r="K143" s="593">
        <v>850000</v>
      </c>
      <c r="L143" s="593"/>
      <c r="M143" s="328"/>
      <c r="N143" s="593" t="s">
        <v>423</v>
      </c>
      <c r="O143" s="593" t="s">
        <v>424</v>
      </c>
      <c r="P143" s="593"/>
      <c r="R143" s="593" t="s">
        <v>4200</v>
      </c>
      <c r="S143" s="593" t="str">
        <f t="shared" si="248"/>
        <v>&gt;2,000,000</v>
      </c>
      <c r="T143" s="593"/>
      <c r="U143" s="593"/>
      <c r="V143" s="593" t="str">
        <f>+S143</f>
        <v>&gt;2,000,000</v>
      </c>
      <c r="W143" s="318"/>
      <c r="X143" s="328"/>
      <c r="Y143" s="592"/>
      <c r="Z143" s="593">
        <f t="shared" si="263"/>
        <v>520000</v>
      </c>
      <c r="AA143" s="328"/>
      <c r="AB143" s="593">
        <f t="shared" si="264"/>
        <v>850000</v>
      </c>
      <c r="AC143" s="328"/>
      <c r="AD143" s="593" t="s">
        <v>424</v>
      </c>
      <c r="AE143" s="593"/>
      <c r="AF143" s="593" t="s">
        <v>425</v>
      </c>
      <c r="AG143" s="593"/>
      <c r="AH143" s="355"/>
      <c r="AI143" s="355"/>
      <c r="AJ143" s="355"/>
      <c r="AK143" s="355"/>
      <c r="AL143" s="355"/>
      <c r="AM143" s="355"/>
      <c r="AN143" s="355"/>
      <c r="AO143" s="355"/>
      <c r="AP143" s="355"/>
      <c r="AQ143" s="355"/>
    </row>
    <row r="144" spans="1:43">
      <c r="D144" s="355"/>
      <c r="E144" s="355"/>
      <c r="F144" s="355"/>
      <c r="G144" s="355"/>
      <c r="H144" s="355"/>
      <c r="I144" s="355"/>
      <c r="J144" s="355"/>
      <c r="K144" s="355"/>
      <c r="L144" s="355"/>
      <c r="M144" s="355"/>
      <c r="N144" s="355"/>
      <c r="O144" s="355"/>
      <c r="P144" s="355"/>
      <c r="R144" s="355"/>
      <c r="S144" s="355"/>
      <c r="T144" s="355"/>
      <c r="U144" s="355"/>
      <c r="V144" s="355"/>
      <c r="X144" s="355"/>
      <c r="Y144" s="355"/>
      <c r="Z144" s="355"/>
      <c r="AA144" s="355"/>
      <c r="AB144" s="355"/>
      <c r="AC144" s="355"/>
      <c r="AD144" s="355"/>
      <c r="AE144" s="355"/>
      <c r="AF144" s="355"/>
      <c r="AG144" s="355"/>
      <c r="AH144" s="355"/>
      <c r="AI144" s="355"/>
      <c r="AJ144" s="355"/>
      <c r="AK144" s="355"/>
      <c r="AL144" s="355"/>
      <c r="AM144" s="355"/>
      <c r="AN144" s="355"/>
      <c r="AO144" s="355"/>
      <c r="AP144" s="355"/>
      <c r="AQ144" s="355"/>
    </row>
    <row r="145" spans="1:43" ht="18.5">
      <c r="A145" s="336" t="s">
        <v>237</v>
      </c>
      <c r="B145" s="337"/>
      <c r="C145" s="337"/>
      <c r="D145" s="547"/>
      <c r="E145" s="547"/>
      <c r="F145" s="547"/>
      <c r="G145" s="547"/>
      <c r="H145" s="547"/>
      <c r="I145" s="547"/>
      <c r="J145" s="547"/>
      <c r="K145" s="547"/>
      <c r="L145" s="547"/>
      <c r="M145" s="547"/>
      <c r="N145" s="547"/>
      <c r="O145" s="591"/>
      <c r="P145" s="591"/>
      <c r="R145" s="591"/>
      <c r="S145" s="591"/>
      <c r="T145" s="591"/>
      <c r="U145" s="591"/>
      <c r="V145" s="591"/>
      <c r="W145" s="337"/>
      <c r="X145" s="547"/>
      <c r="Y145" s="547"/>
      <c r="Z145" s="547"/>
      <c r="AA145" s="547"/>
      <c r="AB145" s="547"/>
      <c r="AC145" s="547"/>
      <c r="AD145" s="591"/>
      <c r="AE145" s="591"/>
      <c r="AF145" s="591"/>
      <c r="AG145" s="591"/>
      <c r="AH145" s="355"/>
      <c r="AI145" s="355"/>
      <c r="AJ145" s="355"/>
      <c r="AK145" s="355"/>
      <c r="AL145" s="355"/>
      <c r="AM145" s="355"/>
      <c r="AN145" s="355"/>
      <c r="AO145" s="355"/>
      <c r="AP145" s="355"/>
      <c r="AQ145" s="355"/>
    </row>
    <row r="146" spans="1:43">
      <c r="A146" s="338" t="str">
        <f>A141</f>
        <v>Non-Published Stock Value</v>
      </c>
      <c r="B146" s="337"/>
      <c r="C146" s="337"/>
      <c r="D146" s="547"/>
      <c r="E146" s="547"/>
      <c r="F146" s="547"/>
      <c r="G146" s="547"/>
      <c r="H146" s="547"/>
      <c r="I146" s="547"/>
      <c r="J146" s="571"/>
      <c r="K146" s="597" t="s">
        <v>251</v>
      </c>
      <c r="L146" s="547"/>
      <c r="M146" s="547"/>
      <c r="N146" s="339">
        <f>N141/J141-1</f>
        <v>-3.8461538461538436E-2</v>
      </c>
      <c r="O146" s="597" t="s">
        <v>251</v>
      </c>
      <c r="P146" s="597"/>
      <c r="R146" s="339">
        <f>1/0.4-1</f>
        <v>1.5</v>
      </c>
      <c r="S146" s="339" t="str">
        <f t="shared" si="248"/>
        <v>NA</v>
      </c>
      <c r="T146" s="339"/>
      <c r="U146" s="339"/>
      <c r="V146" s="339" t="s">
        <v>251</v>
      </c>
      <c r="W146" s="337"/>
      <c r="X146" s="547"/>
      <c r="Y146" s="547"/>
      <c r="Z146" s="547"/>
      <c r="AA146" s="547"/>
      <c r="AB146" s="597" t="str">
        <f>K146</f>
        <v>NA</v>
      </c>
      <c r="AC146" s="547"/>
      <c r="AD146" s="597" t="str">
        <f>O146</f>
        <v>NA</v>
      </c>
      <c r="AE146" s="597"/>
      <c r="AF146" s="597" t="s">
        <v>251</v>
      </c>
      <c r="AG146" s="597"/>
      <c r="AH146" s="355"/>
      <c r="AI146" s="355"/>
      <c r="AJ146" s="355"/>
      <c r="AK146" s="355"/>
      <c r="AL146" s="355"/>
      <c r="AM146" s="355"/>
      <c r="AN146" s="355"/>
      <c r="AO146" s="355"/>
      <c r="AP146" s="355"/>
      <c r="AQ146" s="355"/>
    </row>
    <row r="147" spans="1:43" s="513" customFormat="1">
      <c r="A147" s="338" t="str">
        <f>A142</f>
        <v>Published Stock Value</v>
      </c>
      <c r="B147" s="362"/>
      <c r="C147" s="362"/>
      <c r="D147" s="626"/>
      <c r="E147" s="626"/>
      <c r="F147" s="626"/>
      <c r="G147" s="626"/>
      <c r="H147" s="626"/>
      <c r="I147" s="626"/>
      <c r="J147" s="626"/>
      <c r="K147" s="627" t="s">
        <v>251</v>
      </c>
      <c r="L147" s="626"/>
      <c r="M147" s="626"/>
      <c r="N147" s="361">
        <f>600000/J142-1</f>
        <v>1.0202020202020203</v>
      </c>
      <c r="O147" s="627" t="s">
        <v>251</v>
      </c>
      <c r="P147" s="627"/>
      <c r="R147" s="361">
        <f>1/0.6-1</f>
        <v>0.66666666666666674</v>
      </c>
      <c r="S147" s="361" t="str">
        <f t="shared" si="248"/>
        <v>NA</v>
      </c>
      <c r="T147" s="361"/>
      <c r="U147" s="361"/>
      <c r="V147" s="361" t="s">
        <v>251</v>
      </c>
      <c r="W147" s="626"/>
      <c r="X147" s="626"/>
      <c r="Y147" s="626"/>
      <c r="Z147" s="626"/>
      <c r="AA147" s="626"/>
      <c r="AB147" s="627" t="str">
        <f t="shared" ref="AB147:AB148" si="265">K147</f>
        <v>NA</v>
      </c>
      <c r="AC147" s="626"/>
      <c r="AD147" s="627" t="str">
        <f t="shared" ref="AD147:AD148" si="266">O147</f>
        <v>NA</v>
      </c>
      <c r="AE147" s="627"/>
      <c r="AF147" s="627" t="s">
        <v>251</v>
      </c>
      <c r="AG147" s="627"/>
      <c r="AH147" s="535"/>
      <c r="AI147" s="535"/>
      <c r="AJ147" s="535"/>
      <c r="AK147" s="535"/>
      <c r="AL147" s="535"/>
      <c r="AM147" s="535"/>
      <c r="AN147" s="535"/>
      <c r="AO147" s="535"/>
      <c r="AP147" s="535"/>
      <c r="AQ147" s="535"/>
    </row>
    <row r="148" spans="1:43">
      <c r="A148" s="341" t="str">
        <f>A143</f>
        <v>Total Seller Stock Value</v>
      </c>
      <c r="B148" s="337"/>
      <c r="C148" s="337"/>
      <c r="D148" s="547"/>
      <c r="E148" s="547"/>
      <c r="F148" s="547"/>
      <c r="G148" s="547"/>
      <c r="H148" s="547"/>
      <c r="I148" s="547"/>
      <c r="J148" s="571"/>
      <c r="K148" s="339">
        <f>K143/G143-1</f>
        <v>0.63461538461538458</v>
      </c>
      <c r="L148" s="547"/>
      <c r="M148" s="547"/>
      <c r="N148" s="339">
        <f>1000000/J143-1</f>
        <v>0.4025245441795231</v>
      </c>
      <c r="O148" s="339">
        <f>1200000/K143-1</f>
        <v>0.41176470588235303</v>
      </c>
      <c r="P148" s="339"/>
      <c r="R148" s="339">
        <f>2-1</f>
        <v>1</v>
      </c>
      <c r="S148" s="339">
        <f t="shared" si="248"/>
        <v>0.66666666666666674</v>
      </c>
      <c r="T148" s="339"/>
      <c r="U148" s="339"/>
      <c r="V148" s="339" t="s">
        <v>251</v>
      </c>
      <c r="W148" s="337"/>
      <c r="X148" s="547"/>
      <c r="Y148" s="547"/>
      <c r="Z148" s="547"/>
      <c r="AA148" s="547"/>
      <c r="AB148" s="339">
        <f t="shared" si="265"/>
        <v>0.63461538461538458</v>
      </c>
      <c r="AC148" s="547"/>
      <c r="AD148" s="339">
        <f t="shared" si="266"/>
        <v>0.41176470588235303</v>
      </c>
      <c r="AE148" s="339"/>
      <c r="AF148" s="339">
        <f>2/1.2-1</f>
        <v>0.66666666666666674</v>
      </c>
      <c r="AG148" s="339"/>
      <c r="AH148" s="355"/>
      <c r="AI148" s="355"/>
      <c r="AJ148" s="355"/>
      <c r="AK148" s="355"/>
      <c r="AL148" s="355"/>
      <c r="AM148" s="355"/>
      <c r="AN148" s="355"/>
      <c r="AO148" s="355"/>
      <c r="AP148" s="355"/>
      <c r="AQ148" s="355"/>
    </row>
    <row r="149" spans="1:43">
      <c r="D149" s="355"/>
      <c r="E149" s="355"/>
      <c r="F149" s="355"/>
      <c r="G149" s="355"/>
      <c r="H149" s="355"/>
      <c r="I149" s="355"/>
      <c r="J149" s="509"/>
      <c r="K149" s="355"/>
      <c r="L149" s="355"/>
      <c r="M149" s="355"/>
      <c r="N149" s="355"/>
      <c r="O149" s="355"/>
      <c r="P149" s="355"/>
      <c r="Q149" s="355"/>
      <c r="R149" s="355"/>
      <c r="S149" s="355"/>
      <c r="T149" s="355"/>
      <c r="U149" s="355"/>
      <c r="V149" s="355"/>
      <c r="X149" s="355"/>
      <c r="Y149" s="355"/>
      <c r="Z149" s="355"/>
      <c r="AA149" s="355"/>
      <c r="AB149" s="355"/>
      <c r="AC149" s="355"/>
      <c r="AD149" s="355"/>
      <c r="AE149" s="355"/>
      <c r="AF149" s="355"/>
      <c r="AG149" s="355"/>
      <c r="AH149" s="355"/>
      <c r="AI149" s="355"/>
      <c r="AJ149" s="355"/>
      <c r="AK149" s="355"/>
      <c r="AL149" s="355"/>
      <c r="AM149" s="355"/>
      <c r="AN149" s="355"/>
      <c r="AO149" s="355"/>
      <c r="AP149" s="355"/>
      <c r="AQ149" s="355"/>
    </row>
    <row r="150" spans="1:43">
      <c r="A150" s="513" t="s">
        <v>131</v>
      </c>
      <c r="D150" s="355"/>
      <c r="E150" s="355"/>
      <c r="F150" s="355"/>
      <c r="G150" s="355"/>
      <c r="H150" s="355"/>
      <c r="I150" s="355"/>
      <c r="J150" s="509"/>
      <c r="K150" s="355"/>
      <c r="L150" s="355"/>
      <c r="M150" s="355"/>
      <c r="N150" s="355"/>
      <c r="O150" s="355"/>
      <c r="P150" s="355"/>
      <c r="Q150" s="355"/>
      <c r="R150" s="355"/>
      <c r="S150" s="355"/>
      <c r="T150" s="355"/>
      <c r="U150" s="355"/>
      <c r="V150" s="355"/>
      <c r="X150" s="355"/>
      <c r="Y150" s="355"/>
      <c r="Z150" s="355"/>
      <c r="AA150" s="355"/>
      <c r="AB150" s="355"/>
      <c r="AC150" s="355"/>
      <c r="AD150" s="355"/>
      <c r="AE150" s="355"/>
      <c r="AF150" s="355"/>
      <c r="AG150" s="355"/>
      <c r="AH150" s="355"/>
      <c r="AI150" s="355"/>
      <c r="AJ150" s="355"/>
      <c r="AK150" s="355"/>
      <c r="AL150" s="355"/>
      <c r="AM150" s="355"/>
      <c r="AN150" s="355"/>
      <c r="AO150" s="355"/>
      <c r="AP150" s="355"/>
      <c r="AQ150" s="355"/>
    </row>
    <row r="151" spans="1:43">
      <c r="A151" s="319" t="s">
        <v>339</v>
      </c>
      <c r="D151" s="355"/>
      <c r="E151" s="355"/>
      <c r="F151" s="355"/>
      <c r="G151" s="355"/>
      <c r="H151" s="355"/>
      <c r="I151" s="355"/>
      <c r="J151" s="328">
        <f>+J165*J8</f>
        <v>25008</v>
      </c>
      <c r="K151" s="328">
        <f t="shared" ref="K151:AO151" si="267">+K165*K8</f>
        <v>45878</v>
      </c>
      <c r="L151" s="328">
        <f t="shared" si="267"/>
        <v>36108</v>
      </c>
      <c r="M151" s="328">
        <f t="shared" si="267"/>
        <v>36906</v>
      </c>
      <c r="N151" s="328">
        <f t="shared" si="267"/>
        <v>47265.120000000003</v>
      </c>
      <c r="O151" s="328">
        <f t="shared" si="267"/>
        <v>88618.880000000005</v>
      </c>
      <c r="P151" s="328">
        <f t="shared" si="267"/>
        <v>77762</v>
      </c>
      <c r="Q151" s="328">
        <f t="shared" si="267"/>
        <v>99090</v>
      </c>
      <c r="R151" s="328">
        <f t="shared" si="267"/>
        <v>98766</v>
      </c>
      <c r="S151" s="328">
        <f>+AF151-R151</f>
        <v>168324</v>
      </c>
      <c r="T151" s="328">
        <f t="shared" ref="T151:U151" si="268">+T165*T8</f>
        <v>159154</v>
      </c>
      <c r="U151" s="328">
        <f t="shared" si="268"/>
        <v>170519</v>
      </c>
      <c r="V151" s="328"/>
      <c r="W151" s="328"/>
      <c r="X151" s="328"/>
      <c r="Y151" s="328"/>
      <c r="Z151" s="328">
        <f t="shared" si="267"/>
        <v>17929.22</v>
      </c>
      <c r="AA151" s="328">
        <f t="shared" si="267"/>
        <v>31852.780000000002</v>
      </c>
      <c r="AB151" s="328">
        <f t="shared" si="267"/>
        <v>70886</v>
      </c>
      <c r="AC151" s="328">
        <f t="shared" si="267"/>
        <v>73014</v>
      </c>
      <c r="AD151" s="328">
        <f t="shared" si="267"/>
        <v>135884</v>
      </c>
      <c r="AE151" s="328">
        <f t="shared" si="267"/>
        <v>176852</v>
      </c>
      <c r="AF151" s="328">
        <f t="shared" ref="AF151:AG151" si="269">+AF165*AF8</f>
        <v>267090</v>
      </c>
      <c r="AG151" s="328">
        <f t="shared" si="269"/>
        <v>329673</v>
      </c>
      <c r="AH151" s="328"/>
      <c r="AI151" s="328"/>
      <c r="AJ151" s="328">
        <f t="shared" si="267"/>
        <v>46.4</v>
      </c>
      <c r="AK151" s="328">
        <f t="shared" si="267"/>
        <v>1236.24</v>
      </c>
      <c r="AL151" s="328">
        <f t="shared" si="267"/>
        <v>7469.54</v>
      </c>
      <c r="AM151" s="328">
        <f t="shared" si="267"/>
        <v>49782</v>
      </c>
      <c r="AN151" s="328">
        <f t="shared" si="267"/>
        <v>143900</v>
      </c>
      <c r="AO151" s="328">
        <f t="shared" si="267"/>
        <v>312736</v>
      </c>
      <c r="AP151" s="328">
        <f t="shared" ref="AP151" si="270">+AP165*AP8</f>
        <v>596763</v>
      </c>
      <c r="AQ151" s="355"/>
    </row>
    <row r="152" spans="1:43" s="513" customFormat="1">
      <c r="A152" s="318" t="s">
        <v>340</v>
      </c>
      <c r="B152" s="327"/>
      <c r="C152" s="327"/>
      <c r="D152" s="577"/>
      <c r="E152" s="577"/>
      <c r="F152" s="577"/>
      <c r="G152" s="595"/>
      <c r="H152" s="595"/>
      <c r="I152" s="577"/>
      <c r="J152" s="595">
        <f>+J8-J151</f>
        <v>27092</v>
      </c>
      <c r="K152" s="595">
        <f t="shared" ref="K152:AO152" si="271">+K8-K151</f>
        <v>56122</v>
      </c>
      <c r="L152" s="595">
        <f t="shared" si="271"/>
        <v>34692</v>
      </c>
      <c r="M152" s="595">
        <f t="shared" si="271"/>
        <v>25994</v>
      </c>
      <c r="N152" s="595">
        <f t="shared" si="271"/>
        <v>37136.879999999997</v>
      </c>
      <c r="O152" s="595">
        <f t="shared" si="271"/>
        <v>69629.119999999995</v>
      </c>
      <c r="P152" s="595">
        <f t="shared" si="271"/>
        <v>54038</v>
      </c>
      <c r="Q152" s="595">
        <f t="shared" si="271"/>
        <v>65660</v>
      </c>
      <c r="R152" s="595">
        <f t="shared" si="271"/>
        <v>68634</v>
      </c>
      <c r="S152" s="595">
        <f t="shared" ref="S152:S153" si="272">+AF152-R152</f>
        <v>124776</v>
      </c>
      <c r="T152" s="595">
        <f t="shared" ref="T152:U152" si="273">+T8-T151</f>
        <v>97546</v>
      </c>
      <c r="U152" s="595">
        <f t="shared" si="273"/>
        <v>90581</v>
      </c>
      <c r="V152" s="595"/>
      <c r="W152" s="595"/>
      <c r="X152" s="595"/>
      <c r="Y152" s="595"/>
      <c r="Z152" s="595">
        <f t="shared" si="271"/>
        <v>34803.78</v>
      </c>
      <c r="AA152" s="595">
        <f t="shared" si="271"/>
        <v>39869.22</v>
      </c>
      <c r="AB152" s="595">
        <f t="shared" si="271"/>
        <v>83214</v>
      </c>
      <c r="AC152" s="595">
        <f t="shared" si="271"/>
        <v>60686</v>
      </c>
      <c r="AD152" s="595">
        <f t="shared" si="271"/>
        <v>106766</v>
      </c>
      <c r="AE152" s="595">
        <f t="shared" si="271"/>
        <v>119698</v>
      </c>
      <c r="AF152" s="595">
        <f t="shared" ref="AF152:AG152" si="274">+AF8-AF151</f>
        <v>193410</v>
      </c>
      <c r="AG152" s="595">
        <f t="shared" si="274"/>
        <v>188127</v>
      </c>
      <c r="AH152" s="595"/>
      <c r="AI152" s="595"/>
      <c r="AJ152" s="595">
        <f t="shared" si="271"/>
        <v>533.6</v>
      </c>
      <c r="AK152" s="595">
        <f t="shared" si="271"/>
        <v>6035.76</v>
      </c>
      <c r="AL152" s="595">
        <f t="shared" si="271"/>
        <v>21259.46</v>
      </c>
      <c r="AM152" s="595">
        <f t="shared" si="271"/>
        <v>74673</v>
      </c>
      <c r="AN152" s="595">
        <f t="shared" si="271"/>
        <v>143900</v>
      </c>
      <c r="AO152" s="595">
        <f t="shared" si="271"/>
        <v>226464</v>
      </c>
      <c r="AP152" s="595">
        <f t="shared" ref="AP152" si="275">+AP8-AP151</f>
        <v>381537</v>
      </c>
      <c r="AQ152" s="535"/>
    </row>
    <row r="153" spans="1:43">
      <c r="A153" s="332" t="s">
        <v>341</v>
      </c>
      <c r="B153" s="318"/>
      <c r="C153" s="318"/>
      <c r="D153" s="328"/>
      <c r="E153" s="328"/>
      <c r="F153" s="328"/>
      <c r="G153" s="593"/>
      <c r="H153" s="593"/>
      <c r="I153" s="328"/>
      <c r="J153" s="593">
        <f>+SUM(J151:J152)</f>
        <v>52100</v>
      </c>
      <c r="K153" s="593">
        <f t="shared" ref="K153:AO153" si="276">+SUM(K151:K152)</f>
        <v>102000</v>
      </c>
      <c r="L153" s="593">
        <f t="shared" si="276"/>
        <v>70800</v>
      </c>
      <c r="M153" s="593">
        <f t="shared" si="276"/>
        <v>62900</v>
      </c>
      <c r="N153" s="593">
        <f t="shared" si="276"/>
        <v>84402</v>
      </c>
      <c r="O153" s="593">
        <f t="shared" si="276"/>
        <v>158248</v>
      </c>
      <c r="P153" s="593">
        <f t="shared" si="276"/>
        <v>131800</v>
      </c>
      <c r="Q153" s="593">
        <f t="shared" si="276"/>
        <v>164750</v>
      </c>
      <c r="R153" s="593">
        <f t="shared" si="276"/>
        <v>167400</v>
      </c>
      <c r="S153" s="593">
        <f t="shared" si="272"/>
        <v>293100</v>
      </c>
      <c r="T153" s="593">
        <f t="shared" ref="T153" si="277">+SUM(T151:T152)</f>
        <v>256700</v>
      </c>
      <c r="U153" s="593">
        <f t="shared" ref="U153" si="278">+SUM(U151:U152)</f>
        <v>261100</v>
      </c>
      <c r="V153" s="593"/>
      <c r="W153" s="593"/>
      <c r="X153" s="593"/>
      <c r="Y153" s="593"/>
      <c r="Z153" s="593">
        <f t="shared" si="276"/>
        <v>52733</v>
      </c>
      <c r="AA153" s="593">
        <f t="shared" si="276"/>
        <v>71722</v>
      </c>
      <c r="AB153" s="593">
        <f t="shared" si="276"/>
        <v>154100</v>
      </c>
      <c r="AC153" s="593">
        <f t="shared" si="276"/>
        <v>133700</v>
      </c>
      <c r="AD153" s="593">
        <f t="shared" si="276"/>
        <v>242650</v>
      </c>
      <c r="AE153" s="593">
        <f t="shared" si="276"/>
        <v>296550</v>
      </c>
      <c r="AF153" s="593">
        <f t="shared" ref="AF153" si="279">+SUM(AF151:AF152)</f>
        <v>460500</v>
      </c>
      <c r="AG153" s="593">
        <f t="shared" ref="AG153" si="280">+SUM(AG151:AG152)</f>
        <v>517800</v>
      </c>
      <c r="AH153" s="593"/>
      <c r="AI153" s="593"/>
      <c r="AJ153" s="593">
        <f t="shared" si="276"/>
        <v>580</v>
      </c>
      <c r="AK153" s="593">
        <f t="shared" si="276"/>
        <v>7272</v>
      </c>
      <c r="AL153" s="593">
        <f t="shared" si="276"/>
        <v>28729</v>
      </c>
      <c r="AM153" s="593">
        <f t="shared" si="276"/>
        <v>124455</v>
      </c>
      <c r="AN153" s="593">
        <f t="shared" si="276"/>
        <v>287800</v>
      </c>
      <c r="AO153" s="593">
        <f t="shared" si="276"/>
        <v>539200</v>
      </c>
      <c r="AP153" s="593">
        <f t="shared" ref="AP153" si="281">+SUM(AP151:AP152)</f>
        <v>978300</v>
      </c>
      <c r="AQ153" s="355"/>
    </row>
    <row r="154" spans="1:43">
      <c r="D154" s="355"/>
      <c r="E154" s="355"/>
      <c r="F154" s="355"/>
      <c r="G154" s="355"/>
      <c r="H154" s="355"/>
      <c r="I154" s="355"/>
      <c r="J154" s="509"/>
      <c r="K154" s="355"/>
      <c r="L154" s="355"/>
      <c r="M154" s="355"/>
      <c r="N154" s="355"/>
      <c r="O154" s="355"/>
      <c r="P154" s="355"/>
      <c r="Q154" s="355"/>
      <c r="R154" s="355"/>
      <c r="S154" s="355"/>
      <c r="T154" s="355"/>
      <c r="U154" s="355"/>
      <c r="V154" s="355"/>
      <c r="X154" s="355"/>
      <c r="Y154" s="355"/>
      <c r="Z154" s="355"/>
      <c r="AA154" s="355"/>
      <c r="AB154" s="355"/>
      <c r="AC154" s="355"/>
      <c r="AD154" s="355"/>
      <c r="AE154" s="355"/>
      <c r="AF154" s="355"/>
      <c r="AG154" s="355"/>
      <c r="AH154" s="355"/>
      <c r="AI154" s="355"/>
      <c r="AJ154" s="355"/>
      <c r="AK154" s="355"/>
      <c r="AL154" s="355"/>
      <c r="AM154" s="355"/>
      <c r="AN154" s="355"/>
      <c r="AO154" s="355"/>
      <c r="AP154" s="355"/>
      <c r="AQ154" s="355"/>
    </row>
    <row r="155" spans="1:43" ht="18.5">
      <c r="A155" s="336" t="s">
        <v>237</v>
      </c>
      <c r="B155" s="337"/>
      <c r="C155" s="337"/>
      <c r="D155" s="547"/>
      <c r="E155" s="547"/>
      <c r="F155" s="547"/>
      <c r="G155" s="547"/>
      <c r="H155" s="547"/>
      <c r="I155" s="547"/>
      <c r="J155" s="547"/>
      <c r="K155" s="547"/>
      <c r="L155" s="547"/>
      <c r="M155" s="547"/>
      <c r="N155" s="547"/>
      <c r="O155" s="591"/>
      <c r="P155" s="591"/>
      <c r="Q155" s="591"/>
      <c r="R155" s="591"/>
      <c r="S155" s="591"/>
      <c r="T155" s="591"/>
      <c r="U155" s="591"/>
      <c r="V155" s="591"/>
      <c r="W155" s="337"/>
      <c r="X155" s="547"/>
      <c r="Y155" s="547"/>
      <c r="Z155" s="547"/>
      <c r="AA155" s="547"/>
      <c r="AB155" s="547"/>
      <c r="AC155" s="547"/>
      <c r="AD155" s="591"/>
      <c r="AE155" s="591"/>
      <c r="AF155" s="591"/>
      <c r="AG155" s="591"/>
      <c r="AH155" s="355"/>
      <c r="AI155" s="355"/>
      <c r="AJ155" s="355"/>
      <c r="AK155" s="355"/>
      <c r="AL155" s="355"/>
      <c r="AM155" s="355"/>
      <c r="AN155" s="355"/>
      <c r="AO155" s="355"/>
      <c r="AP155" s="355"/>
      <c r="AQ155" s="355"/>
    </row>
    <row r="156" spans="1:43">
      <c r="A156" s="338" t="str">
        <f>A151</f>
        <v xml:space="preserve">Repeat Customers </v>
      </c>
      <c r="B156" s="337"/>
      <c r="C156" s="337"/>
      <c r="D156" s="547"/>
      <c r="E156" s="547"/>
      <c r="F156" s="547"/>
      <c r="G156" s="547"/>
      <c r="H156" s="547"/>
      <c r="I156" s="547"/>
      <c r="J156" s="547"/>
      <c r="K156" s="597"/>
      <c r="L156" s="547"/>
      <c r="M156" s="547"/>
      <c r="N156" s="339">
        <f>+N151/J151-1</f>
        <v>0.89000000000000012</v>
      </c>
      <c r="O156" s="339">
        <f t="shared" ref="O156:U156" si="282">+O151/K151-1</f>
        <v>0.93162038449801665</v>
      </c>
      <c r="P156" s="339">
        <f t="shared" si="282"/>
        <v>1.15359477124183</v>
      </c>
      <c r="Q156" s="339">
        <f t="shared" si="282"/>
        <v>1.6849292797919038</v>
      </c>
      <c r="R156" s="339">
        <f t="shared" si="282"/>
        <v>1.0896170368339275</v>
      </c>
      <c r="S156" s="339">
        <f t="shared" ref="S156:S158" si="283">+S151/O151-1</f>
        <v>0.89941466197722186</v>
      </c>
      <c r="T156" s="339">
        <f t="shared" si="282"/>
        <v>1.0466808981250484</v>
      </c>
      <c r="U156" s="339">
        <f t="shared" si="282"/>
        <v>0.72084973256635387</v>
      </c>
      <c r="V156" s="339"/>
      <c r="W156" s="547"/>
      <c r="X156" s="547"/>
      <c r="Y156" s="547"/>
      <c r="Z156" s="547"/>
      <c r="AA156" s="547"/>
      <c r="AB156" s="339">
        <f>+AB151/Z151-1</f>
        <v>2.9536577720614727</v>
      </c>
      <c r="AC156" s="339">
        <f t="shared" ref="AC156:AG156" si="284">+AC151/AA151-1</f>
        <v>1.2922332053905499</v>
      </c>
      <c r="AD156" s="339">
        <f t="shared" si="284"/>
        <v>0.91693705386112923</v>
      </c>
      <c r="AE156" s="339">
        <f t="shared" si="284"/>
        <v>1.4221656120743966</v>
      </c>
      <c r="AF156" s="339">
        <f t="shared" si="284"/>
        <v>0.96557357746313022</v>
      </c>
      <c r="AG156" s="339">
        <f t="shared" si="284"/>
        <v>0.8641180195869993</v>
      </c>
      <c r="AH156" s="355"/>
      <c r="AI156" s="355"/>
      <c r="AJ156" s="355"/>
      <c r="AK156" s="339">
        <f t="shared" ref="AK156:AN158" si="285">+AK151/AJ151-1</f>
        <v>25.643103448275863</v>
      </c>
      <c r="AL156" s="339">
        <f t="shared" si="285"/>
        <v>5.0421439202743805</v>
      </c>
      <c r="AM156" s="339">
        <f t="shared" si="285"/>
        <v>5.6646674360134623</v>
      </c>
      <c r="AN156" s="339">
        <f t="shared" si="285"/>
        <v>1.8906030292073441</v>
      </c>
      <c r="AO156" s="339">
        <f>+AO151/AN151-1</f>
        <v>1.1732870048644894</v>
      </c>
      <c r="AP156" s="339">
        <f t="shared" ref="AP156:AP158" si="286">+AP151/AO151-1</f>
        <v>0.90820052696203835</v>
      </c>
      <c r="AQ156" s="355"/>
    </row>
    <row r="157" spans="1:43" s="524" customFormat="1" ht="18.5">
      <c r="A157" s="338" t="str">
        <f t="shared" ref="A157:A158" si="287">A152</f>
        <v>New Customers</v>
      </c>
      <c r="B157" s="340"/>
      <c r="C157" s="340"/>
      <c r="D157" s="598"/>
      <c r="E157" s="598"/>
      <c r="F157" s="598"/>
      <c r="G157" s="598"/>
      <c r="H157" s="598"/>
      <c r="I157" s="598"/>
      <c r="J157" s="598"/>
      <c r="K157" s="591"/>
      <c r="L157" s="598"/>
      <c r="M157" s="598"/>
      <c r="N157" s="330">
        <f t="shared" ref="N157:U157" si="288">+N152/J152-1</f>
        <v>0.37076923076923074</v>
      </c>
      <c r="O157" s="330">
        <f t="shared" si="288"/>
        <v>0.24067424539396298</v>
      </c>
      <c r="P157" s="330">
        <f t="shared" si="288"/>
        <v>0.55765017871555411</v>
      </c>
      <c r="Q157" s="330">
        <f t="shared" si="288"/>
        <v>1.5259675309686851</v>
      </c>
      <c r="R157" s="330">
        <f t="shared" si="288"/>
        <v>0.84813586924911322</v>
      </c>
      <c r="S157" s="330">
        <f t="shared" si="283"/>
        <v>0.79200886066059728</v>
      </c>
      <c r="T157" s="330">
        <f t="shared" si="288"/>
        <v>0.80513712572634066</v>
      </c>
      <c r="U157" s="330">
        <f t="shared" si="288"/>
        <v>0.37954614681693566</v>
      </c>
      <c r="V157" s="330"/>
      <c r="W157" s="340"/>
      <c r="X157" s="598"/>
      <c r="Y157" s="598"/>
      <c r="Z157" s="598"/>
      <c r="AA157" s="598"/>
      <c r="AB157" s="330">
        <f t="shared" ref="AB157:AG157" si="289">+AB152/Z152-1</f>
        <v>1.3909471902189936</v>
      </c>
      <c r="AC157" s="330">
        <f t="shared" si="289"/>
        <v>0.5221265928954717</v>
      </c>
      <c r="AD157" s="330">
        <f t="shared" si="289"/>
        <v>0.28302929795467113</v>
      </c>
      <c r="AE157" s="330">
        <f t="shared" si="289"/>
        <v>0.97241538410836115</v>
      </c>
      <c r="AF157" s="330">
        <f t="shared" si="289"/>
        <v>0.81153176104752456</v>
      </c>
      <c r="AG157" s="330">
        <f t="shared" si="289"/>
        <v>0.57168039566241702</v>
      </c>
      <c r="AH157" s="525"/>
      <c r="AI157" s="525"/>
      <c r="AJ157" s="525"/>
      <c r="AK157" s="330">
        <f t="shared" si="285"/>
        <v>10.311394302848576</v>
      </c>
      <c r="AL157" s="330">
        <f t="shared" si="285"/>
        <v>2.5222507190478081</v>
      </c>
      <c r="AM157" s="330">
        <f t="shared" si="285"/>
        <v>2.5124598649260141</v>
      </c>
      <c r="AN157" s="330">
        <f t="shared" si="285"/>
        <v>0.92706868613822935</v>
      </c>
      <c r="AO157" s="330">
        <f t="shared" ref="AO157:AO158" si="290">+AO152/AN152-1</f>
        <v>0.57375955524669919</v>
      </c>
      <c r="AP157" s="330">
        <f t="shared" si="286"/>
        <v>0.68475784230606185</v>
      </c>
      <c r="AQ157" s="525"/>
    </row>
    <row r="158" spans="1:43">
      <c r="A158" s="341" t="str">
        <f t="shared" si="287"/>
        <v>Total Gross Revenue</v>
      </c>
      <c r="B158" s="337"/>
      <c r="C158" s="337"/>
      <c r="D158" s="547"/>
      <c r="E158" s="547"/>
      <c r="F158" s="547"/>
      <c r="G158" s="547"/>
      <c r="H158" s="547"/>
      <c r="I158" s="547"/>
      <c r="J158" s="547"/>
      <c r="K158" s="339"/>
      <c r="L158" s="547"/>
      <c r="M158" s="547"/>
      <c r="N158" s="339">
        <f t="shared" ref="N158:U158" si="291">+N153/J153-1</f>
        <v>0.62000000000000011</v>
      </c>
      <c r="O158" s="339">
        <f t="shared" si="291"/>
        <v>0.55145098039215679</v>
      </c>
      <c r="P158" s="339">
        <f t="shared" si="291"/>
        <v>0.8615819209039548</v>
      </c>
      <c r="Q158" s="339">
        <f t="shared" si="291"/>
        <v>1.6192368839427664</v>
      </c>
      <c r="R158" s="339">
        <f t="shared" si="291"/>
        <v>0.98336532309660907</v>
      </c>
      <c r="S158" s="339">
        <f t="shared" si="283"/>
        <v>0.85215610939790709</v>
      </c>
      <c r="T158" s="339">
        <f t="shared" si="291"/>
        <v>0.9476479514415781</v>
      </c>
      <c r="U158" s="339">
        <f t="shared" si="291"/>
        <v>0.58482549317147203</v>
      </c>
      <c r="V158" s="339"/>
      <c r="W158" s="337"/>
      <c r="X158" s="547"/>
      <c r="Y158" s="547"/>
      <c r="Z158" s="547"/>
      <c r="AA158" s="547"/>
      <c r="AB158" s="339">
        <f t="shared" ref="AB158:AG158" si="292">+AB153/Z153-1</f>
        <v>1.9222687880454363</v>
      </c>
      <c r="AC158" s="339">
        <f t="shared" si="292"/>
        <v>0.86414210423579929</v>
      </c>
      <c r="AD158" s="339">
        <f t="shared" si="292"/>
        <v>0.57462686567164178</v>
      </c>
      <c r="AE158" s="339">
        <f t="shared" si="292"/>
        <v>1.218025430067315</v>
      </c>
      <c r="AF158" s="339">
        <f t="shared" si="292"/>
        <v>0.89779517824026378</v>
      </c>
      <c r="AG158" s="339">
        <f t="shared" si="292"/>
        <v>0.74607991906929683</v>
      </c>
      <c r="AH158" s="355"/>
      <c r="AI158" s="355"/>
      <c r="AJ158" s="355"/>
      <c r="AK158" s="339">
        <f t="shared" si="285"/>
        <v>11.537931034482758</v>
      </c>
      <c r="AL158" s="339">
        <f t="shared" si="285"/>
        <v>2.9506325632563257</v>
      </c>
      <c r="AM158" s="339">
        <f t="shared" si="285"/>
        <v>3.3320338334087509</v>
      </c>
      <c r="AN158" s="339">
        <f t="shared" si="285"/>
        <v>1.3124824233658754</v>
      </c>
      <c r="AO158" s="339">
        <f t="shared" si="290"/>
        <v>0.8735232800555941</v>
      </c>
      <c r="AP158" s="339">
        <f t="shared" si="286"/>
        <v>0.81435459940652821</v>
      </c>
      <c r="AQ158" s="355"/>
    </row>
    <row r="159" spans="1:43">
      <c r="A159" s="341"/>
      <c r="B159" s="337"/>
      <c r="C159" s="337"/>
      <c r="D159" s="547"/>
      <c r="E159" s="547"/>
      <c r="F159" s="547"/>
      <c r="G159" s="547"/>
      <c r="H159" s="547"/>
      <c r="I159" s="547"/>
      <c r="J159" s="547"/>
      <c r="K159" s="339"/>
      <c r="L159" s="547"/>
      <c r="M159" s="547"/>
      <c r="N159" s="339"/>
      <c r="O159" s="339"/>
      <c r="P159" s="339"/>
      <c r="Q159" s="339"/>
      <c r="R159" s="339"/>
      <c r="S159" s="339"/>
      <c r="T159" s="339"/>
      <c r="U159" s="339"/>
      <c r="V159" s="339"/>
      <c r="W159" s="337"/>
      <c r="X159" s="547"/>
      <c r="Y159" s="547"/>
      <c r="Z159" s="547"/>
      <c r="AA159" s="547"/>
      <c r="AB159" s="339"/>
      <c r="AC159" s="547"/>
      <c r="AD159" s="339"/>
      <c r="AE159" s="339"/>
      <c r="AF159" s="339"/>
      <c r="AG159" s="339"/>
      <c r="AH159" s="355"/>
      <c r="AI159" s="355"/>
      <c r="AJ159" s="355"/>
      <c r="AK159" s="355"/>
      <c r="AL159" s="355"/>
      <c r="AM159" s="355"/>
      <c r="AN159" s="355"/>
      <c r="AO159" s="355"/>
      <c r="AP159" s="355"/>
      <c r="AQ159" s="355"/>
    </row>
    <row r="160" spans="1:43" ht="18.5">
      <c r="A160" s="336" t="s">
        <v>342</v>
      </c>
      <c r="B160" s="337"/>
      <c r="C160" s="337"/>
      <c r="D160" s="547"/>
      <c r="E160" s="547"/>
      <c r="F160" s="547"/>
      <c r="G160" s="547"/>
      <c r="H160" s="547"/>
      <c r="I160" s="547"/>
      <c r="J160" s="547"/>
      <c r="K160" s="547"/>
      <c r="L160" s="547"/>
      <c r="M160" s="547"/>
      <c r="N160" s="547"/>
      <c r="O160" s="591"/>
      <c r="P160" s="591"/>
      <c r="Q160" s="591"/>
      <c r="R160" s="591"/>
      <c r="S160" s="591"/>
      <c r="T160" s="591"/>
      <c r="U160" s="591"/>
      <c r="V160" s="591"/>
      <c r="W160" s="337"/>
      <c r="X160" s="547"/>
      <c r="Y160" s="547"/>
      <c r="Z160" s="547"/>
      <c r="AA160" s="547"/>
      <c r="AB160" s="547"/>
      <c r="AC160" s="547"/>
      <c r="AD160" s="591"/>
      <c r="AE160" s="591"/>
      <c r="AF160" s="591"/>
      <c r="AG160" s="591"/>
      <c r="AH160" s="355"/>
      <c r="AI160" s="355"/>
      <c r="AJ160" s="355"/>
      <c r="AK160" s="355"/>
      <c r="AL160" s="355"/>
      <c r="AM160" s="355"/>
      <c r="AN160" s="355"/>
      <c r="AO160" s="355"/>
      <c r="AP160" s="355"/>
      <c r="AQ160" s="355"/>
    </row>
    <row r="161" spans="1:47">
      <c r="A161" s="338" t="str">
        <f>A156</f>
        <v xml:space="preserve">Repeat Customers </v>
      </c>
      <c r="B161" s="337"/>
      <c r="C161" s="337"/>
      <c r="D161" s="547"/>
      <c r="E161" s="547"/>
      <c r="F161" s="547"/>
      <c r="G161" s="547"/>
      <c r="H161" s="547"/>
      <c r="I161" s="547"/>
      <c r="J161" s="547"/>
      <c r="K161" s="339">
        <f t="shared" ref="K161:U163" si="293">+K151/J151-1</f>
        <v>0.83453294945617396</v>
      </c>
      <c r="L161" s="339">
        <f t="shared" si="293"/>
        <v>-0.21295610096342477</v>
      </c>
      <c r="M161" s="339">
        <f t="shared" si="293"/>
        <v>2.2100365569956759E-2</v>
      </c>
      <c r="N161" s="339">
        <f t="shared" si="293"/>
        <v>0.28068931880994974</v>
      </c>
      <c r="O161" s="339">
        <f t="shared" si="293"/>
        <v>0.87493187365228309</v>
      </c>
      <c r="P161" s="339">
        <f t="shared" si="293"/>
        <v>-0.12251204258054271</v>
      </c>
      <c r="Q161" s="339">
        <f t="shared" si="293"/>
        <v>0.27427278104987018</v>
      </c>
      <c r="R161" s="339">
        <f t="shared" si="293"/>
        <v>-3.2697547683924189E-3</v>
      </c>
      <c r="S161" s="339">
        <f t="shared" ref="S161:S163" si="294">+S151/R151-1</f>
        <v>0.70427070044347251</v>
      </c>
      <c r="T161" s="339">
        <f t="shared" si="293"/>
        <v>-5.4478268101993743E-2</v>
      </c>
      <c r="U161" s="339">
        <f t="shared" si="293"/>
        <v>7.1408824157733974E-2</v>
      </c>
      <c r="V161" s="339"/>
      <c r="W161" s="547"/>
      <c r="X161" s="547"/>
      <c r="Y161" s="547"/>
      <c r="Z161" s="547"/>
      <c r="AA161" s="339">
        <f t="shared" ref="AA161:AG163" si="295">+AA151/Z151-1</f>
        <v>0.77658481517879752</v>
      </c>
      <c r="AB161" s="339">
        <f t="shared" si="295"/>
        <v>1.2254258498002368</v>
      </c>
      <c r="AC161" s="339">
        <f t="shared" si="295"/>
        <v>3.0020032164320254E-2</v>
      </c>
      <c r="AD161" s="339">
        <f t="shared" si="295"/>
        <v>0.86106774043334156</v>
      </c>
      <c r="AE161" s="339">
        <f t="shared" si="295"/>
        <v>0.30149244944217135</v>
      </c>
      <c r="AF161" s="339">
        <f t="shared" si="295"/>
        <v>0.51024585529143018</v>
      </c>
      <c r="AG161" s="339">
        <f t="shared" si="295"/>
        <v>0.23431427608671229</v>
      </c>
      <c r="AH161" s="355"/>
      <c r="AI161" s="355"/>
      <c r="AJ161" s="355"/>
      <c r="AK161" s="339">
        <f t="shared" ref="AK161:AO163" si="296">+AK151/AJ151-1</f>
        <v>25.643103448275863</v>
      </c>
      <c r="AL161" s="339">
        <f t="shared" si="296"/>
        <v>5.0421439202743805</v>
      </c>
      <c r="AM161" s="339">
        <f t="shared" si="296"/>
        <v>5.6646674360134623</v>
      </c>
      <c r="AN161" s="339">
        <f t="shared" si="296"/>
        <v>1.8906030292073441</v>
      </c>
      <c r="AO161" s="339">
        <f t="shared" si="296"/>
        <v>1.1732870048644894</v>
      </c>
      <c r="AP161" s="339">
        <f t="shared" ref="AP161:AP163" si="297">+AP151/AO151-1</f>
        <v>0.90820052696203835</v>
      </c>
      <c r="AQ161" s="355"/>
    </row>
    <row r="162" spans="1:47" s="524" customFormat="1" ht="18.5">
      <c r="A162" s="338" t="str">
        <f t="shared" ref="A162:A163" si="298">A157</f>
        <v>New Customers</v>
      </c>
      <c r="B162" s="340"/>
      <c r="C162" s="340"/>
      <c r="D162" s="598"/>
      <c r="E162" s="598"/>
      <c r="F162" s="598"/>
      <c r="G162" s="598"/>
      <c r="H162" s="598"/>
      <c r="I162" s="598"/>
      <c r="J162" s="598"/>
      <c r="K162" s="330">
        <f t="shared" si="293"/>
        <v>1.0715340321866234</v>
      </c>
      <c r="L162" s="330">
        <f t="shared" si="293"/>
        <v>-0.38184669113716541</v>
      </c>
      <c r="M162" s="330">
        <f t="shared" si="293"/>
        <v>-0.25072062723394439</v>
      </c>
      <c r="N162" s="330">
        <f t="shared" si="293"/>
        <v>0.42867123182272815</v>
      </c>
      <c r="O162" s="330">
        <f t="shared" si="293"/>
        <v>0.87493187365228309</v>
      </c>
      <c r="P162" s="330">
        <f t="shared" si="293"/>
        <v>-0.22391666015598066</v>
      </c>
      <c r="Q162" s="330">
        <f t="shared" si="293"/>
        <v>0.21507087605018693</v>
      </c>
      <c r="R162" s="330">
        <f t="shared" si="293"/>
        <v>4.5293938470910788E-2</v>
      </c>
      <c r="S162" s="330">
        <f t="shared" si="294"/>
        <v>0.81799108313663771</v>
      </c>
      <c r="T162" s="330">
        <f t="shared" si="293"/>
        <v>-0.21823107007757903</v>
      </c>
      <c r="U162" s="330">
        <f t="shared" si="293"/>
        <v>-7.1402210239271735E-2</v>
      </c>
      <c r="V162" s="330"/>
      <c r="W162" s="340"/>
      <c r="X162" s="598"/>
      <c r="Y162" s="598"/>
      <c r="Z162" s="598"/>
      <c r="AA162" s="330">
        <f t="shared" si="295"/>
        <v>0.14554281172907091</v>
      </c>
      <c r="AB162" s="330">
        <f t="shared" si="295"/>
        <v>1.0871740154434923</v>
      </c>
      <c r="AC162" s="330">
        <f t="shared" si="295"/>
        <v>-0.27072367630446803</v>
      </c>
      <c r="AD162" s="330">
        <f t="shared" si="295"/>
        <v>0.75931845895264138</v>
      </c>
      <c r="AE162" s="330">
        <f t="shared" si="295"/>
        <v>0.12112470262068453</v>
      </c>
      <c r="AF162" s="330">
        <f t="shared" si="295"/>
        <v>0.6158164714531571</v>
      </c>
      <c r="AG162" s="330">
        <f t="shared" si="295"/>
        <v>-2.7315030246626293E-2</v>
      </c>
      <c r="AH162" s="525"/>
      <c r="AI162" s="525"/>
      <c r="AJ162" s="525"/>
      <c r="AK162" s="330">
        <f t="shared" si="296"/>
        <v>10.311394302848576</v>
      </c>
      <c r="AL162" s="330">
        <f t="shared" si="296"/>
        <v>2.5222507190478081</v>
      </c>
      <c r="AM162" s="330">
        <f t="shared" si="296"/>
        <v>2.5124598649260141</v>
      </c>
      <c r="AN162" s="330">
        <f t="shared" si="296"/>
        <v>0.92706868613822935</v>
      </c>
      <c r="AO162" s="330">
        <f t="shared" si="296"/>
        <v>0.57375955524669919</v>
      </c>
      <c r="AP162" s="330">
        <f t="shared" si="297"/>
        <v>0.68475784230606185</v>
      </c>
      <c r="AQ162" s="525"/>
    </row>
    <row r="163" spans="1:47">
      <c r="A163" s="341" t="str">
        <f t="shared" si="298"/>
        <v>Total Gross Revenue</v>
      </c>
      <c r="B163" s="337"/>
      <c r="C163" s="337"/>
      <c r="D163" s="547"/>
      <c r="E163" s="547"/>
      <c r="F163" s="547"/>
      <c r="G163" s="547"/>
      <c r="H163" s="547"/>
      <c r="I163" s="547"/>
      <c r="J163" s="547"/>
      <c r="K163" s="339">
        <f t="shared" si="293"/>
        <v>0.95777351247600762</v>
      </c>
      <c r="L163" s="339">
        <f t="shared" si="293"/>
        <v>-0.30588235294117649</v>
      </c>
      <c r="M163" s="339">
        <f t="shared" si="293"/>
        <v>-0.1115819209039548</v>
      </c>
      <c r="N163" s="339">
        <f t="shared" si="293"/>
        <v>0.34184419713831482</v>
      </c>
      <c r="O163" s="339">
        <f t="shared" si="293"/>
        <v>0.87493187365228309</v>
      </c>
      <c r="P163" s="339">
        <f t="shared" si="293"/>
        <v>-0.16713007431373539</v>
      </c>
      <c r="Q163" s="339">
        <f t="shared" si="293"/>
        <v>0.25</v>
      </c>
      <c r="R163" s="339">
        <f t="shared" si="293"/>
        <v>1.6084977238239651E-2</v>
      </c>
      <c r="S163" s="339">
        <f t="shared" si="294"/>
        <v>0.75089605734767018</v>
      </c>
      <c r="T163" s="339">
        <f t="shared" si="293"/>
        <v>-0.12418969634936883</v>
      </c>
      <c r="U163" s="339">
        <f t="shared" si="293"/>
        <v>1.7140631086871805E-2</v>
      </c>
      <c r="V163" s="339"/>
      <c r="W163" s="337"/>
      <c r="X163" s="547"/>
      <c r="Y163" s="547"/>
      <c r="Z163" s="547"/>
      <c r="AA163" s="339">
        <f t="shared" si="295"/>
        <v>0.36009709290197778</v>
      </c>
      <c r="AB163" s="339">
        <f t="shared" si="295"/>
        <v>1.1485736594071554</v>
      </c>
      <c r="AC163" s="339">
        <f t="shared" si="295"/>
        <v>-0.13238157040882548</v>
      </c>
      <c r="AD163" s="339">
        <f t="shared" si="295"/>
        <v>0.81488406881077036</v>
      </c>
      <c r="AE163" s="339">
        <f t="shared" si="295"/>
        <v>0.2221306408407171</v>
      </c>
      <c r="AF163" s="339">
        <f t="shared" si="295"/>
        <v>0.5528578654527061</v>
      </c>
      <c r="AG163" s="339">
        <f t="shared" si="295"/>
        <v>0.1244299674267102</v>
      </c>
      <c r="AH163" s="355"/>
      <c r="AI163" s="355"/>
      <c r="AJ163" s="355"/>
      <c r="AK163" s="339">
        <f t="shared" si="296"/>
        <v>11.537931034482758</v>
      </c>
      <c r="AL163" s="339">
        <f t="shared" si="296"/>
        <v>2.9506325632563257</v>
      </c>
      <c r="AM163" s="339">
        <f t="shared" si="296"/>
        <v>3.3320338334087509</v>
      </c>
      <c r="AN163" s="339">
        <f t="shared" si="296"/>
        <v>1.3124824233658754</v>
      </c>
      <c r="AO163" s="339">
        <f t="shared" si="296"/>
        <v>0.8735232800555941</v>
      </c>
      <c r="AP163" s="339">
        <f t="shared" si="297"/>
        <v>0.81435459940652821</v>
      </c>
      <c r="AQ163" s="355"/>
    </row>
    <row r="164" spans="1:47">
      <c r="A164" s="341"/>
      <c r="B164" s="337"/>
      <c r="C164" s="337"/>
      <c r="D164" s="547"/>
      <c r="E164" s="547"/>
      <c r="F164" s="547"/>
      <c r="G164" s="547"/>
      <c r="H164" s="547"/>
      <c r="I164" s="547"/>
      <c r="J164" s="547"/>
      <c r="K164" s="339"/>
      <c r="L164" s="547"/>
      <c r="M164" s="547"/>
      <c r="N164" s="339"/>
      <c r="O164" s="339"/>
      <c r="P164" s="339"/>
      <c r="Q164" s="339"/>
      <c r="R164" s="339"/>
      <c r="S164" s="339"/>
      <c r="T164" s="339"/>
      <c r="U164" s="339"/>
      <c r="V164" s="339"/>
      <c r="W164" s="337"/>
      <c r="X164" s="547"/>
      <c r="Y164" s="547"/>
      <c r="Z164" s="547"/>
      <c r="AA164" s="547"/>
      <c r="AB164" s="339"/>
      <c r="AC164" s="547"/>
      <c r="AD164" s="339"/>
      <c r="AE164" s="339"/>
      <c r="AF164" s="339"/>
      <c r="AG164" s="339"/>
      <c r="AH164" s="355"/>
      <c r="AI164" s="355"/>
      <c r="AJ164" s="355"/>
      <c r="AK164" s="355"/>
      <c r="AL164" s="355"/>
      <c r="AM164" s="355"/>
      <c r="AN164" s="355"/>
      <c r="AO164" s="355"/>
      <c r="AP164" s="355"/>
      <c r="AQ164" s="355"/>
    </row>
    <row r="165" spans="1:47" s="604" customFormat="1">
      <c r="A165" s="338" t="s">
        <v>343</v>
      </c>
      <c r="D165" s="344"/>
      <c r="E165" s="344"/>
      <c r="F165" s="344"/>
      <c r="G165" s="344"/>
      <c r="H165" s="344"/>
      <c r="I165" s="344"/>
      <c r="J165" s="628">
        <v>0.48</v>
      </c>
      <c r="K165" s="344">
        <f>+(AB165*AB8-J165*J8)/K8</f>
        <v>0.44978431372549021</v>
      </c>
      <c r="L165" s="628">
        <v>0.51</v>
      </c>
      <c r="M165" s="344">
        <f>+(AC165*AC8-L165*L8)/M8</f>
        <v>0.58674085850556434</v>
      </c>
      <c r="N165" s="628">
        <v>0.56000000000000005</v>
      </c>
      <c r="O165" s="344">
        <f>+(AD165*AD8-N165*N8)/O8</f>
        <v>0.56000000000000005</v>
      </c>
      <c r="P165" s="628">
        <v>0.59</v>
      </c>
      <c r="Q165" s="344">
        <f>+(AE165*AE8-P165*P8)/Q8</f>
        <v>0.60145675265553866</v>
      </c>
      <c r="R165" s="628">
        <v>0.59</v>
      </c>
      <c r="S165" s="344">
        <f>+(AF165*AF8-R165*R8)/S8</f>
        <v>0.5742886386898669</v>
      </c>
      <c r="T165" s="628">
        <f>+T114</f>
        <v>0.62</v>
      </c>
      <c r="U165" s="344">
        <f>+(AG165*AG8-T165*T8)/U8</f>
        <v>0.65307927996936044</v>
      </c>
      <c r="V165" s="344"/>
      <c r="W165" s="344"/>
      <c r="X165" s="344"/>
      <c r="Y165" s="344"/>
      <c r="Z165" s="628">
        <v>0.34</v>
      </c>
      <c r="AA165" s="344">
        <f>+(AM165*AM8-Z165*Z8)/AA8</f>
        <v>0.44411449764367977</v>
      </c>
      <c r="AB165" s="628">
        <v>0.46</v>
      </c>
      <c r="AC165" s="344">
        <f>+(AN165*AN8-AB165*AB8)/AC8</f>
        <v>0.54610321615557222</v>
      </c>
      <c r="AD165" s="628">
        <v>0.56000000000000005</v>
      </c>
      <c r="AE165" s="344">
        <f>+(AO165*AO8-AD165*AD8)/AE8</f>
        <v>0.59636486258641042</v>
      </c>
      <c r="AF165" s="628">
        <v>0.57999999999999996</v>
      </c>
      <c r="AG165" s="344">
        <f>+(AP165*AP8-AF165*AF8)/AG8</f>
        <v>0.63668018539976823</v>
      </c>
      <c r="AH165" s="344"/>
      <c r="AI165" s="344"/>
      <c r="AJ165" s="628">
        <v>0.08</v>
      </c>
      <c r="AK165" s="628">
        <v>0.17</v>
      </c>
      <c r="AL165" s="628">
        <v>0.26</v>
      </c>
      <c r="AM165" s="628">
        <v>0.4</v>
      </c>
      <c r="AN165" s="628">
        <v>0.5</v>
      </c>
      <c r="AO165" s="628">
        <v>0.57999999999999996</v>
      </c>
      <c r="AP165" s="628">
        <v>0.61</v>
      </c>
      <c r="AQ165" s="605"/>
    </row>
    <row r="166" spans="1:47" s="604" customFormat="1">
      <c r="A166" s="338" t="s">
        <v>344</v>
      </c>
      <c r="D166" s="344"/>
      <c r="E166" s="344"/>
      <c r="F166" s="344"/>
      <c r="G166" s="344"/>
      <c r="H166" s="344"/>
      <c r="I166" s="344"/>
      <c r="J166" s="344">
        <f>1-J165</f>
        <v>0.52</v>
      </c>
      <c r="K166" s="344">
        <f t="shared" ref="K166:R166" si="299">1-K165</f>
        <v>0.55021568627450979</v>
      </c>
      <c r="L166" s="344">
        <f t="shared" si="299"/>
        <v>0.49</v>
      </c>
      <c r="M166" s="344">
        <f t="shared" si="299"/>
        <v>0.41325914149443566</v>
      </c>
      <c r="N166" s="344">
        <f t="shared" si="299"/>
        <v>0.43999999999999995</v>
      </c>
      <c r="O166" s="344">
        <f t="shared" si="299"/>
        <v>0.43999999999999995</v>
      </c>
      <c r="P166" s="344">
        <f t="shared" si="299"/>
        <v>0.41000000000000003</v>
      </c>
      <c r="Q166" s="344">
        <f t="shared" si="299"/>
        <v>0.39854324734446134</v>
      </c>
      <c r="R166" s="344">
        <f t="shared" si="299"/>
        <v>0.41000000000000003</v>
      </c>
      <c r="S166" s="344">
        <f t="shared" ref="S166:T166" si="300">1-S165</f>
        <v>0.4257113613101331</v>
      </c>
      <c r="T166" s="344">
        <f t="shared" si="300"/>
        <v>0.38</v>
      </c>
      <c r="U166" s="344">
        <f>+(AG166*AG8-T166*T8)/U8</f>
        <v>0.34692072003063951</v>
      </c>
      <c r="V166" s="344"/>
      <c r="W166" s="344"/>
      <c r="X166" s="344"/>
      <c r="Y166" s="344"/>
      <c r="Z166" s="344">
        <f t="shared" ref="Z166" si="301">1-Z165</f>
        <v>0.65999999999999992</v>
      </c>
      <c r="AA166" s="344">
        <f t="shared" ref="AA166" si="302">1-AA165</f>
        <v>0.55588550235632028</v>
      </c>
      <c r="AB166" s="344">
        <f t="shared" ref="AB166" si="303">1-AB165</f>
        <v>0.54</v>
      </c>
      <c r="AC166" s="344">
        <f t="shared" ref="AC166" si="304">1-AC165</f>
        <v>0.45389678384442778</v>
      </c>
      <c r="AD166" s="344">
        <f t="shared" ref="AD166:AF166" si="305">1-AD165</f>
        <v>0.43999999999999995</v>
      </c>
      <c r="AE166" s="344">
        <f t="shared" ref="AE166" si="306">1-AE165</f>
        <v>0.40363513741358958</v>
      </c>
      <c r="AF166" s="344">
        <f t="shared" si="305"/>
        <v>0.42000000000000004</v>
      </c>
      <c r="AG166" s="344">
        <f>+(AP166*AP8-AF166*AF8)/AG8</f>
        <v>0.36331981460023172</v>
      </c>
      <c r="AH166" s="344"/>
      <c r="AI166" s="344"/>
      <c r="AJ166" s="344">
        <f t="shared" ref="AJ166" si="307">1-AJ165</f>
        <v>0.92</v>
      </c>
      <c r="AK166" s="344">
        <f t="shared" ref="AK166" si="308">1-AK165</f>
        <v>0.83</v>
      </c>
      <c r="AL166" s="344">
        <f t="shared" ref="AL166" si="309">1-AL165</f>
        <v>0.74</v>
      </c>
      <c r="AM166" s="344">
        <f t="shared" ref="AM166" si="310">1-AM165</f>
        <v>0.6</v>
      </c>
      <c r="AN166" s="344">
        <f t="shared" ref="AN166" si="311">1-AN165</f>
        <v>0.5</v>
      </c>
      <c r="AO166" s="344">
        <f t="shared" ref="AO166:AP166" si="312">1-AO165</f>
        <v>0.42000000000000004</v>
      </c>
      <c r="AP166" s="344">
        <f t="shared" si="312"/>
        <v>0.39</v>
      </c>
      <c r="AQ166" s="605"/>
    </row>
    <row r="167" spans="1:47">
      <c r="D167" s="355"/>
      <c r="E167" s="355"/>
      <c r="F167" s="355"/>
      <c r="G167" s="355"/>
      <c r="H167" s="355"/>
      <c r="I167" s="355"/>
      <c r="J167" s="509"/>
      <c r="K167" s="355"/>
      <c r="L167" s="355"/>
      <c r="M167" s="355"/>
      <c r="N167" s="355"/>
      <c r="O167" s="355"/>
      <c r="P167" s="355"/>
      <c r="Q167" s="355"/>
      <c r="R167" s="355"/>
      <c r="S167" s="355"/>
      <c r="T167" s="355"/>
      <c r="U167" s="355"/>
      <c r="V167" s="355"/>
      <c r="X167" s="355"/>
      <c r="Y167" s="355"/>
      <c r="Z167" s="355"/>
      <c r="AA167" s="355"/>
      <c r="AB167" s="355"/>
      <c r="AC167" s="355"/>
      <c r="AD167" s="355"/>
      <c r="AE167" s="355"/>
      <c r="AF167" s="355"/>
      <c r="AG167" s="355"/>
      <c r="AH167" s="355"/>
      <c r="AI167" s="355"/>
      <c r="AJ167" s="355"/>
      <c r="AK167" s="355"/>
      <c r="AL167" s="355"/>
      <c r="AM167" s="355"/>
      <c r="AN167" s="355"/>
      <c r="AO167" s="355"/>
      <c r="AP167" s="355"/>
      <c r="AQ167" s="355"/>
    </row>
    <row r="168" spans="1:47">
      <c r="A168" s="353" t="s">
        <v>345</v>
      </c>
      <c r="B168" s="354"/>
      <c r="C168" s="352"/>
      <c r="W168" s="352"/>
    </row>
    <row r="170" spans="1:47">
      <c r="A170" s="319" t="s">
        <v>346</v>
      </c>
    </row>
    <row r="171" spans="1:47">
      <c r="A171" s="513" t="s">
        <v>347</v>
      </c>
    </row>
    <row r="172" spans="1:47">
      <c r="A172" s="319" t="s">
        <v>348</v>
      </c>
      <c r="D172" s="355"/>
      <c r="E172" s="355">
        <f>+AL172</f>
        <v>4669</v>
      </c>
      <c r="F172" s="355"/>
      <c r="G172" s="355">
        <f>+Z172</f>
        <v>44861.222999999998</v>
      </c>
      <c r="H172" s="360"/>
      <c r="I172" s="355">
        <v>47131</v>
      </c>
      <c r="J172" s="355"/>
      <c r="K172" s="355">
        <f>+AB172</f>
        <v>55493.767</v>
      </c>
      <c r="L172" s="355"/>
      <c r="M172" s="355">
        <f>+AC172</f>
        <v>22673.442999999999</v>
      </c>
      <c r="N172" s="355"/>
      <c r="O172" s="355">
        <f>AD172</f>
        <v>53314.603000000003</v>
      </c>
      <c r="P172" s="355"/>
      <c r="Q172" s="355">
        <f>+AE172</f>
        <v>46310.726999999999</v>
      </c>
      <c r="R172" s="355"/>
      <c r="S172" s="355">
        <f>+AF172</f>
        <v>99803.008000000002</v>
      </c>
      <c r="T172" s="355"/>
      <c r="U172" s="355">
        <f>+AG172</f>
        <v>78957.357000000004</v>
      </c>
      <c r="V172" s="355"/>
      <c r="X172" s="355"/>
      <c r="Y172" s="355">
        <v>4669.2439999999997</v>
      </c>
      <c r="Z172" s="355">
        <v>44861.222999999998</v>
      </c>
      <c r="AA172" s="355">
        <v>47131</v>
      </c>
      <c r="AB172" s="355">
        <v>55493.767</v>
      </c>
      <c r="AC172" s="355">
        <f>+AN172</f>
        <v>22673.442999999999</v>
      </c>
      <c r="AD172" s="355">
        <v>53314.603000000003</v>
      </c>
      <c r="AE172" s="355">
        <f>+AO172</f>
        <v>46310.726999999999</v>
      </c>
      <c r="AF172" s="355">
        <v>99803.008000000002</v>
      </c>
      <c r="AG172" s="355">
        <f>+AP172</f>
        <v>78957.357000000004</v>
      </c>
      <c r="AH172" s="355"/>
      <c r="AI172" s="355"/>
      <c r="AJ172" s="355">
        <v>316</v>
      </c>
      <c r="AK172" s="355">
        <v>816</v>
      </c>
      <c r="AL172" s="355">
        <v>4669</v>
      </c>
      <c r="AM172" s="355">
        <f>+AA172</f>
        <v>47131</v>
      </c>
      <c r="AN172" s="355">
        <v>22673.442999999999</v>
      </c>
      <c r="AO172" s="355">
        <v>46310.726999999999</v>
      </c>
      <c r="AP172" s="355">
        <v>78957.357000000004</v>
      </c>
      <c r="AQ172" s="355"/>
      <c r="AR172" s="355"/>
      <c r="AS172" s="355"/>
      <c r="AT172" s="355"/>
      <c r="AU172" s="355"/>
    </row>
    <row r="173" spans="1:47">
      <c r="A173" s="319" t="s">
        <v>349</v>
      </c>
      <c r="D173" s="355"/>
      <c r="E173" s="355">
        <f t="shared" ref="E173:E214" si="313">+AL173</f>
        <v>189</v>
      </c>
      <c r="F173" s="355"/>
      <c r="G173" s="355">
        <f t="shared" ref="G173:G214" si="314">+Z173</f>
        <v>769.71</v>
      </c>
      <c r="H173" s="355"/>
      <c r="I173" s="355">
        <v>0</v>
      </c>
      <c r="J173" s="355"/>
      <c r="K173" s="355">
        <f t="shared" ref="K173:K214" si="315">+AB173</f>
        <v>4548.1000000000004</v>
      </c>
      <c r="L173" s="355"/>
      <c r="M173" s="355">
        <f t="shared" ref="M173:M214" si="316">+AC173</f>
        <v>5443.9080000000004</v>
      </c>
      <c r="N173" s="355"/>
      <c r="O173" s="355">
        <f t="shared" ref="O173:O212" si="317">AD173</f>
        <v>8513.8439999999991</v>
      </c>
      <c r="P173" s="355"/>
      <c r="Q173" s="355">
        <f t="shared" ref="Q173:Q214" si="318">+AE173</f>
        <v>22119.963</v>
      </c>
      <c r="R173" s="355"/>
      <c r="S173" s="355">
        <f t="shared" ref="S173:S214" si="319">+AF173</f>
        <v>18494.679</v>
      </c>
      <c r="T173" s="355"/>
      <c r="U173" s="355">
        <f t="shared" ref="U173:U214" si="320">+AG173</f>
        <v>25069.708999999999</v>
      </c>
      <c r="V173" s="355"/>
      <c r="X173" s="355"/>
      <c r="Y173" s="355">
        <v>188.613</v>
      </c>
      <c r="Z173" s="355">
        <v>769.71</v>
      </c>
      <c r="AA173" s="355">
        <v>1743.596</v>
      </c>
      <c r="AB173" s="355">
        <v>4548.1000000000004</v>
      </c>
      <c r="AC173" s="355">
        <f t="shared" ref="AC173:AC178" si="321">+AN173</f>
        <v>5443.9080000000004</v>
      </c>
      <c r="AD173" s="355">
        <v>8513.8439999999991</v>
      </c>
      <c r="AE173" s="355">
        <f t="shared" ref="AE173:AE178" si="322">+AO173</f>
        <v>22119.963</v>
      </c>
      <c r="AF173" s="355">
        <v>18494.679</v>
      </c>
      <c r="AG173" s="355">
        <f t="shared" ref="AG173:AG214" si="323">+AP173</f>
        <v>25069.708999999999</v>
      </c>
      <c r="AH173" s="355"/>
      <c r="AI173" s="355"/>
      <c r="AJ173" s="355">
        <v>3</v>
      </c>
      <c r="AK173" s="355">
        <v>0</v>
      </c>
      <c r="AL173" s="355">
        <v>189</v>
      </c>
      <c r="AM173" s="355">
        <f t="shared" ref="AM173:AM177" si="324">+AA173</f>
        <v>1743.596</v>
      </c>
      <c r="AN173" s="355">
        <v>5443.9080000000004</v>
      </c>
      <c r="AO173" s="355">
        <v>22119.963</v>
      </c>
      <c r="AP173" s="355">
        <v>25069.708999999999</v>
      </c>
      <c r="AQ173" s="355"/>
      <c r="AR173" s="355"/>
      <c r="AS173" s="355"/>
      <c r="AT173" s="355"/>
      <c r="AU173" s="355"/>
    </row>
    <row r="174" spans="1:47">
      <c r="A174" s="319" t="s">
        <v>350</v>
      </c>
      <c r="D174" s="355"/>
      <c r="E174" s="355">
        <f t="shared" si="313"/>
        <v>197</v>
      </c>
      <c r="F174" s="355"/>
      <c r="G174" s="355">
        <f t="shared" si="314"/>
        <v>217.89699999999999</v>
      </c>
      <c r="H174" s="355"/>
      <c r="I174" s="355">
        <v>0</v>
      </c>
      <c r="J174" s="355"/>
      <c r="K174" s="355">
        <f t="shared" si="315"/>
        <v>1344.0640000000001</v>
      </c>
      <c r="L174" s="355"/>
      <c r="M174" s="355">
        <f t="shared" si="316"/>
        <v>853.36599999999999</v>
      </c>
      <c r="N174" s="355"/>
      <c r="O174" s="355">
        <f t="shared" si="317"/>
        <v>2205.0360000000001</v>
      </c>
      <c r="P174" s="355"/>
      <c r="Q174" s="355">
        <f t="shared" si="318"/>
        <v>2858.9430000000002</v>
      </c>
      <c r="R174" s="355"/>
      <c r="S174" s="355">
        <f t="shared" si="319"/>
        <v>4323.8919999999998</v>
      </c>
      <c r="T174" s="355"/>
      <c r="U174" s="355">
        <f t="shared" si="320"/>
        <v>2907.627</v>
      </c>
      <c r="V174" s="355"/>
      <c r="X174" s="355"/>
      <c r="Y174" s="355">
        <v>197.16900000000001</v>
      </c>
      <c r="Z174" s="355">
        <v>217.89699999999999</v>
      </c>
      <c r="AA174" s="355">
        <v>584.34400000000005</v>
      </c>
      <c r="AB174" s="355">
        <v>1344.0640000000001</v>
      </c>
      <c r="AC174" s="355">
        <f t="shared" si="321"/>
        <v>853.36599999999999</v>
      </c>
      <c r="AD174" s="355">
        <v>2205.0360000000001</v>
      </c>
      <c r="AE174" s="355">
        <f t="shared" si="322"/>
        <v>2858.9430000000002</v>
      </c>
      <c r="AF174" s="355">
        <v>4323.8919999999998</v>
      </c>
      <c r="AG174" s="355">
        <f t="shared" si="323"/>
        <v>2907.627</v>
      </c>
      <c r="AH174" s="355"/>
      <c r="AI174" s="355"/>
      <c r="AJ174" s="355">
        <v>11</v>
      </c>
      <c r="AK174" s="355">
        <v>135</v>
      </c>
      <c r="AL174" s="355">
        <v>197</v>
      </c>
      <c r="AM174" s="355">
        <f t="shared" si="324"/>
        <v>584.34400000000005</v>
      </c>
      <c r="AN174" s="355">
        <v>853.36599999999999</v>
      </c>
      <c r="AO174" s="355">
        <v>2858.9430000000002</v>
      </c>
      <c r="AP174" s="355">
        <v>2907.627</v>
      </c>
      <c r="AQ174" s="355"/>
      <c r="AR174" s="355"/>
      <c r="AS174" s="355"/>
      <c r="AT174" s="355"/>
      <c r="AU174" s="355"/>
    </row>
    <row r="175" spans="1:47">
      <c r="A175" s="319" t="s">
        <v>351</v>
      </c>
      <c r="D175" s="355"/>
      <c r="E175" s="355">
        <f t="shared" si="313"/>
        <v>7</v>
      </c>
      <c r="F175" s="355"/>
      <c r="G175" s="355">
        <f t="shared" si="314"/>
        <v>130.12299999999999</v>
      </c>
      <c r="H175" s="355"/>
      <c r="I175" s="355">
        <v>0</v>
      </c>
      <c r="J175" s="355"/>
      <c r="K175" s="355">
        <f t="shared" si="315"/>
        <v>0</v>
      </c>
      <c r="L175" s="355"/>
      <c r="M175" s="355">
        <f t="shared" si="316"/>
        <v>0</v>
      </c>
      <c r="N175" s="355"/>
      <c r="O175" s="355">
        <f t="shared" si="317"/>
        <v>0</v>
      </c>
      <c r="P175" s="355"/>
      <c r="Q175" s="355">
        <f t="shared" si="318"/>
        <v>0</v>
      </c>
      <c r="R175" s="355"/>
      <c r="S175" s="355">
        <f t="shared" si="319"/>
        <v>0</v>
      </c>
      <c r="T175" s="355"/>
      <c r="U175" s="355">
        <f t="shared" si="320"/>
        <v>0</v>
      </c>
      <c r="V175" s="355"/>
      <c r="X175" s="355"/>
      <c r="Y175" s="355">
        <v>6.7869999999999999</v>
      </c>
      <c r="Z175" s="355">
        <v>130.12299999999999</v>
      </c>
      <c r="AA175" s="355">
        <v>0</v>
      </c>
      <c r="AB175" s="355">
        <v>0</v>
      </c>
      <c r="AC175" s="355">
        <f t="shared" si="321"/>
        <v>0</v>
      </c>
      <c r="AD175" s="355">
        <v>0</v>
      </c>
      <c r="AE175" s="355">
        <f t="shared" si="322"/>
        <v>0</v>
      </c>
      <c r="AF175" s="355">
        <v>0</v>
      </c>
      <c r="AG175" s="355">
        <f t="shared" si="323"/>
        <v>0</v>
      </c>
      <c r="AH175" s="355"/>
      <c r="AI175" s="355"/>
      <c r="AJ175" s="355">
        <v>0</v>
      </c>
      <c r="AK175" s="355">
        <v>8</v>
      </c>
      <c r="AL175" s="355">
        <v>7</v>
      </c>
      <c r="AM175" s="355">
        <f t="shared" si="324"/>
        <v>0</v>
      </c>
      <c r="AN175" s="355">
        <v>0</v>
      </c>
      <c r="AO175" s="355">
        <v>0</v>
      </c>
      <c r="AP175" s="355">
        <v>0</v>
      </c>
      <c r="AQ175" s="355"/>
      <c r="AR175" s="355"/>
      <c r="AS175" s="355"/>
      <c r="AT175" s="355"/>
      <c r="AU175" s="355"/>
    </row>
    <row r="176" spans="1:47">
      <c r="A176" s="319" t="s">
        <v>352</v>
      </c>
      <c r="D176" s="355"/>
      <c r="E176" s="355">
        <f t="shared" si="313"/>
        <v>308</v>
      </c>
      <c r="F176" s="355"/>
      <c r="G176" s="355">
        <f t="shared" si="314"/>
        <v>0</v>
      </c>
      <c r="H176" s="355"/>
      <c r="I176" s="355">
        <v>0</v>
      </c>
      <c r="J176" s="355"/>
      <c r="K176" s="355">
        <f t="shared" si="315"/>
        <v>0</v>
      </c>
      <c r="L176" s="355"/>
      <c r="M176" s="355">
        <f t="shared" si="316"/>
        <v>0</v>
      </c>
      <c r="N176" s="355"/>
      <c r="O176" s="355">
        <f t="shared" si="317"/>
        <v>0</v>
      </c>
      <c r="P176" s="355"/>
      <c r="Q176" s="355">
        <f t="shared" si="318"/>
        <v>0</v>
      </c>
      <c r="R176" s="355"/>
      <c r="S176" s="355">
        <f t="shared" si="319"/>
        <v>0</v>
      </c>
      <c r="T176" s="355"/>
      <c r="U176" s="355">
        <f t="shared" si="320"/>
        <v>0</v>
      </c>
      <c r="V176" s="355"/>
      <c r="X176" s="355"/>
      <c r="Y176" s="355">
        <v>308.03300000000002</v>
      </c>
      <c r="Z176" s="355">
        <v>0</v>
      </c>
      <c r="AA176" s="355">
        <v>0</v>
      </c>
      <c r="AB176" s="355">
        <v>0</v>
      </c>
      <c r="AC176" s="355">
        <f t="shared" si="321"/>
        <v>0</v>
      </c>
      <c r="AD176" s="355">
        <v>0</v>
      </c>
      <c r="AE176" s="355">
        <f t="shared" si="322"/>
        <v>0</v>
      </c>
      <c r="AF176" s="355">
        <v>0</v>
      </c>
      <c r="AG176" s="355">
        <f t="shared" si="323"/>
        <v>0</v>
      </c>
      <c r="AH176" s="355"/>
      <c r="AI176" s="355"/>
      <c r="AJ176" s="355">
        <v>248</v>
      </c>
      <c r="AK176" s="355">
        <v>308</v>
      </c>
      <c r="AL176" s="355">
        <v>308</v>
      </c>
      <c r="AM176" s="355">
        <f t="shared" si="324"/>
        <v>0</v>
      </c>
      <c r="AN176" s="355">
        <v>0</v>
      </c>
      <c r="AO176" s="355">
        <v>0</v>
      </c>
      <c r="AP176" s="355">
        <v>0</v>
      </c>
      <c r="AQ176" s="355"/>
      <c r="AR176" s="355"/>
      <c r="AS176" s="355"/>
      <c r="AT176" s="355"/>
      <c r="AU176" s="355"/>
    </row>
    <row r="177" spans="1:47" s="513" customFormat="1">
      <c r="A177" s="319" t="s">
        <v>353</v>
      </c>
      <c r="D177" s="535"/>
      <c r="E177" s="535">
        <f t="shared" si="313"/>
        <v>6</v>
      </c>
      <c r="F177" s="535"/>
      <c r="G177" s="535">
        <f t="shared" si="314"/>
        <v>559.91600000000005</v>
      </c>
      <c r="H177" s="535"/>
      <c r="I177" s="535">
        <v>2751</v>
      </c>
      <c r="J177" s="535"/>
      <c r="K177" s="535">
        <f t="shared" si="315"/>
        <v>616.43299999999999</v>
      </c>
      <c r="L177" s="535"/>
      <c r="M177" s="535">
        <f t="shared" si="316"/>
        <v>2039.9079999999999</v>
      </c>
      <c r="N177" s="535"/>
      <c r="O177" s="535">
        <f t="shared" si="317"/>
        <v>1761.587</v>
      </c>
      <c r="P177" s="535"/>
      <c r="Q177" s="535">
        <f t="shared" si="318"/>
        <v>1468.0609999999999</v>
      </c>
      <c r="R177" s="535"/>
      <c r="S177" s="535">
        <f t="shared" si="319"/>
        <v>1153.71</v>
      </c>
      <c r="T177" s="535"/>
      <c r="U177" s="535">
        <f t="shared" si="320"/>
        <v>2001.8430000000001</v>
      </c>
      <c r="V177" s="535"/>
      <c r="X177" s="535"/>
      <c r="Y177" s="535">
        <v>6.4720000000000004</v>
      </c>
      <c r="Z177" s="535">
        <v>559.91600000000005</v>
      </c>
      <c r="AA177" s="535">
        <v>422.714</v>
      </c>
      <c r="AB177" s="535">
        <v>616.43299999999999</v>
      </c>
      <c r="AC177" s="535">
        <f t="shared" si="321"/>
        <v>2039.9079999999999</v>
      </c>
      <c r="AD177" s="535">
        <v>1761.587</v>
      </c>
      <c r="AE177" s="535">
        <f t="shared" si="322"/>
        <v>1468.0609999999999</v>
      </c>
      <c r="AF177" s="535">
        <v>1153.71</v>
      </c>
      <c r="AG177" s="535">
        <f t="shared" si="323"/>
        <v>2001.8430000000001</v>
      </c>
      <c r="AH177" s="535"/>
      <c r="AI177" s="535"/>
      <c r="AJ177" s="535">
        <v>0</v>
      </c>
      <c r="AK177" s="535">
        <v>6</v>
      </c>
      <c r="AL177" s="535">
        <v>6</v>
      </c>
      <c r="AM177" s="535">
        <f t="shared" si="324"/>
        <v>422.714</v>
      </c>
      <c r="AN177" s="535">
        <v>2039.9079999999999</v>
      </c>
      <c r="AO177" s="535">
        <v>1468.0609999999999</v>
      </c>
      <c r="AP177" s="535">
        <v>2001.8430000000001</v>
      </c>
      <c r="AQ177" s="535"/>
      <c r="AR177" s="535"/>
      <c r="AS177" s="535"/>
      <c r="AT177" s="535"/>
      <c r="AU177" s="535"/>
    </row>
    <row r="178" spans="1:47">
      <c r="A178" s="527" t="s">
        <v>354</v>
      </c>
      <c r="D178" s="355"/>
      <c r="E178" s="355">
        <f t="shared" si="313"/>
        <v>5376</v>
      </c>
      <c r="F178" s="355"/>
      <c r="G178" s="355">
        <f t="shared" si="314"/>
        <v>46538.868999999992</v>
      </c>
      <c r="H178" s="355"/>
      <c r="I178" s="355">
        <f>SUM(I172:I177)</f>
        <v>49882</v>
      </c>
      <c r="J178" s="355"/>
      <c r="K178" s="355">
        <f t="shared" si="315"/>
        <v>62002.363999999994</v>
      </c>
      <c r="L178" s="355"/>
      <c r="M178" s="355">
        <f t="shared" si="316"/>
        <v>31010.624999999996</v>
      </c>
      <c r="N178" s="355"/>
      <c r="O178" s="355">
        <f t="shared" si="317"/>
        <v>65795.070000000007</v>
      </c>
      <c r="P178" s="355"/>
      <c r="Q178" s="355">
        <f t="shared" si="318"/>
        <v>72757.694000000003</v>
      </c>
      <c r="R178" s="355"/>
      <c r="S178" s="355">
        <f t="shared" si="319"/>
        <v>123775.289</v>
      </c>
      <c r="T178" s="355"/>
      <c r="U178" s="355">
        <f t="shared" si="320"/>
        <v>108936.53599999999</v>
      </c>
      <c r="V178" s="355"/>
      <c r="X178" s="355"/>
      <c r="Y178" s="355">
        <f>SUM(Y172:Y177)</f>
        <v>5376.3180000000002</v>
      </c>
      <c r="Z178" s="355">
        <f>SUM(Z172:Z177)</f>
        <v>46538.868999999992</v>
      </c>
      <c r="AA178" s="355">
        <f>SUM(AA172:AA177)</f>
        <v>49881.653999999995</v>
      </c>
      <c r="AB178" s="355">
        <f>SUM(AB172:AB177)</f>
        <v>62002.363999999994</v>
      </c>
      <c r="AC178" s="355">
        <f t="shared" si="321"/>
        <v>31010.624999999996</v>
      </c>
      <c r="AD178" s="355">
        <f>SUM(AD172:AD177)</f>
        <v>65795.070000000007</v>
      </c>
      <c r="AE178" s="355">
        <f t="shared" si="322"/>
        <v>72757.694000000003</v>
      </c>
      <c r="AF178" s="355">
        <f>SUM(AF172:AF177)</f>
        <v>123775.289</v>
      </c>
      <c r="AG178" s="355">
        <f t="shared" si="323"/>
        <v>108936.53599999999</v>
      </c>
      <c r="AH178" s="355"/>
      <c r="AI178" s="355"/>
      <c r="AJ178" s="355">
        <f t="shared" ref="AJ178:AP178" si="325">SUM(AJ172:AJ177)</f>
        <v>578</v>
      </c>
      <c r="AK178" s="355">
        <f t="shared" si="325"/>
        <v>1273</v>
      </c>
      <c r="AL178" s="355">
        <f t="shared" si="325"/>
        <v>5376</v>
      </c>
      <c r="AM178" s="355">
        <f t="shared" si="325"/>
        <v>49881.653999999995</v>
      </c>
      <c r="AN178" s="355">
        <f t="shared" si="325"/>
        <v>31010.624999999996</v>
      </c>
      <c r="AO178" s="355">
        <f t="shared" si="325"/>
        <v>72757.694000000003</v>
      </c>
      <c r="AP178" s="355">
        <f t="shared" si="325"/>
        <v>108936.53599999999</v>
      </c>
      <c r="AQ178" s="355"/>
      <c r="AR178" s="355"/>
      <c r="AS178" s="355"/>
      <c r="AT178" s="355"/>
      <c r="AU178" s="355"/>
    </row>
    <row r="179" spans="1:47">
      <c r="A179" s="527"/>
      <c r="D179" s="355"/>
      <c r="E179" s="355"/>
      <c r="F179" s="355"/>
      <c r="G179" s="355"/>
      <c r="H179" s="355"/>
      <c r="I179" s="355"/>
      <c r="J179" s="355"/>
      <c r="K179" s="355"/>
      <c r="L179" s="355"/>
      <c r="M179" s="355"/>
      <c r="N179" s="355"/>
      <c r="O179" s="355"/>
      <c r="P179" s="355"/>
      <c r="Q179" s="355"/>
      <c r="R179" s="355"/>
      <c r="S179" s="355"/>
      <c r="T179" s="355"/>
      <c r="U179" s="355"/>
      <c r="V179" s="355"/>
      <c r="X179" s="355"/>
      <c r="Y179" s="355"/>
      <c r="Z179" s="355"/>
      <c r="AA179" s="355"/>
      <c r="AB179" s="355"/>
      <c r="AC179" s="355"/>
      <c r="AD179" s="355"/>
      <c r="AE179" s="355"/>
      <c r="AF179" s="355"/>
      <c r="AG179" s="355"/>
      <c r="AH179" s="355"/>
      <c r="AI179" s="355"/>
      <c r="AJ179" s="355"/>
      <c r="AK179" s="355"/>
      <c r="AL179" s="355"/>
      <c r="AM179" s="355"/>
      <c r="AN179" s="355"/>
      <c r="AO179" s="355"/>
      <c r="AP179" s="355"/>
      <c r="AQ179" s="355"/>
      <c r="AR179" s="355"/>
      <c r="AS179" s="355"/>
      <c r="AT179" s="355"/>
      <c r="AU179" s="355"/>
    </row>
    <row r="180" spans="1:47">
      <c r="A180" s="513" t="s">
        <v>355</v>
      </c>
      <c r="D180" s="355"/>
      <c r="E180" s="355"/>
      <c r="F180" s="355"/>
      <c r="G180" s="355"/>
      <c r="H180" s="355"/>
      <c r="I180" s="355"/>
      <c r="J180" s="355"/>
      <c r="K180" s="355"/>
      <c r="L180" s="355"/>
      <c r="M180" s="355"/>
      <c r="N180" s="355"/>
      <c r="O180" s="355"/>
      <c r="P180" s="355"/>
      <c r="Q180" s="355"/>
      <c r="R180" s="355"/>
      <c r="S180" s="355"/>
      <c r="T180" s="355"/>
      <c r="U180" s="355"/>
      <c r="V180" s="355"/>
      <c r="X180" s="355"/>
      <c r="Y180" s="355"/>
      <c r="Z180" s="355"/>
      <c r="AA180" s="355"/>
      <c r="AB180" s="355"/>
      <c r="AC180" s="355"/>
      <c r="AD180" s="355"/>
      <c r="AE180" s="355"/>
      <c r="AF180" s="355"/>
      <c r="AG180" s="355"/>
      <c r="AH180" s="355"/>
      <c r="AI180" s="355"/>
      <c r="AJ180" s="355"/>
      <c r="AK180" s="355"/>
      <c r="AL180" s="355"/>
      <c r="AM180" s="355"/>
      <c r="AN180" s="355"/>
      <c r="AO180" s="355"/>
      <c r="AP180" s="355"/>
      <c r="AQ180" s="355"/>
      <c r="AR180" s="355"/>
      <c r="AS180" s="355"/>
      <c r="AT180" s="355"/>
      <c r="AU180" s="355"/>
    </row>
    <row r="181" spans="1:47">
      <c r="A181" s="319" t="s">
        <v>356</v>
      </c>
      <c r="D181" s="355"/>
      <c r="E181" s="355">
        <f t="shared" si="313"/>
        <v>3431</v>
      </c>
      <c r="F181" s="355"/>
      <c r="G181" s="355">
        <f t="shared" si="314"/>
        <v>4257.1440000000002</v>
      </c>
      <c r="H181" s="355"/>
      <c r="I181" s="355">
        <v>5475</v>
      </c>
      <c r="J181" s="355"/>
      <c r="K181" s="355">
        <f t="shared" si="315"/>
        <v>8549.7289999999994</v>
      </c>
      <c r="L181" s="355"/>
      <c r="M181" s="355">
        <f t="shared" si="316"/>
        <v>12072.281000000001</v>
      </c>
      <c r="N181" s="355"/>
      <c r="O181" s="355">
        <f t="shared" si="317"/>
        <v>15463.384</v>
      </c>
      <c r="P181" s="355"/>
      <c r="Q181" s="355">
        <f t="shared" si="318"/>
        <v>20069.133999999998</v>
      </c>
      <c r="R181" s="355"/>
      <c r="S181" s="355">
        <f t="shared" si="319"/>
        <v>24.624423</v>
      </c>
      <c r="T181" s="355"/>
      <c r="U181" s="355">
        <f t="shared" si="320"/>
        <v>27858.133000000002</v>
      </c>
      <c r="V181" s="355"/>
      <c r="X181" s="355"/>
      <c r="Y181" s="355">
        <v>3431.431</v>
      </c>
      <c r="Z181" s="355">
        <v>4257.1440000000002</v>
      </c>
      <c r="AA181" s="355">
        <v>5475</v>
      </c>
      <c r="AB181" s="355">
        <v>8549.7289999999994</v>
      </c>
      <c r="AC181" s="355">
        <f t="shared" ref="AC181:AC184" si="326">+AN181</f>
        <v>12072.281000000001</v>
      </c>
      <c r="AD181" s="355">
        <v>15463.384</v>
      </c>
      <c r="AE181" s="355">
        <f t="shared" ref="AE181:AE184" si="327">+AO181</f>
        <v>20069.133999999998</v>
      </c>
      <c r="AF181" s="355">
        <v>24.624423</v>
      </c>
      <c r="AG181" s="355">
        <f t="shared" si="323"/>
        <v>27858.133000000002</v>
      </c>
      <c r="AH181" s="355"/>
      <c r="AI181" s="355"/>
      <c r="AJ181" s="355">
        <v>1583</v>
      </c>
      <c r="AK181" s="355">
        <v>2472</v>
      </c>
      <c r="AL181" s="355">
        <v>3431</v>
      </c>
      <c r="AM181" s="355">
        <v>5475</v>
      </c>
      <c r="AN181" s="355">
        <v>12072.281000000001</v>
      </c>
      <c r="AO181" s="355">
        <v>20069.133999999998</v>
      </c>
      <c r="AP181" s="355">
        <v>27858.133000000002</v>
      </c>
      <c r="AQ181" s="355"/>
      <c r="AR181" s="355"/>
      <c r="AS181" s="355"/>
      <c r="AT181" s="355"/>
      <c r="AU181" s="355"/>
    </row>
    <row r="182" spans="1:47" s="513" customFormat="1">
      <c r="A182" s="319" t="s">
        <v>357</v>
      </c>
      <c r="D182" s="535"/>
      <c r="E182" s="535">
        <f t="shared" si="313"/>
        <v>114</v>
      </c>
      <c r="F182" s="535"/>
      <c r="G182" s="535">
        <f t="shared" si="314"/>
        <v>1394.183</v>
      </c>
      <c r="H182" s="535"/>
      <c r="I182" s="535">
        <v>2467</v>
      </c>
      <c r="J182" s="535"/>
      <c r="K182" s="535">
        <f t="shared" si="315"/>
        <v>7699.8230000000003</v>
      </c>
      <c r="L182" s="535"/>
      <c r="M182" s="535">
        <f t="shared" si="316"/>
        <v>11267.447</v>
      </c>
      <c r="N182" s="535"/>
      <c r="O182" s="535">
        <f t="shared" si="317"/>
        <v>7062.8289999999997</v>
      </c>
      <c r="P182" s="535"/>
      <c r="Q182" s="535">
        <f t="shared" si="318"/>
        <v>7944.2039999999997</v>
      </c>
      <c r="R182" s="535"/>
      <c r="S182" s="535">
        <f t="shared" si="319"/>
        <v>4568.6049999999996</v>
      </c>
      <c r="T182" s="535"/>
      <c r="U182" s="535">
        <f t="shared" si="320"/>
        <v>3527.643</v>
      </c>
      <c r="V182" s="535"/>
      <c r="X182" s="535"/>
      <c r="Y182" s="535">
        <v>114.27500000000001</v>
      </c>
      <c r="Z182" s="535">
        <v>1394.183</v>
      </c>
      <c r="AA182" s="535">
        <v>2467</v>
      </c>
      <c r="AB182" s="535">
        <v>7699.8230000000003</v>
      </c>
      <c r="AC182" s="535">
        <f t="shared" si="326"/>
        <v>11267.447</v>
      </c>
      <c r="AD182" s="535">
        <v>7062.8289999999997</v>
      </c>
      <c r="AE182" s="535">
        <f t="shared" si="327"/>
        <v>7944.2039999999997</v>
      </c>
      <c r="AF182" s="535">
        <v>4568.6049999999996</v>
      </c>
      <c r="AG182" s="535">
        <f t="shared" si="323"/>
        <v>3527.643</v>
      </c>
      <c r="AH182" s="535"/>
      <c r="AI182" s="535"/>
      <c r="AJ182" s="535">
        <v>28</v>
      </c>
      <c r="AK182" s="535">
        <v>54</v>
      </c>
      <c r="AL182" s="535">
        <v>114</v>
      </c>
      <c r="AM182" s="535">
        <v>2467</v>
      </c>
      <c r="AN182" s="535">
        <v>11267.447</v>
      </c>
      <c r="AO182" s="535">
        <v>7944.2039999999997</v>
      </c>
      <c r="AP182" s="535">
        <v>3527.643</v>
      </c>
      <c r="AQ182" s="535"/>
      <c r="AR182" s="535"/>
      <c r="AS182" s="535"/>
      <c r="AT182" s="535"/>
      <c r="AU182" s="535"/>
    </row>
    <row r="183" spans="1:47" s="513" customFormat="1">
      <c r="A183" s="527" t="s">
        <v>358</v>
      </c>
      <c r="D183" s="535"/>
      <c r="E183" s="535">
        <f t="shared" si="313"/>
        <v>3545</v>
      </c>
      <c r="F183" s="535"/>
      <c r="G183" s="535">
        <f t="shared" si="314"/>
        <v>5651.3270000000002</v>
      </c>
      <c r="H183" s="535"/>
      <c r="I183" s="535">
        <f t="shared" ref="I183" si="328">+SUM(I181:I182)</f>
        <v>7942</v>
      </c>
      <c r="J183" s="535"/>
      <c r="K183" s="535">
        <f t="shared" si="315"/>
        <v>16249.552</v>
      </c>
      <c r="L183" s="535"/>
      <c r="M183" s="535">
        <f t="shared" si="316"/>
        <v>23339.728000000003</v>
      </c>
      <c r="N183" s="535"/>
      <c r="O183" s="535">
        <f t="shared" si="317"/>
        <v>22526.213</v>
      </c>
      <c r="P183" s="535"/>
      <c r="Q183" s="535">
        <f t="shared" si="318"/>
        <v>28013.337999999996</v>
      </c>
      <c r="R183" s="535"/>
      <c r="S183" s="535">
        <f t="shared" si="319"/>
        <v>4593.2294229999998</v>
      </c>
      <c r="T183" s="535"/>
      <c r="U183" s="535">
        <f t="shared" si="320"/>
        <v>31385.776000000002</v>
      </c>
      <c r="V183" s="535"/>
      <c r="X183" s="535"/>
      <c r="Y183" s="535">
        <f t="shared" ref="Y183" si="329">+SUM(Y181:Y182)</f>
        <v>3545.7060000000001</v>
      </c>
      <c r="Z183" s="535">
        <f>+SUM(Z181:Z182)</f>
        <v>5651.3270000000002</v>
      </c>
      <c r="AA183" s="535">
        <f t="shared" ref="AA183:AB183" si="330">+SUM(AA181:AA182)</f>
        <v>7942</v>
      </c>
      <c r="AB183" s="535">
        <f t="shared" si="330"/>
        <v>16249.552</v>
      </c>
      <c r="AC183" s="535">
        <f t="shared" si="326"/>
        <v>23339.728000000003</v>
      </c>
      <c r="AD183" s="535">
        <f t="shared" ref="AD183:AF183" si="331">+SUM(AD181:AD182)</f>
        <v>22526.213</v>
      </c>
      <c r="AE183" s="535">
        <f t="shared" si="327"/>
        <v>28013.337999999996</v>
      </c>
      <c r="AF183" s="535">
        <f t="shared" si="331"/>
        <v>4593.2294229999998</v>
      </c>
      <c r="AG183" s="535">
        <f t="shared" si="323"/>
        <v>31385.776000000002</v>
      </c>
      <c r="AH183" s="535"/>
      <c r="AI183" s="535"/>
      <c r="AJ183" s="535">
        <f>+SUM(AJ181:AJ182)</f>
        <v>1611</v>
      </c>
      <c r="AK183" s="535">
        <f t="shared" ref="AK183:AL183" si="332">+SUM(AK181:AK182)</f>
        <v>2526</v>
      </c>
      <c r="AL183" s="535">
        <f t="shared" si="332"/>
        <v>3545</v>
      </c>
      <c r="AM183" s="535">
        <f t="shared" ref="AM183:AN183" si="333">+SUM(AM181:AM182)</f>
        <v>7942</v>
      </c>
      <c r="AN183" s="535">
        <f t="shared" si="333"/>
        <v>23339.728000000003</v>
      </c>
      <c r="AO183" s="535">
        <f t="shared" ref="AO183:AP183" si="334">+SUM(AO181:AO182)</f>
        <v>28013.337999999996</v>
      </c>
      <c r="AP183" s="535">
        <f t="shared" si="334"/>
        <v>31385.776000000002</v>
      </c>
      <c r="AQ183" s="535"/>
      <c r="AR183" s="535"/>
      <c r="AS183" s="535"/>
      <c r="AT183" s="535"/>
      <c r="AU183" s="535"/>
    </row>
    <row r="184" spans="1:47">
      <c r="A184" s="319" t="s">
        <v>359</v>
      </c>
      <c r="D184" s="355"/>
      <c r="E184" s="355">
        <f t="shared" si="313"/>
        <v>8921</v>
      </c>
      <c r="F184" s="355"/>
      <c r="G184" s="355">
        <f t="shared" si="314"/>
        <v>52190.195999999989</v>
      </c>
      <c r="H184" s="355"/>
      <c r="I184" s="355">
        <f t="shared" ref="I184" si="335">+I183+I178</f>
        <v>57824</v>
      </c>
      <c r="J184" s="355"/>
      <c r="K184" s="355">
        <f t="shared" si="315"/>
        <v>78251.915999999997</v>
      </c>
      <c r="L184" s="355"/>
      <c r="M184" s="355">
        <f t="shared" si="316"/>
        <v>54350.353000000003</v>
      </c>
      <c r="N184" s="355"/>
      <c r="O184" s="355">
        <f t="shared" si="317"/>
        <v>88321.28300000001</v>
      </c>
      <c r="P184" s="355"/>
      <c r="Q184" s="355">
        <f t="shared" si="318"/>
        <v>100771.03200000001</v>
      </c>
      <c r="R184" s="355"/>
      <c r="S184" s="355">
        <f t="shared" si="319"/>
        <v>128368.518423</v>
      </c>
      <c r="T184" s="355"/>
      <c r="U184" s="355">
        <f t="shared" si="320"/>
        <v>140322.31200000001</v>
      </c>
      <c r="V184" s="355"/>
      <c r="X184" s="355"/>
      <c r="Y184" s="355">
        <f t="shared" ref="Y184" si="336">+Y183+Y178</f>
        <v>8922.0240000000013</v>
      </c>
      <c r="Z184" s="355">
        <f>+Z183+Z178</f>
        <v>52190.195999999989</v>
      </c>
      <c r="AA184" s="355">
        <f t="shared" ref="AA184:AB184" si="337">+AA183+AA178</f>
        <v>57823.653999999995</v>
      </c>
      <c r="AB184" s="355">
        <f t="shared" si="337"/>
        <v>78251.915999999997</v>
      </c>
      <c r="AC184" s="355">
        <f t="shared" si="326"/>
        <v>54350.353000000003</v>
      </c>
      <c r="AD184" s="355">
        <f t="shared" ref="AD184:AF184" si="338">+AD183+AD178</f>
        <v>88321.28300000001</v>
      </c>
      <c r="AE184" s="355">
        <f t="shared" si="327"/>
        <v>100771.03200000001</v>
      </c>
      <c r="AF184" s="355">
        <f t="shared" si="338"/>
        <v>128368.518423</v>
      </c>
      <c r="AG184" s="355">
        <f t="shared" si="323"/>
        <v>140322.31200000001</v>
      </c>
      <c r="AH184" s="355"/>
      <c r="AI184" s="355"/>
      <c r="AJ184" s="355">
        <f>+AJ183+AJ178</f>
        <v>2189</v>
      </c>
      <c r="AK184" s="355">
        <f t="shared" ref="AK184:AL184" si="339">+AK183+AK178</f>
        <v>3799</v>
      </c>
      <c r="AL184" s="355">
        <f t="shared" si="339"/>
        <v>8921</v>
      </c>
      <c r="AM184" s="355">
        <f t="shared" ref="AM184:AN184" si="340">+AM183+AM178</f>
        <v>57823.653999999995</v>
      </c>
      <c r="AN184" s="355">
        <f t="shared" si="340"/>
        <v>54350.353000000003</v>
      </c>
      <c r="AO184" s="355">
        <f t="shared" ref="AO184:AP184" si="341">+AO183+AO178</f>
        <v>100771.03200000001</v>
      </c>
      <c r="AP184" s="355">
        <f t="shared" si="341"/>
        <v>140322.31200000001</v>
      </c>
      <c r="AQ184" s="355"/>
      <c r="AR184" s="355"/>
      <c r="AS184" s="355"/>
      <c r="AT184" s="355"/>
      <c r="AU184" s="355"/>
    </row>
    <row r="185" spans="1:47">
      <c r="D185" s="355"/>
      <c r="E185" s="355"/>
      <c r="F185" s="355"/>
      <c r="G185" s="355"/>
      <c r="H185" s="355"/>
      <c r="I185" s="355"/>
      <c r="J185" s="355"/>
      <c r="K185" s="355"/>
      <c r="L185" s="355"/>
      <c r="M185" s="355"/>
      <c r="N185" s="355"/>
      <c r="O185" s="355"/>
      <c r="P185" s="355"/>
      <c r="Q185" s="355"/>
      <c r="R185" s="355"/>
      <c r="S185" s="355"/>
      <c r="T185" s="355"/>
      <c r="U185" s="355"/>
      <c r="V185" s="355"/>
      <c r="X185" s="355"/>
      <c r="Y185" s="355"/>
      <c r="Z185" s="355"/>
      <c r="AA185" s="355"/>
      <c r="AB185" s="355"/>
      <c r="AC185" s="355"/>
      <c r="AD185" s="355"/>
      <c r="AE185" s="355"/>
      <c r="AF185" s="355"/>
      <c r="AG185" s="355"/>
      <c r="AH185" s="355"/>
      <c r="AI185" s="355"/>
      <c r="AJ185" s="355"/>
      <c r="AK185" s="355"/>
      <c r="AL185" s="355"/>
      <c r="AM185" s="355"/>
      <c r="AN185" s="355"/>
      <c r="AO185" s="355"/>
      <c r="AP185" s="355"/>
      <c r="AQ185" s="355"/>
      <c r="AR185" s="355"/>
      <c r="AS185" s="355"/>
      <c r="AT185" s="355"/>
      <c r="AU185" s="355"/>
    </row>
    <row r="186" spans="1:47">
      <c r="A186" s="319" t="s">
        <v>360</v>
      </c>
      <c r="D186" s="355"/>
      <c r="E186" s="355"/>
      <c r="F186" s="355"/>
      <c r="G186" s="355"/>
      <c r="H186" s="355"/>
      <c r="I186" s="355"/>
      <c r="J186" s="355"/>
      <c r="K186" s="355"/>
      <c r="L186" s="355"/>
      <c r="M186" s="355"/>
      <c r="N186" s="355"/>
      <c r="O186" s="355"/>
      <c r="P186" s="355"/>
      <c r="Q186" s="355"/>
      <c r="R186" s="355"/>
      <c r="S186" s="355"/>
      <c r="T186" s="355"/>
      <c r="U186" s="355"/>
      <c r="V186" s="355"/>
      <c r="X186" s="355"/>
      <c r="Y186" s="355"/>
      <c r="Z186" s="355"/>
      <c r="AA186" s="355"/>
      <c r="AB186" s="355"/>
      <c r="AC186" s="355"/>
      <c r="AD186" s="355"/>
      <c r="AE186" s="355"/>
      <c r="AF186" s="355"/>
      <c r="AG186" s="355"/>
      <c r="AH186" s="355"/>
      <c r="AI186" s="355"/>
      <c r="AJ186" s="355"/>
      <c r="AK186" s="355"/>
      <c r="AL186" s="355"/>
      <c r="AM186" s="355"/>
      <c r="AN186" s="355"/>
      <c r="AO186" s="355"/>
      <c r="AP186" s="355"/>
      <c r="AQ186" s="355"/>
      <c r="AR186" s="355"/>
      <c r="AS186" s="355"/>
      <c r="AT186" s="355"/>
      <c r="AU186" s="355"/>
    </row>
    <row r="187" spans="1:47">
      <c r="A187" s="513" t="s">
        <v>361</v>
      </c>
      <c r="D187" s="355"/>
      <c r="E187" s="355"/>
      <c r="F187" s="355"/>
      <c r="G187" s="355"/>
      <c r="H187" s="355"/>
      <c r="I187" s="355"/>
      <c r="J187" s="355"/>
      <c r="K187" s="355"/>
      <c r="L187" s="528"/>
      <c r="M187" s="528"/>
      <c r="N187" s="528"/>
      <c r="O187" s="528"/>
      <c r="P187" s="528"/>
      <c r="Q187" s="528"/>
      <c r="R187" s="528"/>
      <c r="S187" s="528"/>
      <c r="T187" s="528"/>
      <c r="U187" s="528"/>
      <c r="V187" s="528"/>
      <c r="X187" s="355"/>
      <c r="Y187" s="355"/>
      <c r="Z187" s="355"/>
      <c r="AA187" s="355"/>
      <c r="AB187" s="355"/>
      <c r="AC187" s="355"/>
      <c r="AD187" s="355"/>
      <c r="AE187" s="355"/>
      <c r="AF187" s="355"/>
      <c r="AG187" s="355"/>
      <c r="AH187" s="355"/>
      <c r="AI187" s="355"/>
      <c r="AJ187" s="355"/>
      <c r="AK187" s="355"/>
      <c r="AL187" s="355"/>
      <c r="AM187" s="355"/>
      <c r="AN187" s="355"/>
      <c r="AO187" s="355"/>
      <c r="AP187" s="355"/>
      <c r="AQ187" s="355"/>
      <c r="AR187" s="355"/>
      <c r="AS187" s="355"/>
      <c r="AT187" s="355"/>
      <c r="AU187" s="355"/>
    </row>
    <row r="188" spans="1:47">
      <c r="A188" s="319" t="s">
        <v>362</v>
      </c>
      <c r="D188" s="355"/>
      <c r="E188" s="355">
        <f t="shared" si="313"/>
        <v>4700</v>
      </c>
      <c r="F188" s="355"/>
      <c r="G188" s="355">
        <f t="shared" si="314"/>
        <v>10646.545</v>
      </c>
      <c r="H188" s="355"/>
      <c r="I188" s="355">
        <f>+AM188</f>
        <v>18011</v>
      </c>
      <c r="J188" s="355"/>
      <c r="K188" s="355">
        <f t="shared" si="315"/>
        <v>42830.538</v>
      </c>
      <c r="L188" s="528"/>
      <c r="M188" s="528">
        <f t="shared" si="316"/>
        <v>30658.560000000001</v>
      </c>
      <c r="N188" s="528"/>
      <c r="O188" s="528">
        <f t="shared" si="317"/>
        <v>53128</v>
      </c>
      <c r="P188" s="528"/>
      <c r="Q188" s="528">
        <f t="shared" si="318"/>
        <v>56928.843999999997</v>
      </c>
      <c r="R188" s="528"/>
      <c r="S188" s="528">
        <f t="shared" si="319"/>
        <v>89972.222999999998</v>
      </c>
      <c r="T188" s="528"/>
      <c r="U188" s="528">
        <f t="shared" si="320"/>
        <v>90458.107000000004</v>
      </c>
      <c r="V188" s="528"/>
      <c r="X188" s="355"/>
      <c r="Y188" s="355">
        <v>4699.6189999999997</v>
      </c>
      <c r="Z188" s="355">
        <v>10646.545</v>
      </c>
      <c r="AA188" s="355">
        <f>+AM188</f>
        <v>18011</v>
      </c>
      <c r="AB188" s="528">
        <v>42830.538</v>
      </c>
      <c r="AC188" s="528">
        <f>+AN188</f>
        <v>30658.560000000001</v>
      </c>
      <c r="AD188" s="528">
        <v>53128</v>
      </c>
      <c r="AE188" s="528">
        <f t="shared" ref="AE188:AE195" si="342">+AO188</f>
        <v>56928.843999999997</v>
      </c>
      <c r="AF188" s="528">
        <v>89972.222999999998</v>
      </c>
      <c r="AG188" s="528">
        <f t="shared" si="323"/>
        <v>90458.107000000004</v>
      </c>
      <c r="AH188" s="528"/>
      <c r="AI188" s="355"/>
      <c r="AJ188" s="355">
        <v>361</v>
      </c>
      <c r="AK188" s="355">
        <v>1421</v>
      </c>
      <c r="AL188" s="355">
        <v>4700</v>
      </c>
      <c r="AM188" s="355">
        <v>18011</v>
      </c>
      <c r="AN188" s="355">
        <v>30658.560000000001</v>
      </c>
      <c r="AO188" s="355">
        <v>56928.843999999997</v>
      </c>
      <c r="AP188" s="355">
        <v>90458.107000000004</v>
      </c>
      <c r="AQ188" s="355">
        <f>+AL188-AK188</f>
        <v>3279</v>
      </c>
      <c r="AR188" s="355">
        <f>+AM188-AL188</f>
        <v>13311</v>
      </c>
      <c r="AS188" s="355"/>
      <c r="AT188" s="355"/>
      <c r="AU188" s="355"/>
    </row>
    <row r="189" spans="1:47">
      <c r="A189" s="319" t="s">
        <v>363</v>
      </c>
      <c r="D189" s="355"/>
      <c r="E189" s="355">
        <f t="shared" si="313"/>
        <v>744</v>
      </c>
      <c r="F189" s="355"/>
      <c r="G189" s="355">
        <f t="shared" si="314"/>
        <v>0</v>
      </c>
      <c r="H189" s="355"/>
      <c r="I189" s="355">
        <f t="shared" ref="I189:I194" si="343">+AM189</f>
        <v>0</v>
      </c>
      <c r="J189" s="355"/>
      <c r="K189" s="355">
        <f t="shared" si="315"/>
        <v>0</v>
      </c>
      <c r="L189" s="528"/>
      <c r="M189" s="528">
        <f t="shared" si="316"/>
        <v>0</v>
      </c>
      <c r="N189" s="528"/>
      <c r="O189" s="528">
        <f t="shared" si="317"/>
        <v>0</v>
      </c>
      <c r="P189" s="528"/>
      <c r="Q189" s="528">
        <f t="shared" si="318"/>
        <v>0</v>
      </c>
      <c r="R189" s="528"/>
      <c r="S189" s="528">
        <f t="shared" si="319"/>
        <v>0</v>
      </c>
      <c r="T189" s="528"/>
      <c r="U189" s="528">
        <f t="shared" si="320"/>
        <v>0</v>
      </c>
      <c r="V189" s="528"/>
      <c r="X189" s="355"/>
      <c r="Y189" s="355">
        <v>743.81200000000001</v>
      </c>
      <c r="Z189" s="355">
        <v>0</v>
      </c>
      <c r="AA189" s="355">
        <f t="shared" ref="AA189:AA194" si="344">+AM189</f>
        <v>0</v>
      </c>
      <c r="AB189" s="528">
        <v>0</v>
      </c>
      <c r="AC189" s="528">
        <f t="shared" ref="AC189:AC214" si="345">+AN189</f>
        <v>0</v>
      </c>
      <c r="AD189" s="528">
        <v>0</v>
      </c>
      <c r="AE189" s="528">
        <f t="shared" si="342"/>
        <v>0</v>
      </c>
      <c r="AF189" s="528">
        <v>0</v>
      </c>
      <c r="AG189" s="528">
        <f t="shared" si="323"/>
        <v>0</v>
      </c>
      <c r="AH189" s="528"/>
      <c r="AI189" s="355"/>
      <c r="AJ189" s="355">
        <v>1289</v>
      </c>
      <c r="AK189" s="355">
        <v>1084</v>
      </c>
      <c r="AL189" s="355">
        <v>744</v>
      </c>
      <c r="AM189" s="355">
        <v>0</v>
      </c>
      <c r="AN189" s="355">
        <v>0</v>
      </c>
      <c r="AO189" s="355">
        <v>0</v>
      </c>
      <c r="AP189" s="355">
        <v>0</v>
      </c>
      <c r="AQ189" s="355"/>
      <c r="AR189" s="355"/>
      <c r="AS189" s="355"/>
      <c r="AT189" s="355"/>
      <c r="AU189" s="355"/>
    </row>
    <row r="190" spans="1:47">
      <c r="A190" s="319" t="s">
        <v>364</v>
      </c>
      <c r="D190" s="355"/>
      <c r="E190" s="355">
        <f t="shared" si="313"/>
        <v>274</v>
      </c>
      <c r="F190" s="355"/>
      <c r="G190" s="355">
        <f t="shared" si="314"/>
        <v>344.517</v>
      </c>
      <c r="H190" s="355"/>
      <c r="I190" s="355">
        <f t="shared" si="343"/>
        <v>903.61699999999996</v>
      </c>
      <c r="J190" s="355"/>
      <c r="K190" s="355">
        <f t="shared" si="315"/>
        <v>2116.636</v>
      </c>
      <c r="L190" s="528"/>
      <c r="M190" s="528">
        <f t="shared" si="316"/>
        <v>1343.884</v>
      </c>
      <c r="N190" s="528"/>
      <c r="O190" s="528">
        <f t="shared" si="317"/>
        <v>3409.0050000000001</v>
      </c>
      <c r="P190" s="528"/>
      <c r="Q190" s="528">
        <f t="shared" si="318"/>
        <v>4411.9489999999996</v>
      </c>
      <c r="R190" s="528"/>
      <c r="S190" s="528">
        <f t="shared" si="319"/>
        <v>6672.674</v>
      </c>
      <c r="T190" s="528"/>
      <c r="U190" s="528">
        <f t="shared" si="320"/>
        <v>4487.0789999999997</v>
      </c>
      <c r="V190" s="528"/>
      <c r="X190" s="355"/>
      <c r="Y190" s="355">
        <v>273.75299999999999</v>
      </c>
      <c r="Z190" s="355">
        <v>344.517</v>
      </c>
      <c r="AA190" s="355">
        <f t="shared" si="344"/>
        <v>903.61699999999996</v>
      </c>
      <c r="AB190" s="528">
        <v>2116.636</v>
      </c>
      <c r="AC190" s="528">
        <f t="shared" si="345"/>
        <v>1343.884</v>
      </c>
      <c r="AD190" s="528">
        <v>3409.0050000000001</v>
      </c>
      <c r="AE190" s="528">
        <f t="shared" si="342"/>
        <v>4411.9489999999996</v>
      </c>
      <c r="AF190" s="528">
        <v>6672.674</v>
      </c>
      <c r="AG190" s="528">
        <f t="shared" si="323"/>
        <v>4487.0789999999997</v>
      </c>
      <c r="AH190" s="528"/>
      <c r="AI190" s="355"/>
      <c r="AJ190" s="355">
        <v>23</v>
      </c>
      <c r="AK190" s="355">
        <v>189</v>
      </c>
      <c r="AL190" s="355">
        <v>274</v>
      </c>
      <c r="AM190" s="355">
        <v>903.61699999999996</v>
      </c>
      <c r="AN190" s="528">
        <v>1343.884</v>
      </c>
      <c r="AO190" s="528">
        <v>4411.9489999999996</v>
      </c>
      <c r="AP190" s="528">
        <v>4487.0789999999997</v>
      </c>
      <c r="AQ190" s="355"/>
      <c r="AR190" s="355"/>
      <c r="AS190" s="355"/>
      <c r="AT190" s="355"/>
      <c r="AU190" s="355"/>
    </row>
    <row r="191" spans="1:47">
      <c r="A191" s="319" t="s">
        <v>365</v>
      </c>
      <c r="D191" s="355"/>
      <c r="E191" s="355">
        <f t="shared" si="313"/>
        <v>186</v>
      </c>
      <c r="F191" s="355"/>
      <c r="G191" s="355">
        <f t="shared" si="314"/>
        <v>892.83799999999997</v>
      </c>
      <c r="H191" s="355"/>
      <c r="I191" s="355">
        <f t="shared" si="343"/>
        <v>0</v>
      </c>
      <c r="J191" s="355"/>
      <c r="K191" s="355">
        <f t="shared" si="315"/>
        <v>0</v>
      </c>
      <c r="L191" s="528"/>
      <c r="M191" s="528">
        <f t="shared" si="316"/>
        <v>0</v>
      </c>
      <c r="N191" s="528"/>
      <c r="O191" s="528">
        <f t="shared" si="317"/>
        <v>0</v>
      </c>
      <c r="P191" s="528"/>
      <c r="Q191" s="528">
        <f t="shared" si="318"/>
        <v>0</v>
      </c>
      <c r="R191" s="528"/>
      <c r="S191" s="528">
        <f t="shared" si="319"/>
        <v>2674.5230000000001</v>
      </c>
      <c r="T191" s="528"/>
      <c r="U191" s="528">
        <f t="shared" si="320"/>
        <v>0</v>
      </c>
      <c r="V191" s="528"/>
      <c r="X191" s="355"/>
      <c r="Y191" s="355">
        <v>186.346</v>
      </c>
      <c r="Z191" s="355">
        <v>892.83799999999997</v>
      </c>
      <c r="AA191" s="355">
        <f t="shared" si="344"/>
        <v>0</v>
      </c>
      <c r="AB191" s="528">
        <v>0</v>
      </c>
      <c r="AC191" s="528">
        <f t="shared" si="345"/>
        <v>0</v>
      </c>
      <c r="AD191" s="528">
        <v>0</v>
      </c>
      <c r="AE191" s="528">
        <f t="shared" si="342"/>
        <v>0</v>
      </c>
      <c r="AF191" s="528">
        <v>2674.5230000000001</v>
      </c>
      <c r="AG191" s="528">
        <f t="shared" si="323"/>
        <v>0</v>
      </c>
      <c r="AH191" s="528"/>
      <c r="AI191" s="355"/>
      <c r="AJ191" s="355">
        <v>0</v>
      </c>
      <c r="AK191" s="355">
        <v>0</v>
      </c>
      <c r="AL191" s="355">
        <v>186</v>
      </c>
      <c r="AM191" s="355">
        <v>0</v>
      </c>
      <c r="AN191" s="528">
        <v>0</v>
      </c>
      <c r="AO191" s="528">
        <v>0</v>
      </c>
      <c r="AP191" s="528">
        <v>0</v>
      </c>
      <c r="AQ191" s="355"/>
      <c r="AR191" s="355"/>
      <c r="AS191" s="355"/>
      <c r="AT191" s="355"/>
      <c r="AU191" s="355"/>
    </row>
    <row r="192" spans="1:47">
      <c r="A192" s="319" t="s">
        <v>366</v>
      </c>
      <c r="D192" s="355"/>
      <c r="E192" s="355">
        <f t="shared" si="313"/>
        <v>30</v>
      </c>
      <c r="F192" s="355"/>
      <c r="G192" s="355">
        <f t="shared" si="314"/>
        <v>93.347999999999999</v>
      </c>
      <c r="H192" s="355"/>
      <c r="I192" s="355">
        <f t="shared" si="343"/>
        <v>155.77799999999999</v>
      </c>
      <c r="J192" s="355"/>
      <c r="K192" s="355">
        <f t="shared" si="315"/>
        <v>204.93899999999999</v>
      </c>
      <c r="L192" s="528"/>
      <c r="M192" s="528">
        <f t="shared" si="316"/>
        <v>238.803</v>
      </c>
      <c r="N192" s="528"/>
      <c r="O192" s="528">
        <f t="shared" si="317"/>
        <v>312.40300000000002</v>
      </c>
      <c r="P192" s="528"/>
      <c r="Q192" s="528">
        <f t="shared" si="318"/>
        <v>378.52600000000001</v>
      </c>
      <c r="R192" s="528"/>
      <c r="S192" s="528">
        <f t="shared" si="319"/>
        <v>465.16199999999998</v>
      </c>
      <c r="T192" s="528"/>
      <c r="U192" s="528">
        <f t="shared" si="320"/>
        <v>3614.9740000000002</v>
      </c>
      <c r="V192" s="528"/>
      <c r="X192" s="355"/>
      <c r="Y192" s="355">
        <v>30.701000000000001</v>
      </c>
      <c r="Z192" s="355">
        <v>93.347999999999999</v>
      </c>
      <c r="AA192" s="355">
        <f t="shared" si="344"/>
        <v>155.77799999999999</v>
      </c>
      <c r="AB192" s="528">
        <v>204.93899999999999</v>
      </c>
      <c r="AC192" s="528">
        <f t="shared" si="345"/>
        <v>238.803</v>
      </c>
      <c r="AD192" s="528">
        <v>312.40300000000002</v>
      </c>
      <c r="AE192" s="528">
        <f t="shared" si="342"/>
        <v>378.52600000000001</v>
      </c>
      <c r="AF192" s="528">
        <v>465.16199999999998</v>
      </c>
      <c r="AG192" s="528">
        <f t="shared" si="323"/>
        <v>3614.9740000000002</v>
      </c>
      <c r="AH192" s="528"/>
      <c r="AI192" s="355"/>
      <c r="AJ192" s="355">
        <v>2</v>
      </c>
      <c r="AK192" s="355">
        <v>7</v>
      </c>
      <c r="AL192" s="355">
        <f>30</f>
        <v>30</v>
      </c>
      <c r="AM192" s="355">
        <v>155.77799999999999</v>
      </c>
      <c r="AN192" s="528">
        <v>238.803</v>
      </c>
      <c r="AO192" s="528">
        <v>378.52600000000001</v>
      </c>
      <c r="AP192" s="528">
        <v>3614.9740000000002</v>
      </c>
      <c r="AQ192" s="355"/>
      <c r="AR192" s="355"/>
      <c r="AS192" s="355"/>
      <c r="AT192" s="355"/>
      <c r="AU192" s="355"/>
    </row>
    <row r="193" spans="1:47">
      <c r="A193" s="319" t="s">
        <v>351</v>
      </c>
      <c r="D193" s="355"/>
      <c r="E193" s="355">
        <v>0</v>
      </c>
      <c r="F193" s="355"/>
      <c r="G193" s="355">
        <v>0</v>
      </c>
      <c r="H193" s="355"/>
      <c r="I193" s="355">
        <f t="shared" si="343"/>
        <v>259.71300000000002</v>
      </c>
      <c r="J193" s="355"/>
      <c r="K193" s="355">
        <f t="shared" si="315"/>
        <v>999.78899999999999</v>
      </c>
      <c r="L193" s="528"/>
      <c r="M193" s="528">
        <f t="shared" si="316"/>
        <v>999.78899999999999</v>
      </c>
      <c r="N193" s="528"/>
      <c r="O193" s="528">
        <f t="shared" si="317"/>
        <v>2556.154</v>
      </c>
      <c r="P193" s="528"/>
      <c r="Q193" s="528">
        <f t="shared" si="318"/>
        <v>647.59100000000001</v>
      </c>
      <c r="R193" s="528"/>
      <c r="S193" s="528">
        <f t="shared" si="319"/>
        <v>236.00299999999999</v>
      </c>
      <c r="T193" s="528"/>
      <c r="U193" s="528">
        <f t="shared" si="320"/>
        <v>530.49099999999999</v>
      </c>
      <c r="V193" s="528"/>
      <c r="X193" s="355"/>
      <c r="Y193" s="355">
        <v>0</v>
      </c>
      <c r="Z193" s="355">
        <v>0</v>
      </c>
      <c r="AA193" s="355">
        <f t="shared" si="344"/>
        <v>259.71300000000002</v>
      </c>
      <c r="AB193" s="528">
        <v>999.78899999999999</v>
      </c>
      <c r="AC193" s="528">
        <f t="shared" si="345"/>
        <v>999.78899999999999</v>
      </c>
      <c r="AD193" s="528">
        <v>2556.154</v>
      </c>
      <c r="AE193" s="528">
        <f t="shared" si="342"/>
        <v>647.59100000000001</v>
      </c>
      <c r="AF193" s="528">
        <v>236.00299999999999</v>
      </c>
      <c r="AG193" s="528">
        <f t="shared" si="323"/>
        <v>530.49099999999999</v>
      </c>
      <c r="AH193" s="528"/>
      <c r="AI193" s="355"/>
      <c r="AJ193" s="355">
        <v>0</v>
      </c>
      <c r="AK193" s="355">
        <v>0</v>
      </c>
      <c r="AL193" s="355">
        <v>0</v>
      </c>
      <c r="AM193" s="355">
        <v>259.71300000000002</v>
      </c>
      <c r="AN193" s="528">
        <v>999.78899999999999</v>
      </c>
      <c r="AO193" s="528">
        <v>647.59100000000001</v>
      </c>
      <c r="AP193" s="528">
        <v>530.49099999999999</v>
      </c>
      <c r="AQ193" s="355"/>
      <c r="AR193" s="355"/>
      <c r="AS193" s="355"/>
      <c r="AT193" s="355"/>
      <c r="AU193" s="355"/>
    </row>
    <row r="194" spans="1:47" s="513" customFormat="1" ht="18.5">
      <c r="A194" s="319" t="s">
        <v>367</v>
      </c>
      <c r="D194" s="535"/>
      <c r="E194" s="535">
        <f t="shared" si="313"/>
        <v>264.59100000000001</v>
      </c>
      <c r="F194" s="535"/>
      <c r="G194" s="535">
        <f t="shared" si="314"/>
        <v>292.52800000000002</v>
      </c>
      <c r="H194" s="535"/>
      <c r="I194" s="525">
        <f t="shared" si="343"/>
        <v>410.71199999999999</v>
      </c>
      <c r="J194" s="525"/>
      <c r="K194" s="525">
        <f t="shared" si="315"/>
        <v>469.27499999999998</v>
      </c>
      <c r="L194" s="528"/>
      <c r="M194" s="611">
        <f t="shared" si="316"/>
        <v>1005.354</v>
      </c>
      <c r="N194" s="611"/>
      <c r="O194" s="611">
        <f t="shared" si="317"/>
        <v>951.697</v>
      </c>
      <c r="P194" s="611"/>
      <c r="Q194" s="611">
        <f t="shared" si="318"/>
        <v>1433.22</v>
      </c>
      <c r="R194" s="611"/>
      <c r="S194" s="611">
        <f t="shared" si="319"/>
        <v>1582.6969999999999</v>
      </c>
      <c r="T194" s="611"/>
      <c r="U194" s="611">
        <f t="shared" si="320"/>
        <v>1625.6769999999999</v>
      </c>
      <c r="V194" s="611"/>
      <c r="X194" s="535"/>
      <c r="Y194" s="535">
        <v>264.59100000000001</v>
      </c>
      <c r="Z194" s="535">
        <v>292.52800000000002</v>
      </c>
      <c r="AA194" s="525">
        <f t="shared" si="344"/>
        <v>410.71199999999999</v>
      </c>
      <c r="AB194" s="611">
        <v>469.27499999999998</v>
      </c>
      <c r="AC194" s="611">
        <f t="shared" si="345"/>
        <v>1005.354</v>
      </c>
      <c r="AD194" s="611">
        <v>951.697</v>
      </c>
      <c r="AE194" s="611">
        <f t="shared" si="342"/>
        <v>1433.22</v>
      </c>
      <c r="AF194" s="611">
        <v>1582.6969999999999</v>
      </c>
      <c r="AG194" s="611">
        <f t="shared" si="323"/>
        <v>1625.6769999999999</v>
      </c>
      <c r="AH194" s="607"/>
      <c r="AI194" s="535"/>
      <c r="AJ194" s="535">
        <v>0</v>
      </c>
      <c r="AK194" s="535">
        <v>0</v>
      </c>
      <c r="AL194" s="535">
        <f>+Y194</f>
        <v>264.59100000000001</v>
      </c>
      <c r="AM194" s="525">
        <v>410.71199999999999</v>
      </c>
      <c r="AN194" s="611">
        <v>1005.354</v>
      </c>
      <c r="AO194" s="611">
        <v>1433.22</v>
      </c>
      <c r="AP194" s="611">
        <v>1625.6769999999999</v>
      </c>
      <c r="AQ194" s="535"/>
      <c r="AR194" s="355"/>
      <c r="AS194" s="355"/>
      <c r="AT194" s="355"/>
      <c r="AU194" s="355"/>
    </row>
    <row r="195" spans="1:47">
      <c r="A195" s="527" t="s">
        <v>368</v>
      </c>
      <c r="D195" s="355"/>
      <c r="E195" s="355">
        <f t="shared" si="313"/>
        <v>6198.5910000000003</v>
      </c>
      <c r="F195" s="355"/>
      <c r="G195" s="355">
        <f t="shared" si="314"/>
        <v>12269.776</v>
      </c>
      <c r="H195" s="355"/>
      <c r="I195" s="355">
        <f>SUM(I188:I194)</f>
        <v>19740.819999999996</v>
      </c>
      <c r="J195" s="355"/>
      <c r="K195" s="355">
        <f t="shared" si="315"/>
        <v>46621.176999999996</v>
      </c>
      <c r="L195" s="528"/>
      <c r="M195" s="528">
        <f t="shared" si="316"/>
        <v>34246.39</v>
      </c>
      <c r="N195" s="528"/>
      <c r="O195" s="528">
        <f t="shared" si="317"/>
        <v>60357.258999999998</v>
      </c>
      <c r="P195" s="528"/>
      <c r="Q195" s="528">
        <f t="shared" si="318"/>
        <v>63800.13</v>
      </c>
      <c r="R195" s="528"/>
      <c r="S195" s="528">
        <f t="shared" si="319"/>
        <v>101603.28199999999</v>
      </c>
      <c r="T195" s="528"/>
      <c r="U195" s="528">
        <f t="shared" si="320"/>
        <v>100716.32799999999</v>
      </c>
      <c r="V195" s="528"/>
      <c r="X195" s="355"/>
      <c r="Y195" s="355">
        <f t="shared" ref="Y195" si="346">SUM(Y188:Y194)</f>
        <v>6198.8219999999992</v>
      </c>
      <c r="Z195" s="355">
        <f>SUM(Z188:Z194)</f>
        <v>12269.776</v>
      </c>
      <c r="AA195" s="355">
        <f>SUM(AA188:AA194)</f>
        <v>19740.819999999996</v>
      </c>
      <c r="AB195" s="355">
        <f>SUM(AB188:AB194)</f>
        <v>46621.176999999996</v>
      </c>
      <c r="AC195" s="528">
        <f t="shared" si="345"/>
        <v>34246.39</v>
      </c>
      <c r="AD195" s="355">
        <f>SUM(AD188:AD194)</f>
        <v>60357.258999999998</v>
      </c>
      <c r="AE195" s="355">
        <f t="shared" si="342"/>
        <v>63800.13</v>
      </c>
      <c r="AF195" s="355">
        <f>SUM(AF188:AF194)</f>
        <v>101603.28199999999</v>
      </c>
      <c r="AG195" s="355">
        <f t="shared" si="323"/>
        <v>100716.32799999999</v>
      </c>
      <c r="AH195" s="528"/>
      <c r="AI195" s="355"/>
      <c r="AJ195" s="355">
        <f t="shared" ref="AJ195:AP195" si="347">SUM(AJ188:AJ194)</f>
        <v>1675</v>
      </c>
      <c r="AK195" s="355">
        <f t="shared" si="347"/>
        <v>2701</v>
      </c>
      <c r="AL195" s="355">
        <f t="shared" si="347"/>
        <v>6198.5910000000003</v>
      </c>
      <c r="AM195" s="355">
        <f t="shared" si="347"/>
        <v>19740.819999999996</v>
      </c>
      <c r="AN195" s="355">
        <f t="shared" si="347"/>
        <v>34246.39</v>
      </c>
      <c r="AO195" s="355">
        <f t="shared" si="347"/>
        <v>63800.13</v>
      </c>
      <c r="AP195" s="355">
        <f t="shared" si="347"/>
        <v>100716.32799999999</v>
      </c>
      <c r="AQ195" s="355"/>
      <c r="AR195" s="355"/>
      <c r="AS195" s="355"/>
      <c r="AT195" s="355"/>
      <c r="AU195" s="355"/>
    </row>
    <row r="196" spans="1:47">
      <c r="D196" s="355"/>
      <c r="E196" s="355"/>
      <c r="F196" s="355"/>
      <c r="G196" s="355"/>
      <c r="H196" s="355"/>
      <c r="I196" s="355"/>
      <c r="J196" s="355"/>
      <c r="K196" s="355"/>
      <c r="L196" s="528"/>
      <c r="M196" s="528"/>
      <c r="N196" s="528"/>
      <c r="O196" s="528"/>
      <c r="P196" s="528"/>
      <c r="Q196" s="528"/>
      <c r="R196" s="528"/>
      <c r="S196" s="528"/>
      <c r="T196" s="528"/>
      <c r="U196" s="528"/>
      <c r="V196" s="528"/>
      <c r="X196" s="355"/>
      <c r="Y196" s="355"/>
      <c r="Z196" s="355"/>
      <c r="AA196" s="355"/>
      <c r="AB196" s="528"/>
      <c r="AC196" s="528"/>
      <c r="AD196" s="528"/>
      <c r="AE196" s="528"/>
      <c r="AF196" s="528"/>
      <c r="AG196" s="528"/>
      <c r="AH196" s="528"/>
      <c r="AI196" s="355"/>
      <c r="AJ196" s="355"/>
      <c r="AK196" s="355"/>
      <c r="AL196" s="355"/>
      <c r="AM196" s="355"/>
      <c r="AN196" s="528"/>
      <c r="AO196" s="528"/>
      <c r="AP196" s="528"/>
      <c r="AQ196" s="355"/>
      <c r="AR196" s="355"/>
      <c r="AS196" s="355"/>
      <c r="AT196" s="355"/>
      <c r="AU196" s="355"/>
    </row>
    <row r="197" spans="1:47">
      <c r="A197" s="513" t="s">
        <v>369</v>
      </c>
      <c r="D197" s="355"/>
      <c r="E197" s="355"/>
      <c r="F197" s="355"/>
      <c r="G197" s="355"/>
      <c r="H197" s="355"/>
      <c r="I197" s="355"/>
      <c r="J197" s="355"/>
      <c r="K197" s="355"/>
      <c r="L197" s="528"/>
      <c r="M197" s="528"/>
      <c r="N197" s="528"/>
      <c r="O197" s="528"/>
      <c r="P197" s="528"/>
      <c r="Q197" s="528"/>
      <c r="R197" s="528"/>
      <c r="S197" s="528"/>
      <c r="T197" s="528"/>
      <c r="U197" s="528"/>
      <c r="V197" s="528"/>
      <c r="X197" s="355"/>
      <c r="Y197" s="355"/>
      <c r="Z197" s="355"/>
      <c r="AA197" s="355"/>
      <c r="AB197" s="528"/>
      <c r="AC197" s="528"/>
      <c r="AD197" s="528"/>
      <c r="AE197" s="528"/>
      <c r="AF197" s="528"/>
      <c r="AG197" s="528"/>
      <c r="AH197" s="528"/>
      <c r="AI197" s="355"/>
      <c r="AJ197" s="355"/>
      <c r="AK197" s="355"/>
      <c r="AL197" s="355"/>
      <c r="AM197" s="355"/>
      <c r="AN197" s="528"/>
      <c r="AO197" s="528"/>
      <c r="AP197" s="528"/>
      <c r="AQ197" s="355"/>
      <c r="AR197" s="355"/>
      <c r="AS197" s="355"/>
      <c r="AT197" s="355"/>
      <c r="AU197" s="355"/>
    </row>
    <row r="198" spans="1:47">
      <c r="A198" s="319" t="s">
        <v>370</v>
      </c>
      <c r="D198" s="355"/>
      <c r="E198" s="355">
        <f t="shared" si="313"/>
        <v>150</v>
      </c>
      <c r="F198" s="355"/>
      <c r="G198" s="355">
        <f t="shared" si="314"/>
        <v>363.09800000000001</v>
      </c>
      <c r="H198" s="355"/>
      <c r="I198" s="355">
        <f t="shared" ref="I198:I201" si="348">+AM198</f>
        <v>637</v>
      </c>
      <c r="J198" s="355"/>
      <c r="K198" s="355">
        <f t="shared" si="315"/>
        <v>1235.3610000000001</v>
      </c>
      <c r="L198" s="528"/>
      <c r="M198" s="528">
        <f t="shared" si="316"/>
        <v>0</v>
      </c>
      <c r="N198" s="528"/>
      <c r="O198" s="528">
        <f t="shared" si="317"/>
        <v>0</v>
      </c>
      <c r="P198" s="528"/>
      <c r="Q198" s="528">
        <f t="shared" si="318"/>
        <v>0</v>
      </c>
      <c r="R198" s="528"/>
      <c r="S198" s="528">
        <f t="shared" si="319"/>
        <v>0</v>
      </c>
      <c r="T198" s="528"/>
      <c r="U198" s="528">
        <f t="shared" si="320"/>
        <v>0</v>
      </c>
      <c r="V198" s="528"/>
      <c r="X198" s="355"/>
      <c r="Y198" s="355">
        <v>150.26400000000001</v>
      </c>
      <c r="Z198" s="355">
        <v>363.09800000000001</v>
      </c>
      <c r="AA198" s="355">
        <v>637</v>
      </c>
      <c r="AB198" s="528">
        <v>1235.3610000000001</v>
      </c>
      <c r="AC198" s="528">
        <f t="shared" si="345"/>
        <v>0</v>
      </c>
      <c r="AD198" s="528">
        <v>0</v>
      </c>
      <c r="AE198" s="528">
        <f t="shared" ref="AE198:AE203" si="349">+AO198</f>
        <v>0</v>
      </c>
      <c r="AF198" s="528">
        <v>0</v>
      </c>
      <c r="AG198" s="528">
        <f t="shared" si="323"/>
        <v>0</v>
      </c>
      <c r="AH198" s="528"/>
      <c r="AI198" s="355"/>
      <c r="AJ198" s="355">
        <v>3</v>
      </c>
      <c r="AK198" s="355">
        <v>132</v>
      </c>
      <c r="AL198" s="355">
        <v>150</v>
      </c>
      <c r="AM198" s="355">
        <v>637</v>
      </c>
      <c r="AN198" s="528">
        <v>0</v>
      </c>
      <c r="AO198" s="528">
        <v>0</v>
      </c>
      <c r="AP198" s="528">
        <v>0</v>
      </c>
      <c r="AQ198" s="355"/>
      <c r="AR198" s="355"/>
      <c r="AS198" s="355"/>
      <c r="AT198" s="355"/>
      <c r="AU198" s="355"/>
    </row>
    <row r="199" spans="1:47">
      <c r="A199" s="319" t="s">
        <v>41</v>
      </c>
      <c r="D199" s="355"/>
      <c r="E199" s="355">
        <v>0</v>
      </c>
      <c r="F199" s="355"/>
      <c r="G199" s="355">
        <v>0</v>
      </c>
      <c r="H199" s="355"/>
      <c r="I199" s="355">
        <f t="shared" si="348"/>
        <v>0</v>
      </c>
      <c r="J199" s="355"/>
      <c r="K199" s="355">
        <f t="shared" si="315"/>
        <v>0</v>
      </c>
      <c r="L199" s="528"/>
      <c r="M199" s="528">
        <f t="shared" si="316"/>
        <v>0</v>
      </c>
      <c r="N199" s="528"/>
      <c r="O199" s="528">
        <f t="shared" si="317"/>
        <v>0</v>
      </c>
      <c r="P199" s="528"/>
      <c r="Q199" s="528">
        <f t="shared" si="318"/>
        <v>0</v>
      </c>
      <c r="R199" s="528"/>
      <c r="S199" s="528">
        <f t="shared" si="319"/>
        <v>0</v>
      </c>
      <c r="T199" s="528"/>
      <c r="U199" s="528">
        <f t="shared" si="320"/>
        <v>0</v>
      </c>
      <c r="V199" s="528"/>
      <c r="X199" s="355"/>
      <c r="Y199" s="355">
        <v>0</v>
      </c>
      <c r="Z199" s="355">
        <v>0</v>
      </c>
      <c r="AA199" s="355">
        <v>0</v>
      </c>
      <c r="AB199" s="528">
        <v>0</v>
      </c>
      <c r="AC199" s="528">
        <f t="shared" si="345"/>
        <v>0</v>
      </c>
      <c r="AD199" s="528">
        <v>0</v>
      </c>
      <c r="AE199" s="528">
        <f t="shared" si="349"/>
        <v>0</v>
      </c>
      <c r="AF199" s="528">
        <v>0</v>
      </c>
      <c r="AG199" s="528">
        <f t="shared" si="323"/>
        <v>0</v>
      </c>
      <c r="AH199" s="528"/>
      <c r="AI199" s="355"/>
      <c r="AJ199" s="355">
        <v>0</v>
      </c>
      <c r="AK199" s="355">
        <v>0</v>
      </c>
      <c r="AL199" s="355">
        <v>0</v>
      </c>
      <c r="AM199" s="355">
        <v>0</v>
      </c>
      <c r="AN199" s="528">
        <v>0</v>
      </c>
      <c r="AO199" s="528">
        <v>0</v>
      </c>
      <c r="AP199" s="528">
        <v>0</v>
      </c>
      <c r="AQ199" s="355"/>
      <c r="AR199" s="355"/>
      <c r="AS199" s="355"/>
      <c r="AT199" s="355"/>
      <c r="AU199" s="355"/>
    </row>
    <row r="200" spans="1:47">
      <c r="A200" s="319" t="s">
        <v>366</v>
      </c>
      <c r="D200" s="355"/>
      <c r="E200" s="355">
        <f t="shared" si="313"/>
        <v>2</v>
      </c>
      <c r="F200" s="355"/>
      <c r="G200" s="355">
        <f t="shared" si="314"/>
        <v>4.0270000000000001</v>
      </c>
      <c r="H200" s="355"/>
      <c r="I200" s="355">
        <f t="shared" si="348"/>
        <v>8.3119999999999994</v>
      </c>
      <c r="J200" s="355"/>
      <c r="K200" s="355">
        <f t="shared" si="315"/>
        <v>14.304</v>
      </c>
      <c r="L200" s="528"/>
      <c r="M200" s="528">
        <f t="shared" si="316"/>
        <v>20.66</v>
      </c>
      <c r="N200" s="528"/>
      <c r="O200" s="528">
        <f t="shared" si="317"/>
        <v>35.869</v>
      </c>
      <c r="P200" s="528"/>
      <c r="Q200" s="528">
        <f t="shared" si="318"/>
        <v>49.771000000000001</v>
      </c>
      <c r="R200" s="528"/>
      <c r="S200" s="528">
        <f t="shared" si="319"/>
        <v>82.438000000000002</v>
      </c>
      <c r="T200" s="528"/>
      <c r="U200" s="528">
        <f t="shared" si="320"/>
        <v>105.733</v>
      </c>
      <c r="V200" s="528"/>
      <c r="X200" s="355"/>
      <c r="Y200" s="355">
        <v>1.9119999999999999</v>
      </c>
      <c r="Z200" s="355">
        <v>4.0270000000000001</v>
      </c>
      <c r="AA200" s="355">
        <v>8.3119999999999994</v>
      </c>
      <c r="AB200" s="528">
        <v>14.304</v>
      </c>
      <c r="AC200" s="528">
        <f t="shared" si="345"/>
        <v>20.66</v>
      </c>
      <c r="AD200" s="528">
        <v>35.869</v>
      </c>
      <c r="AE200" s="528">
        <f t="shared" si="349"/>
        <v>49.771000000000001</v>
      </c>
      <c r="AF200" s="528">
        <v>82.438000000000002</v>
      </c>
      <c r="AG200" s="528">
        <f t="shared" si="323"/>
        <v>105.733</v>
      </c>
      <c r="AH200" s="528"/>
      <c r="AI200" s="355"/>
      <c r="AJ200" s="355">
        <v>0</v>
      </c>
      <c r="AK200" s="355">
        <v>0</v>
      </c>
      <c r="AL200" s="355">
        <v>2</v>
      </c>
      <c r="AM200" s="355">
        <v>8.3119999999999994</v>
      </c>
      <c r="AN200" s="528">
        <v>20.66</v>
      </c>
      <c r="AO200" s="528">
        <v>49.771000000000001</v>
      </c>
      <c r="AP200" s="528">
        <v>105.733</v>
      </c>
      <c r="AQ200" s="355"/>
      <c r="AR200" s="355"/>
      <c r="AS200" s="355"/>
      <c r="AT200" s="355"/>
      <c r="AU200" s="355"/>
    </row>
    <row r="201" spans="1:47" s="513" customFormat="1" ht="18.5">
      <c r="A201" s="319" t="s">
        <v>367</v>
      </c>
      <c r="D201" s="535"/>
      <c r="E201" s="535">
        <f t="shared" si="313"/>
        <v>1047.3820000000001</v>
      </c>
      <c r="F201" s="535"/>
      <c r="G201" s="535">
        <f t="shared" si="314"/>
        <v>1305.884</v>
      </c>
      <c r="H201" s="535"/>
      <c r="I201" s="525">
        <f t="shared" si="348"/>
        <v>1673.55</v>
      </c>
      <c r="J201" s="525"/>
      <c r="K201" s="525">
        <f t="shared" si="315"/>
        <v>2673.3159999999998</v>
      </c>
      <c r="L201" s="528"/>
      <c r="M201" s="528">
        <f t="shared" si="316"/>
        <v>2894.6669999999999</v>
      </c>
      <c r="N201" s="528"/>
      <c r="O201" s="528">
        <f t="shared" si="317"/>
        <v>2445.6970000000001</v>
      </c>
      <c r="P201" s="528"/>
      <c r="Q201" s="528">
        <f t="shared" si="318"/>
        <v>3921.6790000000001</v>
      </c>
      <c r="R201" s="528"/>
      <c r="S201" s="528">
        <f t="shared" si="319"/>
        <v>4266.8239999999996</v>
      </c>
      <c r="T201" s="528"/>
      <c r="U201" s="528">
        <f t="shared" si="320"/>
        <v>3428.2049999999999</v>
      </c>
      <c r="V201" s="528"/>
      <c r="X201" s="535"/>
      <c r="Y201" s="535">
        <v>1047.3820000000001</v>
      </c>
      <c r="Z201" s="535">
        <v>1305.884</v>
      </c>
      <c r="AA201" s="525">
        <v>1673.55</v>
      </c>
      <c r="AB201" s="611">
        <v>2673.3159999999998</v>
      </c>
      <c r="AC201" s="611">
        <f t="shared" si="345"/>
        <v>2894.6669999999999</v>
      </c>
      <c r="AD201" s="611">
        <v>2445.6970000000001</v>
      </c>
      <c r="AE201" s="611">
        <f t="shared" si="349"/>
        <v>3921.6790000000001</v>
      </c>
      <c r="AF201" s="611">
        <v>4266.8239999999996</v>
      </c>
      <c r="AG201" s="611">
        <f t="shared" si="323"/>
        <v>3428.2049999999999</v>
      </c>
      <c r="AH201" s="607"/>
      <c r="AI201" s="535"/>
      <c r="AJ201" s="535">
        <v>760</v>
      </c>
      <c r="AK201" s="535">
        <v>974</v>
      </c>
      <c r="AL201" s="535">
        <f>+Y201</f>
        <v>1047.3820000000001</v>
      </c>
      <c r="AM201" s="525">
        <v>1673.55</v>
      </c>
      <c r="AN201" s="611">
        <v>2894.6669999999999</v>
      </c>
      <c r="AO201" s="611">
        <v>3921.6790000000001</v>
      </c>
      <c r="AP201" s="611">
        <v>3428.2049999999999</v>
      </c>
      <c r="AQ201" s="535"/>
      <c r="AR201" s="355"/>
      <c r="AS201" s="355"/>
      <c r="AT201" s="355"/>
      <c r="AU201" s="355"/>
    </row>
    <row r="202" spans="1:47" s="513" customFormat="1">
      <c r="A202" s="527" t="s">
        <v>371</v>
      </c>
      <c r="D202" s="535"/>
      <c r="E202" s="535">
        <f t="shared" si="313"/>
        <v>1199.3820000000001</v>
      </c>
      <c r="F202" s="535"/>
      <c r="G202" s="535">
        <f t="shared" si="314"/>
        <v>1673.009</v>
      </c>
      <c r="H202" s="535"/>
      <c r="I202" s="535">
        <f>+SUM(I198:I201)</f>
        <v>2318.8620000000001</v>
      </c>
      <c r="J202" s="535"/>
      <c r="K202" s="535">
        <f t="shared" si="315"/>
        <v>3922.9809999999998</v>
      </c>
      <c r="L202" s="607"/>
      <c r="M202" s="607">
        <f t="shared" si="316"/>
        <v>2915.3269999999998</v>
      </c>
      <c r="N202" s="607"/>
      <c r="O202" s="607">
        <f t="shared" si="317"/>
        <v>2481.5660000000003</v>
      </c>
      <c r="P202" s="607"/>
      <c r="Q202" s="607">
        <f t="shared" si="318"/>
        <v>3971.4500000000003</v>
      </c>
      <c r="R202" s="607"/>
      <c r="S202" s="607">
        <f t="shared" si="319"/>
        <v>4349.2619999999997</v>
      </c>
      <c r="T202" s="607"/>
      <c r="U202" s="607">
        <f t="shared" si="320"/>
        <v>3533.9380000000001</v>
      </c>
      <c r="V202" s="607"/>
      <c r="X202" s="535"/>
      <c r="Y202" s="535">
        <f t="shared" ref="Y202" si="350">+SUM(Y198:Y201)</f>
        <v>1199.558</v>
      </c>
      <c r="Z202" s="535">
        <f>+SUM(Z198:Z201)</f>
        <v>1673.009</v>
      </c>
      <c r="AA202" s="535">
        <f>+SUM(AA198:AA201)</f>
        <v>2318.8620000000001</v>
      </c>
      <c r="AB202" s="535">
        <f>+SUM(AB198:AB201)</f>
        <v>3922.9809999999998</v>
      </c>
      <c r="AC202" s="607">
        <f t="shared" si="345"/>
        <v>2915.3269999999998</v>
      </c>
      <c r="AD202" s="535">
        <f>+SUM(AD198:AD201)</f>
        <v>2481.5660000000003</v>
      </c>
      <c r="AE202" s="535">
        <f t="shared" si="349"/>
        <v>3971.4500000000003</v>
      </c>
      <c r="AF202" s="535">
        <f>+SUM(AF198:AF201)</f>
        <v>4349.2619999999997</v>
      </c>
      <c r="AG202" s="535">
        <f t="shared" si="323"/>
        <v>3533.9380000000001</v>
      </c>
      <c r="AH202" s="607"/>
      <c r="AI202" s="535"/>
      <c r="AJ202" s="535">
        <f>+SUM(AJ198:AJ201)</f>
        <v>763</v>
      </c>
      <c r="AK202" s="535">
        <f t="shared" ref="AK202:AM202" si="351">+SUM(AK198:AK201)</f>
        <v>1106</v>
      </c>
      <c r="AL202" s="535">
        <f t="shared" si="351"/>
        <v>1199.3820000000001</v>
      </c>
      <c r="AM202" s="535">
        <f t="shared" si="351"/>
        <v>2318.8620000000001</v>
      </c>
      <c r="AN202" s="535">
        <f t="shared" ref="AN202:AO202" si="352">+SUM(AN198:AN201)</f>
        <v>2915.3269999999998</v>
      </c>
      <c r="AO202" s="535">
        <f t="shared" si="352"/>
        <v>3971.4500000000003</v>
      </c>
      <c r="AP202" s="535">
        <f t="shared" ref="AP202" si="353">+SUM(AP198:AP201)</f>
        <v>3533.9380000000001</v>
      </c>
      <c r="AQ202" s="535"/>
      <c r="AR202" s="535"/>
      <c r="AS202" s="535"/>
      <c r="AT202" s="535"/>
      <c r="AU202" s="535"/>
    </row>
    <row r="203" spans="1:47">
      <c r="A203" s="319" t="s">
        <v>372</v>
      </c>
      <c r="D203" s="355"/>
      <c r="E203" s="355">
        <f t="shared" si="313"/>
        <v>7397.973</v>
      </c>
      <c r="F203" s="355"/>
      <c r="G203" s="355">
        <f t="shared" si="314"/>
        <v>13942.785</v>
      </c>
      <c r="H203" s="355"/>
      <c r="I203" s="355">
        <f>+I202+I195</f>
        <v>22059.681999999997</v>
      </c>
      <c r="J203" s="355"/>
      <c r="K203" s="355">
        <f t="shared" si="315"/>
        <v>50544.157999999996</v>
      </c>
      <c r="L203" s="528"/>
      <c r="M203" s="528">
        <f t="shared" si="316"/>
        <v>37161.716999999997</v>
      </c>
      <c r="N203" s="528"/>
      <c r="O203" s="528">
        <f t="shared" si="317"/>
        <v>62838.824999999997</v>
      </c>
      <c r="P203" s="528"/>
      <c r="Q203" s="528">
        <f t="shared" si="318"/>
        <v>67771.58</v>
      </c>
      <c r="R203" s="528"/>
      <c r="S203" s="528">
        <f t="shared" si="319"/>
        <v>105952.54399999999</v>
      </c>
      <c r="T203" s="528"/>
      <c r="U203" s="528">
        <f t="shared" si="320"/>
        <v>104250.26599999999</v>
      </c>
      <c r="V203" s="528"/>
      <c r="X203" s="355"/>
      <c r="Y203" s="355">
        <f t="shared" ref="Y203" si="354">+Y202+Y195</f>
        <v>7398.3799999999992</v>
      </c>
      <c r="Z203" s="355">
        <f>+Z202+Z195</f>
        <v>13942.785</v>
      </c>
      <c r="AA203" s="355">
        <v>22060</v>
      </c>
      <c r="AB203" s="355">
        <f>+AB202+AB195</f>
        <v>50544.157999999996</v>
      </c>
      <c r="AC203" s="528">
        <f t="shared" si="345"/>
        <v>37161.716999999997</v>
      </c>
      <c r="AD203" s="355">
        <f>+AD202+AD195</f>
        <v>62838.824999999997</v>
      </c>
      <c r="AE203" s="355">
        <f t="shared" si="349"/>
        <v>67771.58</v>
      </c>
      <c r="AF203" s="355">
        <f>+AF202+AF195</f>
        <v>105952.54399999999</v>
      </c>
      <c r="AG203" s="355">
        <f t="shared" si="323"/>
        <v>104250.26599999999</v>
      </c>
      <c r="AH203" s="528"/>
      <c r="AI203" s="355"/>
      <c r="AJ203" s="355">
        <f>+AJ202+AJ195</f>
        <v>2438</v>
      </c>
      <c r="AK203" s="355">
        <f t="shared" ref="AK203:AN203" si="355">+AK202+AK195</f>
        <v>3807</v>
      </c>
      <c r="AL203" s="355">
        <f t="shared" si="355"/>
        <v>7397.973</v>
      </c>
      <c r="AM203" s="355">
        <v>22060</v>
      </c>
      <c r="AN203" s="355">
        <f t="shared" si="355"/>
        <v>37161.716999999997</v>
      </c>
      <c r="AO203" s="355">
        <f t="shared" ref="AO203:AP203" si="356">+AO202+AO195</f>
        <v>67771.58</v>
      </c>
      <c r="AP203" s="355">
        <f t="shared" si="356"/>
        <v>104250.26599999999</v>
      </c>
      <c r="AQ203" s="355"/>
      <c r="AR203" s="355"/>
      <c r="AS203" s="355"/>
      <c r="AT203" s="355"/>
      <c r="AU203" s="355"/>
    </row>
    <row r="204" spans="1:47">
      <c r="D204" s="355"/>
      <c r="E204" s="355"/>
      <c r="F204" s="355"/>
      <c r="G204" s="355"/>
      <c r="H204" s="355"/>
      <c r="I204" s="355"/>
      <c r="J204" s="355"/>
      <c r="K204" s="355"/>
      <c r="L204" s="528"/>
      <c r="M204" s="528"/>
      <c r="N204" s="528"/>
      <c r="O204" s="528"/>
      <c r="P204" s="528"/>
      <c r="Q204" s="528"/>
      <c r="R204" s="528"/>
      <c r="S204" s="528"/>
      <c r="T204" s="528"/>
      <c r="U204" s="528"/>
      <c r="V204" s="528"/>
      <c r="X204" s="355"/>
      <c r="Y204" s="355"/>
      <c r="Z204" s="355"/>
      <c r="AA204" s="355"/>
      <c r="AB204" s="528"/>
      <c r="AC204" s="528"/>
      <c r="AD204" s="528"/>
      <c r="AE204" s="528"/>
      <c r="AF204" s="528"/>
      <c r="AG204" s="528"/>
      <c r="AH204" s="528"/>
      <c r="AI204" s="355"/>
      <c r="AJ204" s="355"/>
      <c r="AK204" s="355"/>
      <c r="AL204" s="355"/>
      <c r="AM204" s="355"/>
      <c r="AN204" s="355"/>
      <c r="AO204" s="355"/>
      <c r="AP204" s="355"/>
      <c r="AQ204" s="355"/>
      <c r="AR204" s="355"/>
      <c r="AS204" s="355"/>
      <c r="AT204" s="355"/>
      <c r="AU204" s="355"/>
    </row>
    <row r="205" spans="1:47">
      <c r="A205" s="319" t="s">
        <v>373</v>
      </c>
      <c r="D205" s="355"/>
      <c r="E205" s="355">
        <f t="shared" si="313"/>
        <v>1523.027</v>
      </c>
      <c r="F205" s="355"/>
      <c r="G205" s="355">
        <f t="shared" si="314"/>
        <v>38247.410999999993</v>
      </c>
      <c r="H205" s="355"/>
      <c r="I205" s="355">
        <f t="shared" ref="I205" si="357">+I184-I203</f>
        <v>35764.317999999999</v>
      </c>
      <c r="J205" s="355"/>
      <c r="K205" s="355">
        <f t="shared" si="315"/>
        <v>27707.758000000002</v>
      </c>
      <c r="L205" s="355"/>
      <c r="M205" s="355">
        <f t="shared" si="316"/>
        <v>17188.636000000006</v>
      </c>
      <c r="N205" s="355"/>
      <c r="O205" s="355">
        <f t="shared" si="317"/>
        <v>25482.458000000013</v>
      </c>
      <c r="P205" s="355"/>
      <c r="Q205" s="355">
        <f t="shared" si="318"/>
        <v>32999.452000000005</v>
      </c>
      <c r="R205" s="355"/>
      <c r="S205" s="355">
        <f t="shared" si="319"/>
        <v>22415.974423000007</v>
      </c>
      <c r="T205" s="355"/>
      <c r="U205" s="355">
        <f t="shared" si="320"/>
        <v>36072.046000000017</v>
      </c>
      <c r="V205" s="355"/>
      <c r="X205" s="355"/>
      <c r="Y205" s="355">
        <f t="shared" ref="Y205:AM205" si="358">+Y184-Y203</f>
        <v>1523.6440000000021</v>
      </c>
      <c r="Z205" s="355">
        <f>+Z184-Z203</f>
        <v>38247.410999999993</v>
      </c>
      <c r="AA205" s="355">
        <f t="shared" ref="AA205:AF205" si="359">+AA184-AA203</f>
        <v>35763.653999999995</v>
      </c>
      <c r="AB205" s="355">
        <f t="shared" si="359"/>
        <v>27707.758000000002</v>
      </c>
      <c r="AC205" s="528">
        <f t="shared" si="345"/>
        <v>17188.636000000006</v>
      </c>
      <c r="AD205" s="355">
        <f t="shared" si="359"/>
        <v>25482.458000000013</v>
      </c>
      <c r="AE205" s="355">
        <f t="shared" si="359"/>
        <v>32999.452000000005</v>
      </c>
      <c r="AF205" s="355">
        <f t="shared" si="359"/>
        <v>22415.974423000007</v>
      </c>
      <c r="AG205" s="355">
        <f t="shared" si="323"/>
        <v>36072.046000000017</v>
      </c>
      <c r="AH205" s="528"/>
      <c r="AI205" s="355"/>
      <c r="AJ205" s="355">
        <f t="shared" si="358"/>
        <v>-249</v>
      </c>
      <c r="AK205" s="355">
        <f t="shared" si="358"/>
        <v>-8</v>
      </c>
      <c r="AL205" s="355">
        <f t="shared" si="358"/>
        <v>1523.027</v>
      </c>
      <c r="AM205" s="355">
        <f t="shared" si="358"/>
        <v>35763.653999999995</v>
      </c>
      <c r="AN205" s="355">
        <f t="shared" ref="AN205:AP205" si="360">+AN184-AN203</f>
        <v>17188.636000000006</v>
      </c>
      <c r="AO205" s="355">
        <f t="shared" si="360"/>
        <v>32999.452000000005</v>
      </c>
      <c r="AP205" s="355">
        <f t="shared" si="360"/>
        <v>36072.046000000017</v>
      </c>
      <c r="AQ205" s="355"/>
      <c r="AR205" s="355"/>
      <c r="AS205" s="355"/>
      <c r="AT205" s="355"/>
      <c r="AU205" s="355"/>
    </row>
    <row r="206" spans="1:47">
      <c r="D206" s="355"/>
      <c r="E206" s="355"/>
      <c r="F206" s="355"/>
      <c r="G206" s="355"/>
      <c r="H206" s="355"/>
      <c r="I206" s="355"/>
      <c r="J206" s="355"/>
      <c r="K206" s="355"/>
      <c r="L206" s="355"/>
      <c r="M206" s="355"/>
      <c r="N206" s="355"/>
      <c r="O206" s="355"/>
      <c r="P206" s="355"/>
      <c r="Q206" s="355"/>
      <c r="R206" s="355"/>
      <c r="S206" s="355"/>
      <c r="T206" s="355"/>
      <c r="U206" s="355"/>
      <c r="V206" s="355"/>
      <c r="X206" s="355"/>
      <c r="Y206" s="355"/>
      <c r="Z206" s="355"/>
      <c r="AA206" s="355"/>
      <c r="AB206" s="528"/>
      <c r="AC206" s="528"/>
      <c r="AD206" s="528"/>
      <c r="AE206" s="528"/>
      <c r="AF206" s="528"/>
      <c r="AG206" s="528"/>
      <c r="AH206" s="528"/>
      <c r="AI206" s="355"/>
      <c r="AJ206" s="355"/>
      <c r="AK206" s="355"/>
      <c r="AL206" s="355"/>
      <c r="AM206" s="355"/>
      <c r="AN206" s="355"/>
      <c r="AO206" s="355"/>
      <c r="AP206" s="355"/>
      <c r="AQ206" s="355"/>
      <c r="AR206" s="355"/>
      <c r="AS206" s="355"/>
      <c r="AT206" s="355"/>
      <c r="AU206" s="355"/>
    </row>
    <row r="207" spans="1:47">
      <c r="A207" s="319" t="s">
        <v>70</v>
      </c>
      <c r="D207" s="355"/>
      <c r="E207" s="355"/>
      <c r="F207" s="355"/>
      <c r="G207" s="355"/>
      <c r="H207" s="355"/>
      <c r="I207" s="355"/>
      <c r="J207" s="355"/>
      <c r="K207" s="355"/>
      <c r="L207" s="355"/>
      <c r="M207" s="355"/>
      <c r="N207" s="355"/>
      <c r="O207" s="355"/>
      <c r="P207" s="355"/>
      <c r="Q207" s="355"/>
      <c r="R207" s="355"/>
      <c r="S207" s="355"/>
      <c r="T207" s="355"/>
      <c r="U207" s="355"/>
      <c r="V207" s="355"/>
      <c r="X207" s="355"/>
      <c r="Y207" s="355"/>
      <c r="Z207" s="355"/>
      <c r="AA207" s="355"/>
      <c r="AB207" s="355"/>
      <c r="AC207" s="355"/>
      <c r="AD207" s="355"/>
      <c r="AE207" s="355"/>
      <c r="AF207" s="355"/>
      <c r="AG207" s="355"/>
      <c r="AH207" s="355"/>
      <c r="AI207" s="355"/>
      <c r="AJ207" s="355"/>
      <c r="AK207" s="355"/>
      <c r="AL207" s="355"/>
      <c r="AM207" s="355"/>
      <c r="AN207" s="355"/>
      <c r="AO207" s="355"/>
      <c r="AP207" s="355"/>
      <c r="AQ207" s="355"/>
      <c r="AR207" s="355"/>
      <c r="AS207" s="355"/>
      <c r="AT207" s="355"/>
      <c r="AU207" s="355"/>
    </row>
    <row r="208" spans="1:47">
      <c r="A208" s="319" t="s">
        <v>374</v>
      </c>
      <c r="D208" s="355"/>
      <c r="E208" s="355">
        <f t="shared" si="313"/>
        <v>1E-3</v>
      </c>
      <c r="F208" s="355"/>
      <c r="G208" s="355">
        <f t="shared" si="314"/>
        <v>188344.92</v>
      </c>
      <c r="H208" s="355"/>
      <c r="I208" s="355">
        <v>188345</v>
      </c>
      <c r="J208" s="355"/>
      <c r="K208" s="355">
        <f t="shared" si="315"/>
        <v>188345</v>
      </c>
      <c r="L208" s="355"/>
      <c r="M208" s="355">
        <f t="shared" si="316"/>
        <v>188344.92</v>
      </c>
      <c r="N208" s="355"/>
      <c r="O208" s="355">
        <f t="shared" si="317"/>
        <v>188345</v>
      </c>
      <c r="P208" s="355"/>
      <c r="Q208" s="355">
        <f t="shared" si="318"/>
        <v>186992.21799999999</v>
      </c>
      <c r="R208" s="355"/>
      <c r="S208" s="355">
        <f t="shared" si="319"/>
        <v>186992.21799999999</v>
      </c>
      <c r="T208" s="355"/>
      <c r="U208" s="355">
        <f t="shared" si="320"/>
        <v>177207.50399999999</v>
      </c>
      <c r="V208" s="355"/>
      <c r="X208" s="355"/>
      <c r="Y208" s="355">
        <v>1E-3</v>
      </c>
      <c r="Z208" s="355">
        <v>188344.92</v>
      </c>
      <c r="AA208" s="355">
        <v>188345</v>
      </c>
      <c r="AB208" s="355">
        <v>188345</v>
      </c>
      <c r="AC208" s="355">
        <f t="shared" si="345"/>
        <v>188344.92</v>
      </c>
      <c r="AD208" s="355">
        <f>AB208</f>
        <v>188345</v>
      </c>
      <c r="AE208" s="355">
        <f t="shared" ref="AE208:AE212" si="361">+AO208</f>
        <v>186992.21799999999</v>
      </c>
      <c r="AF208" s="355">
        <v>186992.21799999999</v>
      </c>
      <c r="AG208" s="355">
        <f t="shared" si="323"/>
        <v>177207.50399999999</v>
      </c>
      <c r="AH208" s="355"/>
      <c r="AI208" s="355"/>
      <c r="AJ208" s="355">
        <v>0</v>
      </c>
      <c r="AK208" s="355">
        <v>0</v>
      </c>
      <c r="AL208" s="355">
        <f>+Y208</f>
        <v>1E-3</v>
      </c>
      <c r="AM208" s="355">
        <v>188345</v>
      </c>
      <c r="AN208" s="355">
        <v>188344.92</v>
      </c>
      <c r="AO208" s="355">
        <v>186992.21799999999</v>
      </c>
      <c r="AP208" s="355">
        <v>177207.50399999999</v>
      </c>
      <c r="AQ208" s="355"/>
      <c r="AR208" s="355"/>
      <c r="AS208" s="355"/>
      <c r="AT208" s="355"/>
      <c r="AU208" s="355"/>
    </row>
    <row r="209" spans="1:47">
      <c r="A209" s="319" t="s">
        <v>375</v>
      </c>
      <c r="D209" s="355"/>
      <c r="E209" s="355">
        <f t="shared" si="313"/>
        <v>0</v>
      </c>
      <c r="F209" s="355"/>
      <c r="G209" s="355">
        <f t="shared" si="314"/>
        <v>-150619.10999999999</v>
      </c>
      <c r="H209" s="355"/>
      <c r="I209" s="355">
        <v>-150619</v>
      </c>
      <c r="J209" s="355"/>
      <c r="K209" s="355">
        <f t="shared" si="315"/>
        <v>-150619</v>
      </c>
      <c r="L209" s="355"/>
      <c r="M209" s="355">
        <f t="shared" si="316"/>
        <v>-150619</v>
      </c>
      <c r="N209" s="355"/>
      <c r="O209" s="355">
        <f t="shared" si="317"/>
        <v>-150619</v>
      </c>
      <c r="P209" s="355"/>
      <c r="Q209" s="355">
        <f t="shared" si="318"/>
        <v>-150619.10999999999</v>
      </c>
      <c r="R209" s="355"/>
      <c r="S209" s="355">
        <f t="shared" si="319"/>
        <v>-150619.10999999999</v>
      </c>
      <c r="T209" s="355"/>
      <c r="U209" s="355">
        <f t="shared" si="320"/>
        <v>-150619.10999999999</v>
      </c>
      <c r="V209" s="355"/>
      <c r="X209" s="355"/>
      <c r="Y209" s="355">
        <v>0</v>
      </c>
      <c r="Z209" s="355">
        <v>-150619.10999999999</v>
      </c>
      <c r="AA209" s="355">
        <v>-150619</v>
      </c>
      <c r="AB209" s="355">
        <v>-150619</v>
      </c>
      <c r="AC209" s="355">
        <f t="shared" si="345"/>
        <v>-150619</v>
      </c>
      <c r="AD209" s="355">
        <f>AB209</f>
        <v>-150619</v>
      </c>
      <c r="AE209" s="355">
        <f t="shared" si="361"/>
        <v>-150619.10999999999</v>
      </c>
      <c r="AF209" s="355">
        <v>-150619.10999999999</v>
      </c>
      <c r="AG209" s="355">
        <f t="shared" si="323"/>
        <v>-150619.10999999999</v>
      </c>
      <c r="AH209" s="355"/>
      <c r="AI209" s="355"/>
      <c r="AJ209" s="355">
        <v>0</v>
      </c>
      <c r="AK209" s="355">
        <v>0</v>
      </c>
      <c r="AL209" s="355">
        <v>0</v>
      </c>
      <c r="AM209" s="355">
        <v>-150619</v>
      </c>
      <c r="AN209" s="355">
        <f>+AM209</f>
        <v>-150619</v>
      </c>
      <c r="AO209" s="355">
        <v>-150619.10999999999</v>
      </c>
      <c r="AP209" s="355">
        <v>-150619.10999999999</v>
      </c>
      <c r="AQ209" s="355"/>
      <c r="AR209" s="355"/>
      <c r="AS209" s="355"/>
      <c r="AT209" s="355"/>
      <c r="AU209" s="355"/>
    </row>
    <row r="210" spans="1:47">
      <c r="A210" s="319" t="s">
        <v>376</v>
      </c>
      <c r="D210" s="355"/>
      <c r="E210" s="355">
        <v>0</v>
      </c>
      <c r="F210" s="355"/>
      <c r="G210" s="355">
        <v>0</v>
      </c>
      <c r="H210" s="355"/>
      <c r="I210" s="355">
        <v>70</v>
      </c>
      <c r="J210" s="355"/>
      <c r="K210" s="355">
        <f t="shared" si="315"/>
        <v>313.63</v>
      </c>
      <c r="L210" s="355"/>
      <c r="M210" s="355">
        <f t="shared" si="316"/>
        <v>557.66600000000005</v>
      </c>
      <c r="N210" s="355"/>
      <c r="O210" s="355">
        <f t="shared" si="317"/>
        <v>826.76199999999994</v>
      </c>
      <c r="P210" s="355"/>
      <c r="Q210" s="355">
        <f t="shared" si="318"/>
        <v>1755.6469999999999</v>
      </c>
      <c r="R210" s="355"/>
      <c r="S210" s="355">
        <f t="shared" si="319"/>
        <v>2958.5650000000001</v>
      </c>
      <c r="T210" s="355"/>
      <c r="U210" s="355">
        <f t="shared" si="320"/>
        <v>4138.45</v>
      </c>
      <c r="V210" s="355"/>
      <c r="X210" s="355"/>
      <c r="Y210" s="355">
        <v>0</v>
      </c>
      <c r="Z210" s="355">
        <v>0</v>
      </c>
      <c r="AA210" s="355">
        <v>70</v>
      </c>
      <c r="AB210" s="355">
        <v>313.63</v>
      </c>
      <c r="AC210" s="355">
        <f t="shared" si="345"/>
        <v>557.66600000000005</v>
      </c>
      <c r="AD210" s="355">
        <v>826.76199999999994</v>
      </c>
      <c r="AE210" s="355">
        <f t="shared" si="361"/>
        <v>1755.6469999999999</v>
      </c>
      <c r="AF210" s="355">
        <v>2958.5650000000001</v>
      </c>
      <c r="AG210" s="355">
        <f t="shared" si="323"/>
        <v>4138.45</v>
      </c>
      <c r="AH210" s="355"/>
      <c r="AI210" s="355"/>
      <c r="AJ210" s="355">
        <v>0</v>
      </c>
      <c r="AK210" s="355">
        <v>0</v>
      </c>
      <c r="AL210" s="355">
        <v>0</v>
      </c>
      <c r="AM210" s="355">
        <v>70</v>
      </c>
      <c r="AN210" s="355">
        <v>557.66600000000005</v>
      </c>
      <c r="AO210" s="355">
        <v>1755.6469999999999</v>
      </c>
      <c r="AP210" s="355">
        <v>4138.45</v>
      </c>
      <c r="AQ210" s="355"/>
      <c r="AR210" s="355"/>
      <c r="AS210" s="355"/>
      <c r="AT210" s="355"/>
      <c r="AU210" s="355"/>
    </row>
    <row r="211" spans="1:47" s="513" customFormat="1">
      <c r="A211" s="319" t="s">
        <v>377</v>
      </c>
      <c r="D211" s="535"/>
      <c r="E211" s="535">
        <f t="shared" si="313"/>
        <v>1524</v>
      </c>
      <c r="F211" s="535"/>
      <c r="G211" s="535">
        <f t="shared" si="314"/>
        <v>521.601</v>
      </c>
      <c r="H211" s="535"/>
      <c r="I211" s="535">
        <v>-2032</v>
      </c>
      <c r="J211" s="535"/>
      <c r="K211" s="535">
        <f t="shared" si="315"/>
        <v>-10331.682000000001</v>
      </c>
      <c r="L211" s="535"/>
      <c r="M211" s="535">
        <f t="shared" si="316"/>
        <v>-21094.84</v>
      </c>
      <c r="N211" s="535"/>
      <c r="O211" s="535">
        <f t="shared" si="317"/>
        <v>-13070.064</v>
      </c>
      <c r="P211" s="535"/>
      <c r="Q211" s="535">
        <f t="shared" si="318"/>
        <v>-5129.3050000000003</v>
      </c>
      <c r="R211" s="535"/>
      <c r="S211" s="535">
        <f t="shared" si="319"/>
        <v>7684.1</v>
      </c>
      <c r="T211" s="535"/>
      <c r="U211" s="535">
        <f t="shared" si="320"/>
        <v>5345.2020000000002</v>
      </c>
      <c r="V211" s="535"/>
      <c r="X211" s="535"/>
      <c r="Y211" s="535">
        <v>1523.643</v>
      </c>
      <c r="Z211" s="535">
        <v>521.601</v>
      </c>
      <c r="AA211" s="535">
        <v>-2032</v>
      </c>
      <c r="AB211" s="535">
        <v>-10331.682000000001</v>
      </c>
      <c r="AC211" s="535">
        <f t="shared" si="345"/>
        <v>-21094.84</v>
      </c>
      <c r="AD211" s="535">
        <v>-13070.064</v>
      </c>
      <c r="AE211" s="535">
        <f t="shared" si="361"/>
        <v>-5129.3050000000003</v>
      </c>
      <c r="AF211" s="535">
        <v>7684.1</v>
      </c>
      <c r="AG211" s="535">
        <f t="shared" si="323"/>
        <v>5345.2020000000002</v>
      </c>
      <c r="AH211" s="535"/>
      <c r="AI211" s="535"/>
      <c r="AJ211" s="535">
        <v>-249</v>
      </c>
      <c r="AK211" s="535">
        <v>-8</v>
      </c>
      <c r="AL211" s="535">
        <v>1524</v>
      </c>
      <c r="AM211" s="535">
        <v>-2032</v>
      </c>
      <c r="AN211" s="535">
        <v>-21094.84</v>
      </c>
      <c r="AO211" s="535">
        <v>-5129.3050000000003</v>
      </c>
      <c r="AP211" s="535">
        <v>5345.2020000000002</v>
      </c>
      <c r="AQ211" s="535"/>
      <c r="AR211" s="535"/>
      <c r="AS211" s="535"/>
      <c r="AT211" s="535"/>
      <c r="AU211" s="535"/>
    </row>
    <row r="212" spans="1:47">
      <c r="A212" s="527" t="s">
        <v>378</v>
      </c>
      <c r="D212" s="355"/>
      <c r="E212" s="355">
        <f t="shared" si="313"/>
        <v>1524.001</v>
      </c>
      <c r="F212" s="355"/>
      <c r="G212" s="355">
        <f t="shared" si="314"/>
        <v>38247.411000000029</v>
      </c>
      <c r="H212" s="355"/>
      <c r="I212" s="355">
        <f t="shared" ref="I212" si="362">+SUM(I208:I211)</f>
        <v>35764</v>
      </c>
      <c r="J212" s="355"/>
      <c r="K212" s="355">
        <f t="shared" si="315"/>
        <v>27707.947999999997</v>
      </c>
      <c r="L212" s="355"/>
      <c r="M212" s="355">
        <f t="shared" si="316"/>
        <v>17188.74600000001</v>
      </c>
      <c r="N212" s="355"/>
      <c r="O212" s="355">
        <f t="shared" si="317"/>
        <v>25482.698000000004</v>
      </c>
      <c r="P212" s="355"/>
      <c r="Q212" s="355">
        <f t="shared" si="318"/>
        <v>32999.450000000004</v>
      </c>
      <c r="R212" s="355"/>
      <c r="S212" s="355">
        <f t="shared" si="319"/>
        <v>47015.773000000008</v>
      </c>
      <c r="T212" s="355"/>
      <c r="U212" s="355">
        <f t="shared" si="320"/>
        <v>36072.046000000002</v>
      </c>
      <c r="V212" s="355"/>
      <c r="X212" s="355"/>
      <c r="Y212" s="355">
        <f>+SUM(Y208:Y211)</f>
        <v>1523.644</v>
      </c>
      <c r="Z212" s="355">
        <f>+SUM(Z208:Z211)</f>
        <v>38247.411000000029</v>
      </c>
      <c r="AA212" s="355">
        <f t="shared" ref="AA212:AB212" si="363">+SUM(AA208:AA211)</f>
        <v>35764</v>
      </c>
      <c r="AB212" s="355">
        <f t="shared" si="363"/>
        <v>27707.947999999997</v>
      </c>
      <c r="AC212" s="355">
        <f t="shared" si="345"/>
        <v>17188.74600000001</v>
      </c>
      <c r="AD212" s="355">
        <f t="shared" ref="AD212:AF212" si="364">+SUM(AD208:AD211)</f>
        <v>25482.698000000004</v>
      </c>
      <c r="AE212" s="355">
        <f t="shared" si="361"/>
        <v>32999.450000000004</v>
      </c>
      <c r="AF212" s="355">
        <f t="shared" si="364"/>
        <v>47015.773000000008</v>
      </c>
      <c r="AG212" s="355">
        <f t="shared" si="323"/>
        <v>36072.046000000002</v>
      </c>
      <c r="AH212" s="355"/>
      <c r="AI212" s="355"/>
      <c r="AJ212" s="355">
        <f t="shared" ref="AJ212:AM212" si="365">+SUM(AJ208:AJ211)</f>
        <v>-249</v>
      </c>
      <c r="AK212" s="355">
        <f t="shared" si="365"/>
        <v>-8</v>
      </c>
      <c r="AL212" s="355">
        <f t="shared" si="365"/>
        <v>1524.001</v>
      </c>
      <c r="AM212" s="355">
        <f t="shared" si="365"/>
        <v>35764</v>
      </c>
      <c r="AN212" s="355">
        <f t="shared" ref="AN212:AP212" si="366">+SUM(AN208:AN211)</f>
        <v>17188.74600000001</v>
      </c>
      <c r="AO212" s="355">
        <f t="shared" si="366"/>
        <v>32999.450000000004</v>
      </c>
      <c r="AP212" s="355">
        <f t="shared" si="366"/>
        <v>36072.046000000002</v>
      </c>
      <c r="AQ212" s="355"/>
      <c r="AR212" s="355"/>
      <c r="AS212" s="355"/>
      <c r="AT212" s="355"/>
      <c r="AU212" s="355"/>
    </row>
    <row r="213" spans="1:47">
      <c r="D213" s="355"/>
      <c r="E213" s="355"/>
      <c r="F213" s="355"/>
      <c r="G213" s="355"/>
      <c r="H213" s="355"/>
      <c r="I213" s="355"/>
      <c r="J213" s="355"/>
      <c r="K213" s="355"/>
      <c r="L213" s="355"/>
      <c r="M213" s="355"/>
      <c r="N213" s="355"/>
      <c r="O213" s="355"/>
      <c r="P213" s="355"/>
      <c r="Q213" s="355"/>
      <c r="R213" s="355"/>
      <c r="S213" s="355"/>
      <c r="T213" s="355"/>
      <c r="U213" s="355"/>
      <c r="V213" s="355"/>
      <c r="X213" s="355"/>
      <c r="Y213" s="355"/>
      <c r="Z213" s="355"/>
      <c r="AA213" s="355"/>
      <c r="AB213" s="355"/>
      <c r="AC213" s="355"/>
      <c r="AD213" s="355"/>
      <c r="AE213" s="355"/>
      <c r="AF213" s="355"/>
      <c r="AG213" s="355"/>
      <c r="AH213" s="355"/>
      <c r="AI213" s="355"/>
      <c r="AJ213" s="355"/>
      <c r="AK213" s="355"/>
      <c r="AL213" s="355"/>
      <c r="AM213" s="355"/>
      <c r="AN213" s="355"/>
      <c r="AO213" s="355"/>
      <c r="AP213" s="355"/>
      <c r="AQ213" s="355"/>
      <c r="AR213" s="355"/>
      <c r="AS213" s="355"/>
      <c r="AT213" s="355"/>
      <c r="AU213" s="355"/>
    </row>
    <row r="214" spans="1:47">
      <c r="A214" s="319" t="s">
        <v>43</v>
      </c>
      <c r="D214" s="355"/>
      <c r="E214" s="355">
        <f t="shared" si="313"/>
        <v>-4669</v>
      </c>
      <c r="F214" s="355"/>
      <c r="G214" s="355">
        <f t="shared" si="314"/>
        <v>-44861.222999999998</v>
      </c>
      <c r="H214" s="355"/>
      <c r="I214" s="355">
        <f t="shared" ref="I214" si="367">-I172</f>
        <v>-47131</v>
      </c>
      <c r="J214" s="355"/>
      <c r="K214" s="355">
        <f t="shared" si="315"/>
        <v>-55493.767</v>
      </c>
      <c r="L214" s="355"/>
      <c r="M214" s="355">
        <f t="shared" si="316"/>
        <v>-22673.442999999999</v>
      </c>
      <c r="N214" s="355">
        <v>-30000</v>
      </c>
      <c r="O214" s="355">
        <f>AD214</f>
        <v>-53314.603000000003</v>
      </c>
      <c r="P214" s="629" t="s">
        <v>426</v>
      </c>
      <c r="Q214" s="629">
        <f t="shared" si="318"/>
        <v>-46310.726999999999</v>
      </c>
      <c r="R214" s="629">
        <v>-59000</v>
      </c>
      <c r="S214" s="629">
        <f t="shared" si="319"/>
        <v>-99803.008000000002</v>
      </c>
      <c r="T214" s="629">
        <v>-90000</v>
      </c>
      <c r="U214" s="629">
        <f t="shared" si="320"/>
        <v>-78957.357000000004</v>
      </c>
      <c r="V214" s="629"/>
      <c r="X214" s="355"/>
      <c r="Y214" s="355">
        <f t="shared" ref="Y214" si="368">-Y172</f>
        <v>-4669.2439999999997</v>
      </c>
      <c r="Z214" s="355">
        <f>-Z172</f>
        <v>-44861.222999999998</v>
      </c>
      <c r="AA214" s="355">
        <f t="shared" ref="AA214:AB214" si="369">-AA172</f>
        <v>-47131</v>
      </c>
      <c r="AB214" s="355">
        <f t="shared" si="369"/>
        <v>-55493.767</v>
      </c>
      <c r="AC214" s="355">
        <f t="shared" si="345"/>
        <v>-22673.442999999999</v>
      </c>
      <c r="AD214" s="355">
        <f t="shared" ref="AD214:AF214" si="370">-AD172</f>
        <v>-53314.603000000003</v>
      </c>
      <c r="AE214" s="355">
        <f t="shared" si="370"/>
        <v>-46310.726999999999</v>
      </c>
      <c r="AF214" s="355">
        <f t="shared" si="370"/>
        <v>-99803.008000000002</v>
      </c>
      <c r="AG214" s="355">
        <f t="shared" si="323"/>
        <v>-78957.357000000004</v>
      </c>
      <c r="AH214" s="355"/>
      <c r="AI214" s="355"/>
      <c r="AJ214" s="355">
        <f t="shared" ref="AJ214:AM214" si="371">-AJ172</f>
        <v>-316</v>
      </c>
      <c r="AK214" s="355">
        <f t="shared" si="371"/>
        <v>-816</v>
      </c>
      <c r="AL214" s="355">
        <f t="shared" si="371"/>
        <v>-4669</v>
      </c>
      <c r="AM214" s="355">
        <f t="shared" si="371"/>
        <v>-47131</v>
      </c>
      <c r="AN214" s="355">
        <f t="shared" ref="AN214:AP214" si="372">-AN172</f>
        <v>-22673.442999999999</v>
      </c>
      <c r="AO214" s="355">
        <f t="shared" si="372"/>
        <v>-46310.726999999999</v>
      </c>
      <c r="AP214" s="355">
        <f t="shared" si="372"/>
        <v>-78957.357000000004</v>
      </c>
      <c r="AQ214" s="355"/>
      <c r="AR214" s="355"/>
      <c r="AS214" s="355"/>
      <c r="AT214" s="355"/>
      <c r="AU214" s="355"/>
    </row>
    <row r="215" spans="1:47">
      <c r="D215" s="355"/>
      <c r="E215" s="355"/>
      <c r="F215" s="355"/>
      <c r="G215" s="355"/>
      <c r="H215" s="355"/>
      <c r="I215" s="355"/>
      <c r="J215" s="355"/>
      <c r="K215" s="355"/>
      <c r="L215" s="355"/>
      <c r="M215" s="355"/>
      <c r="N215" s="355"/>
      <c r="O215" s="355"/>
      <c r="P215" s="355"/>
      <c r="Q215" s="355"/>
      <c r="R215" s="355"/>
      <c r="S215" s="355"/>
      <c r="T215" s="355"/>
      <c r="U215" s="355"/>
      <c r="V215" s="355"/>
      <c r="X215" s="355"/>
      <c r="Y215" s="355"/>
      <c r="Z215" s="355"/>
      <c r="AA215" s="355"/>
      <c r="AB215" s="355"/>
      <c r="AC215" s="355"/>
      <c r="AD215" s="355"/>
      <c r="AE215" s="355"/>
      <c r="AF215" s="355"/>
      <c r="AG215" s="355"/>
      <c r="AH215" s="355"/>
      <c r="AI215" s="355"/>
      <c r="AJ215" s="355"/>
      <c r="AK215" s="355"/>
      <c r="AL215" s="355"/>
      <c r="AM215" s="355"/>
      <c r="AN215" s="355"/>
      <c r="AO215" s="355"/>
      <c r="AP215" s="355"/>
      <c r="AQ215" s="355"/>
      <c r="AR215" s="355"/>
      <c r="AS215" s="355"/>
      <c r="AT215" s="355"/>
      <c r="AU215" s="355"/>
    </row>
    <row r="216" spans="1:47">
      <c r="A216" s="353" t="s">
        <v>380</v>
      </c>
      <c r="B216" s="609"/>
      <c r="D216" s="355"/>
      <c r="E216" s="355"/>
      <c r="F216" s="355"/>
      <c r="G216" s="355"/>
      <c r="H216" s="355"/>
      <c r="I216" s="355"/>
      <c r="J216" s="355"/>
      <c r="K216" s="355"/>
      <c r="L216" s="355"/>
      <c r="M216" s="355"/>
      <c r="N216" s="355"/>
      <c r="O216" s="355"/>
      <c r="P216" s="355"/>
      <c r="Q216" s="355"/>
      <c r="R216" s="355"/>
      <c r="S216" s="355"/>
      <c r="T216" s="355"/>
      <c r="U216" s="355"/>
      <c r="V216" s="355"/>
      <c r="X216" s="355"/>
      <c r="Y216" s="355"/>
      <c r="Z216" s="355"/>
      <c r="AA216" s="355"/>
      <c r="AB216" s="528"/>
      <c r="AC216" s="528"/>
      <c r="AD216" s="528"/>
      <c r="AE216" s="528"/>
      <c r="AF216" s="528"/>
      <c r="AG216" s="528"/>
      <c r="AH216" s="528"/>
      <c r="AI216" s="355"/>
      <c r="AJ216" s="355"/>
      <c r="AK216" s="355"/>
      <c r="AL216" s="355"/>
      <c r="AM216" s="355"/>
      <c r="AN216" s="528"/>
      <c r="AO216" s="528"/>
      <c r="AP216" s="528"/>
      <c r="AQ216" s="355"/>
      <c r="AR216" s="355"/>
      <c r="AS216" s="355"/>
      <c r="AT216" s="355"/>
      <c r="AU216" s="355"/>
    </row>
    <row r="217" spans="1:47">
      <c r="D217" s="355"/>
      <c r="E217" s="355"/>
      <c r="F217" s="355"/>
      <c r="G217" s="355"/>
      <c r="H217" s="355"/>
      <c r="I217" s="355"/>
      <c r="J217" s="355"/>
      <c r="K217" s="355"/>
      <c r="L217" s="355"/>
      <c r="M217" s="355"/>
      <c r="N217" s="355"/>
      <c r="O217" s="355"/>
      <c r="P217" s="355"/>
      <c r="Q217" s="355"/>
      <c r="R217" s="355"/>
      <c r="S217" s="355"/>
      <c r="T217" s="355"/>
      <c r="U217" s="355"/>
      <c r="V217" s="355"/>
      <c r="X217" s="355"/>
      <c r="Y217" s="355"/>
      <c r="Z217" s="355"/>
      <c r="AA217" s="355"/>
      <c r="AB217" s="528"/>
      <c r="AC217" s="528"/>
      <c r="AD217" s="528"/>
      <c r="AE217" s="528"/>
      <c r="AF217" s="528"/>
      <c r="AG217" s="528"/>
      <c r="AH217" s="528"/>
      <c r="AI217" s="355"/>
      <c r="AJ217" s="355"/>
      <c r="AK217" s="355"/>
      <c r="AL217" s="355"/>
      <c r="AM217" s="355"/>
      <c r="AN217" s="528"/>
      <c r="AO217" s="528"/>
      <c r="AP217" s="528"/>
      <c r="AQ217" s="355"/>
      <c r="AR217" s="355"/>
      <c r="AS217" s="355"/>
      <c r="AT217" s="355"/>
      <c r="AU217" s="355"/>
    </row>
    <row r="218" spans="1:47">
      <c r="A218" s="513" t="s">
        <v>381</v>
      </c>
      <c r="D218" s="355"/>
      <c r="E218" s="355"/>
      <c r="F218" s="355"/>
      <c r="G218" s="355"/>
      <c r="H218" s="355"/>
      <c r="I218" s="355"/>
      <c r="J218" s="355"/>
      <c r="K218" s="355"/>
      <c r="L218" s="355"/>
      <c r="M218" s="355"/>
      <c r="N218" s="355"/>
      <c r="O218" s="355"/>
      <c r="P218" s="355"/>
      <c r="Q218" s="355"/>
      <c r="R218" s="355"/>
      <c r="S218" s="355"/>
      <c r="T218" s="355"/>
      <c r="U218" s="355"/>
      <c r="V218" s="355"/>
      <c r="X218" s="355"/>
      <c r="Y218" s="355"/>
      <c r="Z218" s="355"/>
      <c r="AA218" s="355"/>
      <c r="AB218" s="528"/>
      <c r="AC218" s="528"/>
      <c r="AD218" s="528"/>
      <c r="AE218" s="528"/>
      <c r="AF218" s="528"/>
      <c r="AG218" s="528"/>
      <c r="AH218" s="528"/>
      <c r="AI218" s="355"/>
      <c r="AJ218" s="355"/>
      <c r="AK218" s="355"/>
      <c r="AL218" s="355"/>
      <c r="AM218" s="355"/>
      <c r="AN218" s="528"/>
      <c r="AO218" s="528"/>
      <c r="AP218" s="528"/>
      <c r="AQ218" s="355"/>
      <c r="AR218" s="355"/>
      <c r="AS218" s="355"/>
      <c r="AT218" s="355"/>
      <c r="AU218" s="355"/>
    </row>
    <row r="219" spans="1:47">
      <c r="A219" s="319" t="s">
        <v>382</v>
      </c>
      <c r="D219" s="355"/>
      <c r="E219" s="355"/>
      <c r="F219" s="355"/>
      <c r="G219" s="355"/>
      <c r="H219" s="355"/>
      <c r="I219" s="355"/>
      <c r="J219" s="355"/>
      <c r="K219" s="355"/>
      <c r="L219" s="355"/>
      <c r="M219" s="355"/>
      <c r="N219" s="355"/>
      <c r="O219" s="355"/>
      <c r="P219" s="355"/>
      <c r="Q219" s="355"/>
      <c r="R219" s="355"/>
      <c r="S219" s="355"/>
      <c r="T219" s="355"/>
      <c r="U219" s="355"/>
      <c r="V219" s="355"/>
      <c r="X219" s="355">
        <v>7150.3950000000004</v>
      </c>
      <c r="Y219" s="528">
        <f>+AL219-X219</f>
        <v>15847.328999999998</v>
      </c>
      <c r="Z219" s="528">
        <v>41202.580999999998</v>
      </c>
      <c r="AA219" s="528">
        <f>+AM219-Z219</f>
        <v>53335.328000000001</v>
      </c>
      <c r="AB219" s="528">
        <v>119106.505</v>
      </c>
      <c r="AC219" s="528">
        <f>+AN219-AB219</f>
        <v>93113.073000000004</v>
      </c>
      <c r="AD219" s="528">
        <v>196052.12899999999</v>
      </c>
      <c r="AE219" s="528">
        <f>+AO219-AD219</f>
        <v>256061.41699999999</v>
      </c>
      <c r="AF219" s="624">
        <v>356652.53100000002</v>
      </c>
      <c r="AG219" s="624">
        <f>+AP219-AF219</f>
        <v>443653.03499999997</v>
      </c>
      <c r="AH219" s="528"/>
      <c r="AI219" s="355"/>
      <c r="AJ219" s="610"/>
      <c r="AK219" s="610"/>
      <c r="AL219" s="528">
        <v>22997.723999999998</v>
      </c>
      <c r="AM219" s="528">
        <v>94537.909</v>
      </c>
      <c r="AN219" s="528">
        <v>212219.57800000001</v>
      </c>
      <c r="AO219" s="528">
        <v>452113.54599999997</v>
      </c>
      <c r="AP219" s="528">
        <v>800305.56599999999</v>
      </c>
      <c r="AQ219" s="355"/>
      <c r="AR219" s="355"/>
      <c r="AS219" s="355"/>
      <c r="AT219" s="355"/>
      <c r="AU219" s="355"/>
    </row>
    <row r="220" spans="1:47" ht="18.5">
      <c r="A220" s="319" t="s">
        <v>383</v>
      </c>
      <c r="D220" s="535"/>
      <c r="E220" s="535"/>
      <c r="F220" s="535"/>
      <c r="G220" s="535"/>
      <c r="H220" s="535"/>
      <c r="I220" s="535"/>
      <c r="J220" s="535"/>
      <c r="K220" s="535"/>
      <c r="L220" s="535"/>
      <c r="M220" s="535"/>
      <c r="N220" s="535"/>
      <c r="O220" s="535"/>
      <c r="P220" s="535"/>
      <c r="Q220" s="535"/>
      <c r="R220" s="535"/>
      <c r="S220" s="535"/>
      <c r="T220" s="535"/>
      <c r="U220" s="535"/>
      <c r="V220" s="535"/>
      <c r="X220" s="535">
        <v>-6178.165</v>
      </c>
      <c r="Y220" s="611">
        <f t="shared" ref="Y220:Y227" si="373">+AL220-X220</f>
        <v>-11302.843999999997</v>
      </c>
      <c r="Z220" s="607">
        <v>-32163.636999999999</v>
      </c>
      <c r="AA220" s="611">
        <f t="shared" ref="AA220:AA226" si="374">+AM220-Z220</f>
        <v>-48954.59</v>
      </c>
      <c r="AB220" s="611">
        <v>-106836.12300000001</v>
      </c>
      <c r="AC220" s="611">
        <f t="shared" ref="AC220:AC240" si="375">+AN220-AB220</f>
        <v>-120099.47900000001</v>
      </c>
      <c r="AD220" s="611">
        <v>-160284.61799999999</v>
      </c>
      <c r="AE220" s="611">
        <f t="shared" ref="AE220:AE221" si="376">+AO220-AD220</f>
        <v>-255592.62600000002</v>
      </c>
      <c r="AF220" s="611">
        <v>-292368.73200000002</v>
      </c>
      <c r="AG220" s="611">
        <f t="shared" ref="AG220:AG240" si="377">+AP220-AF220</f>
        <v>-446921.99599999998</v>
      </c>
      <c r="AH220" s="528"/>
      <c r="AI220" s="355"/>
      <c r="AJ220" s="610"/>
      <c r="AK220" s="610"/>
      <c r="AL220" s="611">
        <v>-17481.008999999998</v>
      </c>
      <c r="AM220" s="611">
        <v>-81118.226999999999</v>
      </c>
      <c r="AN220" s="611">
        <v>-226935.60200000001</v>
      </c>
      <c r="AO220" s="611">
        <v>-415877.24400000001</v>
      </c>
      <c r="AP220" s="611">
        <v>-739290.728</v>
      </c>
      <c r="AQ220" s="355"/>
      <c r="AR220" s="355"/>
      <c r="AS220" s="355"/>
      <c r="AT220" s="355"/>
      <c r="AU220" s="355"/>
    </row>
    <row r="221" spans="1:47">
      <c r="D221" s="355"/>
      <c r="E221" s="355"/>
      <c r="F221" s="355"/>
      <c r="G221" s="355"/>
      <c r="H221" s="355"/>
      <c r="I221" s="355"/>
      <c r="J221" s="355"/>
      <c r="K221" s="355"/>
      <c r="L221" s="355"/>
      <c r="M221" s="355"/>
      <c r="N221" s="355"/>
      <c r="O221" s="355"/>
      <c r="P221" s="355"/>
      <c r="Q221" s="355"/>
      <c r="R221" s="355"/>
      <c r="S221" s="355"/>
      <c r="T221" s="355"/>
      <c r="U221" s="355"/>
      <c r="V221" s="355"/>
      <c r="X221" s="355">
        <f t="shared" ref="X221" si="378">+SUM(X219:X220)</f>
        <v>972.23000000000047</v>
      </c>
      <c r="Y221" s="528">
        <f t="shared" si="373"/>
        <v>4544.4849999999997</v>
      </c>
      <c r="Z221" s="528">
        <f>+SUM(Z219:Z220)</f>
        <v>9038.9439999999995</v>
      </c>
      <c r="AA221" s="528">
        <f>+SUM(AA219:AA220)</f>
        <v>4380.7380000000048</v>
      </c>
      <c r="AB221" s="528">
        <f>+SUM(AB219:AB220)</f>
        <v>12270.381999999998</v>
      </c>
      <c r="AC221" s="528">
        <f t="shared" si="375"/>
        <v>-26986.406000000003</v>
      </c>
      <c r="AD221" s="528">
        <f>+SUM(AD219:AD220)</f>
        <v>35767.510999999999</v>
      </c>
      <c r="AE221" s="528">
        <f t="shared" si="376"/>
        <v>468.79099999996834</v>
      </c>
      <c r="AF221" s="528">
        <f>+SUM(AF219:AF220)</f>
        <v>64283.798999999999</v>
      </c>
      <c r="AG221" s="528">
        <f t="shared" si="377"/>
        <v>-3268.9610000000102</v>
      </c>
      <c r="AH221" s="528"/>
      <c r="AI221" s="355"/>
      <c r="AJ221" s="610"/>
      <c r="AK221" s="610"/>
      <c r="AL221" s="528">
        <f>+SUM(AL219:AL220)</f>
        <v>5516.7150000000001</v>
      </c>
      <c r="AM221" s="528">
        <f>+SUM(AM219:AM220)</f>
        <v>13419.682000000001</v>
      </c>
      <c r="AN221" s="528">
        <f>+SUM(AN219:AN220)</f>
        <v>-14716.024000000005</v>
      </c>
      <c r="AO221" s="528">
        <f>+SUM(AO219:AO220)</f>
        <v>36236.301999999967</v>
      </c>
      <c r="AP221" s="528">
        <f>+SUM(AP219:AP220)</f>
        <v>61014.837999999989</v>
      </c>
      <c r="AQ221" s="355"/>
      <c r="AR221" s="355"/>
      <c r="AS221" s="355"/>
      <c r="AT221" s="355"/>
      <c r="AU221" s="355"/>
    </row>
    <row r="222" spans="1:47">
      <c r="D222" s="355"/>
      <c r="E222" s="355"/>
      <c r="F222" s="355"/>
      <c r="G222" s="355"/>
      <c r="H222" s="355"/>
      <c r="I222" s="355"/>
      <c r="J222" s="355"/>
      <c r="K222" s="355"/>
      <c r="L222" s="355"/>
      <c r="M222" s="355"/>
      <c r="N222" s="355"/>
      <c r="O222" s="355"/>
      <c r="P222" s="355"/>
      <c r="Q222" s="355"/>
      <c r="R222" s="355"/>
      <c r="S222" s="355"/>
      <c r="T222" s="355"/>
      <c r="U222" s="355"/>
      <c r="V222" s="355"/>
      <c r="X222" s="355"/>
      <c r="Y222" s="528">
        <f t="shared" si="373"/>
        <v>0</v>
      </c>
      <c r="Z222" s="528"/>
      <c r="AA222" s="528"/>
      <c r="AB222" s="528"/>
      <c r="AC222" s="528"/>
      <c r="AD222" s="528"/>
      <c r="AE222" s="528"/>
      <c r="AF222" s="528"/>
      <c r="AG222" s="528"/>
      <c r="AH222" s="528"/>
      <c r="AI222" s="355"/>
      <c r="AJ222" s="610"/>
      <c r="AK222" s="610"/>
      <c r="AL222" s="528"/>
      <c r="AM222" s="528"/>
      <c r="AN222" s="528"/>
      <c r="AO222" s="528"/>
      <c r="AP222" s="528"/>
      <c r="AQ222" s="355"/>
      <c r="AR222" s="355"/>
      <c r="AS222" s="355"/>
      <c r="AT222" s="355"/>
      <c r="AU222" s="355"/>
    </row>
    <row r="223" spans="1:47">
      <c r="A223" s="319" t="s">
        <v>384</v>
      </c>
      <c r="D223" s="355"/>
      <c r="E223" s="355"/>
      <c r="F223" s="355"/>
      <c r="G223" s="355"/>
      <c r="H223" s="355"/>
      <c r="I223" s="355"/>
      <c r="J223" s="355"/>
      <c r="K223" s="355"/>
      <c r="L223" s="355"/>
      <c r="M223" s="355"/>
      <c r="N223" s="355"/>
      <c r="O223" s="355"/>
      <c r="P223" s="355"/>
      <c r="Q223" s="355"/>
      <c r="R223" s="355"/>
      <c r="S223" s="355"/>
      <c r="T223" s="355"/>
      <c r="U223" s="355"/>
      <c r="V223" s="355"/>
      <c r="X223" s="355">
        <v>0</v>
      </c>
      <c r="Y223" s="528">
        <f t="shared" si="373"/>
        <v>0</v>
      </c>
      <c r="Z223" s="528">
        <v>76.228999999999999</v>
      </c>
      <c r="AA223" s="528">
        <f t="shared" si="374"/>
        <v>12.5</v>
      </c>
      <c r="AB223" s="528">
        <v>6.3310000000000004</v>
      </c>
      <c r="AC223" s="528">
        <f t="shared" si="375"/>
        <v>0</v>
      </c>
      <c r="AD223" s="528">
        <v>0</v>
      </c>
      <c r="AE223" s="528">
        <f t="shared" ref="AE223:AE227" si="379">+AO223-AD223</f>
        <v>0</v>
      </c>
      <c r="AF223" s="528">
        <v>0</v>
      </c>
      <c r="AG223" s="528">
        <f t="shared" si="377"/>
        <v>0</v>
      </c>
      <c r="AH223" s="528"/>
      <c r="AI223" s="355"/>
      <c r="AJ223" s="610"/>
      <c r="AK223" s="610"/>
      <c r="AL223" s="528">
        <v>0</v>
      </c>
      <c r="AM223" s="528">
        <v>88.728999999999999</v>
      </c>
      <c r="AN223" s="528">
        <v>6.3310000000000004</v>
      </c>
      <c r="AO223" s="528">
        <v>0</v>
      </c>
      <c r="AP223" s="528">
        <v>0</v>
      </c>
      <c r="AQ223" s="355"/>
      <c r="AR223" s="355"/>
      <c r="AS223" s="355"/>
      <c r="AT223" s="355"/>
      <c r="AU223" s="355"/>
    </row>
    <row r="224" spans="1:47">
      <c r="A224" s="319" t="s">
        <v>287</v>
      </c>
      <c r="D224" s="355"/>
      <c r="E224" s="355"/>
      <c r="F224" s="355"/>
      <c r="G224" s="355"/>
      <c r="H224" s="355"/>
      <c r="I224" s="355"/>
      <c r="J224" s="355"/>
      <c r="K224" s="355"/>
      <c r="L224" s="355"/>
      <c r="M224" s="355"/>
      <c r="N224" s="355"/>
      <c r="O224" s="355"/>
      <c r="P224" s="355"/>
      <c r="Q224" s="355"/>
      <c r="R224" s="355"/>
      <c r="S224" s="355"/>
      <c r="T224" s="355"/>
      <c r="U224" s="355"/>
      <c r="V224" s="355"/>
      <c r="X224" s="355">
        <v>0</v>
      </c>
      <c r="Y224" s="528">
        <f t="shared" si="373"/>
        <v>0</v>
      </c>
      <c r="Z224" s="528">
        <v>-846.81600000000003</v>
      </c>
      <c r="AA224" s="528">
        <f t="shared" si="374"/>
        <v>0</v>
      </c>
      <c r="AB224" s="528">
        <v>0</v>
      </c>
      <c r="AC224" s="528">
        <f t="shared" si="375"/>
        <v>0</v>
      </c>
      <c r="AD224" s="528">
        <v>0</v>
      </c>
      <c r="AE224" s="528">
        <f t="shared" si="379"/>
        <v>0</v>
      </c>
      <c r="AF224" s="528">
        <v>0</v>
      </c>
      <c r="AG224" s="528">
        <f t="shared" si="377"/>
        <v>0</v>
      </c>
      <c r="AH224" s="528"/>
      <c r="AI224" s="355"/>
      <c r="AJ224" s="610"/>
      <c r="AK224" s="610"/>
      <c r="AL224" s="528">
        <v>0</v>
      </c>
      <c r="AM224" s="528">
        <v>-846.81600000000003</v>
      </c>
      <c r="AN224" s="528">
        <v>0</v>
      </c>
      <c r="AO224" s="528">
        <v>0</v>
      </c>
      <c r="AP224" s="528">
        <v>0</v>
      </c>
      <c r="AQ224" s="355"/>
      <c r="AR224" s="355"/>
      <c r="AS224" s="355"/>
      <c r="AT224" s="355"/>
      <c r="AU224" s="355"/>
    </row>
    <row r="225" spans="1:47">
      <c r="A225" s="319" t="s">
        <v>385</v>
      </c>
      <c r="D225" s="355"/>
      <c r="E225" s="355"/>
      <c r="F225" s="355"/>
      <c r="G225" s="355"/>
      <c r="H225" s="355"/>
      <c r="I225" s="355"/>
      <c r="J225" s="355"/>
      <c r="K225" s="355"/>
      <c r="L225" s="355"/>
      <c r="M225" s="355"/>
      <c r="N225" s="355"/>
      <c r="O225" s="355"/>
      <c r="P225" s="355"/>
      <c r="Q225" s="355"/>
      <c r="R225" s="355"/>
      <c r="S225" s="355"/>
      <c r="T225" s="355"/>
      <c r="U225" s="355"/>
      <c r="V225" s="355"/>
      <c r="X225" s="528">
        <v>0.80400000000000005</v>
      </c>
      <c r="Y225" s="528">
        <f t="shared" si="373"/>
        <v>1.4120000000000001</v>
      </c>
      <c r="Z225" s="528">
        <v>0.86399999999999999</v>
      </c>
      <c r="AA225" s="528">
        <f t="shared" si="374"/>
        <v>8.3659999999999997</v>
      </c>
      <c r="AB225" s="528">
        <v>16.085999999999999</v>
      </c>
      <c r="AC225" s="528">
        <f t="shared" si="375"/>
        <v>19.538000000000004</v>
      </c>
      <c r="AD225" s="528">
        <v>66.822000000000003</v>
      </c>
      <c r="AE225" s="528">
        <f t="shared" si="379"/>
        <v>180.417</v>
      </c>
      <c r="AF225" s="528">
        <v>677.51300000000003</v>
      </c>
      <c r="AG225" s="528">
        <f t="shared" si="377"/>
        <v>1411.4030000000002</v>
      </c>
      <c r="AH225" s="528"/>
      <c r="AI225" s="355"/>
      <c r="AJ225" s="610"/>
      <c r="AK225" s="610"/>
      <c r="AL225" s="528">
        <v>2.2160000000000002</v>
      </c>
      <c r="AM225" s="528">
        <v>9.23</v>
      </c>
      <c r="AN225" s="528">
        <v>35.624000000000002</v>
      </c>
      <c r="AO225" s="528">
        <v>247.239</v>
      </c>
      <c r="AP225" s="528">
        <v>2088.9160000000002</v>
      </c>
      <c r="AQ225" s="355"/>
      <c r="AR225" s="355"/>
      <c r="AS225" s="355"/>
      <c r="AT225" s="355"/>
      <c r="AU225" s="355"/>
    </row>
    <row r="226" spans="1:47">
      <c r="A226" s="319" t="s">
        <v>427</v>
      </c>
      <c r="D226" s="355"/>
      <c r="E226" s="355"/>
      <c r="F226" s="355"/>
      <c r="G226" s="355"/>
      <c r="H226" s="355"/>
      <c r="I226" s="355"/>
      <c r="J226" s="355"/>
      <c r="K226" s="355"/>
      <c r="L226" s="355"/>
      <c r="M226" s="355"/>
      <c r="N226" s="355"/>
      <c r="O226" s="355"/>
      <c r="P226" s="355"/>
      <c r="Q226" s="355"/>
      <c r="R226" s="355"/>
      <c r="S226" s="355"/>
      <c r="T226" s="355"/>
      <c r="U226" s="355"/>
      <c r="V226" s="355"/>
      <c r="X226" s="528">
        <v>0</v>
      </c>
      <c r="Y226" s="528">
        <f t="shared" si="373"/>
        <v>0</v>
      </c>
      <c r="Z226" s="528">
        <v>0</v>
      </c>
      <c r="AA226" s="528">
        <f t="shared" si="374"/>
        <v>-240.10900000000001</v>
      </c>
      <c r="AB226" s="528">
        <v>0</v>
      </c>
      <c r="AC226" s="528">
        <f t="shared" si="375"/>
        <v>0</v>
      </c>
      <c r="AD226" s="528">
        <v>0</v>
      </c>
      <c r="AE226" s="528">
        <f t="shared" si="379"/>
        <v>-33.079000000000001</v>
      </c>
      <c r="AF226" s="528">
        <v>0</v>
      </c>
      <c r="AG226" s="528">
        <f t="shared" si="377"/>
        <v>-144.529</v>
      </c>
      <c r="AH226" s="528"/>
      <c r="AI226" s="355"/>
      <c r="AJ226" s="610"/>
      <c r="AK226" s="610"/>
      <c r="AL226" s="528">
        <v>0</v>
      </c>
      <c r="AM226" s="528">
        <v>-240.10900000000001</v>
      </c>
      <c r="AN226" s="528">
        <v>0</v>
      </c>
      <c r="AO226" s="528">
        <v>-33.079000000000001</v>
      </c>
      <c r="AP226" s="528">
        <v>-144.529</v>
      </c>
      <c r="AQ226" s="355"/>
      <c r="AR226" s="355"/>
      <c r="AS226" s="355"/>
      <c r="AT226" s="355"/>
      <c r="AU226" s="355"/>
    </row>
    <row r="227" spans="1:47" s="513" customFormat="1">
      <c r="A227" s="319" t="s">
        <v>386</v>
      </c>
      <c r="D227" s="535"/>
      <c r="E227" s="535"/>
      <c r="F227" s="535"/>
      <c r="G227" s="535"/>
      <c r="H227" s="535"/>
      <c r="I227" s="535"/>
      <c r="J227" s="535"/>
      <c r="K227" s="535"/>
      <c r="L227" s="535"/>
      <c r="M227" s="535"/>
      <c r="N227" s="535"/>
      <c r="O227" s="535"/>
      <c r="P227" s="535"/>
      <c r="Q227" s="535"/>
      <c r="R227" s="535"/>
      <c r="S227" s="535"/>
      <c r="T227" s="535"/>
      <c r="U227" s="535"/>
      <c r="V227" s="535"/>
      <c r="X227" s="607">
        <v>0</v>
      </c>
      <c r="Y227" s="535">
        <f t="shared" si="373"/>
        <v>0</v>
      </c>
      <c r="Z227" s="535">
        <v>308.03300000000002</v>
      </c>
      <c r="AA227" s="535">
        <f>+AM227-Z227</f>
        <v>-3.3000000000015461E-2</v>
      </c>
      <c r="AB227" s="607">
        <v>0</v>
      </c>
      <c r="AC227" s="607">
        <f t="shared" si="375"/>
        <v>0</v>
      </c>
      <c r="AD227" s="607">
        <v>0</v>
      </c>
      <c r="AE227" s="607">
        <f t="shared" si="379"/>
        <v>0</v>
      </c>
      <c r="AF227" s="607">
        <v>0</v>
      </c>
      <c r="AG227" s="607">
        <f t="shared" si="377"/>
        <v>0</v>
      </c>
      <c r="AH227" s="607"/>
      <c r="AI227" s="535"/>
      <c r="AJ227" s="612"/>
      <c r="AK227" s="612"/>
      <c r="AL227" s="607">
        <v>0</v>
      </c>
      <c r="AM227" s="607">
        <v>308</v>
      </c>
      <c r="AN227" s="607">
        <v>0</v>
      </c>
      <c r="AO227" s="607">
        <v>0</v>
      </c>
      <c r="AP227" s="607">
        <v>0</v>
      </c>
      <c r="AQ227" s="535"/>
      <c r="AR227" s="535"/>
      <c r="AS227" s="535"/>
      <c r="AT227" s="535"/>
      <c r="AU227" s="535"/>
    </row>
    <row r="228" spans="1:47">
      <c r="A228" s="527" t="s">
        <v>387</v>
      </c>
      <c r="D228" s="355"/>
      <c r="E228" s="355"/>
      <c r="F228" s="355"/>
      <c r="G228" s="355"/>
      <c r="H228" s="355"/>
      <c r="I228" s="355"/>
      <c r="J228" s="355"/>
      <c r="K228" s="355"/>
      <c r="L228" s="355"/>
      <c r="M228" s="355"/>
      <c r="N228" s="355"/>
      <c r="O228" s="355"/>
      <c r="P228" s="355"/>
      <c r="Q228" s="355"/>
      <c r="R228" s="355"/>
      <c r="S228" s="355"/>
      <c r="T228" s="355"/>
      <c r="U228" s="355"/>
      <c r="V228" s="355"/>
      <c r="X228" s="355">
        <f>+SUM(X223:X227,X221)</f>
        <v>973.03400000000045</v>
      </c>
      <c r="Y228" s="355">
        <f>+AL228-X228</f>
        <v>4545.8969999999999</v>
      </c>
      <c r="Z228" s="355">
        <f>+SUM(Z223:Z227,Z221)</f>
        <v>8577.253999999999</v>
      </c>
      <c r="AA228" s="355">
        <f>+AM228-Z228</f>
        <v>4161.746000000001</v>
      </c>
      <c r="AB228" s="355">
        <f>+SUM(AB223:AB227,AB221)</f>
        <v>12292.798999999997</v>
      </c>
      <c r="AC228" s="528">
        <f t="shared" si="375"/>
        <v>-26966.868000000002</v>
      </c>
      <c r="AD228" s="355">
        <f>+SUM(AD223:AD227,AD221)</f>
        <v>35834.332999999999</v>
      </c>
      <c r="AE228" s="355">
        <f>+AO228-AD228</f>
        <v>616.12899999997171</v>
      </c>
      <c r="AF228" s="355">
        <f>+SUM(AF223:AF227,AF221)</f>
        <v>64961.311999999998</v>
      </c>
      <c r="AG228" s="355">
        <f t="shared" si="377"/>
        <v>-2002.0870000000068</v>
      </c>
      <c r="AH228" s="528"/>
      <c r="AI228" s="355"/>
      <c r="AJ228" s="613">
        <v>-495</v>
      </c>
      <c r="AK228" s="613">
        <v>756</v>
      </c>
      <c r="AL228" s="355">
        <f>+SUM(AL223:AL227,AL221)</f>
        <v>5518.9310000000005</v>
      </c>
      <c r="AM228" s="355">
        <v>12739</v>
      </c>
      <c r="AN228" s="355">
        <f>+SUM(AN223:AN227,AN221)</f>
        <v>-14674.069000000005</v>
      </c>
      <c r="AO228" s="355">
        <f>+SUM(AO223:AO227,AO221)</f>
        <v>36450.46199999997</v>
      </c>
      <c r="AP228" s="355">
        <f>+SUM(AP223:AP227,AP221)</f>
        <v>62959.224999999991</v>
      </c>
      <c r="AQ228" s="355"/>
      <c r="AR228" s="355"/>
      <c r="AS228" s="355"/>
      <c r="AT228" s="355"/>
      <c r="AU228" s="355"/>
    </row>
    <row r="229" spans="1:47">
      <c r="D229" s="355"/>
      <c r="E229" s="355"/>
      <c r="F229" s="355"/>
      <c r="G229" s="355"/>
      <c r="H229" s="355"/>
      <c r="I229" s="355"/>
      <c r="J229" s="355"/>
      <c r="K229" s="355"/>
      <c r="L229" s="355"/>
      <c r="M229" s="355"/>
      <c r="N229" s="355"/>
      <c r="O229" s="355"/>
      <c r="P229" s="355"/>
      <c r="Q229" s="355"/>
      <c r="R229" s="355"/>
      <c r="S229" s="355"/>
      <c r="T229" s="355"/>
      <c r="U229" s="355"/>
      <c r="V229" s="355"/>
      <c r="X229" s="355"/>
      <c r="Y229" s="355"/>
      <c r="Z229" s="355"/>
      <c r="AA229" s="355"/>
      <c r="AB229" s="528"/>
      <c r="AC229" s="528"/>
      <c r="AD229" s="528"/>
      <c r="AE229" s="528"/>
      <c r="AF229" s="528"/>
      <c r="AG229" s="528"/>
      <c r="AH229" s="528"/>
      <c r="AI229" s="355"/>
      <c r="AJ229" s="355"/>
      <c r="AK229" s="355"/>
      <c r="AL229" s="355"/>
      <c r="AM229" s="355"/>
      <c r="AN229" s="355"/>
      <c r="AO229" s="355"/>
      <c r="AP229" s="355"/>
      <c r="AQ229" s="355"/>
      <c r="AR229" s="355"/>
      <c r="AS229" s="355"/>
      <c r="AT229" s="355"/>
      <c r="AU229" s="355"/>
    </row>
    <row r="230" spans="1:47">
      <c r="A230" s="513" t="s">
        <v>388</v>
      </c>
      <c r="D230" s="355"/>
      <c r="E230" s="355"/>
      <c r="F230" s="355"/>
      <c r="G230" s="355"/>
      <c r="H230" s="355"/>
      <c r="I230" s="355"/>
      <c r="J230" s="355"/>
      <c r="K230" s="355"/>
      <c r="L230" s="355"/>
      <c r="M230" s="355"/>
      <c r="N230" s="355"/>
      <c r="O230" s="355"/>
      <c r="P230" s="355"/>
      <c r="Q230" s="355"/>
      <c r="R230" s="355"/>
      <c r="S230" s="355"/>
      <c r="T230" s="355"/>
      <c r="U230" s="355"/>
      <c r="V230" s="355"/>
      <c r="X230" s="355"/>
      <c r="Y230" s="355"/>
      <c r="Z230" s="355"/>
      <c r="AA230" s="355"/>
      <c r="AB230" s="528"/>
      <c r="AC230" s="528"/>
      <c r="AD230" s="528"/>
      <c r="AE230" s="528"/>
      <c r="AF230" s="528"/>
      <c r="AG230" s="528">
        <f t="shared" si="377"/>
        <v>0</v>
      </c>
      <c r="AH230" s="528"/>
      <c r="AI230" s="355"/>
      <c r="AJ230" s="355"/>
      <c r="AK230" s="355"/>
      <c r="AL230" s="355"/>
      <c r="AM230" s="355"/>
      <c r="AN230" s="355"/>
      <c r="AO230" s="355"/>
      <c r="AP230" s="355"/>
      <c r="AQ230" s="355"/>
      <c r="AR230" s="355"/>
      <c r="AS230" s="355"/>
      <c r="AT230" s="355"/>
      <c r="AU230" s="355"/>
    </row>
    <row r="231" spans="1:47" s="513" customFormat="1">
      <c r="A231" s="319" t="s">
        <v>389</v>
      </c>
      <c r="D231" s="535"/>
      <c r="E231" s="535"/>
      <c r="F231" s="535"/>
      <c r="G231" s="535"/>
      <c r="H231" s="535"/>
      <c r="I231" s="535"/>
      <c r="J231" s="535"/>
      <c r="K231" s="535"/>
      <c r="L231" s="535"/>
      <c r="M231" s="535"/>
      <c r="N231" s="535"/>
      <c r="O231" s="535"/>
      <c r="P231" s="535"/>
      <c r="Q231" s="535"/>
      <c r="R231" s="535"/>
      <c r="S231" s="535"/>
      <c r="T231" s="535"/>
      <c r="U231" s="535"/>
      <c r="V231" s="535"/>
      <c r="X231" s="607">
        <v>-548.41300000000001</v>
      </c>
      <c r="Y231" s="607">
        <f>+Y232</f>
        <v>-776.58699999999999</v>
      </c>
      <c r="Z231" s="535">
        <v>-1087.6189999999999</v>
      </c>
      <c r="AA231" s="535">
        <f>+AA232</f>
        <v>-1619.3810000000001</v>
      </c>
      <c r="AB231" s="607">
        <v>-3547.3989999999999</v>
      </c>
      <c r="AC231" s="607">
        <f t="shared" si="375"/>
        <v>-4827.7790000000005</v>
      </c>
      <c r="AD231" s="607">
        <v>-5139.4040000000005</v>
      </c>
      <c r="AE231" s="607">
        <f>+AO231-AD231</f>
        <v>-6927.0869999999995</v>
      </c>
      <c r="AF231" s="607">
        <v>-7502.7269999999999</v>
      </c>
      <c r="AG231" s="607">
        <f t="shared" si="377"/>
        <v>-6778.7359999999999</v>
      </c>
      <c r="AH231" s="607"/>
      <c r="AI231" s="535"/>
      <c r="AJ231" s="535"/>
      <c r="AK231" s="535"/>
      <c r="AL231" s="607">
        <f>+AL232</f>
        <v>-1325</v>
      </c>
      <c r="AM231" s="607">
        <f>+AM232</f>
        <v>-2707</v>
      </c>
      <c r="AN231" s="607">
        <v>-8375.1779999999999</v>
      </c>
      <c r="AO231" s="607">
        <v>-12066.491</v>
      </c>
      <c r="AP231" s="607">
        <f>+AP232</f>
        <v>-14281.463</v>
      </c>
      <c r="AQ231" s="535"/>
      <c r="AR231" s="535"/>
      <c r="AS231" s="535"/>
      <c r="AT231" s="535"/>
      <c r="AU231" s="535"/>
    </row>
    <row r="232" spans="1:47">
      <c r="A232" s="527" t="s">
        <v>390</v>
      </c>
      <c r="D232" s="355"/>
      <c r="E232" s="355"/>
      <c r="F232" s="355"/>
      <c r="G232" s="355"/>
      <c r="H232" s="355"/>
      <c r="I232" s="355"/>
      <c r="J232" s="355"/>
      <c r="K232" s="355"/>
      <c r="L232" s="355"/>
      <c r="M232" s="355"/>
      <c r="N232" s="355"/>
      <c r="O232" s="355"/>
      <c r="P232" s="355"/>
      <c r="Q232" s="355"/>
      <c r="R232" s="355"/>
      <c r="S232" s="355"/>
      <c r="T232" s="355"/>
      <c r="U232" s="355"/>
      <c r="V232" s="355"/>
      <c r="X232" s="355">
        <f t="shared" ref="X232" si="380">+X231</f>
        <v>-548.41300000000001</v>
      </c>
      <c r="Y232" s="355">
        <f>+AL232-X232</f>
        <v>-776.58699999999999</v>
      </c>
      <c r="Z232" s="355">
        <f>+Z231</f>
        <v>-1087.6189999999999</v>
      </c>
      <c r="AA232" s="355">
        <f>+AM232-Z232</f>
        <v>-1619.3810000000001</v>
      </c>
      <c r="AB232" s="355">
        <f>+AB231</f>
        <v>-3547.3989999999999</v>
      </c>
      <c r="AC232" s="355">
        <f t="shared" si="375"/>
        <v>-4827.7790000000005</v>
      </c>
      <c r="AD232" s="355">
        <f>+AD231</f>
        <v>-5139.4040000000005</v>
      </c>
      <c r="AE232" s="355">
        <f>+AE231</f>
        <v>-6927.0869999999995</v>
      </c>
      <c r="AF232" s="355">
        <f>+AF231</f>
        <v>-7502.7269999999999</v>
      </c>
      <c r="AG232" s="355">
        <f t="shared" si="377"/>
        <v>-6778.7359999999999</v>
      </c>
      <c r="AH232" s="355"/>
      <c r="AI232" s="355"/>
      <c r="AJ232" s="613">
        <v>-565</v>
      </c>
      <c r="AK232" s="613">
        <v>-1128</v>
      </c>
      <c r="AL232" s="355">
        <v>-1325</v>
      </c>
      <c r="AM232" s="355">
        <v>-2707</v>
      </c>
      <c r="AN232" s="355">
        <f>+AN231</f>
        <v>-8375.1779999999999</v>
      </c>
      <c r="AO232" s="355">
        <f>+AO231</f>
        <v>-12066.491</v>
      </c>
      <c r="AP232" s="355">
        <v>-14281.463</v>
      </c>
      <c r="AQ232" s="355"/>
      <c r="AR232" s="355"/>
      <c r="AS232" s="355"/>
      <c r="AT232" s="355"/>
      <c r="AU232" s="355"/>
    </row>
    <row r="233" spans="1:47">
      <c r="D233" s="355"/>
      <c r="E233" s="355"/>
      <c r="F233" s="355"/>
      <c r="G233" s="355"/>
      <c r="H233" s="355"/>
      <c r="I233" s="355"/>
      <c r="J233" s="355"/>
      <c r="K233" s="355"/>
      <c r="L233" s="355"/>
      <c r="M233" s="355"/>
      <c r="N233" s="355"/>
      <c r="O233" s="355"/>
      <c r="P233" s="355"/>
      <c r="Q233" s="355"/>
      <c r="R233" s="355"/>
      <c r="S233" s="355"/>
      <c r="T233" s="355"/>
      <c r="U233" s="355"/>
      <c r="V233" s="355"/>
      <c r="X233" s="355"/>
      <c r="Y233" s="355"/>
      <c r="Z233" s="355"/>
      <c r="AA233" s="355"/>
      <c r="AB233" s="355"/>
      <c r="AC233" s="355"/>
      <c r="AD233" s="355"/>
      <c r="AE233" s="355"/>
      <c r="AF233" s="355"/>
      <c r="AG233" s="355"/>
      <c r="AH233" s="355"/>
      <c r="AI233" s="355"/>
      <c r="AJ233" s="355"/>
      <c r="AK233" s="355"/>
      <c r="AL233" s="355"/>
      <c r="AM233" s="355"/>
      <c r="AN233" s="355"/>
      <c r="AO233" s="355"/>
      <c r="AP233" s="355"/>
      <c r="AQ233" s="355"/>
      <c r="AR233" s="355"/>
      <c r="AS233" s="355"/>
      <c r="AT233" s="355"/>
      <c r="AU233" s="355"/>
    </row>
    <row r="234" spans="1:47">
      <c r="A234" s="513" t="s">
        <v>391</v>
      </c>
      <c r="D234" s="355"/>
      <c r="E234" s="355"/>
      <c r="F234" s="355"/>
      <c r="G234" s="355"/>
      <c r="H234" s="355"/>
      <c r="I234" s="355"/>
      <c r="J234" s="355"/>
      <c r="K234" s="355"/>
      <c r="L234" s="355"/>
      <c r="M234" s="355"/>
      <c r="N234" s="355"/>
      <c r="O234" s="355"/>
      <c r="P234" s="355"/>
      <c r="Q234" s="355"/>
      <c r="R234" s="355"/>
      <c r="S234" s="355"/>
      <c r="T234" s="355"/>
      <c r="U234" s="355"/>
      <c r="V234" s="355"/>
      <c r="X234" s="355"/>
      <c r="Y234" s="355"/>
      <c r="Z234" s="355"/>
      <c r="AA234" s="355"/>
      <c r="AB234" s="355"/>
      <c r="AC234" s="355"/>
      <c r="AD234" s="355"/>
      <c r="AE234" s="355"/>
      <c r="AF234" s="355"/>
      <c r="AG234" s="355"/>
      <c r="AH234" s="355"/>
      <c r="AI234" s="355"/>
      <c r="AJ234" s="355"/>
      <c r="AK234" s="355"/>
      <c r="AL234" s="355"/>
      <c r="AM234" s="355"/>
      <c r="AN234" s="355"/>
      <c r="AO234" s="355"/>
      <c r="AP234" s="355"/>
      <c r="AQ234" s="355"/>
      <c r="AR234" s="355"/>
      <c r="AS234" s="355"/>
      <c r="AT234" s="355"/>
      <c r="AU234" s="355"/>
    </row>
    <row r="235" spans="1:47">
      <c r="A235" s="319" t="s">
        <v>392</v>
      </c>
      <c r="D235" s="355"/>
      <c r="E235" s="355"/>
      <c r="F235" s="355"/>
      <c r="G235" s="355"/>
      <c r="H235" s="355"/>
      <c r="I235" s="355"/>
      <c r="J235" s="355"/>
      <c r="K235" s="355"/>
      <c r="L235" s="355"/>
      <c r="M235" s="355"/>
      <c r="N235" s="355"/>
      <c r="O235" s="355"/>
      <c r="P235" s="355"/>
      <c r="Q235" s="355"/>
      <c r="R235" s="355"/>
      <c r="S235" s="355"/>
      <c r="T235" s="355"/>
      <c r="U235" s="355"/>
      <c r="V235" s="355"/>
      <c r="X235" s="355">
        <v>-99.046000000000006</v>
      </c>
      <c r="Y235" s="355">
        <f>+AL235-X235</f>
        <v>-240.95400000000001</v>
      </c>
      <c r="Z235" s="355">
        <v>-743.81200000000001</v>
      </c>
      <c r="AA235" s="355">
        <f>+AM235-Z235</f>
        <v>-0.18799999999998818</v>
      </c>
      <c r="AB235" s="355">
        <v>0</v>
      </c>
      <c r="AC235" s="355">
        <f t="shared" si="375"/>
        <v>0</v>
      </c>
      <c r="AD235" s="355">
        <v>0</v>
      </c>
      <c r="AE235" s="355">
        <f t="shared" ref="AE235:AE240" si="381">+AO235-AD235</f>
        <v>0</v>
      </c>
      <c r="AF235" s="355">
        <v>0</v>
      </c>
      <c r="AG235" s="355">
        <f t="shared" si="377"/>
        <v>0</v>
      </c>
      <c r="AH235" s="355"/>
      <c r="AI235" s="355"/>
      <c r="AJ235" s="610"/>
      <c r="AK235" s="610"/>
      <c r="AL235" s="355">
        <v>-340</v>
      </c>
      <c r="AM235" s="355">
        <v>-744</v>
      </c>
      <c r="AN235" s="355">
        <v>0</v>
      </c>
      <c r="AO235" s="355">
        <v>0</v>
      </c>
      <c r="AP235" s="355">
        <v>0</v>
      </c>
      <c r="AQ235" s="355"/>
      <c r="AR235" s="355"/>
      <c r="AS235" s="355"/>
      <c r="AT235" s="355"/>
      <c r="AU235" s="355"/>
    </row>
    <row r="236" spans="1:47">
      <c r="A236" s="319" t="s">
        <v>393</v>
      </c>
      <c r="D236" s="355"/>
      <c r="E236" s="355"/>
      <c r="F236" s="355"/>
      <c r="G236" s="355"/>
      <c r="H236" s="355"/>
      <c r="I236" s="355"/>
      <c r="J236" s="355"/>
      <c r="K236" s="355"/>
      <c r="L236" s="355"/>
      <c r="M236" s="355"/>
      <c r="N236" s="355"/>
      <c r="O236" s="355"/>
      <c r="P236" s="355"/>
      <c r="Q236" s="355"/>
      <c r="R236" s="355"/>
      <c r="S236" s="355"/>
      <c r="T236" s="355"/>
      <c r="U236" s="355"/>
      <c r="V236" s="355"/>
      <c r="X236" s="355">
        <v>0</v>
      </c>
      <c r="Y236" s="355">
        <v>0</v>
      </c>
      <c r="Z236" s="355">
        <v>40000</v>
      </c>
      <c r="AA236" s="355">
        <f t="shared" ref="AA236:AA239" si="382">+AM236-Z236</f>
        <v>0</v>
      </c>
      <c r="AB236" s="355">
        <v>0</v>
      </c>
      <c r="AC236" s="355">
        <f t="shared" si="375"/>
        <v>0</v>
      </c>
      <c r="AD236" s="355">
        <v>0</v>
      </c>
      <c r="AE236" s="355">
        <f t="shared" si="381"/>
        <v>0</v>
      </c>
      <c r="AF236" s="355">
        <v>0</v>
      </c>
      <c r="AG236" s="355">
        <f t="shared" si="377"/>
        <v>0</v>
      </c>
      <c r="AH236" s="355"/>
      <c r="AI236" s="355"/>
      <c r="AJ236" s="610"/>
      <c r="AK236" s="610"/>
      <c r="AL236" s="355">
        <v>0</v>
      </c>
      <c r="AM236" s="355">
        <v>40000</v>
      </c>
      <c r="AN236" s="355">
        <v>0</v>
      </c>
      <c r="AO236" s="355">
        <v>0</v>
      </c>
      <c r="AP236" s="355">
        <v>0</v>
      </c>
      <c r="AQ236" s="355"/>
      <c r="AR236" s="355"/>
      <c r="AS236" s="355"/>
      <c r="AT236" s="355"/>
      <c r="AU236" s="355"/>
    </row>
    <row r="237" spans="1:47">
      <c r="A237" s="319" t="s">
        <v>287</v>
      </c>
      <c r="D237" s="355"/>
      <c r="E237" s="355"/>
      <c r="F237" s="355"/>
      <c r="G237" s="355"/>
      <c r="H237" s="355"/>
      <c r="I237" s="355"/>
      <c r="J237" s="355"/>
      <c r="K237" s="355"/>
      <c r="L237" s="355"/>
      <c r="M237" s="355"/>
      <c r="N237" s="355"/>
      <c r="O237" s="355"/>
      <c r="P237" s="355"/>
      <c r="Q237" s="355"/>
      <c r="R237" s="355"/>
      <c r="S237" s="355"/>
      <c r="T237" s="355"/>
      <c r="U237" s="355"/>
      <c r="V237" s="355"/>
      <c r="X237" s="355">
        <v>0</v>
      </c>
      <c r="Y237" s="355">
        <v>0</v>
      </c>
      <c r="Z237" s="355">
        <v>-3248.8440000000001</v>
      </c>
      <c r="AA237" s="355">
        <f t="shared" si="382"/>
        <v>-0.15599999999994907</v>
      </c>
      <c r="AB237" s="355">
        <v>0</v>
      </c>
      <c r="AC237" s="355">
        <f t="shared" si="375"/>
        <v>0</v>
      </c>
      <c r="AD237" s="355">
        <v>0</v>
      </c>
      <c r="AE237" s="355">
        <f t="shared" si="381"/>
        <v>0</v>
      </c>
      <c r="AF237" s="355">
        <v>0</v>
      </c>
      <c r="AG237" s="355">
        <f t="shared" si="377"/>
        <v>0</v>
      </c>
      <c r="AH237" s="355"/>
      <c r="AI237" s="355"/>
      <c r="AJ237" s="610"/>
      <c r="AK237" s="610"/>
      <c r="AL237" s="355">
        <v>0</v>
      </c>
      <c r="AM237" s="355">
        <v>-3249</v>
      </c>
      <c r="AN237" s="355">
        <v>0</v>
      </c>
      <c r="AO237" s="355">
        <v>0</v>
      </c>
      <c r="AP237" s="355">
        <v>0</v>
      </c>
      <c r="AQ237" s="355"/>
      <c r="AR237" s="355"/>
      <c r="AS237" s="355"/>
      <c r="AT237" s="355"/>
      <c r="AU237" s="355"/>
    </row>
    <row r="238" spans="1:47">
      <c r="A238" s="319" t="s">
        <v>428</v>
      </c>
      <c r="D238" s="355"/>
      <c r="E238" s="355"/>
      <c r="F238" s="355"/>
      <c r="G238" s="355"/>
      <c r="H238" s="355"/>
      <c r="I238" s="355"/>
      <c r="J238" s="355"/>
      <c r="K238" s="355"/>
      <c r="L238" s="355"/>
      <c r="M238" s="355"/>
      <c r="N238" s="355"/>
      <c r="O238" s="355"/>
      <c r="P238" s="355"/>
      <c r="Q238" s="355"/>
      <c r="R238" s="355"/>
      <c r="S238" s="355"/>
      <c r="T238" s="355"/>
      <c r="U238" s="355"/>
      <c r="V238" s="355"/>
      <c r="X238" s="355">
        <v>0</v>
      </c>
      <c r="Y238" s="355">
        <v>0</v>
      </c>
      <c r="Z238" s="355">
        <v>0</v>
      </c>
      <c r="AA238" s="355">
        <v>0</v>
      </c>
      <c r="AB238" s="355">
        <v>0</v>
      </c>
      <c r="AC238" s="355">
        <v>0</v>
      </c>
      <c r="AD238" s="355">
        <v>0</v>
      </c>
      <c r="AE238" s="355">
        <f t="shared" si="381"/>
        <v>-1352.702</v>
      </c>
      <c r="AF238" s="355">
        <v>0</v>
      </c>
      <c r="AG238" s="355">
        <f t="shared" si="377"/>
        <v>-10291.263999999999</v>
      </c>
      <c r="AH238" s="355"/>
      <c r="AI238" s="355"/>
      <c r="AJ238" s="610"/>
      <c r="AK238" s="610"/>
      <c r="AL238" s="355">
        <v>0</v>
      </c>
      <c r="AM238" s="355">
        <v>0</v>
      </c>
      <c r="AN238" s="355">
        <v>0</v>
      </c>
      <c r="AO238" s="355">
        <v>-1352.702</v>
      </c>
      <c r="AP238" s="355">
        <v>-10291.263999999999</v>
      </c>
      <c r="AQ238" s="355"/>
      <c r="AR238" s="355"/>
      <c r="AS238" s="355"/>
      <c r="AT238" s="355"/>
      <c r="AU238" s="355"/>
    </row>
    <row r="239" spans="1:47" s="513" customFormat="1">
      <c r="A239" s="319" t="s">
        <v>394</v>
      </c>
      <c r="D239" s="535"/>
      <c r="E239" s="535"/>
      <c r="F239" s="535"/>
      <c r="G239" s="535"/>
      <c r="H239" s="535"/>
      <c r="I239" s="535"/>
      <c r="J239" s="535"/>
      <c r="K239" s="535"/>
      <c r="L239" s="535"/>
      <c r="M239" s="535"/>
      <c r="N239" s="535"/>
      <c r="O239" s="535"/>
      <c r="P239" s="535"/>
      <c r="Q239" s="535"/>
      <c r="R239" s="535"/>
      <c r="S239" s="535"/>
      <c r="T239" s="535"/>
      <c r="U239" s="535"/>
      <c r="V239" s="535"/>
      <c r="X239" s="535">
        <v>0</v>
      </c>
      <c r="Y239" s="535">
        <v>0</v>
      </c>
      <c r="Z239" s="535">
        <v>-3305</v>
      </c>
      <c r="AA239" s="535">
        <f t="shared" si="382"/>
        <v>0</v>
      </c>
      <c r="AB239" s="535">
        <v>0</v>
      </c>
      <c r="AC239" s="535">
        <f t="shared" si="375"/>
        <v>0</v>
      </c>
      <c r="AD239" s="535">
        <v>0</v>
      </c>
      <c r="AE239" s="535">
        <f t="shared" si="381"/>
        <v>0</v>
      </c>
      <c r="AF239" s="535">
        <v>0</v>
      </c>
      <c r="AG239" s="535">
        <f t="shared" si="377"/>
        <v>0</v>
      </c>
      <c r="AH239" s="535"/>
      <c r="AI239" s="535"/>
      <c r="AJ239" s="610"/>
      <c r="AK239" s="610"/>
      <c r="AL239" s="535">
        <v>0</v>
      </c>
      <c r="AM239" s="535">
        <v>-3305</v>
      </c>
      <c r="AN239" s="535">
        <v>0</v>
      </c>
      <c r="AO239" s="535">
        <v>0</v>
      </c>
      <c r="AP239" s="535">
        <v>0</v>
      </c>
      <c r="AQ239" s="535"/>
      <c r="AR239" s="535"/>
      <c r="AS239" s="535"/>
      <c r="AT239" s="535"/>
      <c r="AU239" s="535"/>
    </row>
    <row r="240" spans="1:47">
      <c r="A240" s="527" t="s">
        <v>395</v>
      </c>
      <c r="D240" s="355"/>
      <c r="E240" s="355"/>
      <c r="F240" s="355"/>
      <c r="G240" s="355"/>
      <c r="H240" s="355"/>
      <c r="I240" s="355"/>
      <c r="J240" s="355"/>
      <c r="K240" s="355"/>
      <c r="L240" s="355"/>
      <c r="M240" s="355"/>
      <c r="N240" s="355"/>
      <c r="O240" s="355"/>
      <c r="P240" s="355"/>
      <c r="Q240" s="355"/>
      <c r="R240" s="355"/>
      <c r="S240" s="355"/>
      <c r="T240" s="355"/>
      <c r="U240" s="355"/>
      <c r="V240" s="355"/>
      <c r="X240" s="355">
        <f t="shared" ref="X240" si="383">+SUM(X235:X239)</f>
        <v>-99.046000000000006</v>
      </c>
      <c r="Y240" s="355">
        <f>+AL240-X240</f>
        <v>-240.95400000000001</v>
      </c>
      <c r="Z240" s="355">
        <f>+SUM(Z235:Z239)</f>
        <v>32702.344000000005</v>
      </c>
      <c r="AA240" s="355">
        <f>+SUM(AA235:AA239)</f>
        <v>-0.34399999999993724</v>
      </c>
      <c r="AB240" s="355">
        <f>SUM(AB235:AB239)</f>
        <v>0</v>
      </c>
      <c r="AC240" s="355">
        <f t="shared" si="375"/>
        <v>0</v>
      </c>
      <c r="AD240" s="355">
        <f>SUM(AD235:AD239)</f>
        <v>0</v>
      </c>
      <c r="AE240" s="355">
        <f t="shared" si="381"/>
        <v>-1352.702</v>
      </c>
      <c r="AF240" s="355">
        <f>SUM(AF235:AF239)</f>
        <v>0</v>
      </c>
      <c r="AG240" s="355">
        <f t="shared" si="377"/>
        <v>-10291.263999999999</v>
      </c>
      <c r="AH240" s="355"/>
      <c r="AI240" s="355"/>
      <c r="AJ240" s="613">
        <v>72</v>
      </c>
      <c r="AK240" s="613">
        <v>-204</v>
      </c>
      <c r="AL240" s="355">
        <v>-340</v>
      </c>
      <c r="AM240" s="355">
        <f>+SUM(AM235:AM239)</f>
        <v>32702</v>
      </c>
      <c r="AN240" s="355">
        <f>+SUM(AN235:AN239)</f>
        <v>0</v>
      </c>
      <c r="AO240" s="355">
        <f>+SUM(AO235:AO239)</f>
        <v>-1352.702</v>
      </c>
      <c r="AP240" s="355">
        <f>+SUM(AP235:AP239)</f>
        <v>-10291.263999999999</v>
      </c>
      <c r="AQ240" s="355"/>
      <c r="AR240" s="355"/>
      <c r="AS240" s="355"/>
      <c r="AT240" s="355"/>
      <c r="AU240" s="355"/>
    </row>
    <row r="241" spans="1:47">
      <c r="D241" s="355"/>
      <c r="E241" s="355"/>
      <c r="F241" s="355"/>
      <c r="G241" s="355"/>
      <c r="H241" s="355"/>
      <c r="I241" s="355"/>
      <c r="J241" s="355"/>
      <c r="K241" s="355"/>
      <c r="L241" s="355"/>
      <c r="M241" s="355"/>
      <c r="N241" s="355"/>
      <c r="O241" s="355"/>
      <c r="P241" s="355"/>
      <c r="Q241" s="355"/>
      <c r="R241" s="355"/>
      <c r="S241" s="355"/>
      <c r="T241" s="355"/>
      <c r="U241" s="355"/>
      <c r="V241" s="355"/>
      <c r="X241" s="630"/>
      <c r="Y241" s="630"/>
      <c r="Z241" s="355"/>
      <c r="AA241" s="355"/>
      <c r="AB241" s="355"/>
      <c r="AC241" s="355"/>
      <c r="AD241" s="355"/>
      <c r="AE241" s="355"/>
      <c r="AF241" s="355"/>
      <c r="AG241" s="355"/>
      <c r="AH241" s="355"/>
      <c r="AI241" s="355"/>
      <c r="AJ241" s="355"/>
      <c r="AK241" s="355"/>
      <c r="AL241" s="355"/>
      <c r="AM241" s="355"/>
      <c r="AN241" s="355"/>
      <c r="AO241" s="355"/>
      <c r="AP241" s="355"/>
      <c r="AQ241" s="355"/>
      <c r="AR241" s="355"/>
      <c r="AS241" s="355"/>
      <c r="AT241" s="355"/>
      <c r="AU241" s="355"/>
    </row>
    <row r="242" spans="1:47">
      <c r="A242" s="319" t="s">
        <v>396</v>
      </c>
      <c r="D242" s="355"/>
      <c r="E242" s="355"/>
      <c r="F242" s="355"/>
      <c r="G242" s="355"/>
      <c r="H242" s="355"/>
      <c r="I242" s="355"/>
      <c r="J242" s="355"/>
      <c r="K242" s="355"/>
      <c r="L242" s="355"/>
      <c r="M242" s="355"/>
      <c r="N242" s="355"/>
      <c r="O242" s="355"/>
      <c r="P242" s="355"/>
      <c r="Q242" s="355"/>
      <c r="R242" s="355"/>
      <c r="S242" s="355"/>
      <c r="T242" s="355"/>
      <c r="U242" s="355"/>
      <c r="V242" s="355"/>
      <c r="X242" s="630"/>
      <c r="Y242" s="630"/>
      <c r="Z242" s="355">
        <f t="shared" ref="Z242:AA242" si="384">+Z240+Z232+Z228</f>
        <v>40191.979000000007</v>
      </c>
      <c r="AA242" s="355">
        <f t="shared" si="384"/>
        <v>2542.0210000000011</v>
      </c>
      <c r="AB242" s="355">
        <f t="shared" ref="AB242:AC242" si="385">+AB240+AB232+AB228</f>
        <v>8745.3999999999978</v>
      </c>
      <c r="AC242" s="355">
        <f t="shared" si="385"/>
        <v>-31794.647000000004</v>
      </c>
      <c r="AD242" s="355">
        <f t="shared" ref="AD242:AE242" si="386">+AD240+AD232+AD228</f>
        <v>30694.928999999996</v>
      </c>
      <c r="AE242" s="355">
        <f t="shared" si="386"/>
        <v>-7663.6600000000271</v>
      </c>
      <c r="AF242" s="355">
        <f t="shared" ref="AF242:AG242" si="387">+AF240+AF232+AF228</f>
        <v>57458.584999999999</v>
      </c>
      <c r="AG242" s="355">
        <f t="shared" si="387"/>
        <v>-19072.087000000007</v>
      </c>
      <c r="AH242" s="355"/>
      <c r="AI242" s="355"/>
      <c r="AJ242" s="610"/>
      <c r="AK242" s="610"/>
      <c r="AL242" s="355"/>
      <c r="AM242" s="355">
        <f t="shared" ref="AM242:AO242" si="388">+AM240+AM232+AM228</f>
        <v>42734</v>
      </c>
      <c r="AN242" s="355">
        <f t="shared" si="388"/>
        <v>-23049.247000000003</v>
      </c>
      <c r="AO242" s="355">
        <f t="shared" si="388"/>
        <v>23031.268999999971</v>
      </c>
      <c r="AP242" s="355">
        <f t="shared" ref="AP242" si="389">+AP240+AP232+AP228</f>
        <v>38386.497999999992</v>
      </c>
      <c r="AQ242" s="355"/>
      <c r="AR242" s="355"/>
      <c r="AS242" s="355"/>
      <c r="AT242" s="355"/>
      <c r="AU242" s="355"/>
    </row>
    <row r="243" spans="1:47">
      <c r="A243" s="319" t="s">
        <v>397</v>
      </c>
      <c r="D243" s="355"/>
      <c r="E243" s="355"/>
      <c r="F243" s="355"/>
      <c r="G243" s="355"/>
      <c r="H243" s="355"/>
      <c r="I243" s="355"/>
      <c r="J243" s="355"/>
      <c r="K243" s="355"/>
      <c r="L243" s="355"/>
      <c r="M243" s="355"/>
      <c r="N243" s="355"/>
      <c r="O243" s="355"/>
      <c r="P243" s="355"/>
      <c r="Q243" s="355"/>
      <c r="R243" s="355"/>
      <c r="S243" s="355"/>
      <c r="T243" s="355"/>
      <c r="U243" s="355"/>
      <c r="V243" s="355"/>
      <c r="X243" s="630"/>
      <c r="Y243" s="630"/>
      <c r="Z243" s="355">
        <f>+AM243</f>
        <v>4396.6339999999982</v>
      </c>
      <c r="AA243" s="355">
        <f>+Z245</f>
        <v>44588.613000000005</v>
      </c>
      <c r="AB243" s="355">
        <f t="shared" ref="AB243" si="390">+AA245</f>
        <v>47130.634000000005</v>
      </c>
      <c r="AC243" s="355">
        <f t="shared" ref="AC243" si="391">+AB245</f>
        <v>55493.764000000003</v>
      </c>
      <c r="AD243" s="355">
        <v>22673.442999999999</v>
      </c>
      <c r="AE243" s="355">
        <f>+AD245</f>
        <v>53314.602999999996</v>
      </c>
      <c r="AF243" s="355">
        <f>+AE245</f>
        <v>46310.72699999997</v>
      </c>
      <c r="AG243" s="355">
        <f>+AF245</f>
        <v>99803.007999999973</v>
      </c>
      <c r="AH243" s="355"/>
      <c r="AI243" s="355"/>
      <c r="AJ243" s="610"/>
      <c r="AK243" s="610"/>
      <c r="AL243" s="355"/>
      <c r="AM243" s="355">
        <f>+AM245-AM242</f>
        <v>4396.6339999999982</v>
      </c>
      <c r="AN243" s="355">
        <f>+AM245</f>
        <v>47130.633999999998</v>
      </c>
      <c r="AO243" s="355">
        <f t="shared" ref="AO243:AP243" si="392">+AN245</f>
        <v>22673.442999999996</v>
      </c>
      <c r="AP243" s="355">
        <f t="shared" si="392"/>
        <v>46310.72699999997</v>
      </c>
      <c r="AQ243" s="355"/>
      <c r="AR243" s="355"/>
      <c r="AS243" s="355"/>
      <c r="AT243" s="355"/>
      <c r="AU243" s="355"/>
    </row>
    <row r="244" spans="1:47" s="513" customFormat="1" ht="18.5">
      <c r="A244" s="319" t="s">
        <v>429</v>
      </c>
      <c r="D244" s="535"/>
      <c r="E244" s="535"/>
      <c r="F244" s="535"/>
      <c r="G244" s="535"/>
      <c r="H244" s="535"/>
      <c r="I244" s="535"/>
      <c r="J244" s="535"/>
      <c r="K244" s="535"/>
      <c r="L244" s="535"/>
      <c r="M244" s="535"/>
      <c r="N244" s="535"/>
      <c r="O244" s="535"/>
      <c r="P244" s="535"/>
      <c r="Q244" s="535"/>
      <c r="R244" s="535"/>
      <c r="S244" s="535"/>
      <c r="T244" s="535"/>
      <c r="U244" s="535"/>
      <c r="V244" s="535"/>
      <c r="X244" s="630"/>
      <c r="Y244" s="630"/>
      <c r="Z244" s="535">
        <v>0</v>
      </c>
      <c r="AA244" s="535">
        <v>0</v>
      </c>
      <c r="AB244" s="535">
        <v>-382.27</v>
      </c>
      <c r="AC244" s="535">
        <f t="shared" ref="AC244" si="393">+AN244-AB244</f>
        <v>-1025.674</v>
      </c>
      <c r="AD244" s="535">
        <v>-53.768999999999998</v>
      </c>
      <c r="AE244" s="535">
        <f t="shared" ref="AE244" si="394">+AO244-AD244</f>
        <v>659.78399999999999</v>
      </c>
      <c r="AF244" s="535">
        <v>-3966.3040000000001</v>
      </c>
      <c r="AG244" s="525">
        <f t="shared" ref="AG244" si="395">+AP244-AF244</f>
        <v>-1773.5640000000003</v>
      </c>
      <c r="AH244" s="535"/>
      <c r="AI244" s="355"/>
      <c r="AJ244" s="610"/>
      <c r="AK244" s="610"/>
      <c r="AL244" s="535"/>
      <c r="AM244" s="535">
        <v>0</v>
      </c>
      <c r="AN244" s="535">
        <v>-1407.944</v>
      </c>
      <c r="AO244" s="535">
        <v>606.01499999999999</v>
      </c>
      <c r="AP244" s="535">
        <v>-5739.8680000000004</v>
      </c>
      <c r="AQ244" s="535"/>
      <c r="AR244" s="535"/>
      <c r="AS244" s="535"/>
      <c r="AT244" s="535"/>
      <c r="AU244" s="535"/>
    </row>
    <row r="245" spans="1:47">
      <c r="A245" s="527" t="s">
        <v>398</v>
      </c>
      <c r="D245" s="355"/>
      <c r="E245" s="355"/>
      <c r="F245" s="355"/>
      <c r="G245" s="355"/>
      <c r="H245" s="355"/>
      <c r="I245" s="355"/>
      <c r="J245" s="355"/>
      <c r="K245" s="355"/>
      <c r="L245" s="355"/>
      <c r="M245" s="355"/>
      <c r="N245" s="355"/>
      <c r="O245" s="355"/>
      <c r="P245" s="355"/>
      <c r="Q245" s="355"/>
      <c r="R245" s="355"/>
      <c r="S245" s="355"/>
      <c r="T245" s="355"/>
      <c r="U245" s="355"/>
      <c r="V245" s="355"/>
      <c r="X245" s="630"/>
      <c r="Y245" s="630"/>
      <c r="Z245" s="355">
        <f t="shared" ref="Z245:AA245" si="396">+Z243+Z242</f>
        <v>44588.613000000005</v>
      </c>
      <c r="AA245" s="355">
        <f t="shared" si="396"/>
        <v>47130.634000000005</v>
      </c>
      <c r="AB245" s="355">
        <f>+AB243+AB242+AB244</f>
        <v>55493.764000000003</v>
      </c>
      <c r="AC245" s="355">
        <f t="shared" ref="AC245" si="397">+AC243+AC242+AC244</f>
        <v>22673.442999999999</v>
      </c>
      <c r="AD245" s="355">
        <f>+AD243+AD242+AD244</f>
        <v>53314.602999999996</v>
      </c>
      <c r="AE245" s="355">
        <f>+AE243+AE242+AE244</f>
        <v>46310.72699999997</v>
      </c>
      <c r="AF245" s="355">
        <f>+AF243+AF242+AF244</f>
        <v>99803.007999999973</v>
      </c>
      <c r="AG245" s="355">
        <f>+AG243+AG242+AG244</f>
        <v>78957.356999999975</v>
      </c>
      <c r="AH245" s="355"/>
      <c r="AI245" s="355"/>
      <c r="AJ245" s="610"/>
      <c r="AK245" s="610"/>
      <c r="AL245" s="355">
        <f>+AM243</f>
        <v>4396.6339999999982</v>
      </c>
      <c r="AM245" s="355">
        <v>47130.633999999998</v>
      </c>
      <c r="AN245" s="355">
        <f>+AN243+AN242+AN244</f>
        <v>22673.442999999996</v>
      </c>
      <c r="AO245" s="355">
        <f t="shared" ref="AO245:AP245" si="398">+AO243+AO242+AO244</f>
        <v>46310.72699999997</v>
      </c>
      <c r="AP245" s="355">
        <f t="shared" si="398"/>
        <v>78957.35699999996</v>
      </c>
      <c r="AQ245" s="535"/>
      <c r="AR245" s="355"/>
      <c r="AS245" s="355"/>
      <c r="AT245" s="355"/>
      <c r="AU245" s="355"/>
    </row>
    <row r="246" spans="1:47">
      <c r="D246" s="355"/>
      <c r="E246" s="355"/>
      <c r="F246" s="355"/>
      <c r="G246" s="355"/>
      <c r="H246" s="355"/>
      <c r="I246" s="355"/>
      <c r="J246" s="355"/>
      <c r="K246" s="355"/>
      <c r="L246" s="355"/>
      <c r="M246" s="355"/>
      <c r="N246" s="355"/>
      <c r="O246" s="355"/>
      <c r="P246" s="355"/>
      <c r="Q246" s="355"/>
      <c r="R246" s="355"/>
      <c r="S246" s="355"/>
      <c r="T246" s="355"/>
      <c r="U246" s="355"/>
      <c r="V246" s="355"/>
      <c r="X246" s="355"/>
      <c r="Y246" s="355"/>
      <c r="Z246" s="355"/>
      <c r="AA246" s="355"/>
      <c r="AB246" s="355"/>
      <c r="AC246" s="355"/>
      <c r="AD246" s="355"/>
      <c r="AE246" s="355"/>
      <c r="AF246" s="355"/>
      <c r="AG246" s="355"/>
      <c r="AH246" s="355"/>
      <c r="AI246" s="355"/>
      <c r="AJ246" s="355"/>
      <c r="AK246" s="355"/>
      <c r="AL246" s="355"/>
      <c r="AM246" s="355"/>
      <c r="AN246" s="355"/>
      <c r="AO246" s="355"/>
      <c r="AP246" s="355"/>
      <c r="AQ246" s="355"/>
      <c r="AR246" s="355"/>
      <c r="AS246" s="355"/>
      <c r="AT246" s="355"/>
      <c r="AU246" s="355"/>
    </row>
    <row r="247" spans="1:47">
      <c r="A247" s="513" t="s">
        <v>1562</v>
      </c>
      <c r="D247" s="355"/>
      <c r="E247" s="355"/>
      <c r="F247" s="355"/>
      <c r="G247" s="355"/>
      <c r="H247" s="355"/>
      <c r="I247" s="355"/>
      <c r="J247" s="355"/>
      <c r="K247" s="355"/>
      <c r="L247" s="355"/>
      <c r="M247" s="355"/>
      <c r="N247" s="355"/>
      <c r="O247" s="355"/>
      <c r="P247" s="355"/>
      <c r="Q247" s="355"/>
      <c r="R247" s="355"/>
      <c r="S247" s="355"/>
      <c r="T247" s="355"/>
      <c r="U247" s="355"/>
      <c r="V247" s="355"/>
      <c r="X247" s="355"/>
      <c r="Y247" s="355"/>
      <c r="Z247" s="355"/>
      <c r="AA247" s="355"/>
      <c r="AB247" s="355"/>
      <c r="AC247" s="355"/>
      <c r="AD247" s="355"/>
      <c r="AE247" s="355"/>
      <c r="AF247" s="355"/>
      <c r="AG247" s="355"/>
      <c r="AH247" s="355"/>
      <c r="AI247" s="355"/>
      <c r="AJ247" s="355"/>
      <c r="AK247" s="355"/>
      <c r="AL247" s="355"/>
      <c r="AM247" s="355"/>
      <c r="AN247" s="355"/>
      <c r="AO247" s="355"/>
      <c r="AP247" s="355"/>
      <c r="AQ247" s="355"/>
      <c r="AR247" s="355"/>
      <c r="AS247" s="355"/>
      <c r="AT247" s="355"/>
      <c r="AU247" s="355"/>
    </row>
    <row r="248" spans="1:47">
      <c r="A248" s="319" t="s">
        <v>1563</v>
      </c>
      <c r="D248" s="355"/>
      <c r="E248" s="355"/>
      <c r="F248" s="355"/>
      <c r="G248" s="355"/>
      <c r="H248" s="355"/>
      <c r="I248" s="355"/>
      <c r="J248" s="355"/>
      <c r="K248" s="355"/>
      <c r="L248" s="355"/>
      <c r="M248" s="355"/>
      <c r="N248" s="355"/>
      <c r="O248" s="355"/>
      <c r="P248" s="355"/>
      <c r="Q248" s="355"/>
      <c r="R248" s="355"/>
      <c r="S248" s="355"/>
      <c r="T248" s="355"/>
      <c r="U248" s="355"/>
      <c r="V248" s="355"/>
      <c r="X248" s="355"/>
      <c r="Y248" s="355"/>
      <c r="Z248" s="355"/>
      <c r="AA248" s="355"/>
      <c r="AB248" s="355"/>
      <c r="AC248" s="355"/>
      <c r="AD248" s="355"/>
      <c r="AE248" s="355"/>
      <c r="AF248" s="355"/>
      <c r="AG248" s="355"/>
      <c r="AH248" s="355"/>
      <c r="AI248" s="355"/>
      <c r="AJ248" s="355"/>
      <c r="AK248" s="355"/>
      <c r="AL248" s="355">
        <v>1532.135</v>
      </c>
      <c r="AM248" s="355">
        <v>-251.13900000000001</v>
      </c>
      <c r="AN248" s="355">
        <v>-19062.344000000001</v>
      </c>
      <c r="AO248" s="355">
        <v>15965.535</v>
      </c>
      <c r="AP248" s="355">
        <v>10474.507</v>
      </c>
      <c r="AQ248" s="355"/>
      <c r="AR248" s="355"/>
      <c r="AS248" s="355"/>
      <c r="AT248" s="355"/>
      <c r="AU248" s="355"/>
    </row>
    <row r="249" spans="1:47">
      <c r="A249" s="319" t="s">
        <v>1564</v>
      </c>
      <c r="D249" s="355"/>
      <c r="E249" s="355"/>
      <c r="F249" s="355"/>
      <c r="G249" s="355"/>
      <c r="H249" s="355"/>
      <c r="I249" s="355"/>
      <c r="J249" s="355"/>
      <c r="K249" s="355"/>
      <c r="L249" s="355"/>
      <c r="M249" s="355"/>
      <c r="N249" s="355"/>
      <c r="O249" s="355"/>
      <c r="P249" s="355"/>
      <c r="Q249" s="355"/>
      <c r="R249" s="355"/>
      <c r="S249" s="355"/>
      <c r="T249" s="355"/>
      <c r="U249" s="355"/>
      <c r="V249" s="355"/>
      <c r="X249" s="355"/>
      <c r="Y249" s="355"/>
      <c r="Z249" s="355"/>
      <c r="AA249" s="355"/>
      <c r="AB249" s="355"/>
      <c r="AC249" s="355"/>
      <c r="AD249" s="355"/>
      <c r="AE249" s="355"/>
      <c r="AF249" s="355"/>
      <c r="AG249" s="355"/>
      <c r="AH249" s="355"/>
      <c r="AI249" s="355"/>
      <c r="AJ249" s="355"/>
      <c r="AK249" s="355"/>
      <c r="AL249" s="355"/>
      <c r="AM249" s="355"/>
      <c r="AN249" s="355"/>
      <c r="AO249" s="355"/>
      <c r="AP249" s="355"/>
      <c r="AQ249" s="355"/>
      <c r="AR249" s="355"/>
      <c r="AS249" s="355"/>
      <c r="AT249" s="355"/>
      <c r="AU249" s="355"/>
    </row>
    <row r="250" spans="1:47">
      <c r="A250" s="527" t="s">
        <v>1578</v>
      </c>
      <c r="D250" s="355"/>
      <c r="E250" s="355"/>
      <c r="F250" s="355"/>
      <c r="G250" s="355"/>
      <c r="H250" s="355"/>
      <c r="I250" s="355"/>
      <c r="J250" s="355"/>
      <c r="K250" s="355"/>
      <c r="L250" s="355"/>
      <c r="M250" s="355"/>
      <c r="N250" s="355"/>
      <c r="O250" s="355"/>
      <c r="P250" s="355"/>
      <c r="Q250" s="355"/>
      <c r="R250" s="355"/>
      <c r="S250" s="355"/>
      <c r="T250" s="355"/>
      <c r="U250" s="355"/>
      <c r="V250" s="355"/>
      <c r="X250" s="355"/>
      <c r="Y250" s="355"/>
      <c r="Z250" s="355"/>
      <c r="AA250" s="355"/>
      <c r="AB250" s="355"/>
      <c r="AC250" s="355"/>
      <c r="AD250" s="355"/>
      <c r="AE250" s="355"/>
      <c r="AF250" s="355"/>
      <c r="AG250" s="355"/>
      <c r="AH250" s="355"/>
      <c r="AI250" s="355"/>
      <c r="AJ250" s="355"/>
      <c r="AK250" s="355"/>
      <c r="AL250" s="355">
        <v>365.678</v>
      </c>
      <c r="AM250" s="355">
        <v>663.41499999999996</v>
      </c>
      <c r="AN250" s="355">
        <v>1777.55</v>
      </c>
      <c r="AO250" s="355">
        <v>4069.6379999999999</v>
      </c>
      <c r="AP250" s="355">
        <v>6492.4639999999999</v>
      </c>
      <c r="AQ250" s="355"/>
      <c r="AR250" s="355"/>
      <c r="AS250" s="355"/>
      <c r="AT250" s="355"/>
      <c r="AU250" s="355"/>
    </row>
    <row r="251" spans="1:47">
      <c r="A251" s="527" t="s">
        <v>1565</v>
      </c>
      <c r="D251" s="355"/>
      <c r="E251" s="355"/>
      <c r="F251" s="355"/>
      <c r="G251" s="355"/>
      <c r="H251" s="355"/>
      <c r="I251" s="355"/>
      <c r="J251" s="355"/>
      <c r="K251" s="355"/>
      <c r="L251" s="355"/>
      <c r="M251" s="355"/>
      <c r="N251" s="355"/>
      <c r="O251" s="355"/>
      <c r="P251" s="355"/>
      <c r="Q251" s="355"/>
      <c r="R251" s="355"/>
      <c r="S251" s="355"/>
      <c r="T251" s="355"/>
      <c r="U251" s="355"/>
      <c r="V251" s="355"/>
      <c r="X251" s="355"/>
      <c r="Y251" s="355"/>
      <c r="Z251" s="355"/>
      <c r="AA251" s="355"/>
      <c r="AB251" s="355"/>
      <c r="AC251" s="355"/>
      <c r="AD251" s="355"/>
      <c r="AE251" s="355"/>
      <c r="AF251" s="355"/>
      <c r="AG251" s="355"/>
      <c r="AH251" s="355"/>
      <c r="AI251" s="355"/>
      <c r="AJ251" s="355"/>
      <c r="AK251" s="355"/>
      <c r="AL251" s="355">
        <v>1.2270000000000001</v>
      </c>
      <c r="AM251" s="355">
        <v>266.5</v>
      </c>
      <c r="AN251" s="355">
        <v>740.07600000000002</v>
      </c>
      <c r="AO251" s="355">
        <v>-352.19799999999998</v>
      </c>
      <c r="AP251" s="355">
        <v>-647.59100000000001</v>
      </c>
      <c r="AQ251" s="355"/>
      <c r="AR251" s="355"/>
      <c r="AS251" s="355"/>
      <c r="AT251" s="355"/>
      <c r="AU251" s="355"/>
    </row>
    <row r="252" spans="1:47">
      <c r="A252" s="527" t="s">
        <v>1566</v>
      </c>
      <c r="D252" s="355"/>
      <c r="E252" s="355"/>
      <c r="F252" s="355"/>
      <c r="G252" s="355"/>
      <c r="H252" s="355"/>
      <c r="I252" s="355"/>
      <c r="J252" s="355"/>
      <c r="K252" s="355"/>
      <c r="L252" s="355"/>
      <c r="M252" s="355"/>
      <c r="N252" s="355"/>
      <c r="O252" s="355"/>
      <c r="P252" s="355"/>
      <c r="Q252" s="355"/>
      <c r="R252" s="355"/>
      <c r="S252" s="355"/>
      <c r="T252" s="355"/>
      <c r="U252" s="355"/>
      <c r="V252" s="355"/>
      <c r="X252" s="355"/>
      <c r="Y252" s="355"/>
      <c r="Z252" s="355"/>
      <c r="AA252" s="355"/>
      <c r="AB252" s="355"/>
      <c r="AC252" s="355"/>
      <c r="AD252" s="355"/>
      <c r="AE252" s="355"/>
      <c r="AF252" s="355"/>
      <c r="AG252" s="355"/>
      <c r="AH252" s="355"/>
      <c r="AI252" s="355"/>
      <c r="AJ252" s="355"/>
      <c r="AK252" s="355"/>
      <c r="AL252" s="355">
        <v>0</v>
      </c>
      <c r="AM252" s="355">
        <v>273.11500000000001</v>
      </c>
      <c r="AN252" s="355">
        <v>1407.944</v>
      </c>
      <c r="AO252" s="355">
        <v>-606.01499999999999</v>
      </c>
      <c r="AP252" s="355">
        <v>5739.8680000000004</v>
      </c>
      <c r="AQ252" s="355"/>
      <c r="AR252" s="355"/>
      <c r="AS252" s="355"/>
      <c r="AT252" s="355"/>
      <c r="AU252" s="355"/>
    </row>
    <row r="253" spans="1:47">
      <c r="A253" s="527" t="s">
        <v>1567</v>
      </c>
      <c r="D253" s="355"/>
      <c r="E253" s="355"/>
      <c r="F253" s="355"/>
      <c r="G253" s="355"/>
      <c r="H253" s="355"/>
      <c r="I253" s="355"/>
      <c r="J253" s="355"/>
      <c r="K253" s="355"/>
      <c r="L253" s="355"/>
      <c r="M253" s="355"/>
      <c r="N253" s="355"/>
      <c r="O253" s="355"/>
      <c r="P253" s="355"/>
      <c r="Q253" s="355"/>
      <c r="R253" s="355"/>
      <c r="S253" s="355"/>
      <c r="T253" s="355"/>
      <c r="U253" s="355"/>
      <c r="V253" s="355"/>
      <c r="X253" s="355"/>
      <c r="Y253" s="355"/>
      <c r="Z253" s="355"/>
      <c r="AA253" s="355"/>
      <c r="AB253" s="355"/>
      <c r="AC253" s="355"/>
      <c r="AD253" s="355"/>
      <c r="AE253" s="355"/>
      <c r="AF253" s="355"/>
      <c r="AG253" s="355"/>
      <c r="AH253" s="355"/>
      <c r="AI253" s="355"/>
      <c r="AJ253" s="355"/>
      <c r="AK253" s="355"/>
      <c r="AL253" s="355">
        <v>0</v>
      </c>
      <c r="AM253" s="355">
        <v>69.593999999999994</v>
      </c>
      <c r="AN253" s="355">
        <v>488.072</v>
      </c>
      <c r="AO253" s="355">
        <v>1197.9870000000001</v>
      </c>
      <c r="AP253" s="355">
        <v>2889.3530000000001</v>
      </c>
      <c r="AQ253" s="355"/>
      <c r="AR253" s="355"/>
      <c r="AS253" s="355"/>
      <c r="AT253" s="355"/>
      <c r="AU253" s="355"/>
    </row>
    <row r="254" spans="1:47">
      <c r="A254" s="319" t="s">
        <v>1568</v>
      </c>
      <c r="D254" s="355"/>
      <c r="E254" s="355"/>
      <c r="F254" s="355"/>
      <c r="G254" s="355"/>
      <c r="H254" s="355"/>
      <c r="I254" s="355"/>
      <c r="J254" s="355"/>
      <c r="K254" s="355"/>
      <c r="L254" s="355"/>
      <c r="M254" s="355"/>
      <c r="N254" s="355"/>
      <c r="O254" s="355"/>
      <c r="P254" s="355"/>
      <c r="Q254" s="355"/>
      <c r="R254" s="355"/>
      <c r="S254" s="355"/>
      <c r="T254" s="355"/>
      <c r="U254" s="355"/>
      <c r="V254" s="355"/>
      <c r="X254" s="355"/>
      <c r="Y254" s="355"/>
      <c r="Z254" s="355"/>
      <c r="AA254" s="355"/>
      <c r="AB254" s="355"/>
      <c r="AC254" s="355"/>
      <c r="AD254" s="355"/>
      <c r="AE254" s="355"/>
      <c r="AF254" s="355"/>
      <c r="AG254" s="355"/>
      <c r="AH254" s="355"/>
      <c r="AI254" s="355"/>
      <c r="AJ254" s="355"/>
      <c r="AK254" s="355"/>
      <c r="AL254" s="355"/>
      <c r="AM254" s="355"/>
      <c r="AN254" s="355"/>
      <c r="AO254" s="355"/>
      <c r="AP254" s="355"/>
      <c r="AQ254" s="355"/>
      <c r="AR254" s="355"/>
      <c r="AS254" s="355"/>
      <c r="AT254" s="355"/>
      <c r="AU254" s="355"/>
    </row>
    <row r="255" spans="1:47">
      <c r="A255" s="527" t="s">
        <v>1569</v>
      </c>
      <c r="D255" s="355"/>
      <c r="E255" s="355"/>
      <c r="F255" s="355"/>
      <c r="G255" s="355"/>
      <c r="H255" s="355"/>
      <c r="I255" s="355"/>
      <c r="J255" s="355"/>
      <c r="K255" s="355"/>
      <c r="L255" s="355"/>
      <c r="M255" s="355"/>
      <c r="N255" s="355"/>
      <c r="O255" s="355"/>
      <c r="P255" s="355"/>
      <c r="Q255" s="355"/>
      <c r="R255" s="355"/>
      <c r="S255" s="355"/>
      <c r="T255" s="355"/>
      <c r="U255" s="355"/>
      <c r="V255" s="355"/>
      <c r="X255" s="355"/>
      <c r="Y255" s="355"/>
      <c r="Z255" s="355"/>
      <c r="AA255" s="355"/>
      <c r="AB255" s="355"/>
      <c r="AC255" s="355"/>
      <c r="AD255" s="355"/>
      <c r="AE255" s="355"/>
      <c r="AF255" s="355"/>
      <c r="AG255" s="355"/>
      <c r="AH255" s="355"/>
      <c r="AI255" s="355"/>
      <c r="AJ255" s="355"/>
      <c r="AK255" s="355"/>
      <c r="AL255" s="355">
        <v>-188.613</v>
      </c>
      <c r="AM255" s="355">
        <v>-1554.9829999999999</v>
      </c>
      <c r="AN255" s="355">
        <v>-3700.3119999999999</v>
      </c>
      <c r="AO255" s="355">
        <v>-16676.055</v>
      </c>
      <c r="AP255" s="355">
        <v>-2949.7460000000001</v>
      </c>
      <c r="AQ255" s="355"/>
      <c r="AR255" s="355"/>
      <c r="AS255" s="355"/>
      <c r="AT255" s="355"/>
      <c r="AU255" s="355"/>
    </row>
    <row r="256" spans="1:47">
      <c r="A256" s="527" t="s">
        <v>1570</v>
      </c>
      <c r="D256" s="355"/>
      <c r="E256" s="355"/>
      <c r="F256" s="355"/>
      <c r="G256" s="355"/>
      <c r="H256" s="355"/>
      <c r="I256" s="355"/>
      <c r="J256" s="355"/>
      <c r="K256" s="355"/>
      <c r="L256" s="355"/>
      <c r="M256" s="355"/>
      <c r="N256" s="355"/>
      <c r="O256" s="355"/>
      <c r="P256" s="355"/>
      <c r="Q256" s="355"/>
      <c r="R256" s="355"/>
      <c r="S256" s="355"/>
      <c r="T256" s="355"/>
      <c r="U256" s="355"/>
      <c r="V256" s="355"/>
      <c r="X256" s="355"/>
      <c r="Y256" s="355"/>
      <c r="Z256" s="355"/>
      <c r="AA256" s="355"/>
      <c r="AB256" s="355"/>
      <c r="AC256" s="355"/>
      <c r="AD256" s="355"/>
      <c r="AE256" s="355"/>
      <c r="AF256" s="355"/>
      <c r="AG256" s="355"/>
      <c r="AH256" s="355"/>
      <c r="AI256" s="355"/>
      <c r="AJ256" s="355"/>
      <c r="AK256" s="355"/>
      <c r="AL256" s="355">
        <v>-62.264000000000003</v>
      </c>
      <c r="AM256" s="355">
        <v>-387.17500000000001</v>
      </c>
      <c r="AN256" s="355">
        <v>-269.02199999999999</v>
      </c>
      <c r="AO256" s="355">
        <v>-2005.577</v>
      </c>
      <c r="AP256" s="355">
        <v>-48.683999999999997</v>
      </c>
      <c r="AQ256" s="355"/>
      <c r="AR256" s="355"/>
      <c r="AS256" s="355"/>
      <c r="AT256" s="355"/>
      <c r="AU256" s="355"/>
    </row>
    <row r="257" spans="1:47">
      <c r="A257" s="527" t="s">
        <v>1571</v>
      </c>
      <c r="D257" s="355"/>
      <c r="E257" s="355"/>
      <c r="F257" s="355"/>
      <c r="G257" s="355"/>
      <c r="H257" s="355"/>
      <c r="I257" s="355"/>
      <c r="J257" s="355"/>
      <c r="K257" s="355"/>
      <c r="L257" s="355"/>
      <c r="M257" s="355"/>
      <c r="N257" s="355"/>
      <c r="O257" s="355"/>
      <c r="P257" s="355"/>
      <c r="Q257" s="355"/>
      <c r="R257" s="355"/>
      <c r="S257" s="355"/>
      <c r="T257" s="355"/>
      <c r="U257" s="355"/>
      <c r="V257" s="355"/>
      <c r="X257" s="355"/>
      <c r="Y257" s="355"/>
      <c r="Z257" s="355"/>
      <c r="AA257" s="355"/>
      <c r="AB257" s="355"/>
      <c r="AC257" s="355"/>
      <c r="AD257" s="355"/>
      <c r="AE257" s="355"/>
      <c r="AF257" s="355"/>
      <c r="AG257" s="355"/>
      <c r="AH257" s="355"/>
      <c r="AI257" s="355"/>
      <c r="AJ257" s="355"/>
      <c r="AK257" s="355"/>
      <c r="AL257" s="355">
        <v>-60.326000000000001</v>
      </c>
      <c r="AM257" s="355">
        <v>-1377.884</v>
      </c>
      <c r="AN257" s="355">
        <v>-9437.3109999999997</v>
      </c>
      <c r="AO257" s="355">
        <v>3323.2429999999999</v>
      </c>
      <c r="AP257" s="355">
        <v>4416.5609999999997</v>
      </c>
      <c r="AQ257" s="355"/>
      <c r="AR257" s="355"/>
      <c r="AS257" s="355"/>
      <c r="AT257" s="355"/>
      <c r="AU257" s="355"/>
    </row>
    <row r="258" spans="1:47">
      <c r="A258" s="527" t="s">
        <v>1572</v>
      </c>
      <c r="D258" s="355"/>
      <c r="E258" s="355"/>
      <c r="F258" s="355"/>
      <c r="G258" s="355"/>
      <c r="H258" s="355"/>
      <c r="I258" s="355"/>
      <c r="J258" s="355"/>
      <c r="K258" s="355"/>
      <c r="L258" s="355"/>
      <c r="M258" s="355"/>
      <c r="N258" s="355"/>
      <c r="O258" s="355"/>
      <c r="P258" s="355"/>
      <c r="Q258" s="355"/>
      <c r="R258" s="355"/>
      <c r="S258" s="355"/>
      <c r="T258" s="355"/>
      <c r="U258" s="355"/>
      <c r="V258" s="355"/>
      <c r="X258" s="355"/>
      <c r="Y258" s="355"/>
      <c r="Z258" s="355"/>
      <c r="AA258" s="355"/>
      <c r="AB258" s="355"/>
      <c r="AC258" s="355"/>
      <c r="AD258" s="355"/>
      <c r="AE258" s="355"/>
      <c r="AF258" s="355"/>
      <c r="AG258" s="355"/>
      <c r="AH258" s="355"/>
      <c r="AI258" s="355"/>
      <c r="AJ258" s="355"/>
      <c r="AK258" s="355"/>
      <c r="AL258" s="355">
        <v>-0.72499999999999998</v>
      </c>
      <c r="AM258" s="355">
        <v>-416.24200000000002</v>
      </c>
      <c r="AN258" s="355">
        <v>-1617.194</v>
      </c>
      <c r="AO258" s="355">
        <v>571.84699999999998</v>
      </c>
      <c r="AP258" s="355">
        <v>-533.78200000000004</v>
      </c>
      <c r="AQ258" s="355"/>
      <c r="AR258" s="355"/>
      <c r="AS258" s="355"/>
      <c r="AT258" s="355"/>
      <c r="AU258" s="355"/>
    </row>
    <row r="259" spans="1:47">
      <c r="A259" s="527" t="s">
        <v>1579</v>
      </c>
      <c r="D259" s="355"/>
      <c r="E259" s="355"/>
      <c r="F259" s="355"/>
      <c r="G259" s="355"/>
      <c r="H259" s="355"/>
      <c r="I259" s="355"/>
      <c r="J259" s="355"/>
      <c r="K259" s="355"/>
      <c r="L259" s="355"/>
      <c r="M259" s="355"/>
      <c r="N259" s="355"/>
      <c r="O259" s="355"/>
      <c r="P259" s="355"/>
      <c r="Q259" s="355"/>
      <c r="R259" s="355"/>
      <c r="S259" s="355"/>
      <c r="T259" s="355"/>
      <c r="U259" s="355"/>
      <c r="V259" s="355"/>
      <c r="X259" s="355"/>
      <c r="Y259" s="355"/>
      <c r="Z259" s="355"/>
      <c r="AA259" s="355"/>
      <c r="AB259" s="355"/>
      <c r="AC259" s="355"/>
      <c r="AD259" s="355"/>
      <c r="AE259" s="355"/>
      <c r="AF259" s="355"/>
      <c r="AG259" s="355"/>
      <c r="AH259" s="355"/>
      <c r="AI259" s="355"/>
      <c r="AJ259" s="355"/>
      <c r="AK259" s="355"/>
      <c r="AL259" s="355">
        <v>0</v>
      </c>
      <c r="AM259" s="355">
        <v>308.03300000000002</v>
      </c>
      <c r="AN259" s="355">
        <v>0</v>
      </c>
      <c r="AO259" s="355">
        <v>0</v>
      </c>
      <c r="AP259" s="355">
        <v>0</v>
      </c>
      <c r="AQ259" s="355"/>
      <c r="AR259" s="355"/>
      <c r="AS259" s="355"/>
      <c r="AT259" s="355"/>
      <c r="AU259" s="355"/>
    </row>
    <row r="260" spans="1:47">
      <c r="A260" s="527" t="s">
        <v>1573</v>
      </c>
      <c r="D260" s="355"/>
      <c r="E260" s="355"/>
      <c r="F260" s="355"/>
      <c r="G260" s="355"/>
      <c r="H260" s="355"/>
      <c r="I260" s="355"/>
      <c r="J260" s="355"/>
      <c r="K260" s="355"/>
      <c r="L260" s="355"/>
      <c r="M260" s="355"/>
      <c r="N260" s="355"/>
      <c r="O260" s="355"/>
      <c r="P260" s="355"/>
      <c r="Q260" s="355"/>
      <c r="R260" s="355"/>
      <c r="S260" s="355"/>
      <c r="T260" s="355"/>
      <c r="U260" s="355"/>
      <c r="V260" s="355"/>
      <c r="X260" s="355"/>
      <c r="Y260" s="355"/>
      <c r="Z260" s="355"/>
      <c r="AA260" s="355"/>
      <c r="AB260" s="355"/>
      <c r="AC260" s="355"/>
      <c r="AD260" s="355"/>
      <c r="AE260" s="355"/>
      <c r="AF260" s="355"/>
      <c r="AG260" s="355"/>
      <c r="AH260" s="355"/>
      <c r="AI260" s="355"/>
      <c r="AJ260" s="355"/>
      <c r="AK260" s="355"/>
      <c r="AL260" s="355">
        <v>3278.864</v>
      </c>
      <c r="AM260" s="355">
        <v>13311.817999999999</v>
      </c>
      <c r="AN260" s="355">
        <v>12647.123</v>
      </c>
      <c r="AO260" s="355">
        <v>26270.284</v>
      </c>
      <c r="AP260" s="355">
        <v>33529.262999999999</v>
      </c>
      <c r="AQ260" s="355"/>
      <c r="AR260" s="355"/>
      <c r="AS260" s="355"/>
      <c r="AT260" s="355"/>
      <c r="AU260" s="355"/>
    </row>
    <row r="261" spans="1:47">
      <c r="A261" s="527" t="s">
        <v>1574</v>
      </c>
      <c r="D261" s="355"/>
      <c r="E261" s="355"/>
      <c r="F261" s="355"/>
      <c r="G261" s="355"/>
      <c r="H261" s="355"/>
      <c r="I261" s="355"/>
      <c r="J261" s="355"/>
      <c r="K261" s="355"/>
      <c r="L261" s="355"/>
      <c r="M261" s="355"/>
      <c r="N261" s="355"/>
      <c r="O261" s="355"/>
      <c r="P261" s="355"/>
      <c r="Q261" s="355"/>
      <c r="R261" s="355"/>
      <c r="S261" s="355"/>
      <c r="T261" s="355"/>
      <c r="U261" s="355"/>
      <c r="V261" s="355"/>
      <c r="X261" s="355"/>
      <c r="Y261" s="355"/>
      <c r="Z261" s="355"/>
      <c r="AA261" s="355"/>
      <c r="AB261" s="355"/>
      <c r="AC261" s="355"/>
      <c r="AD261" s="355"/>
      <c r="AE261" s="355"/>
      <c r="AF261" s="355"/>
      <c r="AG261" s="355"/>
      <c r="AH261" s="355"/>
      <c r="AI261" s="355"/>
      <c r="AJ261" s="355"/>
      <c r="AK261" s="355"/>
      <c r="AL261" s="355">
        <v>84.69</v>
      </c>
      <c r="AM261" s="355">
        <v>629.86400000000003</v>
      </c>
      <c r="AN261" s="355">
        <v>440.267</v>
      </c>
      <c r="AO261" s="355">
        <v>3068.0650000000001</v>
      </c>
      <c r="AP261" s="355">
        <v>75.13</v>
      </c>
      <c r="AQ261" s="355"/>
      <c r="AR261" s="355"/>
      <c r="AS261" s="355"/>
      <c r="AT261" s="355"/>
      <c r="AU261" s="355"/>
    </row>
    <row r="262" spans="1:47">
      <c r="A262" s="527" t="s">
        <v>1580</v>
      </c>
      <c r="D262" s="355"/>
      <c r="E262" s="355"/>
      <c r="F262" s="355"/>
      <c r="G262" s="355"/>
      <c r="H262" s="355"/>
      <c r="I262" s="355"/>
      <c r="J262" s="355"/>
      <c r="K262" s="355"/>
      <c r="L262" s="355"/>
      <c r="M262" s="355"/>
      <c r="N262" s="355"/>
      <c r="O262" s="355"/>
      <c r="P262" s="355"/>
      <c r="Q262" s="355"/>
      <c r="R262" s="355"/>
      <c r="S262" s="355"/>
      <c r="T262" s="355"/>
      <c r="U262" s="355"/>
      <c r="V262" s="355"/>
      <c r="X262" s="355"/>
      <c r="Y262" s="355"/>
      <c r="Z262" s="355"/>
      <c r="AA262" s="355"/>
      <c r="AB262" s="355"/>
      <c r="AC262" s="355"/>
      <c r="AD262" s="355"/>
      <c r="AE262" s="355"/>
      <c r="AF262" s="355"/>
      <c r="AG262" s="355"/>
      <c r="AH262" s="355"/>
      <c r="AI262" s="355"/>
      <c r="AJ262" s="355"/>
      <c r="AK262" s="355"/>
      <c r="AL262" s="355">
        <v>186.346</v>
      </c>
      <c r="AM262" s="355">
        <v>-186.346</v>
      </c>
      <c r="AN262" s="355">
        <v>0</v>
      </c>
      <c r="AO262" s="355">
        <v>0</v>
      </c>
      <c r="AP262" s="355">
        <v>3614.9740000000002</v>
      </c>
      <c r="AQ262" s="355"/>
      <c r="AR262" s="355"/>
      <c r="AS262" s="355"/>
      <c r="AT262" s="355"/>
      <c r="AU262" s="355"/>
    </row>
    <row r="263" spans="1:47">
      <c r="A263" s="527" t="s">
        <v>1581</v>
      </c>
      <c r="D263" s="355"/>
      <c r="E263" s="355"/>
      <c r="F263" s="355"/>
      <c r="G263" s="355"/>
      <c r="H263" s="355"/>
      <c r="I263" s="355"/>
      <c r="J263" s="355"/>
      <c r="K263" s="355"/>
      <c r="L263" s="355"/>
      <c r="M263" s="355"/>
      <c r="N263" s="355"/>
      <c r="O263" s="355"/>
      <c r="P263" s="355"/>
      <c r="Q263" s="355"/>
      <c r="R263" s="355"/>
      <c r="S263" s="355"/>
      <c r="T263" s="355"/>
      <c r="U263" s="355"/>
      <c r="V263" s="355"/>
      <c r="X263" s="355"/>
      <c r="Y263" s="355"/>
      <c r="Z263" s="355"/>
      <c r="AA263" s="355"/>
      <c r="AB263" s="355"/>
      <c r="AC263" s="355"/>
      <c r="AD263" s="355"/>
      <c r="AE263" s="355"/>
      <c r="AF263" s="355"/>
      <c r="AG263" s="355"/>
      <c r="AH263" s="355"/>
      <c r="AI263" s="355"/>
      <c r="AJ263" s="355"/>
      <c r="AK263" s="355"/>
      <c r="AL263" s="355">
        <v>18.562999999999999</v>
      </c>
      <c r="AM263" s="355">
        <v>486.41300000000001</v>
      </c>
      <c r="AN263" s="355">
        <v>0</v>
      </c>
      <c r="AO263" s="355">
        <v>0</v>
      </c>
      <c r="AP263" s="355">
        <v>0</v>
      </c>
      <c r="AQ263" s="355"/>
      <c r="AR263" s="355"/>
      <c r="AS263" s="355"/>
      <c r="AT263" s="355"/>
      <c r="AU263" s="355"/>
    </row>
    <row r="264" spans="1:47">
      <c r="A264" s="527" t="s">
        <v>1575</v>
      </c>
      <c r="D264" s="355"/>
      <c r="E264" s="355"/>
      <c r="F264" s="355"/>
      <c r="G264" s="355"/>
      <c r="H264" s="355"/>
      <c r="I264" s="355"/>
      <c r="J264" s="355"/>
      <c r="K264" s="355"/>
      <c r="L264" s="355"/>
      <c r="M264" s="355"/>
      <c r="N264" s="355"/>
      <c r="O264" s="355"/>
      <c r="P264" s="355"/>
      <c r="Q264" s="355"/>
      <c r="R264" s="355"/>
      <c r="S264" s="355"/>
      <c r="T264" s="355"/>
      <c r="U264" s="355"/>
      <c r="V264" s="355"/>
      <c r="X264" s="355"/>
      <c r="Y264" s="355"/>
      <c r="Z264" s="355"/>
      <c r="AA264" s="355"/>
      <c r="AB264" s="355"/>
      <c r="AC264" s="355"/>
      <c r="AD264" s="355"/>
      <c r="AE264" s="355"/>
      <c r="AF264" s="355"/>
      <c r="AG264" s="355"/>
      <c r="AH264" s="355"/>
      <c r="AI264" s="355"/>
      <c r="AJ264" s="355"/>
      <c r="AK264" s="355"/>
      <c r="AL264" s="355">
        <v>25.498999999999999</v>
      </c>
      <c r="AM264" s="355">
        <v>131.477</v>
      </c>
      <c r="AN264" s="355">
        <v>95.373000000000005</v>
      </c>
      <c r="AO264" s="355">
        <v>168.834</v>
      </c>
      <c r="AP264" s="355">
        <v>207.92699999999999</v>
      </c>
      <c r="AQ264" s="355"/>
      <c r="AR264" s="355"/>
      <c r="AS264" s="355"/>
      <c r="AT264" s="355"/>
      <c r="AU264" s="355"/>
    </row>
    <row r="265" spans="1:47" s="513" customFormat="1">
      <c r="A265" s="527" t="s">
        <v>1576</v>
      </c>
      <c r="D265" s="535"/>
      <c r="E265" s="535"/>
      <c r="F265" s="535"/>
      <c r="G265" s="535"/>
      <c r="H265" s="535"/>
      <c r="I265" s="535"/>
      <c r="J265" s="535"/>
      <c r="K265" s="535"/>
      <c r="L265" s="535"/>
      <c r="M265" s="535"/>
      <c r="N265" s="535"/>
      <c r="O265" s="535"/>
      <c r="P265" s="535"/>
      <c r="Q265" s="535"/>
      <c r="R265" s="535"/>
      <c r="S265" s="535"/>
      <c r="T265" s="535"/>
      <c r="U265" s="535"/>
      <c r="V265" s="535"/>
      <c r="X265" s="607"/>
      <c r="Y265" s="607"/>
      <c r="Z265" s="535"/>
      <c r="AA265" s="535"/>
      <c r="AB265" s="607"/>
      <c r="AC265" s="607"/>
      <c r="AD265" s="607"/>
      <c r="AE265" s="607"/>
      <c r="AF265" s="607"/>
      <c r="AG265" s="607"/>
      <c r="AH265" s="607"/>
      <c r="AI265" s="535"/>
      <c r="AJ265" s="535"/>
      <c r="AK265" s="535"/>
      <c r="AL265" s="607">
        <v>337.85700000000003</v>
      </c>
      <c r="AM265" s="607">
        <v>772.28899999999999</v>
      </c>
      <c r="AN265" s="607">
        <v>1815.759</v>
      </c>
      <c r="AO265" s="607">
        <v>1454.88</v>
      </c>
      <c r="AP265" s="607">
        <v>-301.01900000000001</v>
      </c>
      <c r="AQ265" s="535"/>
      <c r="AR265" s="535"/>
      <c r="AS265" s="535"/>
      <c r="AT265" s="535"/>
      <c r="AU265" s="535"/>
    </row>
    <row r="266" spans="1:47">
      <c r="A266" s="614" t="s">
        <v>1577</v>
      </c>
      <c r="D266" s="355"/>
      <c r="E266" s="355"/>
      <c r="F266" s="355"/>
      <c r="G266" s="355"/>
      <c r="H266" s="355"/>
      <c r="I266" s="355"/>
      <c r="J266" s="355"/>
      <c r="K266" s="355"/>
      <c r="L266" s="355"/>
      <c r="M266" s="355"/>
      <c r="N266" s="355"/>
      <c r="O266" s="355"/>
      <c r="P266" s="355"/>
      <c r="Q266" s="355"/>
      <c r="R266" s="355"/>
      <c r="S266" s="355"/>
      <c r="T266" s="355"/>
      <c r="U266" s="355"/>
      <c r="V266" s="355"/>
      <c r="X266" s="355"/>
      <c r="Y266" s="355"/>
      <c r="Z266" s="355"/>
      <c r="AA266" s="355"/>
      <c r="AB266" s="355"/>
      <c r="AC266" s="355"/>
      <c r="AD266" s="355"/>
      <c r="AE266" s="355"/>
      <c r="AF266" s="355"/>
      <c r="AG266" s="355"/>
      <c r="AH266" s="355"/>
      <c r="AI266" s="355"/>
      <c r="AJ266" s="355"/>
      <c r="AK266" s="355"/>
      <c r="AL266" s="355">
        <f>+SUM(AL255:AL265,AL250:AL253,AL248)</f>
        <v>5518.9309999999996</v>
      </c>
      <c r="AM266" s="355">
        <f>+SUM(AM255:AM265,AM250:AM253,AM248)</f>
        <v>12738.749</v>
      </c>
      <c r="AN266" s="355">
        <f>+SUM(AN255:AN265,AN250:AN253,AN248)</f>
        <v>-14674.019</v>
      </c>
      <c r="AO266" s="355">
        <f>+SUM(AO255:AO265,AO250:AO253,AO248)</f>
        <v>36450.468000000001</v>
      </c>
      <c r="AP266" s="355">
        <f>+SUM(AP255:AP265,AP250:AP253,AP248)</f>
        <v>62959.225000000006</v>
      </c>
      <c r="AQ266" s="355"/>
      <c r="AR266" s="355"/>
      <c r="AS266" s="355"/>
      <c r="AT266" s="355"/>
      <c r="AU266" s="355"/>
    </row>
    <row r="267" spans="1:47">
      <c r="D267" s="355"/>
      <c r="E267" s="355"/>
      <c r="F267" s="355"/>
      <c r="G267" s="355"/>
      <c r="H267" s="355"/>
      <c r="I267" s="355"/>
      <c r="J267" s="355"/>
      <c r="K267" s="355"/>
      <c r="L267" s="355"/>
      <c r="M267" s="355"/>
      <c r="N267" s="355"/>
      <c r="O267" s="355"/>
      <c r="P267" s="355"/>
      <c r="Q267" s="355"/>
      <c r="R267" s="355"/>
      <c r="S267" s="355"/>
      <c r="T267" s="355"/>
      <c r="U267" s="355"/>
      <c r="V267" s="355"/>
      <c r="X267" s="355"/>
      <c r="Y267" s="355"/>
      <c r="Z267" s="355"/>
      <c r="AA267" s="355"/>
      <c r="AB267" s="355"/>
      <c r="AC267" s="355"/>
      <c r="AD267" s="355"/>
      <c r="AE267" s="355"/>
      <c r="AF267" s="355"/>
      <c r="AG267" s="355"/>
      <c r="AH267" s="355"/>
      <c r="AI267" s="355"/>
      <c r="AJ267" s="355"/>
      <c r="AK267" s="355"/>
      <c r="AL267" s="355"/>
      <c r="AM267" s="355"/>
      <c r="AN267" s="355"/>
      <c r="AO267" s="355"/>
      <c r="AP267" s="355"/>
      <c r="AQ267" s="355"/>
      <c r="AR267" s="355"/>
      <c r="AS267" s="355"/>
      <c r="AT267" s="355"/>
      <c r="AU267" s="355"/>
    </row>
    <row r="268" spans="1:47">
      <c r="A268" s="513" t="s">
        <v>247</v>
      </c>
      <c r="D268" s="355"/>
      <c r="E268" s="355"/>
      <c r="F268" s="355"/>
      <c r="G268" s="355"/>
      <c r="H268" s="355"/>
      <c r="I268" s="355"/>
      <c r="J268" s="355"/>
      <c r="K268" s="355"/>
      <c r="L268" s="355"/>
      <c r="M268" s="355"/>
      <c r="N268" s="355"/>
      <c r="O268" s="355"/>
      <c r="P268" s="355"/>
      <c r="Q268" s="355"/>
      <c r="R268" s="355"/>
      <c r="S268" s="355"/>
      <c r="T268" s="355"/>
      <c r="U268" s="355"/>
      <c r="V268" s="355"/>
      <c r="X268" s="355"/>
      <c r="Y268" s="355"/>
      <c r="Z268" s="355"/>
      <c r="AA268" s="355"/>
      <c r="AB268" s="355"/>
      <c r="AC268" s="355"/>
      <c r="AD268" s="355"/>
      <c r="AE268" s="355"/>
      <c r="AF268" s="355"/>
      <c r="AG268" s="355"/>
      <c r="AH268" s="355"/>
      <c r="AI268" s="355"/>
      <c r="AJ268" s="355"/>
      <c r="AK268" s="355"/>
      <c r="AL268" s="355"/>
      <c r="AM268" s="355"/>
      <c r="AN268" s="355"/>
      <c r="AO268" s="355"/>
      <c r="AP268" s="355"/>
      <c r="AQ268" s="355"/>
      <c r="AR268" s="355"/>
      <c r="AS268" s="355"/>
      <c r="AT268" s="355"/>
      <c r="AU268" s="355"/>
    </row>
    <row r="269" spans="1:47">
      <c r="A269" s="319" t="s">
        <v>4205</v>
      </c>
      <c r="D269" s="355"/>
      <c r="E269" s="355"/>
      <c r="F269" s="355"/>
      <c r="G269" s="355"/>
      <c r="H269" s="355"/>
      <c r="I269" s="355"/>
      <c r="J269" s="355"/>
      <c r="K269" s="355"/>
      <c r="L269" s="355"/>
      <c r="M269" s="355"/>
      <c r="N269" s="355"/>
      <c r="O269" s="355"/>
      <c r="P269" s="355"/>
      <c r="Q269" s="355"/>
      <c r="R269" s="355"/>
      <c r="S269" s="355"/>
      <c r="T269" s="355"/>
      <c r="U269" s="355"/>
      <c r="V269" s="355"/>
      <c r="X269" s="355"/>
      <c r="Y269" s="355"/>
      <c r="Z269" s="355"/>
      <c r="AA269" s="355"/>
      <c r="AB269" s="355"/>
      <c r="AC269" s="355"/>
      <c r="AD269" s="355"/>
      <c r="AE269" s="355"/>
      <c r="AF269" s="355"/>
      <c r="AG269" s="355"/>
      <c r="AH269" s="355"/>
      <c r="AI269" s="355"/>
      <c r="AJ269" s="355"/>
      <c r="AK269" s="355"/>
      <c r="AL269" s="355"/>
      <c r="AM269" s="355">
        <v>0</v>
      </c>
      <c r="AN269" s="355">
        <v>0</v>
      </c>
      <c r="AO269" s="355">
        <v>675000</v>
      </c>
      <c r="AP269" s="355">
        <v>2674440</v>
      </c>
      <c r="AQ269" s="355"/>
      <c r="AR269" s="355"/>
      <c r="AS269" s="355"/>
      <c r="AT269" s="355"/>
      <c r="AU269" s="355"/>
    </row>
    <row r="270" spans="1:47">
      <c r="A270" s="319" t="s">
        <v>4207</v>
      </c>
      <c r="D270" s="355"/>
      <c r="E270" s="355"/>
      <c r="F270" s="355"/>
      <c r="G270" s="355"/>
      <c r="H270" s="355"/>
      <c r="I270" s="355"/>
      <c r="J270" s="355"/>
      <c r="K270" s="355"/>
      <c r="L270" s="355"/>
      <c r="M270" s="355"/>
      <c r="N270" s="355"/>
      <c r="O270" s="355"/>
      <c r="P270" s="355"/>
      <c r="Q270" s="355"/>
      <c r="R270" s="355"/>
      <c r="S270" s="355"/>
      <c r="T270" s="355"/>
      <c r="U270" s="355"/>
      <c r="V270" s="355"/>
      <c r="X270" s="355"/>
      <c r="Y270" s="355"/>
      <c r="Z270" s="355"/>
      <c r="AA270" s="355"/>
      <c r="AB270" s="355"/>
      <c r="AC270" s="355"/>
      <c r="AD270" s="355"/>
      <c r="AE270" s="355"/>
      <c r="AF270" s="355"/>
      <c r="AG270" s="355"/>
      <c r="AH270" s="355"/>
      <c r="AI270" s="355"/>
      <c r="AJ270" s="355"/>
      <c r="AK270" s="355"/>
      <c r="AL270" s="355"/>
      <c r="AM270" s="355">
        <v>0</v>
      </c>
      <c r="AN270" s="355">
        <v>0</v>
      </c>
      <c r="AO270" s="355">
        <v>1352.702</v>
      </c>
      <c r="AP270" s="355">
        <v>10291.263999999999</v>
      </c>
      <c r="AQ270" s="355"/>
      <c r="AR270" s="355"/>
      <c r="AS270" s="355"/>
      <c r="AT270" s="355"/>
      <c r="AU270" s="355"/>
    </row>
    <row r="271" spans="1:47">
      <c r="D271" s="355"/>
      <c r="E271" s="355"/>
      <c r="F271" s="355"/>
      <c r="G271" s="355"/>
      <c r="H271" s="355"/>
      <c r="I271" s="355"/>
      <c r="J271" s="355"/>
      <c r="K271" s="355"/>
      <c r="L271" s="355"/>
      <c r="M271" s="355"/>
      <c r="N271" s="355"/>
      <c r="O271" s="355"/>
      <c r="P271" s="355"/>
      <c r="Q271" s="355"/>
      <c r="R271" s="355"/>
      <c r="S271" s="355"/>
      <c r="T271" s="355"/>
      <c r="U271" s="355"/>
      <c r="V271" s="355"/>
      <c r="X271" s="355"/>
      <c r="Y271" s="355"/>
      <c r="Z271" s="355"/>
      <c r="AA271" s="355"/>
      <c r="AB271" s="355"/>
      <c r="AC271" s="355"/>
      <c r="AD271" s="355"/>
      <c r="AE271" s="355"/>
      <c r="AF271" s="355"/>
      <c r="AG271" s="355"/>
      <c r="AH271" s="355"/>
      <c r="AI271" s="355"/>
      <c r="AJ271" s="355"/>
      <c r="AK271" s="355"/>
      <c r="AL271" s="355"/>
      <c r="AM271" s="355"/>
      <c r="AN271" s="355"/>
      <c r="AO271" s="355"/>
      <c r="AP271" s="355"/>
      <c r="AQ271" s="355"/>
      <c r="AR271" s="355"/>
      <c r="AS271" s="355"/>
      <c r="AT271" s="355"/>
      <c r="AU271" s="355"/>
    </row>
    <row r="272" spans="1:47">
      <c r="A272" s="513" t="s">
        <v>4208</v>
      </c>
      <c r="D272" s="355"/>
      <c r="E272" s="355"/>
      <c r="F272" s="355"/>
      <c r="G272" s="355"/>
      <c r="H272" s="355"/>
      <c r="I272" s="355"/>
      <c r="J272" s="355"/>
      <c r="K272" s="355"/>
      <c r="L272" s="355"/>
      <c r="M272" s="355"/>
      <c r="N272" s="355"/>
      <c r="O272" s="355"/>
      <c r="P272" s="355"/>
      <c r="Q272" s="355"/>
      <c r="R272" s="355"/>
      <c r="S272" s="355"/>
      <c r="T272" s="355"/>
      <c r="U272" s="355"/>
      <c r="V272" s="355"/>
      <c r="X272" s="355"/>
      <c r="Y272" s="355"/>
      <c r="Z272" s="355"/>
      <c r="AA272" s="355"/>
      <c r="AB272" s="355"/>
      <c r="AC272" s="355"/>
      <c r="AD272" s="355"/>
      <c r="AE272" s="355"/>
      <c r="AF272" s="355"/>
      <c r="AG272" s="355"/>
      <c r="AH272" s="355"/>
      <c r="AI272" s="355"/>
      <c r="AJ272" s="355"/>
      <c r="AK272" s="355"/>
      <c r="AL272" s="355"/>
      <c r="AM272" s="355"/>
      <c r="AN272" s="355"/>
      <c r="AO272" s="355"/>
      <c r="AP272" s="355"/>
      <c r="AQ272" s="355"/>
      <c r="AR272" s="355"/>
      <c r="AS272" s="355"/>
      <c r="AT272" s="355"/>
      <c r="AU272" s="355"/>
    </row>
    <row r="273" spans="1:47">
      <c r="A273" s="319" t="s">
        <v>4209</v>
      </c>
      <c r="D273" s="355"/>
      <c r="E273" s="355"/>
      <c r="F273" s="355"/>
      <c r="G273" s="355"/>
      <c r="H273" s="355"/>
      <c r="I273" s="355"/>
      <c r="J273" s="355"/>
      <c r="K273" s="355"/>
      <c r="L273" s="355"/>
      <c r="M273" s="355"/>
      <c r="N273" s="355"/>
      <c r="O273" s="355"/>
      <c r="P273" s="355"/>
      <c r="Q273" s="355"/>
      <c r="R273" s="355"/>
      <c r="S273" s="355"/>
      <c r="T273" s="355"/>
      <c r="U273" s="355"/>
      <c r="V273" s="355"/>
      <c r="X273" s="355"/>
      <c r="Y273" s="355"/>
      <c r="Z273" s="355"/>
      <c r="AA273" s="355"/>
      <c r="AB273" s="355"/>
      <c r="AC273" s="355"/>
      <c r="AD273" s="355"/>
      <c r="AE273" s="355"/>
      <c r="AF273" s="355"/>
      <c r="AG273" s="355"/>
      <c r="AH273" s="355"/>
      <c r="AI273" s="355"/>
      <c r="AJ273" s="355"/>
      <c r="AK273" s="355"/>
      <c r="AL273" s="355"/>
      <c r="AM273" s="355">
        <v>833333</v>
      </c>
      <c r="AN273" s="355">
        <v>0</v>
      </c>
      <c r="AO273" s="355">
        <v>0</v>
      </c>
      <c r="AP273" s="355">
        <v>0</v>
      </c>
      <c r="AQ273" s="355"/>
      <c r="AR273" s="355"/>
      <c r="AS273" s="355"/>
      <c r="AT273" s="355"/>
      <c r="AU273" s="355"/>
    </row>
    <row r="274" spans="1:47">
      <c r="A274" s="319" t="s">
        <v>4209</v>
      </c>
      <c r="D274" s="355"/>
      <c r="E274" s="355"/>
      <c r="F274" s="355"/>
      <c r="G274" s="355"/>
      <c r="H274" s="355"/>
      <c r="I274" s="355"/>
      <c r="J274" s="355"/>
      <c r="K274" s="355"/>
      <c r="L274" s="355"/>
      <c r="M274" s="355"/>
      <c r="N274" s="355"/>
      <c r="O274" s="355"/>
      <c r="P274" s="355"/>
      <c r="Q274" s="355"/>
      <c r="R274" s="355"/>
      <c r="S274" s="355"/>
      <c r="T274" s="355"/>
      <c r="U274" s="355"/>
      <c r="V274" s="355"/>
      <c r="X274" s="355"/>
      <c r="Y274" s="355"/>
      <c r="Z274" s="355"/>
      <c r="AA274" s="355"/>
      <c r="AB274" s="355"/>
      <c r="AC274" s="355"/>
      <c r="AD274" s="355"/>
      <c r="AE274" s="355"/>
      <c r="AF274" s="355"/>
      <c r="AG274" s="355"/>
      <c r="AH274" s="355"/>
      <c r="AI274" s="355"/>
      <c r="AJ274" s="355"/>
      <c r="AK274" s="355"/>
      <c r="AL274" s="355"/>
      <c r="AM274" s="355">
        <v>833333</v>
      </c>
      <c r="AN274" s="355">
        <v>0</v>
      </c>
      <c r="AO274" s="355">
        <v>0</v>
      </c>
      <c r="AP274" s="355">
        <v>0</v>
      </c>
      <c r="AQ274" s="355"/>
      <c r="AR274" s="355"/>
      <c r="AS274" s="355"/>
      <c r="AT274" s="355"/>
      <c r="AU274" s="355"/>
    </row>
    <row r="275" spans="1:47">
      <c r="A275" s="319" t="s">
        <v>4209</v>
      </c>
      <c r="D275" s="355"/>
      <c r="E275" s="355"/>
      <c r="F275" s="355"/>
      <c r="G275" s="355"/>
      <c r="H275" s="355"/>
      <c r="I275" s="355"/>
      <c r="J275" s="355"/>
      <c r="K275" s="355"/>
      <c r="L275" s="355"/>
      <c r="M275" s="355"/>
      <c r="N275" s="355"/>
      <c r="O275" s="355"/>
      <c r="P275" s="355"/>
      <c r="Q275" s="355"/>
      <c r="R275" s="355"/>
      <c r="S275" s="355"/>
      <c r="T275" s="355"/>
      <c r="U275" s="355"/>
      <c r="V275" s="355"/>
      <c r="X275" s="355"/>
      <c r="Y275" s="355"/>
      <c r="Z275" s="355"/>
      <c r="AA275" s="355"/>
      <c r="AB275" s="355"/>
      <c r="AC275" s="355"/>
      <c r="AD275" s="355"/>
      <c r="AE275" s="355"/>
      <c r="AF275" s="355"/>
      <c r="AG275" s="355"/>
      <c r="AH275" s="355"/>
      <c r="AI275" s="355"/>
      <c r="AJ275" s="355"/>
      <c r="AK275" s="355"/>
      <c r="AL275" s="355"/>
      <c r="AM275" s="355">
        <v>833334</v>
      </c>
      <c r="AN275" s="355">
        <v>0</v>
      </c>
      <c r="AO275" s="355">
        <v>0</v>
      </c>
      <c r="AP275" s="355">
        <v>0</v>
      </c>
      <c r="AQ275" s="355"/>
      <c r="AR275" s="355"/>
      <c r="AS275" s="355"/>
      <c r="AT275" s="355"/>
      <c r="AU275" s="355"/>
    </row>
    <row r="276" spans="1:47">
      <c r="D276" s="355"/>
      <c r="E276" s="355"/>
      <c r="F276" s="355"/>
      <c r="G276" s="355"/>
      <c r="H276" s="355"/>
      <c r="I276" s="355"/>
      <c r="J276" s="355"/>
      <c r="K276" s="355"/>
      <c r="L276" s="355"/>
      <c r="M276" s="355"/>
      <c r="N276" s="355"/>
      <c r="O276" s="355"/>
      <c r="P276" s="355"/>
      <c r="Q276" s="355"/>
      <c r="R276" s="355"/>
      <c r="S276" s="355"/>
      <c r="T276" s="355"/>
      <c r="U276" s="355"/>
      <c r="V276" s="355"/>
      <c r="X276" s="355"/>
      <c r="Y276" s="355"/>
      <c r="Z276" s="355"/>
      <c r="AA276" s="355"/>
      <c r="AB276" s="355"/>
      <c r="AC276" s="355"/>
      <c r="AD276" s="355"/>
      <c r="AE276" s="355"/>
      <c r="AF276" s="355"/>
      <c r="AG276" s="355"/>
      <c r="AH276" s="355"/>
      <c r="AI276" s="355"/>
      <c r="AJ276" s="355"/>
      <c r="AK276" s="355"/>
      <c r="AL276" s="355"/>
      <c r="AM276" s="355"/>
      <c r="AN276" s="355"/>
      <c r="AO276" s="355"/>
      <c r="AP276" s="355"/>
      <c r="AQ276" s="355"/>
      <c r="AR276" s="355"/>
      <c r="AS276" s="355"/>
      <c r="AT276" s="355"/>
      <c r="AU276" s="355"/>
    </row>
    <row r="277" spans="1:47">
      <c r="A277" s="513" t="s">
        <v>4210</v>
      </c>
      <c r="D277" s="355"/>
      <c r="E277" s="355"/>
      <c r="F277" s="355"/>
      <c r="G277" s="355"/>
      <c r="H277" s="355"/>
      <c r="I277" s="355"/>
      <c r="J277" s="355"/>
      <c r="K277" s="355"/>
      <c r="L277" s="355"/>
      <c r="M277" s="355"/>
      <c r="N277" s="355"/>
      <c r="O277" s="355"/>
      <c r="P277" s="355"/>
      <c r="Q277" s="355"/>
      <c r="R277" s="355"/>
      <c r="S277" s="355"/>
      <c r="T277" s="355"/>
      <c r="U277" s="355"/>
      <c r="V277" s="355"/>
      <c r="X277" s="355"/>
      <c r="Y277" s="355"/>
      <c r="Z277" s="355"/>
      <c r="AA277" s="355"/>
      <c r="AB277" s="355"/>
      <c r="AC277" s="355"/>
      <c r="AD277" s="355"/>
      <c r="AE277" s="355"/>
      <c r="AF277" s="355"/>
      <c r="AG277" s="355"/>
      <c r="AH277" s="355"/>
      <c r="AI277" s="355"/>
      <c r="AJ277" s="355"/>
      <c r="AK277" s="355"/>
      <c r="AL277" s="355"/>
      <c r="AM277" s="355"/>
      <c r="AN277" s="355"/>
      <c r="AO277" s="355"/>
      <c r="AP277" s="355"/>
      <c r="AQ277" s="355"/>
      <c r="AR277" s="355"/>
      <c r="AS277" s="355"/>
      <c r="AT277" s="355"/>
      <c r="AU277" s="355"/>
    </row>
    <row r="278" spans="1:47">
      <c r="A278" s="319" t="s">
        <v>4211</v>
      </c>
      <c r="D278" s="355"/>
      <c r="E278" s="355"/>
      <c r="F278" s="355"/>
      <c r="G278" s="355"/>
      <c r="H278" s="355"/>
      <c r="I278" s="355"/>
      <c r="J278" s="355"/>
      <c r="K278" s="355"/>
      <c r="L278" s="355"/>
      <c r="M278" s="355"/>
      <c r="N278" s="355"/>
      <c r="O278" s="355"/>
      <c r="P278" s="355"/>
      <c r="Q278" s="355"/>
      <c r="R278" s="355"/>
      <c r="S278" s="355"/>
      <c r="T278" s="355"/>
      <c r="U278" s="355"/>
      <c r="V278" s="355"/>
      <c r="X278" s="355"/>
      <c r="Y278" s="355"/>
      <c r="Z278" s="355"/>
      <c r="AA278" s="355"/>
      <c r="AB278" s="355"/>
      <c r="AC278" s="355"/>
      <c r="AD278" s="355"/>
      <c r="AE278" s="355"/>
      <c r="AF278" s="355"/>
      <c r="AG278" s="355"/>
      <c r="AH278" s="355"/>
      <c r="AI278" s="355"/>
      <c r="AJ278" s="355"/>
      <c r="AK278" s="355"/>
      <c r="AL278" s="355"/>
      <c r="AM278" s="355">
        <v>233052</v>
      </c>
      <c r="AN278" s="355">
        <v>0</v>
      </c>
      <c r="AO278" s="355">
        <v>0</v>
      </c>
      <c r="AP278" s="355">
        <v>0</v>
      </c>
      <c r="AQ278" s="355"/>
      <c r="AR278" s="355"/>
      <c r="AS278" s="355"/>
      <c r="AT278" s="355"/>
      <c r="AU278" s="355"/>
    </row>
    <row r="279" spans="1:47">
      <c r="A279" s="319" t="s">
        <v>4212</v>
      </c>
      <c r="D279" s="355"/>
      <c r="E279" s="355"/>
      <c r="F279" s="355"/>
      <c r="G279" s="355"/>
      <c r="H279" s="355"/>
      <c r="I279" s="355"/>
      <c r="J279" s="355"/>
      <c r="K279" s="355"/>
      <c r="L279" s="355"/>
      <c r="M279" s="355"/>
      <c r="N279" s="355"/>
      <c r="O279" s="355"/>
      <c r="P279" s="355"/>
      <c r="Q279" s="355"/>
      <c r="R279" s="355"/>
      <c r="S279" s="355"/>
      <c r="T279" s="355"/>
      <c r="U279" s="355"/>
      <c r="V279" s="355"/>
      <c r="X279" s="355"/>
      <c r="Y279" s="355"/>
      <c r="Z279" s="355"/>
      <c r="AA279" s="355"/>
      <c r="AB279" s="355"/>
      <c r="AC279" s="355"/>
      <c r="AD279" s="355"/>
      <c r="AE279" s="355"/>
      <c r="AF279" s="355"/>
      <c r="AG279" s="355"/>
      <c r="AH279" s="355"/>
      <c r="AI279" s="355"/>
      <c r="AJ279" s="355"/>
      <c r="AK279" s="355"/>
      <c r="AL279" s="355"/>
      <c r="AM279" s="355">
        <v>105932</v>
      </c>
      <c r="AN279" s="355">
        <v>0</v>
      </c>
      <c r="AO279" s="355">
        <v>0</v>
      </c>
      <c r="AP279" s="355">
        <v>0</v>
      </c>
      <c r="AQ279" s="355"/>
      <c r="AR279" s="355"/>
      <c r="AS279" s="355"/>
      <c r="AT279" s="355"/>
      <c r="AU279" s="355"/>
    </row>
    <row r="280" spans="1:47">
      <c r="A280" s="319" t="s">
        <v>4213</v>
      </c>
      <c r="D280" s="355"/>
      <c r="E280" s="355"/>
      <c r="F280" s="355"/>
      <c r="G280" s="355"/>
      <c r="H280" s="355"/>
      <c r="I280" s="355"/>
      <c r="J280" s="355"/>
      <c r="K280" s="355"/>
      <c r="L280" s="355"/>
      <c r="M280" s="355"/>
      <c r="N280" s="355"/>
      <c r="O280" s="355"/>
      <c r="P280" s="355"/>
      <c r="Q280" s="355"/>
      <c r="R280" s="355"/>
      <c r="S280" s="355"/>
      <c r="T280" s="355"/>
      <c r="U280" s="355"/>
      <c r="V280" s="355"/>
      <c r="X280" s="355"/>
      <c r="Y280" s="355"/>
      <c r="Z280" s="355"/>
      <c r="AA280" s="355"/>
      <c r="AB280" s="355"/>
      <c r="AC280" s="355"/>
      <c r="AD280" s="355"/>
      <c r="AE280" s="355"/>
      <c r="AF280" s="355"/>
      <c r="AG280" s="355"/>
      <c r="AH280" s="355"/>
      <c r="AI280" s="355"/>
      <c r="AJ280" s="355"/>
      <c r="AK280" s="355"/>
      <c r="AL280" s="355"/>
      <c r="AM280" s="355">
        <v>0</v>
      </c>
      <c r="AN280" s="355">
        <v>48077</v>
      </c>
      <c r="AO280" s="355">
        <v>0</v>
      </c>
      <c r="AP280" s="355">
        <v>0</v>
      </c>
      <c r="AQ280" s="355"/>
      <c r="AR280" s="355"/>
      <c r="AS280" s="355"/>
      <c r="AT280" s="355"/>
      <c r="AU280" s="355"/>
    </row>
    <row r="281" spans="1:47">
      <c r="A281" s="319" t="s">
        <v>4214</v>
      </c>
      <c r="D281" s="355"/>
      <c r="E281" s="355"/>
      <c r="F281" s="355"/>
      <c r="G281" s="355"/>
      <c r="H281" s="355"/>
      <c r="I281" s="355"/>
      <c r="J281" s="355"/>
      <c r="K281" s="355"/>
      <c r="L281" s="355"/>
      <c r="M281" s="355"/>
      <c r="N281" s="355"/>
      <c r="O281" s="355"/>
      <c r="P281" s="355"/>
      <c r="Q281" s="355"/>
      <c r="R281" s="355"/>
      <c r="S281" s="355"/>
      <c r="T281" s="355"/>
      <c r="U281" s="355"/>
      <c r="V281" s="355"/>
      <c r="X281" s="355"/>
      <c r="Y281" s="355"/>
      <c r="Z281" s="355"/>
      <c r="AA281" s="355"/>
      <c r="AB281" s="355"/>
      <c r="AC281" s="355"/>
      <c r="AD281" s="355"/>
      <c r="AE281" s="355"/>
      <c r="AF281" s="355"/>
      <c r="AG281" s="355"/>
      <c r="AH281" s="355"/>
      <c r="AI281" s="355"/>
      <c r="AJ281" s="355"/>
      <c r="AK281" s="355"/>
      <c r="AL281" s="355"/>
      <c r="AM281" s="355">
        <v>0</v>
      </c>
      <c r="AN281" s="355">
        <v>0</v>
      </c>
      <c r="AO281" s="355">
        <v>407238</v>
      </c>
      <c r="AP281" s="355">
        <v>0</v>
      </c>
      <c r="AQ281" s="355"/>
      <c r="AR281" s="355"/>
      <c r="AS281" s="355"/>
      <c r="AT281" s="355"/>
      <c r="AU281" s="355"/>
    </row>
    <row r="282" spans="1:47">
      <c r="A282" s="319" t="s">
        <v>4215</v>
      </c>
      <c r="D282" s="355"/>
      <c r="E282" s="355"/>
      <c r="F282" s="355"/>
      <c r="G282" s="355"/>
      <c r="H282" s="355"/>
      <c r="I282" s="355"/>
      <c r="J282" s="355"/>
      <c r="K282" s="355"/>
      <c r="L282" s="355"/>
      <c r="M282" s="355"/>
      <c r="N282" s="355"/>
      <c r="O282" s="355"/>
      <c r="P282" s="355"/>
      <c r="Q282" s="355"/>
      <c r="R282" s="355"/>
      <c r="S282" s="355"/>
      <c r="T282" s="355"/>
      <c r="U282" s="355"/>
      <c r="V282" s="355"/>
      <c r="X282" s="355"/>
      <c r="Y282" s="355"/>
      <c r="Z282" s="355"/>
      <c r="AA282" s="355"/>
      <c r="AB282" s="355"/>
      <c r="AC282" s="355"/>
      <c r="AD282" s="355"/>
      <c r="AE282" s="355"/>
      <c r="AF282" s="355"/>
      <c r="AG282" s="355"/>
      <c r="AH282" s="355"/>
      <c r="AI282" s="355"/>
      <c r="AJ282" s="355"/>
      <c r="AK282" s="355"/>
      <c r="AL282" s="355"/>
      <c r="AM282" s="355">
        <v>0</v>
      </c>
      <c r="AN282" s="355">
        <v>0</v>
      </c>
      <c r="AO282" s="355">
        <v>4184732</v>
      </c>
      <c r="AP282" s="355">
        <v>0</v>
      </c>
      <c r="AQ282" s="355"/>
      <c r="AR282" s="355"/>
      <c r="AS282" s="355"/>
      <c r="AT282" s="355"/>
      <c r="AU282" s="355"/>
    </row>
    <row r="283" spans="1:47">
      <c r="A283" s="319" t="s">
        <v>4216</v>
      </c>
      <c r="D283" s="355"/>
      <c r="E283" s="355"/>
      <c r="F283" s="355"/>
      <c r="G283" s="355"/>
      <c r="H283" s="355"/>
      <c r="I283" s="355"/>
      <c r="J283" s="355"/>
      <c r="K283" s="355"/>
      <c r="L283" s="355"/>
      <c r="M283" s="355"/>
      <c r="N283" s="355"/>
      <c r="O283" s="355"/>
      <c r="P283" s="355"/>
      <c r="Q283" s="355"/>
      <c r="R283" s="355"/>
      <c r="S283" s="355"/>
      <c r="T283" s="355"/>
      <c r="U283" s="355"/>
      <c r="V283" s="355"/>
      <c r="X283" s="355"/>
      <c r="Y283" s="355"/>
      <c r="Z283" s="355"/>
      <c r="AA283" s="355"/>
      <c r="AB283" s="355"/>
      <c r="AC283" s="355"/>
      <c r="AD283" s="355"/>
      <c r="AE283" s="355"/>
      <c r="AF283" s="355"/>
      <c r="AG283" s="355"/>
      <c r="AH283" s="355"/>
      <c r="AI283" s="355"/>
      <c r="AJ283" s="355"/>
      <c r="AK283" s="355"/>
      <c r="AL283" s="355"/>
      <c r="AM283" s="355">
        <v>0</v>
      </c>
      <c r="AN283" s="355">
        <v>0</v>
      </c>
      <c r="AO283" s="355">
        <v>0</v>
      </c>
      <c r="AP283" s="355">
        <v>966940</v>
      </c>
      <c r="AQ283" s="355"/>
      <c r="AR283" s="355"/>
      <c r="AS283" s="355"/>
      <c r="AT283" s="355"/>
      <c r="AU283" s="355"/>
    </row>
    <row r="284" spans="1:47">
      <c r="D284" s="355"/>
      <c r="E284" s="355"/>
      <c r="F284" s="355"/>
      <c r="G284" s="355"/>
      <c r="H284" s="355"/>
      <c r="I284" s="355"/>
      <c r="J284" s="355"/>
      <c r="K284" s="355"/>
      <c r="L284" s="355"/>
      <c r="M284" s="355"/>
      <c r="N284" s="355"/>
      <c r="O284" s="355"/>
      <c r="P284" s="355"/>
      <c r="Q284" s="355"/>
      <c r="R284" s="355"/>
      <c r="S284" s="355"/>
      <c r="T284" s="355"/>
      <c r="U284" s="355"/>
      <c r="V284" s="355"/>
      <c r="X284" s="355"/>
      <c r="Y284" s="355"/>
      <c r="Z284" s="355"/>
      <c r="AA284" s="355"/>
      <c r="AB284" s="355"/>
      <c r="AC284" s="355"/>
      <c r="AD284" s="355"/>
      <c r="AE284" s="355"/>
      <c r="AF284" s="355"/>
      <c r="AG284" s="355"/>
      <c r="AH284" s="355"/>
      <c r="AI284" s="355"/>
      <c r="AJ284" s="355"/>
      <c r="AK284" s="355"/>
      <c r="AL284" s="355"/>
      <c r="AM284" s="355"/>
      <c r="AN284" s="355"/>
      <c r="AO284" s="355"/>
      <c r="AP284" s="355"/>
      <c r="AQ284" s="355"/>
      <c r="AR284" s="355"/>
      <c r="AS284" s="355"/>
      <c r="AT284" s="355"/>
      <c r="AU284" s="355"/>
    </row>
    <row r="285" spans="1:47">
      <c r="A285" s="513" t="s">
        <v>4217</v>
      </c>
      <c r="D285" s="355"/>
      <c r="E285" s="355"/>
      <c r="F285" s="355"/>
      <c r="G285" s="355"/>
      <c r="H285" s="355"/>
      <c r="I285" s="355"/>
      <c r="J285" s="355"/>
      <c r="K285" s="355"/>
      <c r="L285" s="355"/>
      <c r="M285" s="355"/>
      <c r="N285" s="355"/>
      <c r="O285" s="355"/>
      <c r="P285" s="355"/>
      <c r="Q285" s="355"/>
      <c r="R285" s="355"/>
      <c r="S285" s="355"/>
      <c r="T285" s="355"/>
      <c r="U285" s="355"/>
      <c r="V285" s="355"/>
      <c r="X285" s="355"/>
      <c r="Y285" s="355"/>
      <c r="Z285" s="355"/>
      <c r="AA285" s="355"/>
      <c r="AB285" s="355"/>
      <c r="AC285" s="355"/>
      <c r="AD285" s="355"/>
      <c r="AE285" s="355"/>
      <c r="AF285" s="355"/>
      <c r="AG285" s="355"/>
      <c r="AH285" s="355"/>
      <c r="AI285" s="355"/>
      <c r="AJ285" s="355"/>
      <c r="AK285" s="355"/>
      <c r="AL285" s="355"/>
      <c r="AM285" s="355"/>
      <c r="AN285" s="355"/>
      <c r="AO285" s="355"/>
      <c r="AP285" s="355"/>
      <c r="AQ285" s="355"/>
      <c r="AR285" s="355"/>
      <c r="AS285" s="355"/>
      <c r="AT285" s="355"/>
      <c r="AU285" s="355"/>
    </row>
    <row r="286" spans="1:47">
      <c r="A286" s="319" t="s">
        <v>4211</v>
      </c>
      <c r="D286" s="355"/>
      <c r="E286" s="355"/>
      <c r="F286" s="355"/>
      <c r="G286" s="355"/>
      <c r="H286" s="355"/>
      <c r="I286" s="355"/>
      <c r="J286" s="355"/>
      <c r="K286" s="355"/>
      <c r="L286" s="355"/>
      <c r="M286" s="355"/>
      <c r="N286" s="355"/>
      <c r="O286" s="355"/>
      <c r="P286" s="355"/>
      <c r="Q286" s="355"/>
      <c r="R286" s="355"/>
      <c r="S286" s="355"/>
      <c r="T286" s="355"/>
      <c r="U286" s="355"/>
      <c r="V286" s="355"/>
      <c r="X286" s="355"/>
      <c r="Y286" s="355"/>
      <c r="Z286" s="355"/>
      <c r="AA286" s="355"/>
      <c r="AB286" s="355"/>
      <c r="AC286" s="355"/>
      <c r="AD286" s="355"/>
      <c r="AE286" s="355"/>
      <c r="AF286" s="355"/>
      <c r="AG286" s="355"/>
      <c r="AH286" s="355"/>
      <c r="AI286" s="355"/>
      <c r="AJ286" s="355"/>
      <c r="AK286" s="355"/>
      <c r="AL286" s="355"/>
      <c r="AM286" s="355">
        <v>570.97699999999998</v>
      </c>
      <c r="AN286" s="355">
        <v>0</v>
      </c>
      <c r="AO286" s="355">
        <v>0</v>
      </c>
      <c r="AP286" s="355">
        <v>0</v>
      </c>
      <c r="AQ286" s="355"/>
      <c r="AR286" s="355"/>
      <c r="AS286" s="355"/>
      <c r="AT286" s="355"/>
      <c r="AU286" s="355"/>
    </row>
    <row r="287" spans="1:47">
      <c r="A287" s="319" t="s">
        <v>4212</v>
      </c>
      <c r="D287" s="355"/>
      <c r="E287" s="355"/>
      <c r="F287" s="355"/>
      <c r="G287" s="355"/>
      <c r="H287" s="355"/>
      <c r="I287" s="355"/>
      <c r="J287" s="355"/>
      <c r="K287" s="355"/>
      <c r="L287" s="355"/>
      <c r="M287" s="355"/>
      <c r="N287" s="355"/>
      <c r="O287" s="355"/>
      <c r="P287" s="355"/>
      <c r="Q287" s="355"/>
      <c r="R287" s="355"/>
      <c r="S287" s="355"/>
      <c r="T287" s="355"/>
      <c r="U287" s="355"/>
      <c r="V287" s="355"/>
      <c r="X287" s="355"/>
      <c r="Y287" s="355"/>
      <c r="Z287" s="355"/>
      <c r="AA287" s="355"/>
      <c r="AB287" s="355"/>
      <c r="AC287" s="355"/>
      <c r="AD287" s="355"/>
      <c r="AE287" s="355"/>
      <c r="AF287" s="355"/>
      <c r="AG287" s="355"/>
      <c r="AH287" s="355"/>
      <c r="AI287" s="355"/>
      <c r="AJ287" s="355"/>
      <c r="AK287" s="355"/>
      <c r="AL287" s="355"/>
      <c r="AM287" s="355">
        <v>248.94</v>
      </c>
      <c r="AN287" s="355">
        <v>0</v>
      </c>
      <c r="AO287" s="355">
        <v>0</v>
      </c>
      <c r="AP287" s="355">
        <v>0</v>
      </c>
      <c r="AQ287" s="355"/>
      <c r="AR287" s="355"/>
      <c r="AS287" s="355"/>
      <c r="AT287" s="355"/>
      <c r="AU287" s="355"/>
    </row>
    <row r="288" spans="1:47">
      <c r="A288" s="319" t="s">
        <v>4213</v>
      </c>
      <c r="D288" s="355"/>
      <c r="E288" s="355"/>
      <c r="F288" s="355"/>
      <c r="G288" s="355"/>
      <c r="H288" s="355"/>
      <c r="I288" s="355"/>
      <c r="J288" s="355"/>
      <c r="K288" s="355"/>
      <c r="L288" s="355"/>
      <c r="M288" s="355"/>
      <c r="N288" s="355"/>
      <c r="O288" s="355"/>
      <c r="P288" s="355"/>
      <c r="Q288" s="355"/>
      <c r="R288" s="355"/>
      <c r="S288" s="355"/>
      <c r="T288" s="355"/>
      <c r="U288" s="355"/>
      <c r="V288" s="355"/>
      <c r="X288" s="355"/>
      <c r="Y288" s="355"/>
      <c r="Z288" s="355"/>
      <c r="AA288" s="355"/>
      <c r="AB288" s="355"/>
      <c r="AC288" s="355"/>
      <c r="AD288" s="355"/>
      <c r="AE288" s="355"/>
      <c r="AF288" s="355"/>
      <c r="AG288" s="355"/>
      <c r="AH288" s="355"/>
      <c r="AI288" s="355"/>
      <c r="AJ288" s="355"/>
      <c r="AK288" s="355"/>
      <c r="AL288" s="355"/>
      <c r="AM288" s="355">
        <v>0</v>
      </c>
      <c r="AN288" s="355">
        <v>96.153999999999996</v>
      </c>
      <c r="AO288" s="355">
        <v>0</v>
      </c>
      <c r="AP288" s="355">
        <v>0</v>
      </c>
      <c r="AQ288" s="355"/>
      <c r="AR288" s="355"/>
      <c r="AS288" s="355"/>
      <c r="AT288" s="355"/>
      <c r="AU288" s="355"/>
    </row>
    <row r="289" spans="1:47">
      <c r="A289" s="319" t="s">
        <v>4214</v>
      </c>
      <c r="D289" s="355"/>
      <c r="E289" s="355"/>
      <c r="F289" s="355"/>
      <c r="G289" s="355"/>
      <c r="H289" s="355"/>
      <c r="I289" s="355"/>
      <c r="J289" s="355"/>
      <c r="K289" s="355"/>
      <c r="L289" s="355"/>
      <c r="M289" s="355"/>
      <c r="N289" s="355"/>
      <c r="O289" s="355"/>
      <c r="P289" s="355"/>
      <c r="Q289" s="355"/>
      <c r="R289" s="355"/>
      <c r="S289" s="355"/>
      <c r="T289" s="355"/>
      <c r="U289" s="355"/>
      <c r="V289" s="355"/>
      <c r="X289" s="355"/>
      <c r="Y289" s="355"/>
      <c r="Z289" s="355"/>
      <c r="AA289" s="355"/>
      <c r="AB289" s="355"/>
      <c r="AC289" s="355"/>
      <c r="AD289" s="355"/>
      <c r="AE289" s="355"/>
      <c r="AF289" s="355"/>
      <c r="AG289" s="355"/>
      <c r="AH289" s="355"/>
      <c r="AI289" s="355"/>
      <c r="AJ289" s="355"/>
      <c r="AK289" s="355"/>
      <c r="AL289" s="355"/>
      <c r="AM289" s="355">
        <v>0</v>
      </c>
      <c r="AN289" s="355">
        <v>0</v>
      </c>
      <c r="AO289" s="355">
        <v>187.32900000000001</v>
      </c>
      <c r="AP289" s="355">
        <v>0</v>
      </c>
      <c r="AQ289" s="355"/>
      <c r="AR289" s="355"/>
      <c r="AS289" s="355"/>
      <c r="AT289" s="355"/>
      <c r="AU289" s="355"/>
    </row>
    <row r="290" spans="1:47">
      <c r="A290" s="319" t="s">
        <v>4215</v>
      </c>
      <c r="D290" s="355"/>
      <c r="E290" s="355"/>
      <c r="F290" s="355"/>
      <c r="G290" s="355"/>
      <c r="H290" s="355"/>
      <c r="I290" s="355"/>
      <c r="J290" s="355"/>
      <c r="K290" s="355"/>
      <c r="L290" s="355"/>
      <c r="M290" s="355"/>
      <c r="N290" s="355"/>
      <c r="O290" s="355"/>
      <c r="P290" s="355"/>
      <c r="Q290" s="355"/>
      <c r="R290" s="355"/>
      <c r="S290" s="355"/>
      <c r="T290" s="355"/>
      <c r="U290" s="355"/>
      <c r="V290" s="355"/>
      <c r="X290" s="355"/>
      <c r="Y290" s="355"/>
      <c r="Z290" s="355"/>
      <c r="AA290" s="355"/>
      <c r="AB290" s="355"/>
      <c r="AC290" s="355"/>
      <c r="AD290" s="355"/>
      <c r="AE290" s="355"/>
      <c r="AF290" s="355"/>
      <c r="AG290" s="355"/>
      <c r="AH290" s="355"/>
      <c r="AI290" s="355"/>
      <c r="AJ290" s="355"/>
      <c r="AK290" s="355"/>
      <c r="AL290" s="355"/>
      <c r="AM290" s="355">
        <v>0</v>
      </c>
      <c r="AN290" s="355">
        <v>0</v>
      </c>
      <c r="AO290" s="355">
        <v>5440.152</v>
      </c>
      <c r="AP290" s="355">
        <v>0</v>
      </c>
      <c r="AQ290" s="355"/>
      <c r="AR290" s="355"/>
      <c r="AS290" s="355"/>
      <c r="AT290" s="355"/>
      <c r="AU290" s="355"/>
    </row>
    <row r="291" spans="1:47">
      <c r="A291" s="319" t="s">
        <v>4216</v>
      </c>
      <c r="D291" s="355"/>
      <c r="E291" s="355"/>
      <c r="F291" s="355"/>
      <c r="G291" s="355"/>
      <c r="H291" s="355"/>
      <c r="I291" s="355"/>
      <c r="J291" s="355"/>
      <c r="K291" s="355"/>
      <c r="L291" s="355"/>
      <c r="M291" s="355"/>
      <c r="N291" s="355"/>
      <c r="O291" s="355"/>
      <c r="P291" s="355"/>
      <c r="Q291" s="355"/>
      <c r="R291" s="355"/>
      <c r="S291" s="355"/>
      <c r="T291" s="355"/>
      <c r="U291" s="355"/>
      <c r="V291" s="355"/>
      <c r="X291" s="355"/>
      <c r="Y291" s="355"/>
      <c r="Z291" s="355"/>
      <c r="AA291" s="355"/>
      <c r="AB291" s="355"/>
      <c r="AC291" s="355"/>
      <c r="AD291" s="355"/>
      <c r="AE291" s="355"/>
      <c r="AF291" s="355"/>
      <c r="AG291" s="355"/>
      <c r="AH291" s="355"/>
      <c r="AI291" s="355"/>
      <c r="AJ291" s="355"/>
      <c r="AK291" s="355"/>
      <c r="AL291" s="355"/>
      <c r="AM291" s="355">
        <v>0</v>
      </c>
      <c r="AN291" s="355">
        <v>0</v>
      </c>
      <c r="AO291" s="355">
        <v>0</v>
      </c>
      <c r="AP291" s="355">
        <v>2649.4160000000002</v>
      </c>
      <c r="AQ291" s="355"/>
      <c r="AR291" s="355"/>
      <c r="AS291" s="355"/>
      <c r="AT291" s="355"/>
      <c r="AU291" s="355"/>
    </row>
    <row r="292" spans="1:47">
      <c r="D292" s="355"/>
      <c r="E292" s="355"/>
      <c r="F292" s="355"/>
      <c r="G292" s="355"/>
      <c r="H292" s="355"/>
      <c r="I292" s="355"/>
      <c r="J292" s="355"/>
      <c r="K292" s="355"/>
      <c r="L292" s="355"/>
      <c r="M292" s="355"/>
      <c r="N292" s="355"/>
      <c r="O292" s="355"/>
      <c r="P292" s="355"/>
      <c r="Q292" s="355"/>
      <c r="R292" s="355"/>
      <c r="S292" s="355"/>
      <c r="T292" s="355"/>
      <c r="U292" s="355"/>
      <c r="V292" s="355"/>
      <c r="X292" s="355"/>
      <c r="Y292" s="355"/>
      <c r="Z292" s="355"/>
      <c r="AA292" s="355"/>
      <c r="AB292" s="355"/>
      <c r="AC292" s="355"/>
      <c r="AD292" s="355"/>
      <c r="AE292" s="355"/>
      <c r="AF292" s="355"/>
      <c r="AG292" s="355"/>
      <c r="AH292" s="355"/>
      <c r="AI292" s="355"/>
      <c r="AJ292" s="355"/>
      <c r="AK292" s="355"/>
      <c r="AL292" s="355"/>
      <c r="AM292" s="355"/>
      <c r="AN292" s="355"/>
      <c r="AO292" s="355"/>
      <c r="AP292" s="355"/>
      <c r="AQ292" s="355"/>
      <c r="AR292" s="355"/>
      <c r="AS292" s="355"/>
      <c r="AT292" s="355"/>
      <c r="AU292" s="355"/>
    </row>
    <row r="293" spans="1:47">
      <c r="D293" s="355"/>
      <c r="E293" s="355"/>
      <c r="F293" s="355"/>
      <c r="G293" s="355"/>
      <c r="H293" s="355"/>
      <c r="I293" s="355"/>
      <c r="J293" s="355"/>
      <c r="K293" s="355"/>
      <c r="L293" s="355"/>
      <c r="M293" s="355"/>
      <c r="N293" s="355"/>
      <c r="O293" s="355"/>
      <c r="P293" s="355"/>
      <c r="Q293" s="355"/>
      <c r="R293" s="355"/>
      <c r="S293" s="355"/>
      <c r="T293" s="355"/>
      <c r="U293" s="355"/>
      <c r="V293" s="355"/>
      <c r="X293" s="355"/>
      <c r="Y293" s="355"/>
      <c r="Z293" s="355"/>
      <c r="AA293" s="355"/>
      <c r="AB293" s="355"/>
      <c r="AC293" s="355"/>
      <c r="AD293" s="355"/>
      <c r="AE293" s="355"/>
      <c r="AF293" s="558"/>
      <c r="AG293" s="558"/>
      <c r="AH293" s="355"/>
      <c r="AI293" s="355"/>
      <c r="AJ293" s="355"/>
      <c r="AK293" s="355"/>
      <c r="AL293" s="355"/>
      <c r="AM293" s="355"/>
      <c r="AN293" s="355"/>
      <c r="AO293" s="355"/>
      <c r="AP293" s="355"/>
      <c r="AQ293" s="355"/>
      <c r="AR293" s="355"/>
      <c r="AS293" s="355"/>
      <c r="AT293" s="355"/>
      <c r="AU293" s="355"/>
    </row>
    <row r="294" spans="1:47">
      <c r="D294" s="355"/>
      <c r="E294" s="355"/>
      <c r="F294" s="355"/>
      <c r="G294" s="355"/>
      <c r="H294" s="355"/>
      <c r="I294" s="355"/>
      <c r="J294" s="355"/>
      <c r="K294" s="355"/>
      <c r="L294" s="355"/>
      <c r="M294" s="355"/>
      <c r="N294" s="355"/>
      <c r="O294" s="355"/>
      <c r="P294" s="355"/>
      <c r="Q294" s="355"/>
      <c r="R294" s="355"/>
      <c r="S294" s="355"/>
      <c r="T294" s="355"/>
      <c r="U294" s="355"/>
      <c r="V294" s="355"/>
      <c r="X294" s="355"/>
      <c r="Y294" s="355"/>
      <c r="Z294" s="355"/>
      <c r="AA294" s="355"/>
      <c r="AB294" s="355"/>
      <c r="AC294" s="355"/>
      <c r="AD294" s="355"/>
      <c r="AE294" s="355"/>
      <c r="AF294" s="355"/>
      <c r="AG294" s="355"/>
      <c r="AH294" s="355"/>
      <c r="AI294" s="355"/>
      <c r="AJ294" s="355"/>
      <c r="AK294" s="355"/>
      <c r="AL294" s="355"/>
      <c r="AM294" s="355"/>
      <c r="AN294" s="355"/>
      <c r="AO294" s="355"/>
      <c r="AP294" s="355"/>
      <c r="AQ294" s="355"/>
      <c r="AR294" s="355"/>
      <c r="AS294" s="355"/>
      <c r="AT294" s="355"/>
      <c r="AU294" s="355"/>
    </row>
    <row r="295" spans="1:47">
      <c r="D295" s="355"/>
      <c r="E295" s="355"/>
      <c r="F295" s="355"/>
      <c r="G295" s="355"/>
      <c r="H295" s="355"/>
      <c r="I295" s="355"/>
      <c r="J295" s="355"/>
      <c r="K295" s="355"/>
      <c r="L295" s="355"/>
      <c r="M295" s="355"/>
      <c r="N295" s="355"/>
      <c r="O295" s="355"/>
      <c r="P295" s="355"/>
      <c r="Q295" s="355"/>
      <c r="R295" s="355"/>
      <c r="S295" s="355"/>
      <c r="T295" s="355"/>
      <c r="U295" s="355"/>
      <c r="V295" s="355"/>
      <c r="X295" s="355"/>
      <c r="Y295" s="355"/>
      <c r="Z295" s="355"/>
      <c r="AA295" s="355"/>
      <c r="AB295" s="355"/>
      <c r="AC295" s="355"/>
      <c r="AD295" s="355"/>
      <c r="AE295" s="355"/>
      <c r="AF295" s="355"/>
      <c r="AG295" s="355"/>
      <c r="AH295" s="355"/>
      <c r="AI295" s="355"/>
      <c r="AJ295" s="355"/>
      <c r="AK295" s="355"/>
      <c r="AL295" s="355"/>
      <c r="AM295" s="355"/>
      <c r="AN295" s="355"/>
      <c r="AO295" s="355"/>
      <c r="AP295" s="355"/>
      <c r="AQ295" s="355"/>
      <c r="AR295" s="355"/>
      <c r="AS295" s="355"/>
      <c r="AT295" s="355"/>
      <c r="AU295" s="355"/>
    </row>
    <row r="296" spans="1:47">
      <c r="D296" s="355"/>
      <c r="E296" s="355"/>
      <c r="F296" s="355"/>
      <c r="G296" s="355"/>
      <c r="H296" s="355"/>
      <c r="I296" s="355"/>
      <c r="J296" s="355"/>
      <c r="K296" s="355"/>
      <c r="L296" s="355"/>
      <c r="M296" s="355"/>
      <c r="N296" s="355"/>
      <c r="O296" s="355"/>
      <c r="P296" s="355"/>
      <c r="Q296" s="355"/>
      <c r="R296" s="355"/>
      <c r="S296" s="355"/>
      <c r="T296" s="355"/>
      <c r="U296" s="355"/>
      <c r="V296" s="355"/>
      <c r="X296" s="355"/>
      <c r="Y296" s="355"/>
      <c r="Z296" s="355"/>
      <c r="AA296" s="355"/>
      <c r="AB296" s="355"/>
      <c r="AC296" s="355"/>
      <c r="AD296" s="355"/>
      <c r="AE296" s="355"/>
      <c r="AF296" s="355"/>
      <c r="AG296" s="355"/>
      <c r="AH296" s="355"/>
      <c r="AI296" s="355"/>
      <c r="AJ296" s="355"/>
      <c r="AK296" s="355"/>
      <c r="AL296" s="355"/>
      <c r="AM296" s="355"/>
      <c r="AN296" s="355"/>
      <c r="AO296" s="355"/>
      <c r="AP296" s="355"/>
      <c r="AQ296" s="355"/>
      <c r="AR296" s="355"/>
      <c r="AS296" s="355"/>
      <c r="AT296" s="355"/>
      <c r="AU296" s="355"/>
    </row>
    <row r="297" spans="1:47">
      <c r="D297" s="355"/>
      <c r="E297" s="355"/>
      <c r="F297" s="355"/>
      <c r="G297" s="355"/>
      <c r="H297" s="355"/>
      <c r="I297" s="355"/>
      <c r="J297" s="355"/>
      <c r="K297" s="355"/>
      <c r="L297" s="355"/>
      <c r="M297" s="355"/>
      <c r="N297" s="355"/>
      <c r="O297" s="355"/>
      <c r="P297" s="355"/>
      <c r="Q297" s="355"/>
      <c r="R297" s="355"/>
      <c r="S297" s="355"/>
      <c r="T297" s="355"/>
      <c r="U297" s="355"/>
      <c r="V297" s="355"/>
      <c r="X297" s="355"/>
      <c r="Y297" s="355"/>
      <c r="Z297" s="355"/>
      <c r="AA297" s="355"/>
      <c r="AB297" s="355"/>
      <c r="AC297" s="355"/>
      <c r="AD297" s="355"/>
      <c r="AE297" s="355"/>
      <c r="AF297" s="355"/>
      <c r="AG297" s="355"/>
      <c r="AH297" s="355"/>
      <c r="AI297" s="355"/>
      <c r="AJ297" s="355"/>
      <c r="AK297" s="355"/>
      <c r="AL297" s="355"/>
      <c r="AM297" s="355"/>
      <c r="AN297" s="355"/>
      <c r="AO297" s="355"/>
      <c r="AP297" s="355"/>
      <c r="AQ297" s="355"/>
      <c r="AR297" s="355"/>
      <c r="AS297" s="355"/>
      <c r="AT297" s="355"/>
      <c r="AU297" s="355"/>
    </row>
  </sheetData>
  <printOptions horizontalCentered="1"/>
  <pageMargins left="0.3" right="0.3" top="0.3" bottom="0.3" header="0.3" footer="0.3"/>
  <pageSetup scale="31" fitToHeight="0" orientation="landscape" r:id="rId1"/>
  <headerFooter>
    <oddFooter>Page &amp;P of &amp;N</oddFooter>
  </headerFooter>
  <rowBreaks count="3" manualBreakCount="3">
    <brk id="93" max="41" man="1"/>
    <brk id="167" max="41" man="1"/>
    <brk id="215" max="41" man="1"/>
  </rowBreaks>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A7C2-40B3-484C-BC3C-7F4D2852500B}">
  <sheetPr>
    <pageSetUpPr fitToPage="1"/>
  </sheetPr>
  <dimension ref="A1:AE104"/>
  <sheetViews>
    <sheetView view="pageBreakPreview" zoomScale="70" zoomScaleNormal="70" zoomScaleSheetLayoutView="70" workbookViewId="0">
      <pane xSplit="1" ySplit="5" topLeftCell="B6" activePane="bottomRight" state="frozen"/>
      <selection activeCell="B6" sqref="B6"/>
      <selection pane="topRight" activeCell="B6" sqref="B6"/>
      <selection pane="bottomLeft" activeCell="B6" sqref="B6"/>
      <selection pane="bottomRight" activeCell="B6" sqref="B6"/>
    </sheetView>
  </sheetViews>
  <sheetFormatPr defaultColWidth="3.54296875" defaultRowHeight="12" outlineLevelRow="1"/>
  <cols>
    <col min="1" max="1" width="18.81640625" style="35" customWidth="1"/>
    <col min="2" max="2" width="5.1796875" style="35" customWidth="1"/>
    <col min="3" max="21" width="11.7265625" style="35" customWidth="1"/>
    <col min="22" max="22" width="8.26953125" style="35" customWidth="1"/>
    <col min="23" max="23" width="11.81640625" style="35" bestFit="1" customWidth="1"/>
    <col min="24" max="24" width="8.26953125" style="35" customWidth="1"/>
    <col min="25" max="31" width="8.7265625" style="35" customWidth="1"/>
    <col min="32" max="256" width="3.54296875" style="35"/>
    <col min="257" max="257" width="9.26953125" style="35" customWidth="1"/>
    <col min="258" max="258" width="1.7265625" style="35" customWidth="1"/>
    <col min="259" max="274" width="8.26953125" style="35" customWidth="1"/>
    <col min="275" max="276" width="10.81640625" style="35" customWidth="1"/>
    <col min="277" max="277" width="42.1796875" style="35" customWidth="1"/>
    <col min="278" max="280" width="8.26953125" style="35" customWidth="1"/>
    <col min="281" max="287" width="8.7265625" style="35" customWidth="1"/>
    <col min="288" max="512" width="3.54296875" style="35"/>
    <col min="513" max="513" width="9.26953125" style="35" customWidth="1"/>
    <col min="514" max="514" width="1.7265625" style="35" customWidth="1"/>
    <col min="515" max="530" width="8.26953125" style="35" customWidth="1"/>
    <col min="531" max="532" width="10.81640625" style="35" customWidth="1"/>
    <col min="533" max="533" width="42.1796875" style="35" customWidth="1"/>
    <col min="534" max="536" width="8.26953125" style="35" customWidth="1"/>
    <col min="537" max="543" width="8.7265625" style="35" customWidth="1"/>
    <col min="544" max="768" width="3.54296875" style="35"/>
    <col min="769" max="769" width="9.26953125" style="35" customWidth="1"/>
    <col min="770" max="770" width="1.7265625" style="35" customWidth="1"/>
    <col min="771" max="786" width="8.26953125" style="35" customWidth="1"/>
    <col min="787" max="788" width="10.81640625" style="35" customWidth="1"/>
    <col min="789" max="789" width="42.1796875" style="35" customWidth="1"/>
    <col min="790" max="792" width="8.26953125" style="35" customWidth="1"/>
    <col min="793" max="799" width="8.7265625" style="35" customWidth="1"/>
    <col min="800" max="1024" width="3.54296875" style="35"/>
    <col min="1025" max="1025" width="9.26953125" style="35" customWidth="1"/>
    <col min="1026" max="1026" width="1.7265625" style="35" customWidth="1"/>
    <col min="1027" max="1042" width="8.26953125" style="35" customWidth="1"/>
    <col min="1043" max="1044" width="10.81640625" style="35" customWidth="1"/>
    <col min="1045" max="1045" width="42.1796875" style="35" customWidth="1"/>
    <col min="1046" max="1048" width="8.26953125" style="35" customWidth="1"/>
    <col min="1049" max="1055" width="8.7265625" style="35" customWidth="1"/>
    <col min="1056" max="1280" width="3.54296875" style="35"/>
    <col min="1281" max="1281" width="9.26953125" style="35" customWidth="1"/>
    <col min="1282" max="1282" width="1.7265625" style="35" customWidth="1"/>
    <col min="1283" max="1298" width="8.26953125" style="35" customWidth="1"/>
    <col min="1299" max="1300" width="10.81640625" style="35" customWidth="1"/>
    <col min="1301" max="1301" width="42.1796875" style="35" customWidth="1"/>
    <col min="1302" max="1304" width="8.26953125" style="35" customWidth="1"/>
    <col min="1305" max="1311" width="8.7265625" style="35" customWidth="1"/>
    <col min="1312" max="1536" width="3.54296875" style="35"/>
    <col min="1537" max="1537" width="9.26953125" style="35" customWidth="1"/>
    <col min="1538" max="1538" width="1.7265625" style="35" customWidth="1"/>
    <col min="1539" max="1554" width="8.26953125" style="35" customWidth="1"/>
    <col min="1555" max="1556" width="10.81640625" style="35" customWidth="1"/>
    <col min="1557" max="1557" width="42.1796875" style="35" customWidth="1"/>
    <col min="1558" max="1560" width="8.26953125" style="35" customWidth="1"/>
    <col min="1561" max="1567" width="8.7265625" style="35" customWidth="1"/>
    <col min="1568" max="1792" width="3.54296875" style="35"/>
    <col min="1793" max="1793" width="9.26953125" style="35" customWidth="1"/>
    <col min="1794" max="1794" width="1.7265625" style="35" customWidth="1"/>
    <col min="1795" max="1810" width="8.26953125" style="35" customWidth="1"/>
    <col min="1811" max="1812" width="10.81640625" style="35" customWidth="1"/>
    <col min="1813" max="1813" width="42.1796875" style="35" customWidth="1"/>
    <col min="1814" max="1816" width="8.26953125" style="35" customWidth="1"/>
    <col min="1817" max="1823" width="8.7265625" style="35" customWidth="1"/>
    <col min="1824" max="2048" width="3.54296875" style="35"/>
    <col min="2049" max="2049" width="9.26953125" style="35" customWidth="1"/>
    <col min="2050" max="2050" width="1.7265625" style="35" customWidth="1"/>
    <col min="2051" max="2066" width="8.26953125" style="35" customWidth="1"/>
    <col min="2067" max="2068" width="10.81640625" style="35" customWidth="1"/>
    <col min="2069" max="2069" width="42.1796875" style="35" customWidth="1"/>
    <col min="2070" max="2072" width="8.26953125" style="35" customWidth="1"/>
    <col min="2073" max="2079" width="8.7265625" style="35" customWidth="1"/>
    <col min="2080" max="2304" width="3.54296875" style="35"/>
    <col min="2305" max="2305" width="9.26953125" style="35" customWidth="1"/>
    <col min="2306" max="2306" width="1.7265625" style="35" customWidth="1"/>
    <col min="2307" max="2322" width="8.26953125" style="35" customWidth="1"/>
    <col min="2323" max="2324" width="10.81640625" style="35" customWidth="1"/>
    <col min="2325" max="2325" width="42.1796875" style="35" customWidth="1"/>
    <col min="2326" max="2328" width="8.26953125" style="35" customWidth="1"/>
    <col min="2329" max="2335" width="8.7265625" style="35" customWidth="1"/>
    <col min="2336" max="2560" width="3.54296875" style="35"/>
    <col min="2561" max="2561" width="9.26953125" style="35" customWidth="1"/>
    <col min="2562" max="2562" width="1.7265625" style="35" customWidth="1"/>
    <col min="2563" max="2578" width="8.26953125" style="35" customWidth="1"/>
    <col min="2579" max="2580" width="10.81640625" style="35" customWidth="1"/>
    <col min="2581" max="2581" width="42.1796875" style="35" customWidth="1"/>
    <col min="2582" max="2584" width="8.26953125" style="35" customWidth="1"/>
    <col min="2585" max="2591" width="8.7265625" style="35" customWidth="1"/>
    <col min="2592" max="2816" width="3.54296875" style="35"/>
    <col min="2817" max="2817" width="9.26953125" style="35" customWidth="1"/>
    <col min="2818" max="2818" width="1.7265625" style="35" customWidth="1"/>
    <col min="2819" max="2834" width="8.26953125" style="35" customWidth="1"/>
    <col min="2835" max="2836" width="10.81640625" style="35" customWidth="1"/>
    <col min="2837" max="2837" width="42.1796875" style="35" customWidth="1"/>
    <col min="2838" max="2840" width="8.26953125" style="35" customWidth="1"/>
    <col min="2841" max="2847" width="8.7265625" style="35" customWidth="1"/>
    <col min="2848" max="3072" width="3.54296875" style="35"/>
    <col min="3073" max="3073" width="9.26953125" style="35" customWidth="1"/>
    <col min="3074" max="3074" width="1.7265625" style="35" customWidth="1"/>
    <col min="3075" max="3090" width="8.26953125" style="35" customWidth="1"/>
    <col min="3091" max="3092" width="10.81640625" style="35" customWidth="1"/>
    <col min="3093" max="3093" width="42.1796875" style="35" customWidth="1"/>
    <col min="3094" max="3096" width="8.26953125" style="35" customWidth="1"/>
    <col min="3097" max="3103" width="8.7265625" style="35" customWidth="1"/>
    <col min="3104" max="3328" width="3.54296875" style="35"/>
    <col min="3329" max="3329" width="9.26953125" style="35" customWidth="1"/>
    <col min="3330" max="3330" width="1.7265625" style="35" customWidth="1"/>
    <col min="3331" max="3346" width="8.26953125" style="35" customWidth="1"/>
    <col min="3347" max="3348" width="10.81640625" style="35" customWidth="1"/>
    <col min="3349" max="3349" width="42.1796875" style="35" customWidth="1"/>
    <col min="3350" max="3352" width="8.26953125" style="35" customWidth="1"/>
    <col min="3353" max="3359" width="8.7265625" style="35" customWidth="1"/>
    <col min="3360" max="3584" width="3.54296875" style="35"/>
    <col min="3585" max="3585" width="9.26953125" style="35" customWidth="1"/>
    <col min="3586" max="3586" width="1.7265625" style="35" customWidth="1"/>
    <col min="3587" max="3602" width="8.26953125" style="35" customWidth="1"/>
    <col min="3603" max="3604" width="10.81640625" style="35" customWidth="1"/>
    <col min="3605" max="3605" width="42.1796875" style="35" customWidth="1"/>
    <col min="3606" max="3608" width="8.26953125" style="35" customWidth="1"/>
    <col min="3609" max="3615" width="8.7265625" style="35" customWidth="1"/>
    <col min="3616" max="3840" width="3.54296875" style="35"/>
    <col min="3841" max="3841" width="9.26953125" style="35" customWidth="1"/>
    <col min="3842" max="3842" width="1.7265625" style="35" customWidth="1"/>
    <col min="3843" max="3858" width="8.26953125" style="35" customWidth="1"/>
    <col min="3859" max="3860" width="10.81640625" style="35" customWidth="1"/>
    <col min="3861" max="3861" width="42.1796875" style="35" customWidth="1"/>
    <col min="3862" max="3864" width="8.26953125" style="35" customWidth="1"/>
    <col min="3865" max="3871" width="8.7265625" style="35" customWidth="1"/>
    <col min="3872" max="4096" width="3.54296875" style="35"/>
    <col min="4097" max="4097" width="9.26953125" style="35" customWidth="1"/>
    <col min="4098" max="4098" width="1.7265625" style="35" customWidth="1"/>
    <col min="4099" max="4114" width="8.26953125" style="35" customWidth="1"/>
    <col min="4115" max="4116" width="10.81640625" style="35" customWidth="1"/>
    <col min="4117" max="4117" width="42.1796875" style="35" customWidth="1"/>
    <col min="4118" max="4120" width="8.26953125" style="35" customWidth="1"/>
    <col min="4121" max="4127" width="8.7265625" style="35" customWidth="1"/>
    <col min="4128" max="4352" width="3.54296875" style="35"/>
    <col min="4353" max="4353" width="9.26953125" style="35" customWidth="1"/>
    <col min="4354" max="4354" width="1.7265625" style="35" customWidth="1"/>
    <col min="4355" max="4370" width="8.26953125" style="35" customWidth="1"/>
    <col min="4371" max="4372" width="10.81640625" style="35" customWidth="1"/>
    <col min="4373" max="4373" width="42.1796875" style="35" customWidth="1"/>
    <col min="4374" max="4376" width="8.26953125" style="35" customWidth="1"/>
    <col min="4377" max="4383" width="8.7265625" style="35" customWidth="1"/>
    <col min="4384" max="4608" width="3.54296875" style="35"/>
    <col min="4609" max="4609" width="9.26953125" style="35" customWidth="1"/>
    <col min="4610" max="4610" width="1.7265625" style="35" customWidth="1"/>
    <col min="4611" max="4626" width="8.26953125" style="35" customWidth="1"/>
    <col min="4627" max="4628" width="10.81640625" style="35" customWidth="1"/>
    <col min="4629" max="4629" width="42.1796875" style="35" customWidth="1"/>
    <col min="4630" max="4632" width="8.26953125" style="35" customWidth="1"/>
    <col min="4633" max="4639" width="8.7265625" style="35" customWidth="1"/>
    <col min="4640" max="4864" width="3.54296875" style="35"/>
    <col min="4865" max="4865" width="9.26953125" style="35" customWidth="1"/>
    <col min="4866" max="4866" width="1.7265625" style="35" customWidth="1"/>
    <col min="4867" max="4882" width="8.26953125" style="35" customWidth="1"/>
    <col min="4883" max="4884" width="10.81640625" style="35" customWidth="1"/>
    <col min="4885" max="4885" width="42.1796875" style="35" customWidth="1"/>
    <col min="4886" max="4888" width="8.26953125" style="35" customWidth="1"/>
    <col min="4889" max="4895" width="8.7265625" style="35" customWidth="1"/>
    <col min="4896" max="5120" width="3.54296875" style="35"/>
    <col min="5121" max="5121" width="9.26953125" style="35" customWidth="1"/>
    <col min="5122" max="5122" width="1.7265625" style="35" customWidth="1"/>
    <col min="5123" max="5138" width="8.26953125" style="35" customWidth="1"/>
    <col min="5139" max="5140" width="10.81640625" style="35" customWidth="1"/>
    <col min="5141" max="5141" width="42.1796875" style="35" customWidth="1"/>
    <col min="5142" max="5144" width="8.26953125" style="35" customWidth="1"/>
    <col min="5145" max="5151" width="8.7265625" style="35" customWidth="1"/>
    <col min="5152" max="5376" width="3.54296875" style="35"/>
    <col min="5377" max="5377" width="9.26953125" style="35" customWidth="1"/>
    <col min="5378" max="5378" width="1.7265625" style="35" customWidth="1"/>
    <col min="5379" max="5394" width="8.26953125" style="35" customWidth="1"/>
    <col min="5395" max="5396" width="10.81640625" style="35" customWidth="1"/>
    <col min="5397" max="5397" width="42.1796875" style="35" customWidth="1"/>
    <col min="5398" max="5400" width="8.26953125" style="35" customWidth="1"/>
    <col min="5401" max="5407" width="8.7265625" style="35" customWidth="1"/>
    <col min="5408" max="5632" width="3.54296875" style="35"/>
    <col min="5633" max="5633" width="9.26953125" style="35" customWidth="1"/>
    <col min="5634" max="5634" width="1.7265625" style="35" customWidth="1"/>
    <col min="5635" max="5650" width="8.26953125" style="35" customWidth="1"/>
    <col min="5651" max="5652" width="10.81640625" style="35" customWidth="1"/>
    <col min="5653" max="5653" width="42.1796875" style="35" customWidth="1"/>
    <col min="5654" max="5656" width="8.26953125" style="35" customWidth="1"/>
    <col min="5657" max="5663" width="8.7265625" style="35" customWidth="1"/>
    <col min="5664" max="5888" width="3.54296875" style="35"/>
    <col min="5889" max="5889" width="9.26953125" style="35" customWidth="1"/>
    <col min="5890" max="5890" width="1.7265625" style="35" customWidth="1"/>
    <col min="5891" max="5906" width="8.26953125" style="35" customWidth="1"/>
    <col min="5907" max="5908" width="10.81640625" style="35" customWidth="1"/>
    <col min="5909" max="5909" width="42.1796875" style="35" customWidth="1"/>
    <col min="5910" max="5912" width="8.26953125" style="35" customWidth="1"/>
    <col min="5913" max="5919" width="8.7265625" style="35" customWidth="1"/>
    <col min="5920" max="6144" width="3.54296875" style="35"/>
    <col min="6145" max="6145" width="9.26953125" style="35" customWidth="1"/>
    <col min="6146" max="6146" width="1.7265625" style="35" customWidth="1"/>
    <col min="6147" max="6162" width="8.26953125" style="35" customWidth="1"/>
    <col min="6163" max="6164" width="10.81640625" style="35" customWidth="1"/>
    <col min="6165" max="6165" width="42.1796875" style="35" customWidth="1"/>
    <col min="6166" max="6168" width="8.26953125" style="35" customWidth="1"/>
    <col min="6169" max="6175" width="8.7265625" style="35" customWidth="1"/>
    <col min="6176" max="6400" width="3.54296875" style="35"/>
    <col min="6401" max="6401" width="9.26953125" style="35" customWidth="1"/>
    <col min="6402" max="6402" width="1.7265625" style="35" customWidth="1"/>
    <col min="6403" max="6418" width="8.26953125" style="35" customWidth="1"/>
    <col min="6419" max="6420" width="10.81640625" style="35" customWidth="1"/>
    <col min="6421" max="6421" width="42.1796875" style="35" customWidth="1"/>
    <col min="6422" max="6424" width="8.26953125" style="35" customWidth="1"/>
    <col min="6425" max="6431" width="8.7265625" style="35" customWidth="1"/>
    <col min="6432" max="6656" width="3.54296875" style="35"/>
    <col min="6657" max="6657" width="9.26953125" style="35" customWidth="1"/>
    <col min="6658" max="6658" width="1.7265625" style="35" customWidth="1"/>
    <col min="6659" max="6674" width="8.26953125" style="35" customWidth="1"/>
    <col min="6675" max="6676" width="10.81640625" style="35" customWidth="1"/>
    <col min="6677" max="6677" width="42.1796875" style="35" customWidth="1"/>
    <col min="6678" max="6680" width="8.26953125" style="35" customWidth="1"/>
    <col min="6681" max="6687" width="8.7265625" style="35" customWidth="1"/>
    <col min="6688" max="6912" width="3.54296875" style="35"/>
    <col min="6913" max="6913" width="9.26953125" style="35" customWidth="1"/>
    <col min="6914" max="6914" width="1.7265625" style="35" customWidth="1"/>
    <col min="6915" max="6930" width="8.26953125" style="35" customWidth="1"/>
    <col min="6931" max="6932" width="10.81640625" style="35" customWidth="1"/>
    <col min="6933" max="6933" width="42.1796875" style="35" customWidth="1"/>
    <col min="6934" max="6936" width="8.26953125" style="35" customWidth="1"/>
    <col min="6937" max="6943" width="8.7265625" style="35" customWidth="1"/>
    <col min="6944" max="7168" width="3.54296875" style="35"/>
    <col min="7169" max="7169" width="9.26953125" style="35" customWidth="1"/>
    <col min="7170" max="7170" width="1.7265625" style="35" customWidth="1"/>
    <col min="7171" max="7186" width="8.26953125" style="35" customWidth="1"/>
    <col min="7187" max="7188" width="10.81640625" style="35" customWidth="1"/>
    <col min="7189" max="7189" width="42.1796875" style="35" customWidth="1"/>
    <col min="7190" max="7192" width="8.26953125" style="35" customWidth="1"/>
    <col min="7193" max="7199" width="8.7265625" style="35" customWidth="1"/>
    <col min="7200" max="7424" width="3.54296875" style="35"/>
    <col min="7425" max="7425" width="9.26953125" style="35" customWidth="1"/>
    <col min="7426" max="7426" width="1.7265625" style="35" customWidth="1"/>
    <col min="7427" max="7442" width="8.26953125" style="35" customWidth="1"/>
    <col min="7443" max="7444" width="10.81640625" style="35" customWidth="1"/>
    <col min="7445" max="7445" width="42.1796875" style="35" customWidth="1"/>
    <col min="7446" max="7448" width="8.26953125" style="35" customWidth="1"/>
    <col min="7449" max="7455" width="8.7265625" style="35" customWidth="1"/>
    <col min="7456" max="7680" width="3.54296875" style="35"/>
    <col min="7681" max="7681" width="9.26953125" style="35" customWidth="1"/>
    <col min="7682" max="7682" width="1.7265625" style="35" customWidth="1"/>
    <col min="7683" max="7698" width="8.26953125" style="35" customWidth="1"/>
    <col min="7699" max="7700" width="10.81640625" style="35" customWidth="1"/>
    <col min="7701" max="7701" width="42.1796875" style="35" customWidth="1"/>
    <col min="7702" max="7704" width="8.26953125" style="35" customWidth="1"/>
    <col min="7705" max="7711" width="8.7265625" style="35" customWidth="1"/>
    <col min="7712" max="7936" width="3.54296875" style="35"/>
    <col min="7937" max="7937" width="9.26953125" style="35" customWidth="1"/>
    <col min="7938" max="7938" width="1.7265625" style="35" customWidth="1"/>
    <col min="7939" max="7954" width="8.26953125" style="35" customWidth="1"/>
    <col min="7955" max="7956" width="10.81640625" style="35" customWidth="1"/>
    <col min="7957" max="7957" width="42.1796875" style="35" customWidth="1"/>
    <col min="7958" max="7960" width="8.26953125" style="35" customWidth="1"/>
    <col min="7961" max="7967" width="8.7265625" style="35" customWidth="1"/>
    <col min="7968" max="8192" width="3.54296875" style="35"/>
    <col min="8193" max="8193" width="9.26953125" style="35" customWidth="1"/>
    <col min="8194" max="8194" width="1.7265625" style="35" customWidth="1"/>
    <col min="8195" max="8210" width="8.26953125" style="35" customWidth="1"/>
    <col min="8211" max="8212" width="10.81640625" style="35" customWidth="1"/>
    <col min="8213" max="8213" width="42.1796875" style="35" customWidth="1"/>
    <col min="8214" max="8216" width="8.26953125" style="35" customWidth="1"/>
    <col min="8217" max="8223" width="8.7265625" style="35" customWidth="1"/>
    <col min="8224" max="8448" width="3.54296875" style="35"/>
    <col min="8449" max="8449" width="9.26953125" style="35" customWidth="1"/>
    <col min="8450" max="8450" width="1.7265625" style="35" customWidth="1"/>
    <col min="8451" max="8466" width="8.26953125" style="35" customWidth="1"/>
    <col min="8467" max="8468" width="10.81640625" style="35" customWidth="1"/>
    <col min="8469" max="8469" width="42.1796875" style="35" customWidth="1"/>
    <col min="8470" max="8472" width="8.26953125" style="35" customWidth="1"/>
    <col min="8473" max="8479" width="8.7265625" style="35" customWidth="1"/>
    <col min="8480" max="8704" width="3.54296875" style="35"/>
    <col min="8705" max="8705" width="9.26953125" style="35" customWidth="1"/>
    <col min="8706" max="8706" width="1.7265625" style="35" customWidth="1"/>
    <col min="8707" max="8722" width="8.26953125" style="35" customWidth="1"/>
    <col min="8723" max="8724" width="10.81640625" style="35" customWidth="1"/>
    <col min="8725" max="8725" width="42.1796875" style="35" customWidth="1"/>
    <col min="8726" max="8728" width="8.26953125" style="35" customWidth="1"/>
    <col min="8729" max="8735" width="8.7265625" style="35" customWidth="1"/>
    <col min="8736" max="8960" width="3.54296875" style="35"/>
    <col min="8961" max="8961" width="9.26953125" style="35" customWidth="1"/>
    <col min="8962" max="8962" width="1.7265625" style="35" customWidth="1"/>
    <col min="8963" max="8978" width="8.26953125" style="35" customWidth="1"/>
    <col min="8979" max="8980" width="10.81640625" style="35" customWidth="1"/>
    <col min="8981" max="8981" width="42.1796875" style="35" customWidth="1"/>
    <col min="8982" max="8984" width="8.26953125" style="35" customWidth="1"/>
    <col min="8985" max="8991" width="8.7265625" style="35" customWidth="1"/>
    <col min="8992" max="9216" width="3.54296875" style="35"/>
    <col min="9217" max="9217" width="9.26953125" style="35" customWidth="1"/>
    <col min="9218" max="9218" width="1.7265625" style="35" customWidth="1"/>
    <col min="9219" max="9234" width="8.26953125" style="35" customWidth="1"/>
    <col min="9235" max="9236" width="10.81640625" style="35" customWidth="1"/>
    <col min="9237" max="9237" width="42.1796875" style="35" customWidth="1"/>
    <col min="9238" max="9240" width="8.26953125" style="35" customWidth="1"/>
    <col min="9241" max="9247" width="8.7265625" style="35" customWidth="1"/>
    <col min="9248" max="9472" width="3.54296875" style="35"/>
    <col min="9473" max="9473" width="9.26953125" style="35" customWidth="1"/>
    <col min="9474" max="9474" width="1.7265625" style="35" customWidth="1"/>
    <col min="9475" max="9490" width="8.26953125" style="35" customWidth="1"/>
    <col min="9491" max="9492" width="10.81640625" style="35" customWidth="1"/>
    <col min="9493" max="9493" width="42.1796875" style="35" customWidth="1"/>
    <col min="9494" max="9496" width="8.26953125" style="35" customWidth="1"/>
    <col min="9497" max="9503" width="8.7265625" style="35" customWidth="1"/>
    <col min="9504" max="9728" width="3.54296875" style="35"/>
    <col min="9729" max="9729" width="9.26953125" style="35" customWidth="1"/>
    <col min="9730" max="9730" width="1.7265625" style="35" customWidth="1"/>
    <col min="9731" max="9746" width="8.26953125" style="35" customWidth="1"/>
    <col min="9747" max="9748" width="10.81640625" style="35" customWidth="1"/>
    <col min="9749" max="9749" width="42.1796875" style="35" customWidth="1"/>
    <col min="9750" max="9752" width="8.26953125" style="35" customWidth="1"/>
    <col min="9753" max="9759" width="8.7265625" style="35" customWidth="1"/>
    <col min="9760" max="9984" width="3.54296875" style="35"/>
    <col min="9985" max="9985" width="9.26953125" style="35" customWidth="1"/>
    <col min="9986" max="9986" width="1.7265625" style="35" customWidth="1"/>
    <col min="9987" max="10002" width="8.26953125" style="35" customWidth="1"/>
    <col min="10003" max="10004" width="10.81640625" style="35" customWidth="1"/>
    <col min="10005" max="10005" width="42.1796875" style="35" customWidth="1"/>
    <col min="10006" max="10008" width="8.26953125" style="35" customWidth="1"/>
    <col min="10009" max="10015" width="8.7265625" style="35" customWidth="1"/>
    <col min="10016" max="10240" width="3.54296875" style="35"/>
    <col min="10241" max="10241" width="9.26953125" style="35" customWidth="1"/>
    <col min="10242" max="10242" width="1.7265625" style="35" customWidth="1"/>
    <col min="10243" max="10258" width="8.26953125" style="35" customWidth="1"/>
    <col min="10259" max="10260" width="10.81640625" style="35" customWidth="1"/>
    <col min="10261" max="10261" width="42.1796875" style="35" customWidth="1"/>
    <col min="10262" max="10264" width="8.26953125" style="35" customWidth="1"/>
    <col min="10265" max="10271" width="8.7265625" style="35" customWidth="1"/>
    <col min="10272" max="10496" width="3.54296875" style="35"/>
    <col min="10497" max="10497" width="9.26953125" style="35" customWidth="1"/>
    <col min="10498" max="10498" width="1.7265625" style="35" customWidth="1"/>
    <col min="10499" max="10514" width="8.26953125" style="35" customWidth="1"/>
    <col min="10515" max="10516" width="10.81640625" style="35" customWidth="1"/>
    <col min="10517" max="10517" width="42.1796875" style="35" customWidth="1"/>
    <col min="10518" max="10520" width="8.26953125" style="35" customWidth="1"/>
    <col min="10521" max="10527" width="8.7265625" style="35" customWidth="1"/>
    <col min="10528" max="10752" width="3.54296875" style="35"/>
    <col min="10753" max="10753" width="9.26953125" style="35" customWidth="1"/>
    <col min="10754" max="10754" width="1.7265625" style="35" customWidth="1"/>
    <col min="10755" max="10770" width="8.26953125" style="35" customWidth="1"/>
    <col min="10771" max="10772" width="10.81640625" style="35" customWidth="1"/>
    <col min="10773" max="10773" width="42.1796875" style="35" customWidth="1"/>
    <col min="10774" max="10776" width="8.26953125" style="35" customWidth="1"/>
    <col min="10777" max="10783" width="8.7265625" style="35" customWidth="1"/>
    <col min="10784" max="11008" width="3.54296875" style="35"/>
    <col min="11009" max="11009" width="9.26953125" style="35" customWidth="1"/>
    <col min="11010" max="11010" width="1.7265625" style="35" customWidth="1"/>
    <col min="11011" max="11026" width="8.26953125" style="35" customWidth="1"/>
    <col min="11027" max="11028" width="10.81640625" style="35" customWidth="1"/>
    <col min="11029" max="11029" width="42.1796875" style="35" customWidth="1"/>
    <col min="11030" max="11032" width="8.26953125" style="35" customWidth="1"/>
    <col min="11033" max="11039" width="8.7265625" style="35" customWidth="1"/>
    <col min="11040" max="11264" width="3.54296875" style="35"/>
    <col min="11265" max="11265" width="9.26953125" style="35" customWidth="1"/>
    <col min="11266" max="11266" width="1.7265625" style="35" customWidth="1"/>
    <col min="11267" max="11282" width="8.26953125" style="35" customWidth="1"/>
    <col min="11283" max="11284" width="10.81640625" style="35" customWidth="1"/>
    <col min="11285" max="11285" width="42.1796875" style="35" customWidth="1"/>
    <col min="11286" max="11288" width="8.26953125" style="35" customWidth="1"/>
    <col min="11289" max="11295" width="8.7265625" style="35" customWidth="1"/>
    <col min="11296" max="11520" width="3.54296875" style="35"/>
    <col min="11521" max="11521" width="9.26953125" style="35" customWidth="1"/>
    <col min="11522" max="11522" width="1.7265625" style="35" customWidth="1"/>
    <col min="11523" max="11538" width="8.26953125" style="35" customWidth="1"/>
    <col min="11539" max="11540" width="10.81640625" style="35" customWidth="1"/>
    <col min="11541" max="11541" width="42.1796875" style="35" customWidth="1"/>
    <col min="11542" max="11544" width="8.26953125" style="35" customWidth="1"/>
    <col min="11545" max="11551" width="8.7265625" style="35" customWidth="1"/>
    <col min="11552" max="11776" width="3.54296875" style="35"/>
    <col min="11777" max="11777" width="9.26953125" style="35" customWidth="1"/>
    <col min="11778" max="11778" width="1.7265625" style="35" customWidth="1"/>
    <col min="11779" max="11794" width="8.26953125" style="35" customWidth="1"/>
    <col min="11795" max="11796" width="10.81640625" style="35" customWidth="1"/>
    <col min="11797" max="11797" width="42.1796875" style="35" customWidth="1"/>
    <col min="11798" max="11800" width="8.26953125" style="35" customWidth="1"/>
    <col min="11801" max="11807" width="8.7265625" style="35" customWidth="1"/>
    <col min="11808" max="12032" width="3.54296875" style="35"/>
    <col min="12033" max="12033" width="9.26953125" style="35" customWidth="1"/>
    <col min="12034" max="12034" width="1.7265625" style="35" customWidth="1"/>
    <col min="12035" max="12050" width="8.26953125" style="35" customWidth="1"/>
    <col min="12051" max="12052" width="10.81640625" style="35" customWidth="1"/>
    <col min="12053" max="12053" width="42.1796875" style="35" customWidth="1"/>
    <col min="12054" max="12056" width="8.26953125" style="35" customWidth="1"/>
    <col min="12057" max="12063" width="8.7265625" style="35" customWidth="1"/>
    <col min="12064" max="12288" width="3.54296875" style="35"/>
    <col min="12289" max="12289" width="9.26953125" style="35" customWidth="1"/>
    <col min="12290" max="12290" width="1.7265625" style="35" customWidth="1"/>
    <col min="12291" max="12306" width="8.26953125" style="35" customWidth="1"/>
    <col min="12307" max="12308" width="10.81640625" style="35" customWidth="1"/>
    <col min="12309" max="12309" width="42.1796875" style="35" customWidth="1"/>
    <col min="12310" max="12312" width="8.26953125" style="35" customWidth="1"/>
    <col min="12313" max="12319" width="8.7265625" style="35" customWidth="1"/>
    <col min="12320" max="12544" width="3.54296875" style="35"/>
    <col min="12545" max="12545" width="9.26953125" style="35" customWidth="1"/>
    <col min="12546" max="12546" width="1.7265625" style="35" customWidth="1"/>
    <col min="12547" max="12562" width="8.26953125" style="35" customWidth="1"/>
    <col min="12563" max="12564" width="10.81640625" style="35" customWidth="1"/>
    <col min="12565" max="12565" width="42.1796875" style="35" customWidth="1"/>
    <col min="12566" max="12568" width="8.26953125" style="35" customWidth="1"/>
    <col min="12569" max="12575" width="8.7265625" style="35" customWidth="1"/>
    <col min="12576" max="12800" width="3.54296875" style="35"/>
    <col min="12801" max="12801" width="9.26953125" style="35" customWidth="1"/>
    <col min="12802" max="12802" width="1.7265625" style="35" customWidth="1"/>
    <col min="12803" max="12818" width="8.26953125" style="35" customWidth="1"/>
    <col min="12819" max="12820" width="10.81640625" style="35" customWidth="1"/>
    <col min="12821" max="12821" width="42.1796875" style="35" customWidth="1"/>
    <col min="12822" max="12824" width="8.26953125" style="35" customWidth="1"/>
    <col min="12825" max="12831" width="8.7265625" style="35" customWidth="1"/>
    <col min="12832" max="13056" width="3.54296875" style="35"/>
    <col min="13057" max="13057" width="9.26953125" style="35" customWidth="1"/>
    <col min="13058" max="13058" width="1.7265625" style="35" customWidth="1"/>
    <col min="13059" max="13074" width="8.26953125" style="35" customWidth="1"/>
    <col min="13075" max="13076" width="10.81640625" style="35" customWidth="1"/>
    <col min="13077" max="13077" width="42.1796875" style="35" customWidth="1"/>
    <col min="13078" max="13080" width="8.26953125" style="35" customWidth="1"/>
    <col min="13081" max="13087" width="8.7265625" style="35" customWidth="1"/>
    <col min="13088" max="13312" width="3.54296875" style="35"/>
    <col min="13313" max="13313" width="9.26953125" style="35" customWidth="1"/>
    <col min="13314" max="13314" width="1.7265625" style="35" customWidth="1"/>
    <col min="13315" max="13330" width="8.26953125" style="35" customWidth="1"/>
    <col min="13331" max="13332" width="10.81640625" style="35" customWidth="1"/>
    <col min="13333" max="13333" width="42.1796875" style="35" customWidth="1"/>
    <col min="13334" max="13336" width="8.26953125" style="35" customWidth="1"/>
    <col min="13337" max="13343" width="8.7265625" style="35" customWidth="1"/>
    <col min="13344" max="13568" width="3.54296875" style="35"/>
    <col min="13569" max="13569" width="9.26953125" style="35" customWidth="1"/>
    <col min="13570" max="13570" width="1.7265625" style="35" customWidth="1"/>
    <col min="13571" max="13586" width="8.26953125" style="35" customWidth="1"/>
    <col min="13587" max="13588" width="10.81640625" style="35" customWidth="1"/>
    <col min="13589" max="13589" width="42.1796875" style="35" customWidth="1"/>
    <col min="13590" max="13592" width="8.26953125" style="35" customWidth="1"/>
    <col min="13593" max="13599" width="8.7265625" style="35" customWidth="1"/>
    <col min="13600" max="13824" width="3.54296875" style="35"/>
    <col min="13825" max="13825" width="9.26953125" style="35" customWidth="1"/>
    <col min="13826" max="13826" width="1.7265625" style="35" customWidth="1"/>
    <col min="13827" max="13842" width="8.26953125" style="35" customWidth="1"/>
    <col min="13843" max="13844" width="10.81640625" style="35" customWidth="1"/>
    <col min="13845" max="13845" width="42.1796875" style="35" customWidth="1"/>
    <col min="13846" max="13848" width="8.26953125" style="35" customWidth="1"/>
    <col min="13849" max="13855" width="8.7265625" style="35" customWidth="1"/>
    <col min="13856" max="14080" width="3.54296875" style="35"/>
    <col min="14081" max="14081" width="9.26953125" style="35" customWidth="1"/>
    <col min="14082" max="14082" width="1.7265625" style="35" customWidth="1"/>
    <col min="14083" max="14098" width="8.26953125" style="35" customWidth="1"/>
    <col min="14099" max="14100" width="10.81640625" style="35" customWidth="1"/>
    <col min="14101" max="14101" width="42.1796875" style="35" customWidth="1"/>
    <col min="14102" max="14104" width="8.26953125" style="35" customWidth="1"/>
    <col min="14105" max="14111" width="8.7265625" style="35" customWidth="1"/>
    <col min="14112" max="14336" width="3.54296875" style="35"/>
    <col min="14337" max="14337" width="9.26953125" style="35" customWidth="1"/>
    <col min="14338" max="14338" width="1.7265625" style="35" customWidth="1"/>
    <col min="14339" max="14354" width="8.26953125" style="35" customWidth="1"/>
    <col min="14355" max="14356" width="10.81640625" style="35" customWidth="1"/>
    <col min="14357" max="14357" width="42.1796875" style="35" customWidth="1"/>
    <col min="14358" max="14360" width="8.26953125" style="35" customWidth="1"/>
    <col min="14361" max="14367" width="8.7265625" style="35" customWidth="1"/>
    <col min="14368" max="14592" width="3.54296875" style="35"/>
    <col min="14593" max="14593" width="9.26953125" style="35" customWidth="1"/>
    <col min="14594" max="14594" width="1.7265625" style="35" customWidth="1"/>
    <col min="14595" max="14610" width="8.26953125" style="35" customWidth="1"/>
    <col min="14611" max="14612" width="10.81640625" style="35" customWidth="1"/>
    <col min="14613" max="14613" width="42.1796875" style="35" customWidth="1"/>
    <col min="14614" max="14616" width="8.26953125" style="35" customWidth="1"/>
    <col min="14617" max="14623" width="8.7265625" style="35" customWidth="1"/>
    <col min="14624" max="14848" width="3.54296875" style="35"/>
    <col min="14849" max="14849" width="9.26953125" style="35" customWidth="1"/>
    <col min="14850" max="14850" width="1.7265625" style="35" customWidth="1"/>
    <col min="14851" max="14866" width="8.26953125" style="35" customWidth="1"/>
    <col min="14867" max="14868" width="10.81640625" style="35" customWidth="1"/>
    <col min="14869" max="14869" width="42.1796875" style="35" customWidth="1"/>
    <col min="14870" max="14872" width="8.26953125" style="35" customWidth="1"/>
    <col min="14873" max="14879" width="8.7265625" style="35" customWidth="1"/>
    <col min="14880" max="15104" width="3.54296875" style="35"/>
    <col min="15105" max="15105" width="9.26953125" style="35" customWidth="1"/>
    <col min="15106" max="15106" width="1.7265625" style="35" customWidth="1"/>
    <col min="15107" max="15122" width="8.26953125" style="35" customWidth="1"/>
    <col min="15123" max="15124" width="10.81640625" style="35" customWidth="1"/>
    <col min="15125" max="15125" width="42.1796875" style="35" customWidth="1"/>
    <col min="15126" max="15128" width="8.26953125" style="35" customWidth="1"/>
    <col min="15129" max="15135" width="8.7265625" style="35" customWidth="1"/>
    <col min="15136" max="15360" width="3.54296875" style="35"/>
    <col min="15361" max="15361" width="9.26953125" style="35" customWidth="1"/>
    <col min="15362" max="15362" width="1.7265625" style="35" customWidth="1"/>
    <col min="15363" max="15378" width="8.26953125" style="35" customWidth="1"/>
    <col min="15379" max="15380" width="10.81640625" style="35" customWidth="1"/>
    <col min="15381" max="15381" width="42.1796875" style="35" customWidth="1"/>
    <col min="15382" max="15384" width="8.26953125" style="35" customWidth="1"/>
    <col min="15385" max="15391" width="8.7265625" style="35" customWidth="1"/>
    <col min="15392" max="15616" width="3.54296875" style="35"/>
    <col min="15617" max="15617" width="9.26953125" style="35" customWidth="1"/>
    <col min="15618" max="15618" width="1.7265625" style="35" customWidth="1"/>
    <col min="15619" max="15634" width="8.26953125" style="35" customWidth="1"/>
    <col min="15635" max="15636" width="10.81640625" style="35" customWidth="1"/>
    <col min="15637" max="15637" width="42.1796875" style="35" customWidth="1"/>
    <col min="15638" max="15640" width="8.26953125" style="35" customWidth="1"/>
    <col min="15641" max="15647" width="8.7265625" style="35" customWidth="1"/>
    <col min="15648" max="15872" width="3.54296875" style="35"/>
    <col min="15873" max="15873" width="9.26953125" style="35" customWidth="1"/>
    <col min="15874" max="15874" width="1.7265625" style="35" customWidth="1"/>
    <col min="15875" max="15890" width="8.26953125" style="35" customWidth="1"/>
    <col min="15891" max="15892" width="10.81640625" style="35" customWidth="1"/>
    <col min="15893" max="15893" width="42.1796875" style="35" customWidth="1"/>
    <col min="15894" max="15896" width="8.26953125" style="35" customWidth="1"/>
    <col min="15897" max="15903" width="8.7265625" style="35" customWidth="1"/>
    <col min="15904" max="16128" width="3.54296875" style="35"/>
    <col min="16129" max="16129" width="9.26953125" style="35" customWidth="1"/>
    <col min="16130" max="16130" width="1.7265625" style="35" customWidth="1"/>
    <col min="16131" max="16146" width="8.26953125" style="35" customWidth="1"/>
    <col min="16147" max="16148" width="10.81640625" style="35" customWidth="1"/>
    <col min="16149" max="16149" width="42.1796875" style="35" customWidth="1"/>
    <col min="16150" max="16152" width="8.26953125" style="35" customWidth="1"/>
    <col min="16153" max="16159" width="8.7265625" style="35" customWidth="1"/>
    <col min="16160" max="16384" width="3.54296875" style="35"/>
  </cols>
  <sheetData>
    <row r="1" spans="1:31">
      <c r="A1" s="34" t="s">
        <v>0</v>
      </c>
      <c r="H1" s="205"/>
      <c r="I1" s="188" t="s">
        <v>94</v>
      </c>
      <c r="J1" s="205"/>
      <c r="K1" s="205"/>
      <c r="L1" s="86"/>
      <c r="N1" s="36"/>
      <c r="O1" s="36"/>
      <c r="P1" s="37"/>
      <c r="Q1" s="37"/>
      <c r="R1" s="37"/>
      <c r="S1" s="37"/>
      <c r="T1" s="37"/>
      <c r="U1" s="37">
        <f ca="1">TODAY()</f>
        <v>45797</v>
      </c>
    </row>
    <row r="2" spans="1:31">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row>
    <row r="3" spans="1:31">
      <c r="A3" s="40" t="s">
        <v>3</v>
      </c>
      <c r="C3" s="41"/>
      <c r="D3" s="41"/>
      <c r="E3" s="41"/>
      <c r="F3" s="41"/>
      <c r="G3" s="41"/>
      <c r="H3" s="41"/>
      <c r="I3" s="41"/>
      <c r="J3" s="41">
        <f ca="1">TODAY()</f>
        <v>45797</v>
      </c>
      <c r="K3" s="41">
        <v>46203</v>
      </c>
      <c r="L3" s="41">
        <v>46568</v>
      </c>
      <c r="M3" s="41">
        <v>46934</v>
      </c>
      <c r="N3" s="41">
        <v>47299</v>
      </c>
      <c r="O3" s="41">
        <v>47664</v>
      </c>
      <c r="P3" s="41">
        <v>48029</v>
      </c>
      <c r="Q3" s="41">
        <v>48395</v>
      </c>
      <c r="R3" s="41">
        <v>48760</v>
      </c>
      <c r="S3" s="41">
        <v>49125</v>
      </c>
      <c r="T3" s="41">
        <v>49490</v>
      </c>
      <c r="U3" s="41">
        <v>49856</v>
      </c>
    </row>
    <row r="4" spans="1:31" ht="13.5">
      <c r="A4" s="42"/>
      <c r="C4" s="43" t="str">
        <f>+Historical!C4</f>
        <v>FYE June 30th</v>
      </c>
      <c r="D4" s="44"/>
      <c r="E4" s="44"/>
      <c r="F4" s="44"/>
      <c r="G4" s="44"/>
      <c r="H4" s="44"/>
      <c r="I4" s="44"/>
      <c r="J4" s="44"/>
      <c r="K4" s="44"/>
      <c r="L4" s="44"/>
      <c r="M4" s="44"/>
      <c r="N4" s="44"/>
      <c r="O4" s="44"/>
      <c r="P4" s="44"/>
      <c r="Q4" s="44"/>
      <c r="R4" s="44"/>
      <c r="S4" s="44"/>
      <c r="T4" s="44"/>
      <c r="U4" s="44"/>
    </row>
    <row r="5" spans="1:31" ht="13.5">
      <c r="C5" s="45" t="s">
        <v>4</v>
      </c>
      <c r="D5" s="45" t="s">
        <v>5</v>
      </c>
      <c r="E5" s="45" t="s">
        <v>6</v>
      </c>
      <c r="F5" s="45" t="s">
        <v>7</v>
      </c>
      <c r="G5" s="45" t="s">
        <v>8</v>
      </c>
      <c r="H5" s="45" t="s">
        <v>9</v>
      </c>
      <c r="I5" s="45" t="s">
        <v>4196</v>
      </c>
      <c r="J5" s="45" t="s">
        <v>11</v>
      </c>
      <c r="K5" s="45" t="s">
        <v>12</v>
      </c>
      <c r="L5" s="45" t="s">
        <v>13</v>
      </c>
      <c r="M5" s="45" t="s">
        <v>14</v>
      </c>
      <c r="N5" s="45" t="s">
        <v>15</v>
      </c>
      <c r="O5" s="45" t="s">
        <v>16</v>
      </c>
      <c r="P5" s="45" t="s">
        <v>17</v>
      </c>
      <c r="Q5" s="45" t="s">
        <v>18</v>
      </c>
      <c r="R5" s="45" t="s">
        <v>19</v>
      </c>
      <c r="S5" s="45" t="s">
        <v>20</v>
      </c>
      <c r="T5" s="45" t="s">
        <v>21</v>
      </c>
      <c r="U5" s="45" t="s">
        <v>4195</v>
      </c>
    </row>
    <row r="6" spans="1:31" ht="13.5">
      <c r="C6" s="45"/>
      <c r="D6" s="45"/>
      <c r="E6" s="45"/>
      <c r="F6" s="93"/>
      <c r="G6" s="45"/>
      <c r="H6" s="45"/>
      <c r="I6" s="93"/>
      <c r="J6" s="93" t="str">
        <f>+'Simple - 5%'!J6</f>
        <v>c = 628</v>
      </c>
      <c r="K6" s="45"/>
      <c r="L6" s="45"/>
      <c r="M6" s="45"/>
      <c r="N6" s="45"/>
      <c r="O6" s="45"/>
      <c r="P6" s="45"/>
      <c r="Q6" s="45"/>
      <c r="R6" s="45"/>
      <c r="S6" s="45"/>
      <c r="T6" s="45"/>
      <c r="U6" s="45"/>
      <c r="W6" s="35" t="s">
        <v>22</v>
      </c>
    </row>
    <row r="7" spans="1:31" s="34" customFormat="1">
      <c r="A7" s="50" t="s">
        <v>23</v>
      </c>
      <c r="B7" s="54"/>
      <c r="C7" s="53">
        <f>+'Historical - USD'!Q33</f>
        <v>0.42151179143997225</v>
      </c>
      <c r="D7" s="53">
        <f>+'Historical - USD'!R33</f>
        <v>4.0829256170548218</v>
      </c>
      <c r="E7" s="53">
        <f>+'Historical - USD'!S33</f>
        <v>15.1969708197214</v>
      </c>
      <c r="F7" s="53">
        <f>+'Historical - USD'!T33</f>
        <v>69.29545015814108</v>
      </c>
      <c r="G7" s="53">
        <f>+'Historical - USD'!U33</f>
        <v>152.33569525294132</v>
      </c>
      <c r="H7" s="53">
        <f>+'Historical - USD'!V33</f>
        <v>279.26346024365614</v>
      </c>
      <c r="I7" s="53">
        <f>+'Historical - USD'!W33</f>
        <v>486.52275402455365</v>
      </c>
      <c r="J7" s="55">
        <f t="shared" ref="J7:U7" si="0">+I7*(1+J8)</f>
        <v>778.43640643928586</v>
      </c>
      <c r="K7" s="55">
        <f t="shared" si="0"/>
        <v>1167.6546096589288</v>
      </c>
      <c r="L7" s="55">
        <f t="shared" si="0"/>
        <v>1634.7164535225004</v>
      </c>
      <c r="M7" s="55">
        <f t="shared" si="0"/>
        <v>2206.8672122553758</v>
      </c>
      <c r="N7" s="55">
        <f t="shared" si="0"/>
        <v>2868.9273759319885</v>
      </c>
      <c r="O7" s="55">
        <f t="shared" si="0"/>
        <v>3586.1592199149854</v>
      </c>
      <c r="P7" s="55">
        <f t="shared" si="0"/>
        <v>4375.1142482962823</v>
      </c>
      <c r="Q7" s="55">
        <f t="shared" si="0"/>
        <v>5250.1370979555386</v>
      </c>
      <c r="R7" s="55">
        <f t="shared" si="0"/>
        <v>6195.161775587535</v>
      </c>
      <c r="S7" s="55">
        <f t="shared" si="0"/>
        <v>7186.3876596815398</v>
      </c>
      <c r="T7" s="55">
        <f t="shared" si="0"/>
        <v>8192.481932036957</v>
      </c>
      <c r="U7" s="55">
        <f t="shared" si="0"/>
        <v>9175.5797638813929</v>
      </c>
      <c r="V7" s="54"/>
      <c r="W7" s="54">
        <f>+AVERAGE(P7)/0.85</f>
        <v>5147.1932332897441</v>
      </c>
      <c r="X7" s="34" t="s">
        <v>24</v>
      </c>
    </row>
    <row r="8" spans="1:31">
      <c r="A8" s="51" t="s">
        <v>25</v>
      </c>
      <c r="C8" s="52"/>
      <c r="D8" s="52">
        <f t="shared" ref="D8:I8" si="1">D7/C7-1</f>
        <v>8.6863852921093763</v>
      </c>
      <c r="E8" s="52">
        <f t="shared" si="1"/>
        <v>2.72207878493843</v>
      </c>
      <c r="F8" s="56">
        <f t="shared" si="1"/>
        <v>3.5598199128088766</v>
      </c>
      <c r="G8" s="56">
        <f t="shared" si="1"/>
        <v>1.1983506118409184</v>
      </c>
      <c r="H8" s="56">
        <f t="shared" si="1"/>
        <v>0.83321092131401864</v>
      </c>
      <c r="I8" s="56">
        <f t="shared" si="1"/>
        <v>0.74216402532599401</v>
      </c>
      <c r="J8" s="118">
        <v>0.6</v>
      </c>
      <c r="K8" s="118">
        <v>0.5</v>
      </c>
      <c r="L8" s="118">
        <v>0.4</v>
      </c>
      <c r="M8" s="118">
        <v>0.35</v>
      </c>
      <c r="N8" s="118">
        <v>0.3</v>
      </c>
      <c r="O8" s="118">
        <v>0.25</v>
      </c>
      <c r="P8" s="118">
        <v>0.22</v>
      </c>
      <c r="Q8" s="118">
        <v>0.2</v>
      </c>
      <c r="R8" s="118">
        <v>0.18</v>
      </c>
      <c r="S8" s="118">
        <v>0.16</v>
      </c>
      <c r="T8" s="118">
        <v>0.14000000000000001</v>
      </c>
      <c r="U8" s="118">
        <v>0.12</v>
      </c>
      <c r="X8" s="98"/>
    </row>
    <row r="9" spans="1:31">
      <c r="A9" s="51"/>
      <c r="C9" s="52"/>
      <c r="D9" s="52"/>
      <c r="E9" s="52"/>
      <c r="F9" s="52"/>
      <c r="G9" s="52"/>
      <c r="H9" s="52"/>
      <c r="I9" s="52"/>
      <c r="J9" s="52"/>
      <c r="K9" s="52"/>
      <c r="L9" s="52"/>
      <c r="M9" s="52"/>
      <c r="N9" s="52"/>
      <c r="O9" s="52"/>
      <c r="P9" s="52"/>
      <c r="Q9" s="52"/>
      <c r="R9" s="52"/>
      <c r="S9" s="52"/>
      <c r="T9" s="52"/>
      <c r="U9" s="52"/>
    </row>
    <row r="10" spans="1:31" s="34" customFormat="1">
      <c r="A10" s="50" t="s">
        <v>26</v>
      </c>
      <c r="B10" s="54"/>
      <c r="C10" s="53">
        <f>+'Historical - USD'!Q40</f>
        <v>0.21772943638719156</v>
      </c>
      <c r="D10" s="53">
        <f>+'Historical - USD'!R40</f>
        <v>1.0461156178198256</v>
      </c>
      <c r="E10" s="53">
        <f>+'Historical - USD'!S40</f>
        <v>4.2722599178136935</v>
      </c>
      <c r="F10" s="53">
        <f>+'Historical - USD'!T40</f>
        <v>16.396602767294507</v>
      </c>
      <c r="G10" s="53">
        <f>+'Historical - USD'!U40</f>
        <v>27.170855716618469</v>
      </c>
      <c r="H10" s="53">
        <f>+'Historical - USD'!V40</f>
        <v>64.125255761920656</v>
      </c>
      <c r="I10" s="53">
        <f>+'Historical - USD'!W40</f>
        <v>101.55215696590894</v>
      </c>
      <c r="J10" s="55">
        <f>+J12*J7</f>
        <v>163.30935766653207</v>
      </c>
      <c r="K10" s="55"/>
      <c r="L10" s="55"/>
      <c r="M10" s="55"/>
      <c r="N10" s="55"/>
      <c r="O10" s="55"/>
      <c r="P10" s="55"/>
      <c r="Q10" s="55"/>
      <c r="R10" s="55"/>
      <c r="S10" s="55"/>
      <c r="T10" s="55"/>
      <c r="U10" s="55"/>
    </row>
    <row r="11" spans="1:31">
      <c r="A11" s="51" t="s">
        <v>25</v>
      </c>
      <c r="C11" s="52"/>
      <c r="D11" s="52">
        <f t="shared" ref="D11:J11" si="2">D10/C10-1</f>
        <v>3.8046586404582543</v>
      </c>
      <c r="E11" s="52">
        <f t="shared" si="2"/>
        <v>3.0839270966218502</v>
      </c>
      <c r="F11" s="56">
        <f t="shared" si="2"/>
        <v>2.8379225708920308</v>
      </c>
      <c r="G11" s="56">
        <f t="shared" si="2"/>
        <v>0.65710276099478548</v>
      </c>
      <c r="H11" s="56">
        <f t="shared" si="2"/>
        <v>1.3600749431936303</v>
      </c>
      <c r="I11" s="56">
        <f t="shared" si="2"/>
        <v>0.58365305150507329</v>
      </c>
      <c r="J11" s="56">
        <f t="shared" si="2"/>
        <v>0.60813283090929349</v>
      </c>
      <c r="K11" s="56"/>
      <c r="L11" s="56"/>
      <c r="M11" s="56"/>
      <c r="N11" s="56"/>
      <c r="O11" s="56"/>
      <c r="P11" s="56"/>
      <c r="Q11" s="56"/>
      <c r="R11" s="56"/>
      <c r="S11" s="56"/>
      <c r="T11" s="56"/>
      <c r="U11" s="56"/>
    </row>
    <row r="12" spans="1:31">
      <c r="A12" s="51" t="s">
        <v>27</v>
      </c>
      <c r="C12" s="52">
        <f t="shared" ref="C12:H12" si="3">+C10/C7</f>
        <v>0.51654411764705888</v>
      </c>
      <c r="D12" s="52">
        <f t="shared" si="3"/>
        <v>0.25621716287215412</v>
      </c>
      <c r="E12" s="52">
        <f t="shared" si="3"/>
        <v>0.28112575647440868</v>
      </c>
      <c r="F12" s="52">
        <f t="shared" si="3"/>
        <v>0.23661874956978218</v>
      </c>
      <c r="G12" s="52">
        <f t="shared" si="3"/>
        <v>0.17836171405200482</v>
      </c>
      <c r="H12" s="52">
        <f t="shared" si="3"/>
        <v>0.22962279313581394</v>
      </c>
      <c r="I12" s="52">
        <f t="shared" ref="I12" si="4">+I10/I7</f>
        <v>0.20873053958085552</v>
      </c>
      <c r="J12" s="234">
        <f>+'Simple - 5%'!J12</f>
        <v>0.20979152094586595</v>
      </c>
      <c r="K12" s="56"/>
      <c r="L12" s="56"/>
      <c r="M12" s="56"/>
      <c r="N12" s="56"/>
      <c r="O12" s="56"/>
      <c r="P12" s="56"/>
      <c r="Q12" s="56"/>
      <c r="R12" s="56"/>
      <c r="S12" s="56"/>
      <c r="T12" s="56"/>
      <c r="U12" s="56"/>
    </row>
    <row r="13" spans="1:31">
      <c r="A13" s="51"/>
      <c r="C13" s="52"/>
      <c r="D13" s="52"/>
      <c r="E13" s="52"/>
      <c r="F13" s="52"/>
      <c r="G13" s="52"/>
      <c r="H13" s="52"/>
      <c r="I13" s="52"/>
      <c r="J13" s="52"/>
      <c r="K13" s="52"/>
      <c r="L13" s="52"/>
      <c r="M13" s="52"/>
      <c r="N13" s="52"/>
      <c r="O13" s="52"/>
      <c r="P13" s="52"/>
      <c r="Q13" s="52"/>
      <c r="R13" s="52"/>
      <c r="S13" s="52"/>
      <c r="T13" s="52"/>
      <c r="U13" s="52"/>
    </row>
    <row r="14" spans="1:31">
      <c r="A14" s="51"/>
      <c r="C14" s="52"/>
      <c r="D14" s="52"/>
      <c r="E14" s="52"/>
      <c r="F14" s="52"/>
      <c r="G14" s="52"/>
      <c r="H14" s="52"/>
      <c r="I14" s="93"/>
      <c r="J14" s="93" t="str">
        <f>+'Simple - 5%'!J14</f>
        <v>c = 18</v>
      </c>
      <c r="K14" s="52"/>
      <c r="L14" s="52"/>
      <c r="M14" s="52"/>
      <c r="N14" s="52"/>
      <c r="O14" s="52"/>
      <c r="P14" s="52"/>
      <c r="Q14" s="52"/>
      <c r="R14" s="52"/>
      <c r="S14" s="52"/>
      <c r="T14" s="52"/>
      <c r="U14" s="52"/>
    </row>
    <row r="15" spans="1:31" s="34" customFormat="1">
      <c r="A15" s="50" t="s">
        <v>28</v>
      </c>
      <c r="B15" s="54"/>
      <c r="C15" s="53">
        <f>+'Historical - USD'!Q114</f>
        <v>0.13094759697307962</v>
      </c>
      <c r="D15" s="53">
        <f>+'Historical - USD'!R114</f>
        <v>0.43331925112700909</v>
      </c>
      <c r="E15" s="53">
        <f>+'Historical - USD'!S114</f>
        <v>1.8333797801119438</v>
      </c>
      <c r="F15" s="53">
        <f>+'Historical - USD'!T114</f>
        <v>1.5305748024914749</v>
      </c>
      <c r="G15" s="53">
        <f>+'Historical - USD'!U114</f>
        <v>-15.865268926498235</v>
      </c>
      <c r="H15" s="53">
        <f>+'Historical - USD'!V114</f>
        <v>19.41599918774542</v>
      </c>
      <c r="I15" s="53">
        <f>+'Historical - USD'!W114</f>
        <v>19.962779999556489</v>
      </c>
      <c r="J15" s="55">
        <f t="shared" ref="J15:T15" si="5">+J17*J7</f>
        <v>37.527711484977573</v>
      </c>
      <c r="K15" s="55">
        <f t="shared" si="5"/>
        <v>58.604681359162598</v>
      </c>
      <c r="L15" s="55">
        <f t="shared" si="5"/>
        <v>85.284913687202376</v>
      </c>
      <c r="M15" s="55">
        <f t="shared" si="5"/>
        <v>119.50641918662912</v>
      </c>
      <c r="N15" s="55">
        <f t="shared" si="5"/>
        <v>161.04166636419552</v>
      </c>
      <c r="O15" s="55">
        <f t="shared" si="5"/>
        <v>208.40623473221646</v>
      </c>
      <c r="P15" s="55">
        <f t="shared" si="5"/>
        <v>262.92267154120998</v>
      </c>
      <c r="Q15" s="55">
        <f t="shared" si="5"/>
        <v>325.90768405093911</v>
      </c>
      <c r="R15" s="55">
        <f t="shared" si="5"/>
        <v>396.8436314578629</v>
      </c>
      <c r="S15" s="55">
        <f t="shared" si="5"/>
        <v>474.57478705331653</v>
      </c>
      <c r="T15" s="55">
        <f t="shared" si="5"/>
        <v>557.24449624168392</v>
      </c>
      <c r="U15" s="55">
        <f t="shared" ref="U15" si="6">+U17*U7</f>
        <v>642.29058347169757</v>
      </c>
    </row>
    <row r="16" spans="1:31">
      <c r="A16" s="51" t="s">
        <v>25</v>
      </c>
      <c r="C16" s="52"/>
      <c r="D16" s="52">
        <f>+D15/C15-1</f>
        <v>2.3091042611197472</v>
      </c>
      <c r="E16" s="52">
        <f>+E15/D15-1</f>
        <v>3.231013912591127</v>
      </c>
      <c r="F16" s="56">
        <f t="shared" ref="F16:U16" si="7">+IFERROR(F15/E15-1,"-")</f>
        <v>-0.16516216711083176</v>
      </c>
      <c r="G16" s="56">
        <f t="shared" si="7"/>
        <v>-11.365562598229564</v>
      </c>
      <c r="H16" s="56">
        <f t="shared" si="7"/>
        <v>-2.2238052363119252</v>
      </c>
      <c r="I16" s="56">
        <f t="shared" si="7"/>
        <v>2.81613532491376E-2</v>
      </c>
      <c r="J16" s="56">
        <f t="shared" si="7"/>
        <v>0.87988403848618901</v>
      </c>
      <c r="K16" s="56">
        <f t="shared" si="7"/>
        <v>0.56163749507140026</v>
      </c>
      <c r="L16" s="56">
        <f t="shared" si="7"/>
        <v>0.45525769800757443</v>
      </c>
      <c r="M16" s="56">
        <f t="shared" si="7"/>
        <v>0.40126095014811436</v>
      </c>
      <c r="N16" s="56">
        <f t="shared" si="7"/>
        <v>0.34755662047494051</v>
      </c>
      <c r="O16" s="56">
        <f t="shared" si="7"/>
        <v>0.29411374979755878</v>
      </c>
      <c r="P16" s="56">
        <f t="shared" si="7"/>
        <v>0.26158736027759577</v>
      </c>
      <c r="Q16" s="56">
        <f t="shared" si="7"/>
        <v>0.23955717527332743</v>
      </c>
      <c r="R16" s="56">
        <f t="shared" si="7"/>
        <v>0.2176565661944827</v>
      </c>
      <c r="S16" s="56">
        <f t="shared" si="7"/>
        <v>0.19587351146318488</v>
      </c>
      <c r="T16" s="56">
        <f t="shared" si="7"/>
        <v>0.17419743198257986</v>
      </c>
      <c r="U16" s="56">
        <f t="shared" si="7"/>
        <v>0.15261898108209948</v>
      </c>
    </row>
    <row r="17" spans="1:21">
      <c r="A17" s="51" t="s">
        <v>27</v>
      </c>
      <c r="C17" s="52">
        <f t="shared" ref="C17:H17" si="8">+C15/C7</f>
        <v>0.31066176470588236</v>
      </c>
      <c r="D17" s="52">
        <f t="shared" si="8"/>
        <v>0.10612959719789841</v>
      </c>
      <c r="E17" s="52">
        <f t="shared" si="8"/>
        <v>0.12064113314824107</v>
      </c>
      <c r="F17" s="52">
        <f t="shared" si="8"/>
        <v>2.2087666636099592E-2</v>
      </c>
      <c r="G17" s="52">
        <f t="shared" si="8"/>
        <v>-0.10414675890739342</v>
      </c>
      <c r="H17" s="52">
        <f t="shared" si="8"/>
        <v>6.9525741644843361E-2</v>
      </c>
      <c r="I17" s="52">
        <f t="shared" ref="I17" si="9">+I15/I7</f>
        <v>4.103154443327231E-2</v>
      </c>
      <c r="J17" s="56">
        <f>+'Simple - 5%'!J17</f>
        <v>4.820909090909091E-2</v>
      </c>
      <c r="K17" s="56">
        <f>+'Simple - 5%'!K17</f>
        <v>5.0190082644628098E-2</v>
      </c>
      <c r="L17" s="56">
        <f>+'Simple - 5%'!L17</f>
        <v>5.2171074380165286E-2</v>
      </c>
      <c r="M17" s="56">
        <f>+'Simple - 5%'!M17</f>
        <v>5.4152066115702474E-2</v>
      </c>
      <c r="N17" s="56">
        <f>+'Simple - 5%'!N17</f>
        <v>5.6133057851239662E-2</v>
      </c>
      <c r="O17" s="56">
        <f>+'Simple - 5%'!O17</f>
        <v>5.811404958677685E-2</v>
      </c>
      <c r="P17" s="56">
        <f>+'Simple - 5%'!P17</f>
        <v>6.0095041322314038E-2</v>
      </c>
      <c r="Q17" s="56">
        <f>+'Simple - 5%'!Q17</f>
        <v>6.2076033057851226E-2</v>
      </c>
      <c r="R17" s="56">
        <f>+'Simple - 5%'!R17</f>
        <v>6.4057024793388415E-2</v>
      </c>
      <c r="S17" s="56">
        <f>+'Simple - 5%'!S17</f>
        <v>6.6038016528925603E-2</v>
      </c>
      <c r="T17" s="56">
        <f>+'Simple - 5%'!T17</f>
        <v>6.8019008264462791E-2</v>
      </c>
      <c r="U17" s="56">
        <f>+'Simple - 5%'!U17</f>
        <v>7.0000000000000007E-2</v>
      </c>
    </row>
    <row r="18" spans="1:21" hidden="1" outlineLevel="1">
      <c r="A18" s="51" t="s">
        <v>29</v>
      </c>
      <c r="C18" s="52"/>
      <c r="D18" s="52">
        <f t="shared" ref="D18:U18" si="10">(D15-C15)/(D7-C7)</f>
        <v>8.2583304853051723E-2</v>
      </c>
      <c r="E18" s="52">
        <f t="shared" si="10"/>
        <v>0.12597218235616139</v>
      </c>
      <c r="F18" s="52">
        <f t="shared" si="10"/>
        <v>-5.5972918522577166E-3</v>
      </c>
      <c r="G18" s="52">
        <f t="shared" si="10"/>
        <v>-0.20948690251492275</v>
      </c>
      <c r="H18" s="52">
        <f t="shared" si="10"/>
        <v>0.27796336063133703</v>
      </c>
      <c r="I18" s="52">
        <f t="shared" si="10"/>
        <v>2.6381485811154655E-3</v>
      </c>
      <c r="J18" s="52">
        <f t="shared" si="10"/>
        <v>6.0171668368788574E-2</v>
      </c>
      <c r="K18" s="52">
        <f t="shared" si="10"/>
        <v>5.4152066115702467E-2</v>
      </c>
      <c r="L18" s="52">
        <f t="shared" si="10"/>
        <v>5.7123553719008263E-2</v>
      </c>
      <c r="M18" s="52">
        <f t="shared" si="10"/>
        <v>5.9812042502951586E-2</v>
      </c>
      <c r="N18" s="52">
        <f t="shared" si="10"/>
        <v>6.2736363636363632E-2</v>
      </c>
      <c r="O18" s="52">
        <f t="shared" si="10"/>
        <v>6.6038016528925603E-2</v>
      </c>
      <c r="P18" s="52">
        <f t="shared" si="10"/>
        <v>6.9099549211119396E-2</v>
      </c>
      <c r="Q18" s="52">
        <f t="shared" si="10"/>
        <v>7.1980991735537195E-2</v>
      </c>
      <c r="R18" s="52">
        <f t="shared" si="10"/>
        <v>7.5062534435261674E-2</v>
      </c>
      <c r="S18" s="52">
        <f t="shared" si="10"/>
        <v>7.841921487603308E-2</v>
      </c>
      <c r="T18" s="52">
        <f t="shared" si="10"/>
        <v>8.2168949232585567E-2</v>
      </c>
      <c r="U18" s="52">
        <f t="shared" si="10"/>
        <v>8.6508264462810083E-2</v>
      </c>
    </row>
    <row r="19" spans="1:21" collapsed="1">
      <c r="A19" s="51" t="s">
        <v>30</v>
      </c>
      <c r="C19" s="52">
        <f t="shared" ref="C19:H19" si="11">+C15/C$10</f>
        <v>0.60142348754448394</v>
      </c>
      <c r="D19" s="52">
        <f t="shared" si="11"/>
        <v>0.4142173615857826</v>
      </c>
      <c r="E19" s="52">
        <f t="shared" si="11"/>
        <v>0.42913582398567318</v>
      </c>
      <c r="F19" s="52">
        <f t="shared" si="11"/>
        <v>9.3347068549128775E-2</v>
      </c>
      <c r="G19" s="52">
        <f t="shared" si="11"/>
        <v>-0.58390759172132312</v>
      </c>
      <c r="H19" s="52">
        <f t="shared" si="11"/>
        <v>0.30278240541966267</v>
      </c>
      <c r="I19" s="52">
        <f t="shared" ref="I19:J19" si="12">+I15/I$10</f>
        <v>0.19657662225981073</v>
      </c>
      <c r="J19" s="52">
        <f t="shared" si="12"/>
        <v>0.22979523048279274</v>
      </c>
      <c r="K19" s="52"/>
      <c r="L19" s="52"/>
      <c r="M19" s="52"/>
      <c r="N19" s="52"/>
      <c r="O19" s="52"/>
      <c r="P19" s="52"/>
      <c r="Q19" s="52"/>
      <c r="R19" s="52"/>
      <c r="S19" s="52"/>
      <c r="T19" s="52"/>
      <c r="U19" s="52"/>
    </row>
    <row r="20" spans="1:21">
      <c r="C20" s="34"/>
      <c r="D20" s="34"/>
      <c r="E20" s="34"/>
      <c r="F20" s="34"/>
      <c r="G20" s="34"/>
      <c r="H20" s="34"/>
      <c r="I20" s="34"/>
      <c r="J20" s="34"/>
      <c r="K20" s="34"/>
      <c r="L20" s="34"/>
      <c r="M20" s="34"/>
      <c r="N20" s="34"/>
      <c r="O20" s="34"/>
      <c r="P20" s="34"/>
      <c r="Q20" s="34"/>
      <c r="R20" s="34"/>
      <c r="S20" s="34"/>
      <c r="T20" s="34"/>
      <c r="U20" s="34"/>
    </row>
    <row r="21" spans="1:21">
      <c r="A21" s="35" t="s">
        <v>31</v>
      </c>
      <c r="B21" s="58"/>
      <c r="C21" s="53">
        <f>+'Historical - USD'!Q120</f>
        <v>0.43778338633011815</v>
      </c>
      <c r="D21" s="53">
        <f>+'Historical - USD'!R120</f>
        <v>0.80657444764235353</v>
      </c>
      <c r="E21" s="53">
        <f>+'Historical - USD'!S120</f>
        <v>0.88504926094406966</v>
      </c>
      <c r="F21" s="53">
        <f>+'Historical - USD'!T120</f>
        <v>2.0347208621357233</v>
      </c>
      <c r="G21" s="53">
        <f>+'Historical - USD'!U120</f>
        <v>6.0664968319692836</v>
      </c>
      <c r="H21" s="53">
        <f>+'Historical - USD'!V120</f>
        <v>8.0984135817659855</v>
      </c>
      <c r="I21" s="53">
        <f>+'Historical - USD'!W120</f>
        <v>9.3570270108481353</v>
      </c>
      <c r="J21" s="55">
        <f t="shared" ref="J21:T21" si="13">+J22*J7</f>
        <v>15.568728128785718</v>
      </c>
      <c r="K21" s="55">
        <f t="shared" si="13"/>
        <v>23.353092193178579</v>
      </c>
      <c r="L21" s="55">
        <f t="shared" si="13"/>
        <v>32.69432907045001</v>
      </c>
      <c r="M21" s="55">
        <f t="shared" si="13"/>
        <v>44.137344245107514</v>
      </c>
      <c r="N21" s="55">
        <f t="shared" si="13"/>
        <v>57.37854751863977</v>
      </c>
      <c r="O21" s="55">
        <f t="shared" si="13"/>
        <v>71.723184398299708</v>
      </c>
      <c r="P21" s="55">
        <f t="shared" si="13"/>
        <v>87.502284965925654</v>
      </c>
      <c r="Q21" s="55">
        <f t="shared" si="13"/>
        <v>105.00274195911078</v>
      </c>
      <c r="R21" s="55">
        <f t="shared" si="13"/>
        <v>123.90323551175071</v>
      </c>
      <c r="S21" s="55">
        <f t="shared" si="13"/>
        <v>143.7277531936308</v>
      </c>
      <c r="T21" s="55">
        <f t="shared" si="13"/>
        <v>163.84963864073913</v>
      </c>
      <c r="U21" s="55">
        <f t="shared" ref="U21" si="14">+U22*U7</f>
        <v>183.51159527762786</v>
      </c>
    </row>
    <row r="22" spans="1:21">
      <c r="A22" s="51" t="s">
        <v>32</v>
      </c>
      <c r="C22" s="52">
        <f t="shared" ref="C22:H22" si="15">+C21/C7</f>
        <v>1.0386029411764703</v>
      </c>
      <c r="D22" s="52">
        <f t="shared" si="15"/>
        <v>0.19754816112084062</v>
      </c>
      <c r="E22" s="52">
        <f t="shared" si="15"/>
        <v>5.8238531312801121E-2</v>
      </c>
      <c r="F22" s="52">
        <f t="shared" si="15"/>
        <v>2.9362979207036396E-2</v>
      </c>
      <c r="G22" s="52">
        <f t="shared" si="15"/>
        <v>3.9823212950164749E-2</v>
      </c>
      <c r="H22" s="52">
        <f t="shared" si="15"/>
        <v>2.8999187987931378E-2</v>
      </c>
      <c r="I22" s="52">
        <f t="shared" ref="I22" si="16">+I21/I7</f>
        <v>1.9232455077272517E-2</v>
      </c>
      <c r="J22" s="118">
        <f>+'Simple - 5%'!J22</f>
        <v>0.02</v>
      </c>
      <c r="K22" s="118">
        <f>+'Simple - 5%'!K22</f>
        <v>0.02</v>
      </c>
      <c r="L22" s="118">
        <f>+'Simple - 5%'!L22</f>
        <v>0.02</v>
      </c>
      <c r="M22" s="118">
        <f>+'Simple - 5%'!M22</f>
        <v>0.02</v>
      </c>
      <c r="N22" s="118">
        <f>+'Simple - 5%'!N22</f>
        <v>0.02</v>
      </c>
      <c r="O22" s="118">
        <f>+'Simple - 5%'!O22</f>
        <v>0.02</v>
      </c>
      <c r="P22" s="118">
        <f>+'Simple - 5%'!P22</f>
        <v>0.02</v>
      </c>
      <c r="Q22" s="118">
        <f>+'Simple - 5%'!Q22</f>
        <v>0.02</v>
      </c>
      <c r="R22" s="118">
        <f>+'Simple - 5%'!R22</f>
        <v>0.02</v>
      </c>
      <c r="S22" s="118">
        <f>+'Simple - 5%'!S22</f>
        <v>0.02</v>
      </c>
      <c r="T22" s="118">
        <f>+'Simple - 5%'!T22</f>
        <v>0.02</v>
      </c>
      <c r="U22" s="118">
        <f>+'Simple - 5%'!U22</f>
        <v>0.02</v>
      </c>
    </row>
    <row r="23" spans="1:21" collapsed="1">
      <c r="A23" s="51" t="s">
        <v>30</v>
      </c>
      <c r="C23" s="52">
        <f t="shared" ref="C23:H23" si="17">+C21/C$10</f>
        <v>2.0106761565836293</v>
      </c>
      <c r="D23" s="52">
        <f t="shared" si="17"/>
        <v>0.77101845522898149</v>
      </c>
      <c r="E23" s="52">
        <f t="shared" si="17"/>
        <v>0.20716184828871295</v>
      </c>
      <c r="F23" s="52">
        <f t="shared" si="17"/>
        <v>0.12409405112833986</v>
      </c>
      <c r="G23" s="52">
        <f t="shared" si="17"/>
        <v>0.22327220368914777</v>
      </c>
      <c r="H23" s="52">
        <f t="shared" si="17"/>
        <v>0.1262905462994667</v>
      </c>
      <c r="I23" s="52">
        <f t="shared" ref="I23:J23" si="18">+I21/I$10</f>
        <v>9.2140110957852822E-2</v>
      </c>
      <c r="J23" s="52">
        <f t="shared" si="18"/>
        <v>9.5332737518790137E-2</v>
      </c>
      <c r="K23" s="34"/>
      <c r="L23" s="34"/>
      <c r="M23" s="34"/>
      <c r="N23" s="34"/>
      <c r="O23" s="34"/>
      <c r="P23" s="34"/>
      <c r="Q23" s="34"/>
      <c r="R23" s="34"/>
      <c r="S23" s="34"/>
      <c r="T23" s="34"/>
      <c r="U23" s="34"/>
    </row>
    <row r="24" spans="1:21">
      <c r="C24" s="34"/>
      <c r="D24" s="34"/>
      <c r="E24" s="34"/>
      <c r="F24" s="34"/>
      <c r="G24" s="34"/>
      <c r="H24" s="34"/>
      <c r="I24" s="34"/>
      <c r="J24" s="34"/>
      <c r="K24" s="34"/>
      <c r="L24" s="34"/>
      <c r="M24" s="34"/>
      <c r="N24" s="34"/>
      <c r="O24" s="34"/>
      <c r="P24" s="34"/>
      <c r="Q24" s="34"/>
      <c r="R24" s="34"/>
      <c r="S24" s="34"/>
      <c r="T24" s="34"/>
      <c r="U24" s="34"/>
    </row>
    <row r="25" spans="1:21">
      <c r="A25" s="35" t="s">
        <v>33</v>
      </c>
      <c r="B25" s="58"/>
      <c r="C25" s="55">
        <f t="shared" ref="C25:T25" si="19">+C15-C21</f>
        <v>-0.30683578935703854</v>
      </c>
      <c r="D25" s="55">
        <f t="shared" si="19"/>
        <v>-0.37325519651534445</v>
      </c>
      <c r="E25" s="55">
        <f t="shared" si="19"/>
        <v>0.94833051916787414</v>
      </c>
      <c r="F25" s="55">
        <f t="shared" si="19"/>
        <v>-0.50414605964424841</v>
      </c>
      <c r="G25" s="55">
        <f t="shared" si="19"/>
        <v>-21.93176575846752</v>
      </c>
      <c r="H25" s="55">
        <f t="shared" si="19"/>
        <v>11.317585605979435</v>
      </c>
      <c r="I25" s="55">
        <f t="shared" si="19"/>
        <v>10.605752988708353</v>
      </c>
      <c r="J25" s="55">
        <f t="shared" si="19"/>
        <v>21.958983356191855</v>
      </c>
      <c r="K25" s="55">
        <f t="shared" si="19"/>
        <v>35.251589165984015</v>
      </c>
      <c r="L25" s="55">
        <f t="shared" si="19"/>
        <v>52.590584616752366</v>
      </c>
      <c r="M25" s="55">
        <f t="shared" si="19"/>
        <v>75.369074941521603</v>
      </c>
      <c r="N25" s="55">
        <f t="shared" si="19"/>
        <v>103.66311884555574</v>
      </c>
      <c r="O25" s="55">
        <f t="shared" si="19"/>
        <v>136.68305033391675</v>
      </c>
      <c r="P25" s="55">
        <f t="shared" si="19"/>
        <v>175.42038657528434</v>
      </c>
      <c r="Q25" s="55">
        <f t="shared" si="19"/>
        <v>220.90494209182833</v>
      </c>
      <c r="R25" s="55">
        <f t="shared" si="19"/>
        <v>272.94039594611218</v>
      </c>
      <c r="S25" s="55">
        <f t="shared" si="19"/>
        <v>330.84703385968572</v>
      </c>
      <c r="T25" s="55">
        <f t="shared" si="19"/>
        <v>393.39485760094476</v>
      </c>
      <c r="U25" s="55">
        <f t="shared" ref="U25" si="20">+U15-U21</f>
        <v>458.77898819406971</v>
      </c>
    </row>
    <row r="26" spans="1:21">
      <c r="A26" s="51" t="s">
        <v>25</v>
      </c>
      <c r="C26" s="56"/>
      <c r="D26" s="56">
        <f>+D25/C25-1</f>
        <v>0.21646564534562596</v>
      </c>
      <c r="E26" s="56">
        <f>+E25/D25-1</f>
        <v>-3.5407027899982322</v>
      </c>
      <c r="F26" s="56">
        <f t="shared" ref="F26:U26" si="21">+IFERROR(F25/E25-1,"-")</f>
        <v>-1.5316142942300521</v>
      </c>
      <c r="G26" s="56">
        <f t="shared" si="21"/>
        <v>42.502801100823262</v>
      </c>
      <c r="H26" s="56">
        <f t="shared" si="21"/>
        <v>-1.5160362248356536</v>
      </c>
      <c r="I26" s="56">
        <f t="shared" si="21"/>
        <v>-6.2896154891463607E-2</v>
      </c>
      <c r="J26" s="56">
        <f t="shared" si="21"/>
        <v>1.0704784827226286</v>
      </c>
      <c r="K26" s="56">
        <f t="shared" si="21"/>
        <v>0.60533794275334674</v>
      </c>
      <c r="L26" s="56">
        <f t="shared" si="21"/>
        <v>0.49186422118806483</v>
      </c>
      <c r="M26" s="56">
        <f t="shared" si="21"/>
        <v>0.43312867675392419</v>
      </c>
      <c r="N26" s="56">
        <f t="shared" si="21"/>
        <v>0.3754065434130287</v>
      </c>
      <c r="O26" s="56">
        <f t="shared" si="21"/>
        <v>0.31853114064179677</v>
      </c>
      <c r="P26" s="56">
        <f t="shared" si="21"/>
        <v>0.28340994839325173</v>
      </c>
      <c r="Q26" s="56">
        <f t="shared" si="21"/>
        <v>0.25928887972791914</v>
      </c>
      <c r="R26" s="56">
        <f t="shared" si="21"/>
        <v>0.23555586109365145</v>
      </c>
      <c r="S26" s="56">
        <f t="shared" si="21"/>
        <v>0.21215854733722272</v>
      </c>
      <c r="T26" s="56">
        <f t="shared" si="21"/>
        <v>0.18905360284350015</v>
      </c>
      <c r="U26" s="56">
        <f t="shared" si="21"/>
        <v>0.16620484312341954</v>
      </c>
    </row>
    <row r="27" spans="1:21">
      <c r="A27" s="51" t="s">
        <v>27</v>
      </c>
      <c r="C27" s="56">
        <f t="shared" ref="C27:T27" si="22">+C25/C7</f>
        <v>-0.72794117647058798</v>
      </c>
      <c r="D27" s="56">
        <f t="shared" si="22"/>
        <v>-9.1418563922942203E-2</v>
      </c>
      <c r="E27" s="56">
        <f t="shared" si="22"/>
        <v>6.2402601835439955E-2</v>
      </c>
      <c r="F27" s="56">
        <f t="shared" si="22"/>
        <v>-7.2753125709368021E-3</v>
      </c>
      <c r="G27" s="56">
        <f t="shared" si="22"/>
        <v>-0.14396997185755817</v>
      </c>
      <c r="H27" s="56">
        <f t="shared" si="22"/>
        <v>4.0526553656911976E-2</v>
      </c>
      <c r="I27" s="56">
        <f t="shared" si="22"/>
        <v>2.1799089355999793E-2</v>
      </c>
      <c r="J27" s="56">
        <f t="shared" si="22"/>
        <v>2.8209090909090909E-2</v>
      </c>
      <c r="K27" s="56">
        <f t="shared" si="22"/>
        <v>3.0190082644628091E-2</v>
      </c>
      <c r="L27" s="56">
        <f t="shared" si="22"/>
        <v>3.2171074380165282E-2</v>
      </c>
      <c r="M27" s="56">
        <f t="shared" si="22"/>
        <v>3.4152066115702477E-2</v>
      </c>
      <c r="N27" s="56">
        <f t="shared" si="22"/>
        <v>3.6133057851239665E-2</v>
      </c>
      <c r="O27" s="56">
        <f t="shared" si="22"/>
        <v>3.8114049586776853E-2</v>
      </c>
      <c r="P27" s="56">
        <f t="shared" si="22"/>
        <v>4.0095041322314035E-2</v>
      </c>
      <c r="Q27" s="56">
        <f t="shared" si="22"/>
        <v>4.2076033057851223E-2</v>
      </c>
      <c r="R27" s="56">
        <f t="shared" si="22"/>
        <v>4.4057024793388404E-2</v>
      </c>
      <c r="S27" s="56">
        <f t="shared" si="22"/>
        <v>4.6038016528925606E-2</v>
      </c>
      <c r="T27" s="56">
        <f t="shared" si="22"/>
        <v>4.8019008264462794E-2</v>
      </c>
      <c r="U27" s="59">
        <f t="shared" ref="U27" si="23">+U25/U7</f>
        <v>5.000000000000001E-2</v>
      </c>
    </row>
    <row r="28" spans="1:21" hidden="1" outlineLevel="1">
      <c r="A28" s="51" t="s">
        <v>29</v>
      </c>
      <c r="C28" s="52"/>
      <c r="D28" s="52">
        <f t="shared" ref="D28:U28" si="24">(D25-C25)/(D7-C7)</f>
        <v>-1.8140371539989014E-2</v>
      </c>
      <c r="E28" s="52">
        <f t="shared" si="24"/>
        <v>0.1189113137101631</v>
      </c>
      <c r="F28" s="52">
        <f t="shared" si="24"/>
        <v>-2.6848750585501249E-2</v>
      </c>
      <c r="G28" s="52">
        <f t="shared" si="24"/>
        <v>-0.25803897464851067</v>
      </c>
      <c r="H28" s="52">
        <f t="shared" si="24"/>
        <v>0.26195491086508338</v>
      </c>
      <c r="I28" s="52">
        <f t="shared" si="24"/>
        <v>-3.4345027635942333E-3</v>
      </c>
      <c r="J28" s="52">
        <f t="shared" si="24"/>
        <v>3.8892426830909432E-2</v>
      </c>
      <c r="K28" s="52">
        <f t="shared" si="24"/>
        <v>3.4152066115702449E-2</v>
      </c>
      <c r="L28" s="52">
        <f t="shared" si="24"/>
        <v>3.7123553719008273E-2</v>
      </c>
      <c r="M28" s="52">
        <f t="shared" si="24"/>
        <v>3.9812042502951596E-2</v>
      </c>
      <c r="N28" s="52">
        <f t="shared" si="24"/>
        <v>4.2736363636363621E-2</v>
      </c>
      <c r="O28" s="52">
        <f t="shared" si="24"/>
        <v>4.6038016528925613E-2</v>
      </c>
      <c r="P28" s="52">
        <f t="shared" si="24"/>
        <v>4.9099549211119399E-2</v>
      </c>
      <c r="Q28" s="52">
        <f t="shared" si="24"/>
        <v>5.1980991735537177E-2</v>
      </c>
      <c r="R28" s="52">
        <f t="shared" si="24"/>
        <v>5.5062534435261656E-2</v>
      </c>
      <c r="S28" s="52">
        <f t="shared" si="24"/>
        <v>5.8419214876033097E-2</v>
      </c>
      <c r="T28" s="52">
        <f t="shared" si="24"/>
        <v>6.2168949232585556E-2</v>
      </c>
      <c r="U28" s="52">
        <f t="shared" si="24"/>
        <v>6.6508264462810093E-2</v>
      </c>
    </row>
    <row r="29" spans="1:21" collapsed="1">
      <c r="A29" s="51" t="s">
        <v>30</v>
      </c>
      <c r="C29" s="52">
        <f t="shared" ref="C29:J29" si="25">+C25/C$10</f>
        <v>-1.4092526690391454</v>
      </c>
      <c r="D29" s="52">
        <f t="shared" si="25"/>
        <v>-0.35680109364319884</v>
      </c>
      <c r="E29" s="52">
        <f t="shared" si="25"/>
        <v>0.22197397569696023</v>
      </c>
      <c r="F29" s="52">
        <f t="shared" si="25"/>
        <v>-3.0746982579211081E-2</v>
      </c>
      <c r="G29" s="52">
        <f t="shared" si="25"/>
        <v>-0.80717979541047091</v>
      </c>
      <c r="H29" s="52">
        <f t="shared" si="25"/>
        <v>0.17649185912019597</v>
      </c>
      <c r="I29" s="52">
        <f t="shared" si="25"/>
        <v>0.10443651130195793</v>
      </c>
      <c r="J29" s="52">
        <f t="shared" si="25"/>
        <v>0.13446249296400262</v>
      </c>
      <c r="K29" s="34"/>
      <c r="L29" s="34"/>
      <c r="M29" s="34"/>
      <c r="N29" s="34"/>
      <c r="O29" s="34"/>
      <c r="P29" s="34"/>
      <c r="Q29" s="34"/>
      <c r="R29" s="34"/>
      <c r="S29" s="34"/>
      <c r="T29" s="34"/>
      <c r="U29" s="34"/>
    </row>
    <row r="30" spans="1:21">
      <c r="C30" s="34"/>
      <c r="D30" s="34"/>
      <c r="E30" s="34"/>
      <c r="F30" s="34"/>
      <c r="G30" s="34"/>
      <c r="H30" s="34"/>
      <c r="I30" s="34"/>
      <c r="J30" s="34"/>
      <c r="K30" s="34"/>
      <c r="L30" s="34"/>
      <c r="M30" s="34"/>
      <c r="N30" s="34"/>
      <c r="O30" s="34"/>
      <c r="P30" s="34"/>
      <c r="Q30" s="34"/>
      <c r="R30" s="34"/>
      <c r="S30" s="34"/>
      <c r="T30" s="34"/>
      <c r="U30" s="34"/>
    </row>
    <row r="31" spans="1:21">
      <c r="A31" s="35" t="s">
        <v>34</v>
      </c>
      <c r="B31" s="58"/>
      <c r="C31" s="53">
        <f>+'Historical - USD'!Q130</f>
        <v>0</v>
      </c>
      <c r="D31" s="53">
        <f>+'Historical - USD'!R130</f>
        <v>0.17089653633556959</v>
      </c>
      <c r="E31" s="53">
        <f>+'Historical - USD'!S130</f>
        <v>0.24489991939785954</v>
      </c>
      <c r="F31" s="53">
        <f>+'Historical - USD'!T130</f>
        <v>0.49888073518175047</v>
      </c>
      <c r="G31" s="53">
        <f>+'Historical - USD'!U130</f>
        <v>1.2840357889516987</v>
      </c>
      <c r="H31" s="53">
        <f>+'Historical - USD'!V130</f>
        <v>2.739214733075678</v>
      </c>
      <c r="I31" s="53">
        <f>+'Historical - USD'!W130</f>
        <v>4.2578292722233622</v>
      </c>
      <c r="J31" s="55">
        <f t="shared" ref="J31:T31" si="26">+J32*J7</f>
        <v>7.6085451349417736</v>
      </c>
      <c r="K31" s="55">
        <f t="shared" si="26"/>
        <v>12.606845151489253</v>
      </c>
      <c r="L31" s="55">
        <f t="shared" si="26"/>
        <v>19.321221640792182</v>
      </c>
      <c r="M31" s="55">
        <f t="shared" si="26"/>
        <v>28.340361093824203</v>
      </c>
      <c r="N31" s="55">
        <f t="shared" si="26"/>
        <v>39.776194864352654</v>
      </c>
      <c r="O31" s="55">
        <f t="shared" si="26"/>
        <v>53.387400383417294</v>
      </c>
      <c r="P31" s="55">
        <f t="shared" si="26"/>
        <v>69.606559767400398</v>
      </c>
      <c r="Q31" s="55">
        <f t="shared" si="26"/>
        <v>88.896589280438064</v>
      </c>
      <c r="R31" s="55">
        <f t="shared" si="26"/>
        <v>111.23306207119484</v>
      </c>
      <c r="S31" s="55">
        <f t="shared" si="26"/>
        <v>136.37905259810842</v>
      </c>
      <c r="T31" s="55">
        <f t="shared" si="26"/>
        <v>163.84963864073913</v>
      </c>
      <c r="U31" s="55">
        <f t="shared" ref="U31" si="27">+U32*U7</f>
        <v>183.51159527762786</v>
      </c>
    </row>
    <row r="32" spans="1:21">
      <c r="A32" s="51" t="s">
        <v>32</v>
      </c>
      <c r="C32" s="56">
        <f t="shared" ref="C32:H32" si="28">+C31/C7</f>
        <v>0</v>
      </c>
      <c r="D32" s="56">
        <f t="shared" si="28"/>
        <v>4.1856392294220661E-2</v>
      </c>
      <c r="E32" s="56">
        <f t="shared" si="28"/>
        <v>1.6115048341084411E-2</v>
      </c>
      <c r="F32" s="56">
        <f t="shared" si="28"/>
        <v>7.1993288743090753E-3</v>
      </c>
      <c r="G32" s="56">
        <f t="shared" si="28"/>
        <v>8.4289882736915938E-3</v>
      </c>
      <c r="H32" s="56">
        <f t="shared" si="28"/>
        <v>9.8087115682292461E-3</v>
      </c>
      <c r="I32" s="56">
        <f t="shared" ref="I32" si="29">+I31/I7</f>
        <v>8.7515521874409179E-3</v>
      </c>
      <c r="J32" s="56">
        <f t="shared" ref="J32:S32" si="30">($T$32-$I$32)/11+I32</f>
        <v>9.774138352219016E-3</v>
      </c>
      <c r="K32" s="56">
        <f t="shared" si="30"/>
        <v>1.0796724516997114E-2</v>
      </c>
      <c r="L32" s="56">
        <f t="shared" si="30"/>
        <v>1.1819310681775212E-2</v>
      </c>
      <c r="M32" s="56">
        <f t="shared" si="30"/>
        <v>1.284189684655331E-2</v>
      </c>
      <c r="N32" s="56">
        <f t="shared" si="30"/>
        <v>1.3864483011331408E-2</v>
      </c>
      <c r="O32" s="56">
        <f t="shared" si="30"/>
        <v>1.4887069176109506E-2</v>
      </c>
      <c r="P32" s="56">
        <f t="shared" si="30"/>
        <v>1.5909655340887605E-2</v>
      </c>
      <c r="Q32" s="56">
        <f t="shared" si="30"/>
        <v>1.6932241505665704E-2</v>
      </c>
      <c r="R32" s="56">
        <f t="shared" si="30"/>
        <v>1.7954827670443804E-2</v>
      </c>
      <c r="S32" s="56">
        <f t="shared" si="30"/>
        <v>1.8977413835221904E-2</v>
      </c>
      <c r="T32" s="118">
        <f>+T22</f>
        <v>0.02</v>
      </c>
      <c r="U32" s="118">
        <f>+U22</f>
        <v>0.02</v>
      </c>
    </row>
    <row r="33" spans="1:31" collapsed="1">
      <c r="A33" s="51" t="s">
        <v>30</v>
      </c>
      <c r="C33" s="52">
        <f t="shared" ref="C33:H33" si="31">+C31/C$10</f>
        <v>0</v>
      </c>
      <c r="D33" s="52">
        <f t="shared" si="31"/>
        <v>0.16336295283663704</v>
      </c>
      <c r="E33" s="52">
        <f t="shared" si="31"/>
        <v>5.7323272485534024E-2</v>
      </c>
      <c r="F33" s="52">
        <f t="shared" si="31"/>
        <v>3.0425859689474408E-2</v>
      </c>
      <c r="G33" s="52">
        <f t="shared" si="31"/>
        <v>4.7257833994766157E-2</v>
      </c>
      <c r="H33" s="52">
        <f t="shared" si="31"/>
        <v>4.271662858150032E-2</v>
      </c>
      <c r="I33" s="52">
        <f t="shared" ref="I33:J33" si="32">+I31/I$10</f>
        <v>4.1927511925253499E-2</v>
      </c>
      <c r="J33" s="52">
        <f t="shared" si="32"/>
        <v>4.6589768300221761E-2</v>
      </c>
      <c r="K33" s="34"/>
      <c r="L33" s="34"/>
      <c r="M33" s="34"/>
      <c r="N33" s="34"/>
      <c r="O33" s="34"/>
      <c r="P33" s="34"/>
      <c r="Q33" s="34"/>
      <c r="R33" s="34"/>
      <c r="S33" s="34"/>
      <c r="T33" s="34"/>
      <c r="U33" s="34"/>
    </row>
    <row r="34" spans="1:31">
      <c r="C34" s="34"/>
      <c r="D34" s="34"/>
      <c r="E34" s="34"/>
      <c r="F34" s="34"/>
      <c r="G34" s="34"/>
      <c r="H34" s="34"/>
      <c r="I34" s="34"/>
      <c r="J34" s="34"/>
      <c r="K34" s="34"/>
      <c r="L34" s="34"/>
      <c r="M34" s="34"/>
      <c r="N34" s="34"/>
      <c r="O34" s="34"/>
      <c r="P34" s="34"/>
      <c r="Q34" s="34"/>
      <c r="R34" s="34"/>
      <c r="S34" s="34"/>
      <c r="T34" s="34"/>
      <c r="U34" s="34"/>
    </row>
    <row r="35" spans="1:31" s="34" customFormat="1">
      <c r="A35" s="50" t="s">
        <v>35</v>
      </c>
      <c r="B35" s="54"/>
      <c r="C35" s="55">
        <f t="shared" ref="C35:T35" si="33">+C15-C31</f>
        <v>0.13094759697307962</v>
      </c>
      <c r="D35" s="55">
        <f t="shared" si="33"/>
        <v>0.26242271479143953</v>
      </c>
      <c r="E35" s="55">
        <f t="shared" si="33"/>
        <v>1.5884798607140842</v>
      </c>
      <c r="F35" s="55">
        <f t="shared" si="33"/>
        <v>1.0316940673097243</v>
      </c>
      <c r="G35" s="55">
        <f t="shared" si="33"/>
        <v>-17.149304715449933</v>
      </c>
      <c r="H35" s="55">
        <f t="shared" si="33"/>
        <v>16.676784454669743</v>
      </c>
      <c r="I35" s="55">
        <f t="shared" si="33"/>
        <v>15.704950727333127</v>
      </c>
      <c r="J35" s="55">
        <f t="shared" ref="J35" si="34">+J15-J31</f>
        <v>29.919166350035798</v>
      </c>
      <c r="K35" s="55">
        <f t="shared" si="33"/>
        <v>45.997836207673345</v>
      </c>
      <c r="L35" s="55">
        <f t="shared" si="33"/>
        <v>65.963692046410188</v>
      </c>
      <c r="M35" s="55">
        <f t="shared" si="33"/>
        <v>91.166058092804917</v>
      </c>
      <c r="N35" s="55">
        <f t="shared" si="33"/>
        <v>121.26547149984287</v>
      </c>
      <c r="O35" s="55">
        <f t="shared" si="33"/>
        <v>155.01883434879917</v>
      </c>
      <c r="P35" s="55">
        <f t="shared" si="33"/>
        <v>193.31611177380958</v>
      </c>
      <c r="Q35" s="55">
        <f t="shared" si="33"/>
        <v>237.01109477050105</v>
      </c>
      <c r="R35" s="55">
        <f t="shared" si="33"/>
        <v>285.61056938666809</v>
      </c>
      <c r="S35" s="55">
        <f t="shared" si="33"/>
        <v>338.19573445520814</v>
      </c>
      <c r="T35" s="55">
        <f t="shared" si="33"/>
        <v>393.39485760094476</v>
      </c>
      <c r="U35" s="55">
        <f t="shared" ref="U35" si="35">+U15-U31</f>
        <v>458.77898819406971</v>
      </c>
    </row>
    <row r="36" spans="1:31">
      <c r="A36" s="51" t="s">
        <v>25</v>
      </c>
      <c r="C36" s="56"/>
      <c r="D36" s="56">
        <f t="shared" ref="D36:U36" si="36">+D35/C35-1</f>
        <v>1.00402848816988</v>
      </c>
      <c r="E36" s="56">
        <f t="shared" si="36"/>
        <v>5.0531340130999283</v>
      </c>
      <c r="F36" s="56">
        <f t="shared" si="36"/>
        <v>-0.35051485837161489</v>
      </c>
      <c r="G36" s="56">
        <f t="shared" si="36"/>
        <v>-17.622471000699811</v>
      </c>
      <c r="H36" s="56">
        <f t="shared" si="36"/>
        <v>-1.972446681155855</v>
      </c>
      <c r="I36" s="56">
        <f t="shared" si="36"/>
        <v>-5.8274647008733638E-2</v>
      </c>
      <c r="J36" s="56">
        <f t="shared" si="36"/>
        <v>0.90507865127930898</v>
      </c>
      <c r="K36" s="56">
        <f t="shared" si="36"/>
        <v>0.53740367193146432</v>
      </c>
      <c r="L36" s="56">
        <f t="shared" si="36"/>
        <v>0.43406076208876421</v>
      </c>
      <c r="M36" s="56">
        <f t="shared" si="36"/>
        <v>0.38206421236493338</v>
      </c>
      <c r="N36" s="56">
        <f t="shared" si="36"/>
        <v>0.33016030348046255</v>
      </c>
      <c r="O36" s="56">
        <f t="shared" si="36"/>
        <v>0.27834273376820229</v>
      </c>
      <c r="P36" s="56">
        <f t="shared" si="36"/>
        <v>0.24704918977032087</v>
      </c>
      <c r="Q36" s="56">
        <f t="shared" si="36"/>
        <v>0.22602866670428901</v>
      </c>
      <c r="R36" s="56">
        <f t="shared" si="36"/>
        <v>0.2050514751776753</v>
      </c>
      <c r="S36" s="56">
        <f t="shared" si="36"/>
        <v>0.18411491276903225</v>
      </c>
      <c r="T36" s="56">
        <f t="shared" si="36"/>
        <v>0.1632164971999297</v>
      </c>
      <c r="U36" s="56">
        <f t="shared" si="36"/>
        <v>0.16620484312341954</v>
      </c>
    </row>
    <row r="37" spans="1:31">
      <c r="A37" s="51" t="s">
        <v>27</v>
      </c>
      <c r="C37" s="52">
        <f t="shared" ref="C37:T37" si="37">+C35/C7</f>
        <v>0.31066176470588236</v>
      </c>
      <c r="D37" s="52">
        <f t="shared" si="37"/>
        <v>6.4273204903677758E-2</v>
      </c>
      <c r="E37" s="52">
        <f t="shared" si="37"/>
        <v>0.10452608480715667</v>
      </c>
      <c r="F37" s="52">
        <f t="shared" si="37"/>
        <v>1.4888337761790516E-2</v>
      </c>
      <c r="G37" s="52">
        <f t="shared" si="37"/>
        <v>-0.112575747181085</v>
      </c>
      <c r="H37" s="52">
        <f t="shared" si="37"/>
        <v>5.9717030076614115E-2</v>
      </c>
      <c r="I37" s="52">
        <f t="shared" si="37"/>
        <v>3.2279992245831397E-2</v>
      </c>
      <c r="J37" s="52">
        <f t="shared" ref="J37" si="38">+J35/J7</f>
        <v>3.843495255687189E-2</v>
      </c>
      <c r="K37" s="52">
        <f t="shared" si="37"/>
        <v>3.9393358127630979E-2</v>
      </c>
      <c r="L37" s="52">
        <f t="shared" si="37"/>
        <v>4.0351763698390067E-2</v>
      </c>
      <c r="M37" s="52">
        <f t="shared" si="37"/>
        <v>4.1310169269149169E-2</v>
      </c>
      <c r="N37" s="52">
        <f t="shared" si="37"/>
        <v>4.2268574839908257E-2</v>
      </c>
      <c r="O37" s="52">
        <f t="shared" si="37"/>
        <v>4.3226980410667346E-2</v>
      </c>
      <c r="P37" s="52">
        <f t="shared" si="37"/>
        <v>4.4185385981426427E-2</v>
      </c>
      <c r="Q37" s="52">
        <f t="shared" si="37"/>
        <v>4.5143791552185522E-2</v>
      </c>
      <c r="R37" s="52">
        <f t="shared" si="37"/>
        <v>4.610219712294461E-2</v>
      </c>
      <c r="S37" s="52">
        <f t="shared" si="37"/>
        <v>4.7060602693703706E-2</v>
      </c>
      <c r="T37" s="52">
        <f t="shared" si="37"/>
        <v>4.8019008264462794E-2</v>
      </c>
      <c r="U37" s="52">
        <f t="shared" ref="U37" si="39">+U35/U7</f>
        <v>5.000000000000001E-2</v>
      </c>
    </row>
    <row r="38" spans="1:31">
      <c r="A38" s="51" t="s">
        <v>30</v>
      </c>
      <c r="C38" s="52">
        <f t="shared" ref="C38:I38" si="40">+C35/C10</f>
        <v>0.60142348754448394</v>
      </c>
      <c r="D38" s="52">
        <f t="shared" si="40"/>
        <v>0.25085440874914561</v>
      </c>
      <c r="E38" s="52">
        <f t="shared" si="40"/>
        <v>0.37181255150013914</v>
      </c>
      <c r="F38" s="52">
        <f t="shared" si="40"/>
        <v>6.2921208859654368E-2</v>
      </c>
      <c r="G38" s="52">
        <f t="shared" si="40"/>
        <v>-0.63116542571608925</v>
      </c>
      <c r="H38" s="52">
        <f t="shared" si="40"/>
        <v>0.2600657768381624</v>
      </c>
      <c r="I38" s="52">
        <f t="shared" si="40"/>
        <v>0.15464911033455725</v>
      </c>
      <c r="J38" s="52">
        <f t="shared" ref="J38" si="41">+J35/J10</f>
        <v>0.18320546218257097</v>
      </c>
      <c r="K38" s="52"/>
      <c r="L38" s="52"/>
      <c r="M38" s="52"/>
      <c r="N38" s="52"/>
      <c r="O38" s="52"/>
      <c r="P38" s="52"/>
      <c r="Q38" s="52"/>
      <c r="R38" s="52"/>
      <c r="S38" s="52"/>
      <c r="T38" s="52"/>
      <c r="U38" s="52"/>
    </row>
    <row r="39" spans="1:31">
      <c r="C39" s="34"/>
      <c r="D39" s="34"/>
      <c r="E39" s="34"/>
      <c r="F39" s="34"/>
      <c r="G39" s="34"/>
      <c r="H39" s="34"/>
      <c r="I39" s="34"/>
      <c r="J39" s="34"/>
      <c r="K39" s="34"/>
      <c r="L39" s="34"/>
      <c r="M39" s="34"/>
      <c r="N39" s="34"/>
      <c r="O39" s="34"/>
      <c r="P39" s="34"/>
      <c r="Q39" s="34"/>
      <c r="R39" s="34"/>
      <c r="S39" s="34"/>
      <c r="T39" s="34"/>
      <c r="U39" s="34"/>
    </row>
    <row r="40" spans="1:31">
      <c r="A40" s="35" t="s">
        <v>36</v>
      </c>
      <c r="B40" s="58"/>
      <c r="C40" s="53">
        <f>+'Historical - USD'!Q132</f>
        <v>0</v>
      </c>
      <c r="D40" s="53">
        <f>+'Historical - USD'!R132</f>
        <v>0</v>
      </c>
      <c r="E40" s="53">
        <f>+'Historical - USD'!S132</f>
        <v>0</v>
      </c>
      <c r="F40" s="53">
        <f>+'Historical - USD'!T132</f>
        <v>-7.0749051826770768E-3</v>
      </c>
      <c r="G40" s="53">
        <f>+'Historical - USD'!U132</f>
        <v>-2.5816387697817581E-2</v>
      </c>
      <c r="H40" s="53">
        <f>+'Historical - USD'!V132</f>
        <v>-0.16662784528069635</v>
      </c>
      <c r="I40" s="53">
        <f>+'Historical - USD'!W132</f>
        <v>-1.3713725277292057</v>
      </c>
      <c r="J40" s="55">
        <v>0</v>
      </c>
      <c r="K40" s="55">
        <v>0</v>
      </c>
      <c r="L40" s="55">
        <v>0</v>
      </c>
      <c r="M40" s="55">
        <v>0</v>
      </c>
      <c r="N40" s="55">
        <v>0</v>
      </c>
      <c r="O40" s="55">
        <v>0</v>
      </c>
      <c r="P40" s="55">
        <v>0</v>
      </c>
      <c r="Q40" s="55">
        <v>0</v>
      </c>
      <c r="R40" s="55">
        <v>0</v>
      </c>
      <c r="S40" s="55">
        <v>0</v>
      </c>
      <c r="T40" s="55">
        <v>0</v>
      </c>
      <c r="U40" s="55">
        <v>0</v>
      </c>
    </row>
    <row r="41" spans="1:31" hidden="1" outlineLevel="1">
      <c r="A41" s="51" t="s">
        <v>37</v>
      </c>
      <c r="C41" s="57"/>
      <c r="D41" s="57"/>
      <c r="E41" s="57"/>
      <c r="F41" s="57"/>
      <c r="G41" s="57">
        <v>0.05</v>
      </c>
      <c r="H41" s="57">
        <f t="shared" ref="H41:P41" si="42">G41</f>
        <v>0.05</v>
      </c>
      <c r="I41" s="57">
        <f t="shared" si="42"/>
        <v>0.05</v>
      </c>
      <c r="J41" s="57">
        <f t="shared" si="42"/>
        <v>0.05</v>
      </c>
      <c r="K41" s="57">
        <f t="shared" si="42"/>
        <v>0.05</v>
      </c>
      <c r="L41" s="57">
        <f t="shared" si="42"/>
        <v>0.05</v>
      </c>
      <c r="M41" s="57">
        <f t="shared" si="42"/>
        <v>0.05</v>
      </c>
      <c r="N41" s="57">
        <f t="shared" si="42"/>
        <v>0.05</v>
      </c>
      <c r="O41" s="57">
        <f t="shared" si="42"/>
        <v>0.05</v>
      </c>
      <c r="P41" s="57">
        <f t="shared" si="42"/>
        <v>0.05</v>
      </c>
      <c r="Q41" s="57"/>
      <c r="R41" s="57"/>
      <c r="S41" s="57"/>
      <c r="T41" s="57"/>
      <c r="U41" s="57"/>
    </row>
    <row r="42" spans="1:31" collapsed="1">
      <c r="C42" s="34"/>
      <c r="D42" s="34"/>
      <c r="E42" s="34"/>
      <c r="F42" s="34"/>
      <c r="G42" s="34"/>
      <c r="H42" s="34"/>
      <c r="I42" s="34"/>
      <c r="J42" s="34"/>
      <c r="K42" s="34"/>
      <c r="L42" s="34"/>
      <c r="M42" s="34"/>
      <c r="N42" s="34"/>
      <c r="O42" s="34"/>
      <c r="P42" s="34"/>
      <c r="Q42" s="34"/>
      <c r="R42" s="34"/>
      <c r="S42" s="34"/>
      <c r="T42" s="34"/>
      <c r="U42" s="34"/>
    </row>
    <row r="43" spans="1:31">
      <c r="A43" s="34" t="s">
        <v>38</v>
      </c>
      <c r="B43" s="54"/>
      <c r="C43" s="55">
        <f t="shared" ref="C43:T43" si="43">+MAX((C15-C31-C40)*C44,0)</f>
        <v>3.9284279091923884E-2</v>
      </c>
      <c r="D43" s="55">
        <f t="shared" si="43"/>
        <v>7.8726814437431861E-2</v>
      </c>
      <c r="E43" s="55">
        <f t="shared" si="43"/>
        <v>0.47654395821422524</v>
      </c>
      <c r="F43" s="55">
        <f t="shared" si="43"/>
        <v>0.3116306917477204</v>
      </c>
      <c r="G43" s="55">
        <f t="shared" si="43"/>
        <v>0</v>
      </c>
      <c r="H43" s="55">
        <f t="shared" si="43"/>
        <v>5.0530236899851317</v>
      </c>
      <c r="I43" s="55">
        <f t="shared" si="43"/>
        <v>5.1228969765187005</v>
      </c>
      <c r="J43" s="55">
        <f t="shared" si="43"/>
        <v>8.9757499050107388</v>
      </c>
      <c r="K43" s="55">
        <f t="shared" si="43"/>
        <v>13.799350862302003</v>
      </c>
      <c r="L43" s="55">
        <f t="shared" si="43"/>
        <v>19.789107613923054</v>
      </c>
      <c r="M43" s="55">
        <f t="shared" si="43"/>
        <v>27.349817427841476</v>
      </c>
      <c r="N43" s="55">
        <f t="shared" si="43"/>
        <v>36.379641449952864</v>
      </c>
      <c r="O43" s="55">
        <f t="shared" si="43"/>
        <v>46.505650304639751</v>
      </c>
      <c r="P43" s="55">
        <f t="shared" si="43"/>
        <v>57.99483353214287</v>
      </c>
      <c r="Q43" s="55">
        <f t="shared" si="43"/>
        <v>71.103328431150317</v>
      </c>
      <c r="R43" s="55">
        <f t="shared" si="43"/>
        <v>85.683170816000427</v>
      </c>
      <c r="S43" s="55">
        <f t="shared" si="43"/>
        <v>101.45872033656244</v>
      </c>
      <c r="T43" s="55">
        <f t="shared" si="43"/>
        <v>118.01845728028343</v>
      </c>
      <c r="U43" s="55">
        <f t="shared" ref="U43" si="44">+MAX((U15-U31-U40)*U44,0)</f>
        <v>137.6336964582209</v>
      </c>
      <c r="V43" s="34"/>
      <c r="W43" s="34"/>
      <c r="X43" s="34"/>
      <c r="Y43" s="34"/>
      <c r="Z43" s="34"/>
      <c r="AA43" s="34"/>
      <c r="AB43" s="34"/>
      <c r="AC43" s="34"/>
      <c r="AD43" s="34"/>
      <c r="AE43" s="34"/>
    </row>
    <row r="44" spans="1:31">
      <c r="A44" s="51" t="s">
        <v>37</v>
      </c>
      <c r="C44" s="118">
        <v>0.3</v>
      </c>
      <c r="D44" s="118">
        <f t="shared" ref="D44:U44" si="45">C44</f>
        <v>0.3</v>
      </c>
      <c r="E44" s="118">
        <f t="shared" si="45"/>
        <v>0.3</v>
      </c>
      <c r="F44" s="118">
        <f t="shared" si="45"/>
        <v>0.3</v>
      </c>
      <c r="G44" s="118">
        <f t="shared" si="45"/>
        <v>0.3</v>
      </c>
      <c r="H44" s="118">
        <f t="shared" si="45"/>
        <v>0.3</v>
      </c>
      <c r="I44" s="118">
        <f t="shared" si="45"/>
        <v>0.3</v>
      </c>
      <c r="J44" s="118">
        <f t="shared" si="45"/>
        <v>0.3</v>
      </c>
      <c r="K44" s="118">
        <f t="shared" si="45"/>
        <v>0.3</v>
      </c>
      <c r="L44" s="118">
        <f t="shared" si="45"/>
        <v>0.3</v>
      </c>
      <c r="M44" s="118">
        <f t="shared" si="45"/>
        <v>0.3</v>
      </c>
      <c r="N44" s="118">
        <f t="shared" si="45"/>
        <v>0.3</v>
      </c>
      <c r="O44" s="118">
        <f t="shared" si="45"/>
        <v>0.3</v>
      </c>
      <c r="P44" s="118">
        <f t="shared" si="45"/>
        <v>0.3</v>
      </c>
      <c r="Q44" s="118">
        <f t="shared" si="45"/>
        <v>0.3</v>
      </c>
      <c r="R44" s="118">
        <f t="shared" si="45"/>
        <v>0.3</v>
      </c>
      <c r="S44" s="118">
        <f t="shared" si="45"/>
        <v>0.3</v>
      </c>
      <c r="T44" s="118">
        <f t="shared" si="45"/>
        <v>0.3</v>
      </c>
      <c r="U44" s="118">
        <f t="shared" si="45"/>
        <v>0.3</v>
      </c>
    </row>
    <row r="45" spans="1:31">
      <c r="C45" s="34"/>
      <c r="D45" s="60"/>
      <c r="E45" s="60"/>
      <c r="F45" s="34"/>
      <c r="G45" s="34"/>
      <c r="H45" s="34"/>
      <c r="I45" s="34"/>
      <c r="J45" s="34"/>
      <c r="K45" s="34"/>
      <c r="L45" s="34"/>
      <c r="M45" s="34"/>
      <c r="N45" s="34"/>
      <c r="O45" s="34"/>
      <c r="P45" s="34"/>
      <c r="Q45" s="34"/>
      <c r="R45" s="34"/>
      <c r="S45" s="34"/>
      <c r="T45" s="34"/>
      <c r="U45" s="34"/>
    </row>
    <row r="46" spans="1:31">
      <c r="A46" s="35" t="s">
        <v>39</v>
      </c>
      <c r="B46" s="58"/>
      <c r="C46" s="55">
        <f t="shared" ref="C46:T46" si="46">+C25-C40-C43</f>
        <v>-0.34612006844896243</v>
      </c>
      <c r="D46" s="55">
        <f t="shared" si="46"/>
        <v>-0.45198201095277629</v>
      </c>
      <c r="E46" s="55">
        <f t="shared" si="46"/>
        <v>0.4717865609536489</v>
      </c>
      <c r="F46" s="55">
        <f t="shared" si="46"/>
        <v>-0.80870184620929175</v>
      </c>
      <c r="G46" s="55">
        <f t="shared" si="46"/>
        <v>-21.905949370769704</v>
      </c>
      <c r="H46" s="55">
        <f t="shared" si="46"/>
        <v>6.4311897612750002</v>
      </c>
      <c r="I46" s="55">
        <f t="shared" si="46"/>
        <v>6.8542285399188581</v>
      </c>
      <c r="J46" s="55">
        <f t="shared" si="46"/>
        <v>12.983233451181116</v>
      </c>
      <c r="K46" s="55">
        <f t="shared" si="46"/>
        <v>21.452238303682012</v>
      </c>
      <c r="L46" s="55">
        <f t="shared" si="46"/>
        <v>32.801477002829316</v>
      </c>
      <c r="M46" s="55">
        <f t="shared" si="46"/>
        <v>48.019257513680131</v>
      </c>
      <c r="N46" s="55">
        <f t="shared" si="46"/>
        <v>67.283477395602887</v>
      </c>
      <c r="O46" s="55">
        <f t="shared" si="46"/>
        <v>90.17740002927701</v>
      </c>
      <c r="P46" s="55">
        <f t="shared" si="46"/>
        <v>117.42555304314146</v>
      </c>
      <c r="Q46" s="55">
        <f t="shared" si="46"/>
        <v>149.80161366067802</v>
      </c>
      <c r="R46" s="55">
        <f t="shared" si="46"/>
        <v>187.25722513011175</v>
      </c>
      <c r="S46" s="55">
        <f t="shared" si="46"/>
        <v>229.38831352312329</v>
      </c>
      <c r="T46" s="55">
        <f t="shared" si="46"/>
        <v>275.37640032066133</v>
      </c>
      <c r="U46" s="55">
        <f t="shared" ref="U46" si="47">+U25-U40-U43</f>
        <v>321.14529173584879</v>
      </c>
    </row>
    <row r="47" spans="1:31">
      <c r="A47" s="51" t="s">
        <v>25</v>
      </c>
      <c r="C47" s="56"/>
      <c r="D47" s="56">
        <f>+D46/C46-1</f>
        <v>0.30585323462520897</v>
      </c>
      <c r="E47" s="56">
        <f>+E46/D46-1</f>
        <v>-2.0438171199759139</v>
      </c>
      <c r="F47" s="56">
        <f t="shared" ref="F47:U47" si="48">+IFERROR(F46/E46-1,"-")</f>
        <v>-2.7141264994378327</v>
      </c>
      <c r="G47" s="56">
        <f t="shared" si="48"/>
        <v>26.087794436789814</v>
      </c>
      <c r="H47" s="56">
        <f t="shared" si="48"/>
        <v>-1.2935818782570769</v>
      </c>
      <c r="I47" s="56">
        <f t="shared" si="48"/>
        <v>6.5779240598863753E-2</v>
      </c>
      <c r="J47" s="56">
        <f t="shared" si="48"/>
        <v>0.89419325246701131</v>
      </c>
      <c r="K47" s="56">
        <f t="shared" si="48"/>
        <v>0.65230320970085076</v>
      </c>
      <c r="L47" s="56">
        <f t="shared" si="48"/>
        <v>0.52904683131360453</v>
      </c>
      <c r="M47" s="56">
        <f t="shared" si="48"/>
        <v>0.46393583159496732</v>
      </c>
      <c r="N47" s="56">
        <f t="shared" si="48"/>
        <v>0.40117696273072534</v>
      </c>
      <c r="O47" s="56">
        <f t="shared" si="48"/>
        <v>0.34026069281565241</v>
      </c>
      <c r="P47" s="56">
        <f t="shared" si="48"/>
        <v>0.30216166140316814</v>
      </c>
      <c r="Q47" s="56">
        <f t="shared" si="48"/>
        <v>0.27571563240278518</v>
      </c>
      <c r="R47" s="56">
        <f t="shared" si="48"/>
        <v>0.25003476634287813</v>
      </c>
      <c r="S47" s="56">
        <f t="shared" si="48"/>
        <v>0.2249904555818214</v>
      </c>
      <c r="T47" s="56">
        <f t="shared" si="48"/>
        <v>0.20048138499829138</v>
      </c>
      <c r="U47" s="56">
        <f t="shared" si="48"/>
        <v>0.16620484312341932</v>
      </c>
    </row>
    <row r="48" spans="1:31">
      <c r="A48" s="34"/>
      <c r="B48" s="58"/>
      <c r="C48" s="55"/>
      <c r="D48" s="55"/>
      <c r="E48" s="55"/>
      <c r="F48" s="55"/>
      <c r="G48" s="55"/>
      <c r="H48" s="55"/>
      <c r="I48" s="55"/>
      <c r="J48" s="55"/>
      <c r="K48" s="55"/>
      <c r="L48" s="55"/>
      <c r="M48" s="55"/>
      <c r="N48" s="55"/>
      <c r="O48" s="55"/>
      <c r="P48" s="55"/>
      <c r="Q48" s="55"/>
      <c r="R48" s="55"/>
      <c r="S48" s="55"/>
      <c r="T48" s="55"/>
      <c r="U48" s="55"/>
      <c r="V48" s="58"/>
      <c r="W48" s="58"/>
      <c r="X48" s="58"/>
      <c r="Y48" s="58"/>
      <c r="Z48" s="58"/>
      <c r="AA48" s="58"/>
      <c r="AB48" s="58"/>
      <c r="AC48" s="58"/>
      <c r="AD48" s="58"/>
      <c r="AE48" s="58"/>
    </row>
    <row r="49" spans="1:31">
      <c r="A49" s="35" t="s">
        <v>40</v>
      </c>
      <c r="B49" s="58"/>
      <c r="C49" s="55">
        <f t="shared" ref="C49:T49" si="49">+C15-C31-C40-C43</f>
        <v>9.1663317881155726E-2</v>
      </c>
      <c r="D49" s="55">
        <f t="shared" si="49"/>
        <v>0.18369590035400768</v>
      </c>
      <c r="E49" s="55">
        <f t="shared" si="49"/>
        <v>1.111935902499859</v>
      </c>
      <c r="F49" s="55">
        <f t="shared" si="49"/>
        <v>0.72713828074468101</v>
      </c>
      <c r="G49" s="55">
        <f t="shared" si="49"/>
        <v>-17.123488327752117</v>
      </c>
      <c r="H49" s="55">
        <f t="shared" si="49"/>
        <v>11.790388609965309</v>
      </c>
      <c r="I49" s="55">
        <f t="shared" si="49"/>
        <v>11.953426278543635</v>
      </c>
      <c r="J49" s="55">
        <f t="shared" si="49"/>
        <v>20.943416445025058</v>
      </c>
      <c r="K49" s="55">
        <f t="shared" si="49"/>
        <v>32.198485345371338</v>
      </c>
      <c r="L49" s="55">
        <f t="shared" si="49"/>
        <v>46.174584432487137</v>
      </c>
      <c r="M49" s="55">
        <f t="shared" si="49"/>
        <v>63.816240664963445</v>
      </c>
      <c r="N49" s="55">
        <f t="shared" si="49"/>
        <v>84.885830049890018</v>
      </c>
      <c r="O49" s="55">
        <f t="shared" si="49"/>
        <v>108.51318404415943</v>
      </c>
      <c r="P49" s="55">
        <f t="shared" si="49"/>
        <v>135.3212782416667</v>
      </c>
      <c r="Q49" s="55">
        <f t="shared" si="49"/>
        <v>165.90776633935073</v>
      </c>
      <c r="R49" s="55">
        <f t="shared" si="49"/>
        <v>199.92739857066766</v>
      </c>
      <c r="S49" s="55">
        <f t="shared" si="49"/>
        <v>236.7370141186457</v>
      </c>
      <c r="T49" s="55">
        <f t="shared" si="49"/>
        <v>275.37640032066133</v>
      </c>
      <c r="U49" s="55">
        <f t="shared" ref="U49" si="50">+U15-U31-U40-U43</f>
        <v>321.14529173584879</v>
      </c>
    </row>
    <row r="50" spans="1:31">
      <c r="A50" s="51" t="s">
        <v>25</v>
      </c>
      <c r="C50" s="56"/>
      <c r="D50" s="56">
        <f>+D49/C49-1</f>
        <v>1.0040284881698804</v>
      </c>
      <c r="E50" s="56">
        <f>+E49/D49-1</f>
        <v>5.0531340130999283</v>
      </c>
      <c r="F50" s="56">
        <f t="shared" ref="F50:U50" si="51">+IFERROR(F49/E49-1,"-")</f>
        <v>-0.34606097427924964</v>
      </c>
      <c r="G50" s="56">
        <f t="shared" si="51"/>
        <v>-24.549149840131527</v>
      </c>
      <c r="H50" s="56">
        <f t="shared" si="51"/>
        <v>-1.6885506261511312</v>
      </c>
      <c r="I50" s="56">
        <f t="shared" si="51"/>
        <v>1.382801483239704E-2</v>
      </c>
      <c r="J50" s="56">
        <f t="shared" si="51"/>
        <v>0.75208479619089874</v>
      </c>
      <c r="K50" s="56">
        <f t="shared" si="51"/>
        <v>0.53740367193146432</v>
      </c>
      <c r="L50" s="56">
        <f t="shared" si="51"/>
        <v>0.43406076208876443</v>
      </c>
      <c r="M50" s="56">
        <f t="shared" si="51"/>
        <v>0.38206421236493338</v>
      </c>
      <c r="N50" s="56">
        <f t="shared" si="51"/>
        <v>0.33016030348046255</v>
      </c>
      <c r="O50" s="56">
        <f t="shared" si="51"/>
        <v>0.27834273376820251</v>
      </c>
      <c r="P50" s="56">
        <f t="shared" si="51"/>
        <v>0.24704918977032064</v>
      </c>
      <c r="Q50" s="56">
        <f t="shared" si="51"/>
        <v>0.22602866670428901</v>
      </c>
      <c r="R50" s="56">
        <f t="shared" si="51"/>
        <v>0.2050514751776753</v>
      </c>
      <c r="S50" s="56">
        <f t="shared" si="51"/>
        <v>0.18411491276903225</v>
      </c>
      <c r="T50" s="56">
        <f t="shared" si="51"/>
        <v>0.1632164971999297</v>
      </c>
      <c r="U50" s="56">
        <f t="shared" si="51"/>
        <v>0.16620484312341932</v>
      </c>
    </row>
    <row r="51" spans="1:31">
      <c r="A51" s="34"/>
      <c r="B51" s="58"/>
      <c r="C51" s="55"/>
      <c r="D51" s="55"/>
      <c r="E51" s="55"/>
      <c r="F51" s="55"/>
      <c r="G51" s="55"/>
      <c r="H51" s="55"/>
      <c r="I51" s="55"/>
      <c r="J51" s="55"/>
      <c r="K51" s="55"/>
      <c r="L51" s="55"/>
      <c r="M51" s="55"/>
      <c r="N51" s="55"/>
      <c r="O51" s="55"/>
      <c r="P51" s="55"/>
      <c r="Q51" s="55"/>
      <c r="R51" s="55"/>
      <c r="S51" s="55"/>
      <c r="T51" s="55"/>
      <c r="U51" s="55"/>
      <c r="V51" s="58"/>
      <c r="W51" s="58"/>
      <c r="X51" s="58"/>
      <c r="Y51" s="58"/>
      <c r="Z51" s="58"/>
      <c r="AA51" s="58"/>
      <c r="AB51" s="58"/>
      <c r="AC51" s="58"/>
      <c r="AD51" s="58"/>
      <c r="AE51" s="58"/>
    </row>
    <row r="52" spans="1:31" ht="13.5">
      <c r="A52" s="34" t="s">
        <v>41</v>
      </c>
      <c r="C52" s="61">
        <f t="shared" ref="C52:I52" si="52">C53-C46-SUM(C48:C48)</f>
        <v>-0.71387993155103757</v>
      </c>
      <c r="D52" s="61">
        <f t="shared" si="52"/>
        <v>7.9982010952776406E-2</v>
      </c>
      <c r="E52" s="61">
        <f t="shared" si="52"/>
        <v>3.7221444390463514</v>
      </c>
      <c r="F52" s="61">
        <f t="shared" si="52"/>
        <v>8.1824757556801817</v>
      </c>
      <c r="G52" s="61">
        <f t="shared" si="52"/>
        <v>5.4401249618434946</v>
      </c>
      <c r="H52" s="61">
        <f t="shared" si="52"/>
        <v>9.8710336611714489</v>
      </c>
      <c r="I52" s="61">
        <f t="shared" si="52"/>
        <v>24.881363022435856</v>
      </c>
      <c r="J52" s="121">
        <f t="shared" ref="J52:U52" si="53">+I52/(I7-H7)*(J7-I7)</f>
        <v>35.044071725026505</v>
      </c>
      <c r="K52" s="121">
        <f t="shared" si="53"/>
        <v>46.725428966702012</v>
      </c>
      <c r="L52" s="121">
        <f t="shared" si="53"/>
        <v>56.070514760042407</v>
      </c>
      <c r="M52" s="121">
        <f t="shared" si="53"/>
        <v>68.686380581051978</v>
      </c>
      <c r="N52" s="121">
        <f t="shared" si="53"/>
        <v>79.479954672360122</v>
      </c>
      <c r="O52" s="121">
        <f t="shared" si="53"/>
        <v>86.103284228390109</v>
      </c>
      <c r="P52" s="121">
        <f t="shared" si="53"/>
        <v>94.713612651229155</v>
      </c>
      <c r="Q52" s="121">
        <f t="shared" si="53"/>
        <v>105.04600675863594</v>
      </c>
      <c r="R52" s="121">
        <f t="shared" si="53"/>
        <v>113.44968729932677</v>
      </c>
      <c r="S52" s="121">
        <f t="shared" si="53"/>
        <v>118.99611645618272</v>
      </c>
      <c r="T52" s="121">
        <f t="shared" si="53"/>
        <v>120.78105820302572</v>
      </c>
      <c r="U52" s="121">
        <f t="shared" si="53"/>
        <v>118.02034830124224</v>
      </c>
    </row>
    <row r="53" spans="1:31">
      <c r="A53" s="62" t="s">
        <v>42</v>
      </c>
      <c r="B53" s="53"/>
      <c r="C53" s="53">
        <f>+'Historical - USD'!Q148</f>
        <v>-1.06</v>
      </c>
      <c r="D53" s="53">
        <f>+'Historical - USD'!R148</f>
        <v>-0.37199999999999989</v>
      </c>
      <c r="E53" s="53">
        <f>+'Historical - USD'!S148</f>
        <v>4.1939310000000001</v>
      </c>
      <c r="F53" s="53">
        <f>+'Historical - USD'!T148</f>
        <v>7.3737739094708905</v>
      </c>
      <c r="G53" s="53">
        <f>+'Historical - USD'!U148</f>
        <v>-16.46582440892621</v>
      </c>
      <c r="H53" s="53">
        <f>+'Historical - USD'!V148</f>
        <v>16.302223422446449</v>
      </c>
      <c r="I53" s="53">
        <f>+'Historical - USD'!W148</f>
        <v>31.735591562354713</v>
      </c>
      <c r="J53" s="55">
        <f t="shared" ref="J53:T53" si="54">+J46+J52+J48</f>
        <v>48.027305176207619</v>
      </c>
      <c r="K53" s="55">
        <f t="shared" si="54"/>
        <v>68.177667270384021</v>
      </c>
      <c r="L53" s="55">
        <f t="shared" si="54"/>
        <v>88.871991762871716</v>
      </c>
      <c r="M53" s="55">
        <f t="shared" si="54"/>
        <v>116.70563809473211</v>
      </c>
      <c r="N53" s="55">
        <f t="shared" si="54"/>
        <v>146.76343206796301</v>
      </c>
      <c r="O53" s="55">
        <f t="shared" si="54"/>
        <v>176.28068425766713</v>
      </c>
      <c r="P53" s="55">
        <f t="shared" si="54"/>
        <v>212.1391656943706</v>
      </c>
      <c r="Q53" s="55">
        <f t="shared" si="54"/>
        <v>254.84762041931396</v>
      </c>
      <c r="R53" s="55">
        <f t="shared" si="54"/>
        <v>300.70691242943849</v>
      </c>
      <c r="S53" s="55">
        <f t="shared" si="54"/>
        <v>348.38442997930599</v>
      </c>
      <c r="T53" s="55">
        <f t="shared" si="54"/>
        <v>396.15745852368707</v>
      </c>
      <c r="U53" s="55">
        <f t="shared" ref="U53" si="55">+U46+U52+U48</f>
        <v>439.16564003709101</v>
      </c>
      <c r="V53" s="63"/>
      <c r="W53" s="63"/>
      <c r="X53" s="63"/>
      <c r="Y53" s="63"/>
      <c r="Z53" s="63"/>
      <c r="AA53" s="63"/>
      <c r="AB53" s="63"/>
      <c r="AC53" s="63"/>
      <c r="AD53" s="63"/>
      <c r="AE53" s="63"/>
    </row>
    <row r="54" spans="1:31">
      <c r="C54" s="34"/>
      <c r="D54" s="34"/>
      <c r="E54" s="34"/>
      <c r="F54" s="34"/>
      <c r="G54" s="34"/>
      <c r="H54" s="34"/>
      <c r="I54" s="34"/>
      <c r="J54" s="34"/>
      <c r="K54" s="34"/>
      <c r="L54" s="34"/>
      <c r="M54" s="34"/>
      <c r="N54" s="34"/>
      <c r="O54" s="34"/>
      <c r="P54" s="34"/>
      <c r="Q54" s="34"/>
      <c r="R54" s="34"/>
      <c r="S54" s="34"/>
      <c r="T54" s="34"/>
      <c r="U54" s="34"/>
    </row>
    <row r="55" spans="1:31">
      <c r="A55" s="35" t="s">
        <v>43</v>
      </c>
      <c r="B55" s="58"/>
      <c r="C55" s="53">
        <f>+'Historical - USD'!Q157</f>
        <v>-0.24484876120410151</v>
      </c>
      <c r="D55" s="53">
        <f>+'Historical - USD'!R157</f>
        <v>-0.58347938765617069</v>
      </c>
      <c r="E55" s="53">
        <f>+'Historical - USD'!S157</f>
        <v>-3.0639729932710362</v>
      </c>
      <c r="F55" s="53">
        <f>+'Historical - USD'!T157</f>
        <v>-36.339216416289275</v>
      </c>
      <c r="G55" s="53">
        <f>+'Historical - USD'!U157</f>
        <v>-16.304137214963198</v>
      </c>
      <c r="H55" s="53">
        <f>+'Historical - USD'!V157</f>
        <v>-30.769202710783336</v>
      </c>
      <c r="I55" s="53">
        <f>+'Historical - USD'!W157</f>
        <v>-52.680382305844681</v>
      </c>
      <c r="J55" s="55">
        <f>+I55-J53</f>
        <v>-100.70768748205231</v>
      </c>
      <c r="K55" s="55">
        <v>0</v>
      </c>
      <c r="L55" s="55">
        <f t="shared" ref="L55:U55" si="56">+K55</f>
        <v>0</v>
      </c>
      <c r="M55" s="55">
        <f t="shared" si="56"/>
        <v>0</v>
      </c>
      <c r="N55" s="55">
        <f t="shared" si="56"/>
        <v>0</v>
      </c>
      <c r="O55" s="55">
        <f t="shared" si="56"/>
        <v>0</v>
      </c>
      <c r="P55" s="55">
        <f t="shared" si="56"/>
        <v>0</v>
      </c>
      <c r="Q55" s="55">
        <f t="shared" si="56"/>
        <v>0</v>
      </c>
      <c r="R55" s="55">
        <f t="shared" si="56"/>
        <v>0</v>
      </c>
      <c r="S55" s="55">
        <f t="shared" si="56"/>
        <v>0</v>
      </c>
      <c r="T55" s="55">
        <f t="shared" si="56"/>
        <v>0</v>
      </c>
      <c r="U55" s="55">
        <f t="shared" si="56"/>
        <v>0</v>
      </c>
    </row>
    <row r="56" spans="1:31" outlineLevel="1">
      <c r="A56" s="51" t="s">
        <v>44</v>
      </c>
      <c r="B56" s="42"/>
      <c r="C56" s="64">
        <f t="shared" ref="C56:J56" si="57">+C55/C15</f>
        <v>-1.8698224852071004</v>
      </c>
      <c r="D56" s="64">
        <f t="shared" si="57"/>
        <v>-1.3465346534653466</v>
      </c>
      <c r="E56" s="64">
        <f t="shared" si="57"/>
        <v>-1.6712156567385912</v>
      </c>
      <c r="F56" s="64">
        <f t="shared" si="57"/>
        <v>-23.742202182563162</v>
      </c>
      <c r="G56" s="64">
        <f t="shared" si="57"/>
        <v>1.0276622029225084</v>
      </c>
      <c r="H56" s="64">
        <f t="shared" si="57"/>
        <v>-1.5847344457144183</v>
      </c>
      <c r="I56" s="64">
        <f t="shared" si="57"/>
        <v>-2.6389301643866774</v>
      </c>
      <c r="J56" s="179">
        <f t="shared" si="57"/>
        <v>-2.6835552581554518</v>
      </c>
      <c r="K56" s="55">
        <v>0</v>
      </c>
      <c r="L56" s="55">
        <f t="shared" ref="L56:U56" si="58">+K56</f>
        <v>0</v>
      </c>
      <c r="M56" s="55">
        <f t="shared" si="58"/>
        <v>0</v>
      </c>
      <c r="N56" s="55">
        <f t="shared" si="58"/>
        <v>0</v>
      </c>
      <c r="O56" s="55">
        <f t="shared" si="58"/>
        <v>0</v>
      </c>
      <c r="P56" s="55">
        <f t="shared" si="58"/>
        <v>0</v>
      </c>
      <c r="Q56" s="55">
        <f t="shared" si="58"/>
        <v>0</v>
      </c>
      <c r="R56" s="55">
        <f t="shared" si="58"/>
        <v>0</v>
      </c>
      <c r="S56" s="55">
        <f t="shared" si="58"/>
        <v>0</v>
      </c>
      <c r="T56" s="55">
        <f t="shared" si="58"/>
        <v>0</v>
      </c>
      <c r="U56" s="55">
        <f t="shared" si="58"/>
        <v>0</v>
      </c>
    </row>
    <row r="57" spans="1:31">
      <c r="C57" s="34"/>
      <c r="D57" s="34"/>
      <c r="E57" s="34"/>
      <c r="F57" s="34"/>
      <c r="G57" s="34"/>
      <c r="H57" s="34"/>
      <c r="I57" s="34"/>
      <c r="J57" s="34"/>
      <c r="K57" s="34"/>
      <c r="L57" s="34"/>
      <c r="M57" s="34"/>
      <c r="N57" s="34"/>
      <c r="O57" s="34"/>
      <c r="P57" s="34"/>
      <c r="Q57" s="34"/>
      <c r="R57" s="34"/>
      <c r="S57" s="34"/>
      <c r="T57" s="34"/>
      <c r="U57" s="34"/>
    </row>
    <row r="58" spans="1:31">
      <c r="A58" s="65" t="s">
        <v>45</v>
      </c>
      <c r="B58" s="58"/>
      <c r="C58" s="55"/>
      <c r="D58" s="55"/>
      <c r="E58" s="55"/>
      <c r="F58" s="55"/>
      <c r="G58" s="55"/>
      <c r="H58" s="55"/>
      <c r="I58" s="55"/>
      <c r="J58" s="55">
        <f t="shared" ref="J58:U58" si="59">+J53+(J55-I55)</f>
        <v>0</v>
      </c>
      <c r="K58" s="55">
        <f t="shared" si="59"/>
        <v>168.88535475243634</v>
      </c>
      <c r="L58" s="55">
        <f t="shared" si="59"/>
        <v>88.871991762871716</v>
      </c>
      <c r="M58" s="55">
        <f t="shared" si="59"/>
        <v>116.70563809473211</v>
      </c>
      <c r="N58" s="55">
        <f t="shared" si="59"/>
        <v>146.76343206796301</v>
      </c>
      <c r="O58" s="55">
        <f t="shared" si="59"/>
        <v>176.28068425766713</v>
      </c>
      <c r="P58" s="55">
        <f t="shared" si="59"/>
        <v>212.1391656943706</v>
      </c>
      <c r="Q58" s="55">
        <f t="shared" si="59"/>
        <v>254.84762041931396</v>
      </c>
      <c r="R58" s="55">
        <f t="shared" si="59"/>
        <v>300.70691242943849</v>
      </c>
      <c r="S58" s="55">
        <f t="shared" si="59"/>
        <v>348.38442997930599</v>
      </c>
      <c r="T58" s="55">
        <f t="shared" si="59"/>
        <v>396.15745852368707</v>
      </c>
      <c r="U58" s="55">
        <f t="shared" si="59"/>
        <v>439.16564003709101</v>
      </c>
    </row>
    <row r="59" spans="1:31">
      <c r="A59" s="66" t="s">
        <v>46</v>
      </c>
      <c r="C59" s="56"/>
      <c r="D59" s="56"/>
      <c r="E59" s="56"/>
      <c r="F59" s="56"/>
      <c r="G59" s="56"/>
      <c r="H59" s="56"/>
      <c r="I59" s="56"/>
      <c r="J59" s="56">
        <f t="shared" ref="J59:T59" si="60">+J58/$C$86</f>
        <v>0</v>
      </c>
      <c r="K59" s="56">
        <f t="shared" si="60"/>
        <v>0.34286129882094624</v>
      </c>
      <c r="L59" s="56">
        <f t="shared" si="60"/>
        <v>0.18042278780945073</v>
      </c>
      <c r="M59" s="56">
        <f t="shared" si="60"/>
        <v>0.23692904997915407</v>
      </c>
      <c r="N59" s="56">
        <f t="shared" si="60"/>
        <v>0.2979506483081571</v>
      </c>
      <c r="O59" s="56">
        <f t="shared" si="60"/>
        <v>0.35787486990938733</v>
      </c>
      <c r="P59" s="56">
        <f t="shared" si="60"/>
        <v>0.43067268909955359</v>
      </c>
      <c r="Q59" s="56">
        <f t="shared" si="60"/>
        <v>0.51737692866546781</v>
      </c>
      <c r="R59" s="56">
        <f t="shared" si="60"/>
        <v>0.61047781621518304</v>
      </c>
      <c r="S59" s="56">
        <f t="shared" si="60"/>
        <v>0.70726996030410216</v>
      </c>
      <c r="T59" s="56">
        <f t="shared" si="60"/>
        <v>0.80425600530099872</v>
      </c>
      <c r="U59" s="56">
        <f t="shared" ref="U59" si="61">+U58/$C$86</f>
        <v>0.89156873289202132</v>
      </c>
    </row>
    <row r="60" spans="1:31">
      <c r="C60" s="34"/>
      <c r="D60" s="34"/>
      <c r="E60" s="34"/>
      <c r="F60" s="34"/>
      <c r="G60" s="34"/>
      <c r="H60" s="34"/>
      <c r="I60" s="34"/>
      <c r="J60" s="34"/>
      <c r="K60" s="34"/>
      <c r="L60" s="34"/>
      <c r="M60" s="34"/>
      <c r="N60" s="34"/>
      <c r="O60" s="34"/>
      <c r="P60" s="34"/>
      <c r="Q60" s="34"/>
      <c r="R60" s="34"/>
      <c r="S60" s="34"/>
      <c r="T60" s="34"/>
      <c r="U60" s="34"/>
    </row>
    <row r="61" spans="1:31">
      <c r="A61" s="65" t="s">
        <v>47</v>
      </c>
      <c r="B61" s="58"/>
      <c r="C61" s="55"/>
      <c r="D61" s="55"/>
      <c r="E61" s="55"/>
      <c r="F61" s="55"/>
      <c r="G61" s="55"/>
      <c r="H61" s="55"/>
      <c r="I61" s="55"/>
      <c r="J61" s="55">
        <f t="shared" ref="J61:U61" si="62">J58+I61</f>
        <v>0</v>
      </c>
      <c r="K61" s="55">
        <f t="shared" si="62"/>
        <v>168.88535475243634</v>
      </c>
      <c r="L61" s="55">
        <f t="shared" si="62"/>
        <v>257.75734651530809</v>
      </c>
      <c r="M61" s="55">
        <f t="shared" si="62"/>
        <v>374.46298461004017</v>
      </c>
      <c r="N61" s="55">
        <f t="shared" si="62"/>
        <v>521.22641667800315</v>
      </c>
      <c r="O61" s="55">
        <f t="shared" si="62"/>
        <v>697.50710093567022</v>
      </c>
      <c r="P61" s="55">
        <f t="shared" si="62"/>
        <v>909.64626663004083</v>
      </c>
      <c r="Q61" s="55">
        <f t="shared" si="62"/>
        <v>1164.4938870493547</v>
      </c>
      <c r="R61" s="55">
        <f t="shared" si="62"/>
        <v>1465.2007994787932</v>
      </c>
      <c r="S61" s="55">
        <f t="shared" si="62"/>
        <v>1813.5852294580991</v>
      </c>
      <c r="T61" s="55">
        <f t="shared" si="62"/>
        <v>2209.7426879817863</v>
      </c>
      <c r="U61" s="55">
        <f t="shared" si="62"/>
        <v>2648.9083280188775</v>
      </c>
    </row>
    <row r="62" spans="1:31">
      <c r="A62" s="66" t="s">
        <v>46</v>
      </c>
      <c r="C62" s="56"/>
      <c r="D62" s="56"/>
      <c r="E62" s="56"/>
      <c r="F62" s="56"/>
      <c r="G62" s="56"/>
      <c r="H62" s="56"/>
      <c r="I62" s="56"/>
      <c r="J62" s="56">
        <f t="shared" ref="J62:T62" si="63">J61/$C$86</f>
        <v>0</v>
      </c>
      <c r="K62" s="56">
        <f t="shared" si="63"/>
        <v>0.34286129882094624</v>
      </c>
      <c r="L62" s="56">
        <f t="shared" si="63"/>
        <v>0.52328408663039705</v>
      </c>
      <c r="M62" s="56">
        <f t="shared" si="63"/>
        <v>0.76021313660955103</v>
      </c>
      <c r="N62" s="67">
        <f t="shared" si="63"/>
        <v>1.0581637849177081</v>
      </c>
      <c r="O62" s="56">
        <f t="shared" si="63"/>
        <v>1.4160386548270953</v>
      </c>
      <c r="P62" s="56">
        <f t="shared" si="63"/>
        <v>1.8467113439266489</v>
      </c>
      <c r="Q62" s="56">
        <f t="shared" si="63"/>
        <v>2.3640882725921166</v>
      </c>
      <c r="R62" s="56">
        <f t="shared" si="63"/>
        <v>2.9745660888072996</v>
      </c>
      <c r="S62" s="56">
        <f t="shared" si="63"/>
        <v>3.6818360491114017</v>
      </c>
      <c r="T62" s="56">
        <f t="shared" si="63"/>
        <v>4.486092054412401</v>
      </c>
      <c r="U62" s="56">
        <f t="shared" ref="U62" si="64">U61/$C$86</f>
        <v>5.3776607873044222</v>
      </c>
    </row>
    <row r="63" spans="1:31">
      <c r="C63" s="34"/>
      <c r="D63" s="34"/>
      <c r="E63" s="34"/>
      <c r="F63" s="34"/>
      <c r="G63" s="34"/>
      <c r="H63" s="34"/>
      <c r="I63" s="34"/>
      <c r="J63" s="34"/>
      <c r="K63" s="34"/>
      <c r="L63" s="34"/>
      <c r="M63" s="34"/>
      <c r="N63" s="34"/>
      <c r="O63" s="34"/>
      <c r="P63" s="34"/>
      <c r="Q63" s="34"/>
      <c r="R63" s="34"/>
      <c r="S63" s="34"/>
      <c r="T63" s="34"/>
      <c r="U63" s="34"/>
    </row>
    <row r="64" spans="1:31" hidden="1" outlineLevel="1">
      <c r="A64" s="94" t="s">
        <v>48</v>
      </c>
      <c r="B64" s="95"/>
      <c r="C64" s="96"/>
      <c r="D64" s="96"/>
      <c r="E64" s="96"/>
      <c r="F64" s="185"/>
      <c r="G64" s="97">
        <f>Down!G64</f>
        <v>-214.3280730450748</v>
      </c>
      <c r="H64" s="34"/>
      <c r="I64" s="34"/>
      <c r="J64" s="34"/>
      <c r="K64" s="34"/>
      <c r="L64" s="34"/>
      <c r="M64" s="34"/>
      <c r="N64" s="34"/>
      <c r="O64" s="34"/>
      <c r="P64" s="34"/>
      <c r="Q64" s="34"/>
      <c r="R64" s="34"/>
      <c r="S64" s="34"/>
      <c r="T64" s="34"/>
      <c r="U64" s="34"/>
      <c r="X64" s="98"/>
    </row>
    <row r="65" spans="1:21" hidden="1" outlineLevel="1">
      <c r="C65" s="34"/>
      <c r="D65" s="34"/>
      <c r="E65" s="34"/>
      <c r="F65" s="34"/>
      <c r="G65" s="34"/>
      <c r="H65" s="34"/>
      <c r="I65" s="34"/>
      <c r="J65" s="34"/>
      <c r="K65" s="34"/>
      <c r="L65" s="34"/>
      <c r="M65" s="34"/>
      <c r="N65" s="34"/>
      <c r="O65" s="34"/>
      <c r="P65" s="34"/>
      <c r="Q65" s="34"/>
      <c r="R65" s="34"/>
      <c r="S65" s="34"/>
      <c r="T65" s="34"/>
      <c r="U65" s="34"/>
    </row>
    <row r="66" spans="1:21" collapsed="1">
      <c r="A66" s="34"/>
      <c r="B66" s="34"/>
      <c r="C66" s="68"/>
      <c r="D66" s="68"/>
      <c r="E66" s="68"/>
      <c r="F66" s="68"/>
      <c r="G66" s="68"/>
      <c r="H66" s="68"/>
      <c r="I66" s="68"/>
      <c r="J66" s="68"/>
      <c r="K66" s="68"/>
      <c r="L66" s="68"/>
      <c r="M66" s="68"/>
      <c r="N66" s="68"/>
      <c r="O66" s="68"/>
      <c r="P66" s="68"/>
      <c r="Q66" s="68"/>
      <c r="R66" s="68"/>
      <c r="S66" s="68"/>
      <c r="T66" s="68"/>
      <c r="U66" s="68"/>
    </row>
    <row r="67" spans="1:21">
      <c r="A67" s="34" t="s">
        <v>49</v>
      </c>
      <c r="B67" s="34"/>
      <c r="C67" s="68"/>
      <c r="D67" s="68"/>
      <c r="E67" s="68"/>
      <c r="F67" s="68"/>
      <c r="G67" s="68"/>
      <c r="H67" s="68"/>
      <c r="I67" s="68"/>
      <c r="J67" s="68">
        <f t="shared" ref="J67:T67" si="65">+($C$86-J61+J55)/(J7)</f>
        <v>0.50340480375417207</v>
      </c>
      <c r="K67" s="68">
        <f t="shared" si="65"/>
        <v>0.27721464589844552</v>
      </c>
      <c r="L67" s="68">
        <f t="shared" si="65"/>
        <v>0.1436450748871011</v>
      </c>
      <c r="M67" s="68">
        <f t="shared" si="65"/>
        <v>5.3520813864452788E-2</v>
      </c>
      <c r="N67" s="68">
        <f t="shared" si="65"/>
        <v>-9.9863464713783583E-3</v>
      </c>
      <c r="O67" s="68">
        <f t="shared" si="65"/>
        <v>-5.7144921479477535E-2</v>
      </c>
      <c r="P67" s="68">
        <f t="shared" si="65"/>
        <v>-9.5327785529652972E-2</v>
      </c>
      <c r="Q67" s="68">
        <f t="shared" si="65"/>
        <v>-0.12798095756590486</v>
      </c>
      <c r="R67" s="68">
        <f t="shared" si="65"/>
        <v>-0.15699743135211797</v>
      </c>
      <c r="S67" s="68">
        <f t="shared" si="65"/>
        <v>-0.18382099298215632</v>
      </c>
      <c r="T67" s="68">
        <f t="shared" si="65"/>
        <v>-0.20960270505645295</v>
      </c>
      <c r="U67" s="68">
        <f t="shared" ref="U67" si="66">+($C$86-U61+U55)/(U7)</f>
        <v>-0.23500771282118921</v>
      </c>
    </row>
    <row r="68" spans="1:21">
      <c r="A68" s="34" t="s">
        <v>95</v>
      </c>
      <c r="B68" s="34"/>
      <c r="C68" s="68"/>
      <c r="D68" s="68"/>
      <c r="E68" s="68"/>
      <c r="F68" s="68"/>
      <c r="G68" s="68"/>
      <c r="H68" s="68"/>
      <c r="I68" s="68"/>
      <c r="J68" s="68">
        <f>+($C$86-J61+J55)/J10</f>
        <v>2.3995479010997269</v>
      </c>
      <c r="K68" s="68"/>
      <c r="L68" s="68"/>
      <c r="M68" s="68"/>
      <c r="N68" s="68"/>
      <c r="O68" s="68"/>
      <c r="P68" s="68"/>
      <c r="Q68" s="68"/>
      <c r="R68" s="68"/>
      <c r="S68" s="68"/>
      <c r="T68" s="68"/>
      <c r="U68" s="68"/>
    </row>
    <row r="69" spans="1:21" collapsed="1">
      <c r="A69" s="34" t="s">
        <v>51</v>
      </c>
      <c r="B69" s="34"/>
      <c r="C69" s="68">
        <f>($C$86-C61)/C46</f>
        <v>-1423.1371099285375</v>
      </c>
      <c r="D69" s="68">
        <f>($C$86-D61)/D46</f>
        <v>-1089.8139792386316</v>
      </c>
      <c r="E69" s="68">
        <f>($C$86-E61)/E46</f>
        <v>1044.0660134639095</v>
      </c>
      <c r="F69" s="68">
        <f>($C$86-F61)/F46</f>
        <v>-609.09507775903535</v>
      </c>
      <c r="G69" s="68">
        <f t="shared" ref="G69:T69" si="67">IFERROR(($C$86-G61)/G46,"-")</f>
        <v>-22.48596057461884</v>
      </c>
      <c r="H69" s="68">
        <f t="shared" si="67"/>
        <v>76.59178661882143</v>
      </c>
      <c r="I69" s="68">
        <f t="shared" si="67"/>
        <v>71.864588557555621</v>
      </c>
      <c r="J69" s="68">
        <f t="shared" si="67"/>
        <v>37.939417461211335</v>
      </c>
      <c r="K69" s="68">
        <f t="shared" si="67"/>
        <v>15.088913080586563</v>
      </c>
      <c r="L69" s="68">
        <f t="shared" si="67"/>
        <v>7.1587924947758115</v>
      </c>
      <c r="M69" s="68">
        <f t="shared" si="67"/>
        <v>2.4597075299849163</v>
      </c>
      <c r="N69" s="68">
        <f t="shared" si="67"/>
        <v>-0.42581186178631619</v>
      </c>
      <c r="O69" s="68">
        <f t="shared" si="67"/>
        <v>-2.2725293362684376</v>
      </c>
      <c r="P69" s="68">
        <f t="shared" si="67"/>
        <v>-3.551781890063467</v>
      </c>
      <c r="Q69" s="68">
        <f t="shared" si="67"/>
        <v>-4.4853827454130082</v>
      </c>
      <c r="R69" s="68">
        <f t="shared" si="67"/>
        <v>-5.1940558496595335</v>
      </c>
      <c r="S69" s="68">
        <f t="shared" si="67"/>
        <v>-5.7588326766446709</v>
      </c>
      <c r="T69" s="68">
        <f t="shared" si="67"/>
        <v>-6.2357063716480869</v>
      </c>
      <c r="U69" s="68">
        <f t="shared" ref="U69" si="68">IFERROR(($C$86-U61)/U46,"-")</f>
        <v>-6.7145060806054051</v>
      </c>
    </row>
    <row r="70" spans="1:21">
      <c r="A70" s="34" t="s">
        <v>52</v>
      </c>
      <c r="B70" s="34"/>
      <c r="C70" s="68">
        <f t="shared" ref="C70:H70" si="69">IFERROR(($C$86-C61)/C49,"-")</f>
        <v>5373.7561031705627</v>
      </c>
      <c r="D70" s="68">
        <f t="shared" si="69"/>
        <v>2681.4769025953251</v>
      </c>
      <c r="E70" s="68">
        <f t="shared" si="69"/>
        <v>442.98984572160305</v>
      </c>
      <c r="F70" s="68">
        <f t="shared" si="69"/>
        <v>677.41766173589963</v>
      </c>
      <c r="G70" s="68">
        <f t="shared" si="69"/>
        <v>-28.766119640611034</v>
      </c>
      <c r="H70" s="68">
        <f t="shared" si="69"/>
        <v>41.777784447613158</v>
      </c>
      <c r="I70" s="68">
        <f t="shared" ref="I70:T70" si="70">IFERROR(($C$86-I61)/I49,"-")</f>
        <v>41.207960163262733</v>
      </c>
      <c r="J70" s="68">
        <f t="shared" si="70"/>
        <v>23.519386877193647</v>
      </c>
      <c r="K70" s="68">
        <f t="shared" si="70"/>
        <v>10.052987141360036</v>
      </c>
      <c r="L70" s="68">
        <f t="shared" si="70"/>
        <v>5.085459247148175</v>
      </c>
      <c r="M70" s="68">
        <f t="shared" si="70"/>
        <v>1.8508349608179078</v>
      </c>
      <c r="N70" s="68">
        <f t="shared" si="70"/>
        <v>-0.33751337249621804</v>
      </c>
      <c r="O70" s="68">
        <f t="shared" si="70"/>
        <v>-1.8885335347965617</v>
      </c>
      <c r="P70" s="68">
        <f t="shared" si="70"/>
        <v>-3.0820722221119032</v>
      </c>
      <c r="Q70" s="68">
        <f t="shared" si="70"/>
        <v>-4.0499464731161439</v>
      </c>
      <c r="R70" s="68">
        <f t="shared" si="70"/>
        <v>-4.8648884171534847</v>
      </c>
      <c r="S70" s="68">
        <f t="shared" si="70"/>
        <v>-5.5800691770798627</v>
      </c>
      <c r="T70" s="68">
        <f t="shared" si="70"/>
        <v>-6.2357063716480869</v>
      </c>
      <c r="U70" s="68">
        <f t="shared" ref="U70" si="71">IFERROR(($C$86-U61)/U49,"-")</f>
        <v>-6.7145060806054051</v>
      </c>
    </row>
    <row r="71" spans="1:21">
      <c r="A71" s="34"/>
      <c r="B71" s="34"/>
      <c r="C71" s="68"/>
      <c r="D71" s="68"/>
      <c r="E71" s="68"/>
      <c r="F71" s="68"/>
      <c r="G71" s="68"/>
      <c r="H71" s="68"/>
      <c r="I71" s="68"/>
      <c r="J71" s="68"/>
      <c r="K71" s="68"/>
      <c r="L71" s="68"/>
      <c r="M71" s="68"/>
      <c r="N71" s="68"/>
      <c r="O71" s="68"/>
      <c r="P71" s="68"/>
      <c r="Q71" s="68"/>
      <c r="R71" s="68"/>
      <c r="S71" s="68"/>
      <c r="T71" s="68"/>
      <c r="U71" s="68"/>
    </row>
    <row r="72" spans="1:21">
      <c r="A72" s="34" t="s">
        <v>53</v>
      </c>
      <c r="B72" s="34"/>
      <c r="C72" s="68"/>
      <c r="D72" s="68"/>
      <c r="E72" s="68"/>
      <c r="F72" s="68"/>
      <c r="G72" s="68"/>
      <c r="H72" s="68"/>
      <c r="I72" s="68"/>
      <c r="J72" s="68">
        <f t="shared" ref="J72:T72" si="72">($C$86-J61+J55)/(J$7*0.03*0.7)</f>
        <v>23.971657321627244</v>
      </c>
      <c r="K72" s="68">
        <f t="shared" si="72"/>
        <v>13.200697423735503</v>
      </c>
      <c r="L72" s="68">
        <f t="shared" si="72"/>
        <v>6.8402416612905288</v>
      </c>
      <c r="M72" s="68">
        <f t="shared" si="72"/>
        <v>2.5486101840215616</v>
      </c>
      <c r="N72" s="68">
        <f t="shared" si="72"/>
        <v>-0.47554030816087428</v>
      </c>
      <c r="O72" s="68">
        <f t="shared" si="72"/>
        <v>-2.7211867371179785</v>
      </c>
      <c r="P72" s="68">
        <f t="shared" si="72"/>
        <v>-4.5394183585549044</v>
      </c>
      <c r="Q72" s="68">
        <f t="shared" si="72"/>
        <v>-6.0943313126621375</v>
      </c>
      <c r="R72" s="68">
        <f t="shared" si="72"/>
        <v>-7.4760681596246643</v>
      </c>
      <c r="S72" s="68">
        <f t="shared" si="72"/>
        <v>-8.7533806181979212</v>
      </c>
      <c r="T72" s="68">
        <f t="shared" si="72"/>
        <v>-9.9810811931644263</v>
      </c>
      <c r="U72" s="68">
        <f t="shared" ref="U72" si="73">($C$86-U61+U55)/(U$7*0.03*0.7)</f>
        <v>-11.190843467675677</v>
      </c>
    </row>
    <row r="73" spans="1:21">
      <c r="A73" s="34" t="s">
        <v>54</v>
      </c>
      <c r="B73" s="34"/>
      <c r="C73" s="68"/>
      <c r="D73" s="68"/>
      <c r="E73" s="68"/>
      <c r="F73" s="68"/>
      <c r="G73" s="68"/>
      <c r="H73" s="68"/>
      <c r="I73" s="68"/>
      <c r="J73" s="68">
        <f t="shared" ref="J73:T73" si="74">($C$86-J61+J55)/(J$7*0.05*0.7)</f>
        <v>14.382994392976345</v>
      </c>
      <c r="K73" s="68">
        <f t="shared" si="74"/>
        <v>7.9204184542413021</v>
      </c>
      <c r="L73" s="68">
        <f t="shared" si="74"/>
        <v>4.1041449967743171</v>
      </c>
      <c r="M73" s="68">
        <f t="shared" si="74"/>
        <v>1.5291661104129368</v>
      </c>
      <c r="N73" s="68">
        <f t="shared" si="74"/>
        <v>-0.2853241848965245</v>
      </c>
      <c r="O73" s="68">
        <f t="shared" si="74"/>
        <v>-1.6327120422707868</v>
      </c>
      <c r="P73" s="68">
        <f t="shared" si="74"/>
        <v>-2.7236510151329418</v>
      </c>
      <c r="Q73" s="68">
        <f t="shared" si="74"/>
        <v>-3.6565987875972827</v>
      </c>
      <c r="R73" s="68">
        <f t="shared" si="74"/>
        <v>-4.4856408957747993</v>
      </c>
      <c r="S73" s="68">
        <f t="shared" si="74"/>
        <v>-5.252028370918751</v>
      </c>
      <c r="T73" s="68">
        <f t="shared" si="74"/>
        <v>-5.9886487158986554</v>
      </c>
      <c r="U73" s="68">
        <f t="shared" ref="U73" si="75">($C$86-U61+U55)/(U$7*0.05*0.7)</f>
        <v>-6.714506080605406</v>
      </c>
    </row>
    <row r="74" spans="1:21" hidden="1" outlineLevel="1">
      <c r="A74" s="34" t="s">
        <v>55</v>
      </c>
      <c r="B74" s="34"/>
      <c r="C74" s="68"/>
      <c r="D74" s="68"/>
      <c r="E74" s="68"/>
      <c r="F74" s="68"/>
      <c r="G74" s="68">
        <f t="shared" ref="G74:T74" si="76">($C$86-G61)/(G$7*0.15*0.7)</f>
        <v>30.795165780031628</v>
      </c>
      <c r="H74" s="68">
        <f t="shared" si="76"/>
        <v>16.798484790805251</v>
      </c>
      <c r="I74" s="68">
        <f t="shared" si="76"/>
        <v>9.6423095337776363</v>
      </c>
      <c r="J74" s="68">
        <f t="shared" si="76"/>
        <v>6.0264434586110216</v>
      </c>
      <c r="K74" s="68">
        <f t="shared" si="76"/>
        <v>2.6401394847471007</v>
      </c>
      <c r="L74" s="68">
        <f t="shared" si="76"/>
        <v>1.3680483322581058</v>
      </c>
      <c r="M74" s="68">
        <f t="shared" si="76"/>
        <v>0.50972203680431238</v>
      </c>
      <c r="N74" s="68">
        <f t="shared" si="76"/>
        <v>-9.5108061632174862E-2</v>
      </c>
      <c r="O74" s="68">
        <f t="shared" si="76"/>
        <v>-0.54423734742359564</v>
      </c>
      <c r="P74" s="68">
        <f t="shared" si="76"/>
        <v>-0.90788367171098072</v>
      </c>
      <c r="Q74" s="68">
        <f t="shared" si="76"/>
        <v>-1.2188662625324274</v>
      </c>
      <c r="R74" s="68">
        <f t="shared" si="76"/>
        <v>-1.495213631924933</v>
      </c>
      <c r="S74" s="68">
        <f t="shared" si="76"/>
        <v>-1.750676123639584</v>
      </c>
      <c r="T74" s="68">
        <f t="shared" si="76"/>
        <v>-1.9962162386328857</v>
      </c>
      <c r="U74" s="68"/>
    </row>
    <row r="75" spans="1:21" collapsed="1">
      <c r="C75" s="34"/>
      <c r="D75" s="34"/>
      <c r="E75" s="34"/>
      <c r="F75" s="34"/>
      <c r="G75" s="34"/>
      <c r="H75" s="34"/>
      <c r="I75" s="34"/>
      <c r="J75" s="34"/>
    </row>
    <row r="76" spans="1:21">
      <c r="A76" s="46" t="s">
        <v>56</v>
      </c>
      <c r="B76" s="69"/>
      <c r="C76" s="34"/>
      <c r="E76" s="34"/>
      <c r="F76" s="92"/>
      <c r="G76" s="92"/>
      <c r="H76" s="34"/>
      <c r="I76" s="34"/>
      <c r="J76" s="34"/>
    </row>
    <row r="77" spans="1:21">
      <c r="C77" s="34"/>
      <c r="D77" s="34"/>
      <c r="E77" s="34"/>
      <c r="F77" s="92"/>
      <c r="G77" s="92"/>
      <c r="H77" s="34"/>
      <c r="I77" s="34"/>
      <c r="J77" s="34"/>
    </row>
    <row r="78" spans="1:21">
      <c r="A78" s="47" t="s">
        <v>57</v>
      </c>
      <c r="C78" s="34"/>
      <c r="D78" s="34"/>
      <c r="E78" s="34"/>
      <c r="F78" s="92"/>
      <c r="G78" s="92"/>
      <c r="H78" s="92"/>
      <c r="I78" s="92"/>
      <c r="J78" s="34"/>
      <c r="K78" s="34"/>
      <c r="L78" s="34"/>
      <c r="M78" s="34"/>
    </row>
    <row r="79" spans="1:21" ht="13.5">
      <c r="A79" s="35" t="s">
        <v>58</v>
      </c>
      <c r="C79" s="34"/>
      <c r="D79" s="34"/>
      <c r="E79" s="34"/>
      <c r="F79" s="34"/>
      <c r="G79" s="34"/>
      <c r="H79" s="34"/>
      <c r="I79" s="34"/>
      <c r="J79" s="92"/>
      <c r="K79" s="34"/>
      <c r="L79" s="34"/>
      <c r="M79" s="34"/>
      <c r="N79" s="34"/>
      <c r="O79" s="34"/>
      <c r="P79" s="34"/>
      <c r="Q79" s="34"/>
      <c r="R79" s="34"/>
      <c r="S79" s="34"/>
      <c r="T79" s="122">
        <f>+'Simple - 5%'!T79</f>
        <v>15</v>
      </c>
      <c r="U79" s="70"/>
    </row>
    <row r="80" spans="1:21">
      <c r="A80" s="65" t="s">
        <v>59</v>
      </c>
      <c r="C80" s="55"/>
      <c r="D80" s="55"/>
      <c r="E80" s="55"/>
      <c r="F80" s="55"/>
      <c r="G80" s="55"/>
      <c r="H80" s="55"/>
      <c r="I80" s="55"/>
      <c r="J80" s="92"/>
      <c r="K80" s="55"/>
      <c r="L80" s="55"/>
      <c r="M80" s="55"/>
      <c r="N80" s="55"/>
      <c r="O80" s="55"/>
      <c r="P80" s="55"/>
      <c r="Q80" s="55"/>
      <c r="R80" s="55"/>
      <c r="S80" s="55"/>
      <c r="T80" s="55">
        <f>+T79*U46</f>
        <v>4817.1793760377313</v>
      </c>
      <c r="U80" s="55"/>
    </row>
    <row r="81" spans="1:24">
      <c r="A81" s="65" t="s">
        <v>60</v>
      </c>
      <c r="C81" s="55"/>
      <c r="D81" s="55"/>
      <c r="E81" s="55"/>
      <c r="F81" s="55"/>
      <c r="G81" s="55"/>
      <c r="H81" s="55"/>
      <c r="I81" s="55"/>
      <c r="J81" s="55">
        <f>-$C$86+J61</f>
        <v>-492.57631390072396</v>
      </c>
      <c r="K81" s="55">
        <f t="shared" ref="K81:T81" si="77">+K58+K80</f>
        <v>168.88535475243634</v>
      </c>
      <c r="L81" s="55">
        <f t="shared" si="77"/>
        <v>88.871991762871716</v>
      </c>
      <c r="M81" s="55">
        <f t="shared" si="77"/>
        <v>116.70563809473211</v>
      </c>
      <c r="N81" s="55">
        <f t="shared" si="77"/>
        <v>146.76343206796301</v>
      </c>
      <c r="O81" s="55">
        <f t="shared" si="77"/>
        <v>176.28068425766713</v>
      </c>
      <c r="P81" s="55">
        <f t="shared" si="77"/>
        <v>212.1391656943706</v>
      </c>
      <c r="Q81" s="55">
        <f t="shared" si="77"/>
        <v>254.84762041931396</v>
      </c>
      <c r="R81" s="55">
        <f t="shared" si="77"/>
        <v>300.70691242943849</v>
      </c>
      <c r="S81" s="55">
        <f t="shared" si="77"/>
        <v>348.38442997930599</v>
      </c>
      <c r="T81" s="55">
        <f t="shared" si="77"/>
        <v>5213.3368345614181</v>
      </c>
      <c r="U81" s="55"/>
    </row>
    <row r="82" spans="1:24">
      <c r="A82" s="71" t="s">
        <v>61</v>
      </c>
      <c r="B82" s="72"/>
      <c r="C82" s="72"/>
      <c r="D82" s="72"/>
      <c r="E82" s="72"/>
      <c r="F82" s="72"/>
      <c r="G82" s="72"/>
      <c r="H82" s="72"/>
      <c r="I82" s="72"/>
      <c r="J82" s="73">
        <f ca="1">XIRR(J81:T81,J3:T3)</f>
        <v>0.41736133694648736</v>
      </c>
      <c r="K82" s="74"/>
      <c r="L82" s="50"/>
      <c r="M82" s="50"/>
      <c r="N82" s="50"/>
      <c r="O82" s="50"/>
      <c r="P82" s="50"/>
      <c r="Q82" s="50"/>
      <c r="R82" s="50"/>
      <c r="S82" s="50"/>
      <c r="T82" s="50"/>
      <c r="U82" s="50"/>
    </row>
    <row r="83" spans="1:24">
      <c r="N83" s="99" t="str">
        <f>+Simple!N73</f>
        <v>AUD / USD &gt;&gt;</v>
      </c>
      <c r="O83" s="98">
        <f>+Simple!O73</f>
        <v>0.69278464789220273</v>
      </c>
      <c r="P83" s="100"/>
      <c r="V83" s="42"/>
      <c r="W83" s="42"/>
      <c r="X83" s="42"/>
    </row>
    <row r="84" spans="1:24">
      <c r="A84" s="75" t="s">
        <v>62</v>
      </c>
      <c r="B84" s="76"/>
      <c r="C84" s="77"/>
      <c r="D84" s="78"/>
      <c r="E84" s="34"/>
      <c r="F84" s="34"/>
      <c r="G84" s="34"/>
      <c r="H84" s="34"/>
      <c r="I84" s="34"/>
      <c r="J84" s="34"/>
      <c r="N84" s="101"/>
      <c r="O84" s="102" t="s">
        <v>63</v>
      </c>
      <c r="P84" s="78"/>
      <c r="V84" s="42"/>
      <c r="W84" s="103">
        <f ca="1">+X84-1</f>
        <v>45795</v>
      </c>
      <c r="X84" s="103">
        <f ca="1">TODAY()-1</f>
        <v>45796</v>
      </c>
    </row>
    <row r="85" spans="1:24">
      <c r="C85" s="79" t="s">
        <v>64</v>
      </c>
      <c r="D85" s="90" t="s">
        <v>65</v>
      </c>
      <c r="E85" s="34"/>
      <c r="F85" s="34"/>
      <c r="G85" s="34"/>
      <c r="H85" s="34"/>
      <c r="I85" s="34"/>
      <c r="J85" s="34"/>
      <c r="O85" s="79" t="s">
        <v>64</v>
      </c>
      <c r="P85" s="90" t="s">
        <v>66</v>
      </c>
      <c r="V85" s="42"/>
      <c r="W85" s="104" t="s">
        <v>67</v>
      </c>
      <c r="X85" s="104" t="s">
        <v>68</v>
      </c>
    </row>
    <row r="86" spans="1:24">
      <c r="A86" s="35" t="s">
        <v>69</v>
      </c>
      <c r="C86" s="54">
        <f>+D86*D89</f>
        <v>492.57631390072396</v>
      </c>
      <c r="D86" s="89">
        <f>Down!D86</f>
        <v>1.2920433683189581</v>
      </c>
      <c r="E86" s="40"/>
      <c r="F86" s="34"/>
      <c r="G86" s="34"/>
      <c r="H86" s="80"/>
      <c r="I86" s="34"/>
      <c r="J86" s="34"/>
      <c r="N86" s="35" t="s">
        <v>70</v>
      </c>
      <c r="O86" s="54">
        <f>+P86*P89</f>
        <v>711.0092803</v>
      </c>
      <c r="P86" s="89">
        <f>+Simple!D76</f>
        <v>1.865</v>
      </c>
      <c r="V86" s="42"/>
      <c r="W86" s="42"/>
      <c r="X86" s="42"/>
    </row>
    <row r="87" spans="1:24" ht="13.5">
      <c r="A87" s="35" t="s">
        <v>43</v>
      </c>
      <c r="C87" s="82">
        <f>Down!C87</f>
        <v>-54.700444767743953</v>
      </c>
      <c r="D87" s="83">
        <f>+C87/D89</f>
        <v>-0.14348100976797121</v>
      </c>
      <c r="E87" s="40"/>
      <c r="F87" s="34"/>
      <c r="G87" s="34"/>
      <c r="H87" s="34"/>
      <c r="I87" s="34"/>
      <c r="J87" s="34"/>
      <c r="N87" s="35" t="s">
        <v>71</v>
      </c>
      <c r="O87" s="82">
        <f>+Simple!C77</f>
        <v>-78.957357000000002</v>
      </c>
      <c r="P87" s="105">
        <f>+O87/P89</f>
        <v>-0.20710766354957799</v>
      </c>
      <c r="V87" s="42"/>
      <c r="W87" s="42"/>
      <c r="X87" s="42"/>
    </row>
    <row r="88" spans="1:24">
      <c r="A88" s="48" t="s">
        <v>72</v>
      </c>
      <c r="B88" s="49"/>
      <c r="C88" s="54">
        <f>+C87+C86</f>
        <v>437.87586913298003</v>
      </c>
      <c r="D88" s="89">
        <f>+C88/D89</f>
        <v>1.1485623585509868</v>
      </c>
      <c r="E88" s="34"/>
      <c r="F88" s="34"/>
      <c r="G88" s="34"/>
      <c r="H88" s="34"/>
      <c r="I88" s="34"/>
      <c r="J88" s="34"/>
      <c r="N88" s="48" t="s">
        <v>73</v>
      </c>
      <c r="O88" s="106">
        <f>+O87+O86</f>
        <v>632.0519233</v>
      </c>
      <c r="P88" s="107">
        <f>+O88/P89</f>
        <v>1.6578923364504219</v>
      </c>
      <c r="V88" s="42"/>
      <c r="W88" s="42"/>
      <c r="X88" s="42"/>
    </row>
    <row r="89" spans="1:24">
      <c r="A89" s="51" t="s">
        <v>74</v>
      </c>
      <c r="C89" s="34"/>
      <c r="D89" s="109">
        <f>+Simple!D79</f>
        <v>381.23822000000001</v>
      </c>
      <c r="E89" s="40"/>
      <c r="F89" s="34"/>
      <c r="G89" s="34"/>
      <c r="H89" s="34"/>
      <c r="I89" s="34"/>
      <c r="J89" s="34"/>
      <c r="N89" s="108" t="s">
        <v>74</v>
      </c>
      <c r="O89" s="40"/>
      <c r="P89" s="109">
        <f>+D89</f>
        <v>381.23822000000001</v>
      </c>
      <c r="V89" s="42"/>
      <c r="W89" s="42"/>
      <c r="X89" s="42"/>
    </row>
    <row r="90" spans="1:24">
      <c r="W90" s="81"/>
    </row>
    <row r="91" spans="1:24">
      <c r="C91" s="85"/>
      <c r="D91" s="85"/>
      <c r="E91" s="85"/>
      <c r="F91" s="85"/>
      <c r="G91" s="85"/>
      <c r="H91" s="85"/>
      <c r="I91" s="85">
        <f>+I82</f>
        <v>0</v>
      </c>
      <c r="K91" s="86">
        <f>+K53/J53-1</f>
        <v>0.41956053999379384</v>
      </c>
    </row>
    <row r="92" spans="1:24">
      <c r="H92" s="85"/>
      <c r="J92" s="110"/>
    </row>
    <row r="93" spans="1:24">
      <c r="K93" s="86">
        <f>(K91)+(K58)/$C$86</f>
        <v>0.76242183881474013</v>
      </c>
      <c r="L93" s="369">
        <f>(L47)+(L58)/$C$86</f>
        <v>0.70946961912305528</v>
      </c>
    </row>
    <row r="94" spans="1:24">
      <c r="C94" s="86">
        <f t="shared" ref="C94:J94" si="78">+$D$86/C69</f>
        <v>-9.0788396936949923E-4</v>
      </c>
      <c r="D94" s="86">
        <f t="shared" si="78"/>
        <v>-1.1855632180655348E-3</v>
      </c>
      <c r="E94" s="86">
        <f t="shared" si="78"/>
        <v>1.2375111838305428E-3</v>
      </c>
      <c r="F94" s="86">
        <f t="shared" si="78"/>
        <v>-2.1212507135546159E-3</v>
      </c>
      <c r="G94" s="86">
        <f t="shared" si="78"/>
        <v>-5.7460003277661154E-2</v>
      </c>
      <c r="H94" s="86">
        <f t="shared" si="78"/>
        <v>1.6869215686913554E-2</v>
      </c>
      <c r="I94" s="86">
        <f t="shared" si="78"/>
        <v>1.797885988429717E-2</v>
      </c>
      <c r="J94" s="86">
        <f t="shared" si="78"/>
        <v>3.4055435079885531E-2</v>
      </c>
      <c r="K94" s="86">
        <f>+J94*(1+K93)</f>
        <v>6.0020042515127867E-2</v>
      </c>
      <c r="L94" s="86">
        <f>+K94*(1+L93)</f>
        <v>0.10260243921808522</v>
      </c>
      <c r="M94" s="86"/>
    </row>
    <row r="95" spans="1:24">
      <c r="C95" s="86"/>
      <c r="D95" s="131" t="s">
        <v>75</v>
      </c>
      <c r="E95" s="131" t="s">
        <v>76</v>
      </c>
      <c r="F95" s="131" t="s">
        <v>77</v>
      </c>
      <c r="G95" s="131" t="s">
        <v>78</v>
      </c>
      <c r="H95" s="131" t="s">
        <v>79</v>
      </c>
      <c r="I95" s="131" t="s">
        <v>80</v>
      </c>
      <c r="J95" s="131" t="s">
        <v>81</v>
      </c>
      <c r="K95" s="131" t="s">
        <v>82</v>
      </c>
      <c r="L95" s="131" t="s">
        <v>83</v>
      </c>
      <c r="M95" s="131"/>
    </row>
    <row r="96" spans="1:24">
      <c r="C96" s="86"/>
      <c r="D96" s="86">
        <f t="shared" ref="D96:L96" si="79">AVERAGE(C94:D94)</f>
        <v>-1.046723593717517E-3</v>
      </c>
      <c r="E96" s="86">
        <f t="shared" si="79"/>
        <v>2.5973982882504E-5</v>
      </c>
      <c r="F96" s="86">
        <f t="shared" si="79"/>
        <v>-4.4186976486203656E-4</v>
      </c>
      <c r="G96" s="86">
        <f t="shared" si="79"/>
        <v>-2.9790626995607885E-2</v>
      </c>
      <c r="H96" s="86">
        <f t="shared" si="79"/>
        <v>-2.02953937953738E-2</v>
      </c>
      <c r="I96" s="86">
        <f t="shared" si="79"/>
        <v>1.7424037785605362E-2</v>
      </c>
      <c r="J96" s="86">
        <f t="shared" si="79"/>
        <v>2.601714748209135E-2</v>
      </c>
      <c r="K96" s="86">
        <f t="shared" si="79"/>
        <v>4.7037738797506695E-2</v>
      </c>
      <c r="L96" s="86">
        <f t="shared" si="79"/>
        <v>8.1311240866606543E-2</v>
      </c>
      <c r="M96" s="86"/>
    </row>
    <row r="102" spans="3:3">
      <c r="C102" s="88"/>
    </row>
    <row r="103" spans="3:3">
      <c r="C103" s="88"/>
    </row>
    <row r="104" spans="3:3">
      <c r="C104" s="88"/>
    </row>
  </sheetData>
  <pageMargins left="0.3" right="0.3" top="0.3" bottom="0.3" header="0.3" footer="0.3"/>
  <pageSetup scale="54" fitToHeight="0" orientation="landscape" r:id="rId1"/>
  <headerFooter>
    <oddFooter>Page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DBE05-F5AD-43B6-AF39-8A7FAD27DF6C}">
  <sheetPr>
    <pageSetUpPr fitToPage="1"/>
  </sheetPr>
  <dimension ref="A1:AE104"/>
  <sheetViews>
    <sheetView view="pageBreakPreview" zoomScale="70" zoomScaleNormal="70" zoomScaleSheetLayoutView="70" workbookViewId="0">
      <pane xSplit="1" ySplit="5" topLeftCell="B49" activePane="bottomRight" state="frozen"/>
      <selection activeCell="J36" sqref="J36"/>
      <selection pane="topRight" activeCell="J36" sqref="J36"/>
      <selection pane="bottomLeft" activeCell="J36" sqref="J36"/>
      <selection pane="bottomRight" activeCell="D86" sqref="D86"/>
    </sheetView>
  </sheetViews>
  <sheetFormatPr defaultColWidth="3.54296875" defaultRowHeight="12" outlineLevelRow="1"/>
  <cols>
    <col min="1" max="1" width="18.81640625" style="35" customWidth="1"/>
    <col min="2" max="2" width="5.1796875" style="35" customWidth="1"/>
    <col min="3" max="21" width="11.7265625" style="35" customWidth="1"/>
    <col min="22" max="22" width="8.26953125" style="35" customWidth="1"/>
    <col min="23" max="23" width="11.81640625" style="35" bestFit="1" customWidth="1"/>
    <col min="24" max="24" width="8.26953125" style="35" customWidth="1"/>
    <col min="25" max="31" width="8.7265625" style="35" customWidth="1"/>
    <col min="32" max="256" width="3.54296875" style="35"/>
    <col min="257" max="257" width="9.26953125" style="35" customWidth="1"/>
    <col min="258" max="258" width="1.7265625" style="35" customWidth="1"/>
    <col min="259" max="274" width="8.26953125" style="35" customWidth="1"/>
    <col min="275" max="276" width="10.81640625" style="35" customWidth="1"/>
    <col min="277" max="277" width="42.1796875" style="35" customWidth="1"/>
    <col min="278" max="280" width="8.26953125" style="35" customWidth="1"/>
    <col min="281" max="287" width="8.7265625" style="35" customWidth="1"/>
    <col min="288" max="512" width="3.54296875" style="35"/>
    <col min="513" max="513" width="9.26953125" style="35" customWidth="1"/>
    <col min="514" max="514" width="1.7265625" style="35" customWidth="1"/>
    <col min="515" max="530" width="8.26953125" style="35" customWidth="1"/>
    <col min="531" max="532" width="10.81640625" style="35" customWidth="1"/>
    <col min="533" max="533" width="42.1796875" style="35" customWidth="1"/>
    <col min="534" max="536" width="8.26953125" style="35" customWidth="1"/>
    <col min="537" max="543" width="8.7265625" style="35" customWidth="1"/>
    <col min="544" max="768" width="3.54296875" style="35"/>
    <col min="769" max="769" width="9.26953125" style="35" customWidth="1"/>
    <col min="770" max="770" width="1.7265625" style="35" customWidth="1"/>
    <col min="771" max="786" width="8.26953125" style="35" customWidth="1"/>
    <col min="787" max="788" width="10.81640625" style="35" customWidth="1"/>
    <col min="789" max="789" width="42.1796875" style="35" customWidth="1"/>
    <col min="790" max="792" width="8.26953125" style="35" customWidth="1"/>
    <col min="793" max="799" width="8.7265625" style="35" customWidth="1"/>
    <col min="800" max="1024" width="3.54296875" style="35"/>
    <col min="1025" max="1025" width="9.26953125" style="35" customWidth="1"/>
    <col min="1026" max="1026" width="1.7265625" style="35" customWidth="1"/>
    <col min="1027" max="1042" width="8.26953125" style="35" customWidth="1"/>
    <col min="1043" max="1044" width="10.81640625" style="35" customWidth="1"/>
    <col min="1045" max="1045" width="42.1796875" style="35" customWidth="1"/>
    <col min="1046" max="1048" width="8.26953125" style="35" customWidth="1"/>
    <col min="1049" max="1055" width="8.7265625" style="35" customWidth="1"/>
    <col min="1056" max="1280" width="3.54296875" style="35"/>
    <col min="1281" max="1281" width="9.26953125" style="35" customWidth="1"/>
    <col min="1282" max="1282" width="1.7265625" style="35" customWidth="1"/>
    <col min="1283" max="1298" width="8.26953125" style="35" customWidth="1"/>
    <col min="1299" max="1300" width="10.81640625" style="35" customWidth="1"/>
    <col min="1301" max="1301" width="42.1796875" style="35" customWidth="1"/>
    <col min="1302" max="1304" width="8.26953125" style="35" customWidth="1"/>
    <col min="1305" max="1311" width="8.7265625" style="35" customWidth="1"/>
    <col min="1312" max="1536" width="3.54296875" style="35"/>
    <col min="1537" max="1537" width="9.26953125" style="35" customWidth="1"/>
    <col min="1538" max="1538" width="1.7265625" style="35" customWidth="1"/>
    <col min="1539" max="1554" width="8.26953125" style="35" customWidth="1"/>
    <col min="1555" max="1556" width="10.81640625" style="35" customWidth="1"/>
    <col min="1557" max="1557" width="42.1796875" style="35" customWidth="1"/>
    <col min="1558" max="1560" width="8.26953125" style="35" customWidth="1"/>
    <col min="1561" max="1567" width="8.7265625" style="35" customWidth="1"/>
    <col min="1568" max="1792" width="3.54296875" style="35"/>
    <col min="1793" max="1793" width="9.26953125" style="35" customWidth="1"/>
    <col min="1794" max="1794" width="1.7265625" style="35" customWidth="1"/>
    <col min="1795" max="1810" width="8.26953125" style="35" customWidth="1"/>
    <col min="1811" max="1812" width="10.81640625" style="35" customWidth="1"/>
    <col min="1813" max="1813" width="42.1796875" style="35" customWidth="1"/>
    <col min="1814" max="1816" width="8.26953125" style="35" customWidth="1"/>
    <col min="1817" max="1823" width="8.7265625" style="35" customWidth="1"/>
    <col min="1824" max="2048" width="3.54296875" style="35"/>
    <col min="2049" max="2049" width="9.26953125" style="35" customWidth="1"/>
    <col min="2050" max="2050" width="1.7265625" style="35" customWidth="1"/>
    <col min="2051" max="2066" width="8.26953125" style="35" customWidth="1"/>
    <col min="2067" max="2068" width="10.81640625" style="35" customWidth="1"/>
    <col min="2069" max="2069" width="42.1796875" style="35" customWidth="1"/>
    <col min="2070" max="2072" width="8.26953125" style="35" customWidth="1"/>
    <col min="2073" max="2079" width="8.7265625" style="35" customWidth="1"/>
    <col min="2080" max="2304" width="3.54296875" style="35"/>
    <col min="2305" max="2305" width="9.26953125" style="35" customWidth="1"/>
    <col min="2306" max="2306" width="1.7265625" style="35" customWidth="1"/>
    <col min="2307" max="2322" width="8.26953125" style="35" customWidth="1"/>
    <col min="2323" max="2324" width="10.81640625" style="35" customWidth="1"/>
    <col min="2325" max="2325" width="42.1796875" style="35" customWidth="1"/>
    <col min="2326" max="2328" width="8.26953125" style="35" customWidth="1"/>
    <col min="2329" max="2335" width="8.7265625" style="35" customWidth="1"/>
    <col min="2336" max="2560" width="3.54296875" style="35"/>
    <col min="2561" max="2561" width="9.26953125" style="35" customWidth="1"/>
    <col min="2562" max="2562" width="1.7265625" style="35" customWidth="1"/>
    <col min="2563" max="2578" width="8.26953125" style="35" customWidth="1"/>
    <col min="2579" max="2580" width="10.81640625" style="35" customWidth="1"/>
    <col min="2581" max="2581" width="42.1796875" style="35" customWidth="1"/>
    <col min="2582" max="2584" width="8.26953125" style="35" customWidth="1"/>
    <col min="2585" max="2591" width="8.7265625" style="35" customWidth="1"/>
    <col min="2592" max="2816" width="3.54296875" style="35"/>
    <col min="2817" max="2817" width="9.26953125" style="35" customWidth="1"/>
    <col min="2818" max="2818" width="1.7265625" style="35" customWidth="1"/>
    <col min="2819" max="2834" width="8.26953125" style="35" customWidth="1"/>
    <col min="2835" max="2836" width="10.81640625" style="35" customWidth="1"/>
    <col min="2837" max="2837" width="42.1796875" style="35" customWidth="1"/>
    <col min="2838" max="2840" width="8.26953125" style="35" customWidth="1"/>
    <col min="2841" max="2847" width="8.7265625" style="35" customWidth="1"/>
    <col min="2848" max="3072" width="3.54296875" style="35"/>
    <col min="3073" max="3073" width="9.26953125" style="35" customWidth="1"/>
    <col min="3074" max="3074" width="1.7265625" style="35" customWidth="1"/>
    <col min="3075" max="3090" width="8.26953125" style="35" customWidth="1"/>
    <col min="3091" max="3092" width="10.81640625" style="35" customWidth="1"/>
    <col min="3093" max="3093" width="42.1796875" style="35" customWidth="1"/>
    <col min="3094" max="3096" width="8.26953125" style="35" customWidth="1"/>
    <col min="3097" max="3103" width="8.7265625" style="35" customWidth="1"/>
    <col min="3104" max="3328" width="3.54296875" style="35"/>
    <col min="3329" max="3329" width="9.26953125" style="35" customWidth="1"/>
    <col min="3330" max="3330" width="1.7265625" style="35" customWidth="1"/>
    <col min="3331" max="3346" width="8.26953125" style="35" customWidth="1"/>
    <col min="3347" max="3348" width="10.81640625" style="35" customWidth="1"/>
    <col min="3349" max="3349" width="42.1796875" style="35" customWidth="1"/>
    <col min="3350" max="3352" width="8.26953125" style="35" customWidth="1"/>
    <col min="3353" max="3359" width="8.7265625" style="35" customWidth="1"/>
    <col min="3360" max="3584" width="3.54296875" style="35"/>
    <col min="3585" max="3585" width="9.26953125" style="35" customWidth="1"/>
    <col min="3586" max="3586" width="1.7265625" style="35" customWidth="1"/>
    <col min="3587" max="3602" width="8.26953125" style="35" customWidth="1"/>
    <col min="3603" max="3604" width="10.81640625" style="35" customWidth="1"/>
    <col min="3605" max="3605" width="42.1796875" style="35" customWidth="1"/>
    <col min="3606" max="3608" width="8.26953125" style="35" customWidth="1"/>
    <col min="3609" max="3615" width="8.7265625" style="35" customWidth="1"/>
    <col min="3616" max="3840" width="3.54296875" style="35"/>
    <col min="3841" max="3841" width="9.26953125" style="35" customWidth="1"/>
    <col min="3842" max="3842" width="1.7265625" style="35" customWidth="1"/>
    <col min="3843" max="3858" width="8.26953125" style="35" customWidth="1"/>
    <col min="3859" max="3860" width="10.81640625" style="35" customWidth="1"/>
    <col min="3861" max="3861" width="42.1796875" style="35" customWidth="1"/>
    <col min="3862" max="3864" width="8.26953125" style="35" customWidth="1"/>
    <col min="3865" max="3871" width="8.7265625" style="35" customWidth="1"/>
    <col min="3872" max="4096" width="3.54296875" style="35"/>
    <col min="4097" max="4097" width="9.26953125" style="35" customWidth="1"/>
    <col min="4098" max="4098" width="1.7265625" style="35" customWidth="1"/>
    <col min="4099" max="4114" width="8.26953125" style="35" customWidth="1"/>
    <col min="4115" max="4116" width="10.81640625" style="35" customWidth="1"/>
    <col min="4117" max="4117" width="42.1796875" style="35" customWidth="1"/>
    <col min="4118" max="4120" width="8.26953125" style="35" customWidth="1"/>
    <col min="4121" max="4127" width="8.7265625" style="35" customWidth="1"/>
    <col min="4128" max="4352" width="3.54296875" style="35"/>
    <col min="4353" max="4353" width="9.26953125" style="35" customWidth="1"/>
    <col min="4354" max="4354" width="1.7265625" style="35" customWidth="1"/>
    <col min="4355" max="4370" width="8.26953125" style="35" customWidth="1"/>
    <col min="4371" max="4372" width="10.81640625" style="35" customWidth="1"/>
    <col min="4373" max="4373" width="42.1796875" style="35" customWidth="1"/>
    <col min="4374" max="4376" width="8.26953125" style="35" customWidth="1"/>
    <col min="4377" max="4383" width="8.7265625" style="35" customWidth="1"/>
    <col min="4384" max="4608" width="3.54296875" style="35"/>
    <col min="4609" max="4609" width="9.26953125" style="35" customWidth="1"/>
    <col min="4610" max="4610" width="1.7265625" style="35" customWidth="1"/>
    <col min="4611" max="4626" width="8.26953125" style="35" customWidth="1"/>
    <col min="4627" max="4628" width="10.81640625" style="35" customWidth="1"/>
    <col min="4629" max="4629" width="42.1796875" style="35" customWidth="1"/>
    <col min="4630" max="4632" width="8.26953125" style="35" customWidth="1"/>
    <col min="4633" max="4639" width="8.7265625" style="35" customWidth="1"/>
    <col min="4640" max="4864" width="3.54296875" style="35"/>
    <col min="4865" max="4865" width="9.26953125" style="35" customWidth="1"/>
    <col min="4866" max="4866" width="1.7265625" style="35" customWidth="1"/>
    <col min="4867" max="4882" width="8.26953125" style="35" customWidth="1"/>
    <col min="4883" max="4884" width="10.81640625" style="35" customWidth="1"/>
    <col min="4885" max="4885" width="42.1796875" style="35" customWidth="1"/>
    <col min="4886" max="4888" width="8.26953125" style="35" customWidth="1"/>
    <col min="4889" max="4895" width="8.7265625" style="35" customWidth="1"/>
    <col min="4896" max="5120" width="3.54296875" style="35"/>
    <col min="5121" max="5121" width="9.26953125" style="35" customWidth="1"/>
    <col min="5122" max="5122" width="1.7265625" style="35" customWidth="1"/>
    <col min="5123" max="5138" width="8.26953125" style="35" customWidth="1"/>
    <col min="5139" max="5140" width="10.81640625" style="35" customWidth="1"/>
    <col min="5141" max="5141" width="42.1796875" style="35" customWidth="1"/>
    <col min="5142" max="5144" width="8.26953125" style="35" customWidth="1"/>
    <col min="5145" max="5151" width="8.7265625" style="35" customWidth="1"/>
    <col min="5152" max="5376" width="3.54296875" style="35"/>
    <col min="5377" max="5377" width="9.26953125" style="35" customWidth="1"/>
    <col min="5378" max="5378" width="1.7265625" style="35" customWidth="1"/>
    <col min="5379" max="5394" width="8.26953125" style="35" customWidth="1"/>
    <col min="5395" max="5396" width="10.81640625" style="35" customWidth="1"/>
    <col min="5397" max="5397" width="42.1796875" style="35" customWidth="1"/>
    <col min="5398" max="5400" width="8.26953125" style="35" customWidth="1"/>
    <col min="5401" max="5407" width="8.7265625" style="35" customWidth="1"/>
    <col min="5408" max="5632" width="3.54296875" style="35"/>
    <col min="5633" max="5633" width="9.26953125" style="35" customWidth="1"/>
    <col min="5634" max="5634" width="1.7265625" style="35" customWidth="1"/>
    <col min="5635" max="5650" width="8.26953125" style="35" customWidth="1"/>
    <col min="5651" max="5652" width="10.81640625" style="35" customWidth="1"/>
    <col min="5653" max="5653" width="42.1796875" style="35" customWidth="1"/>
    <col min="5654" max="5656" width="8.26953125" style="35" customWidth="1"/>
    <col min="5657" max="5663" width="8.7265625" style="35" customWidth="1"/>
    <col min="5664" max="5888" width="3.54296875" style="35"/>
    <col min="5889" max="5889" width="9.26953125" style="35" customWidth="1"/>
    <col min="5890" max="5890" width="1.7265625" style="35" customWidth="1"/>
    <col min="5891" max="5906" width="8.26953125" style="35" customWidth="1"/>
    <col min="5907" max="5908" width="10.81640625" style="35" customWidth="1"/>
    <col min="5909" max="5909" width="42.1796875" style="35" customWidth="1"/>
    <col min="5910" max="5912" width="8.26953125" style="35" customWidth="1"/>
    <col min="5913" max="5919" width="8.7265625" style="35" customWidth="1"/>
    <col min="5920" max="6144" width="3.54296875" style="35"/>
    <col min="6145" max="6145" width="9.26953125" style="35" customWidth="1"/>
    <col min="6146" max="6146" width="1.7265625" style="35" customWidth="1"/>
    <col min="6147" max="6162" width="8.26953125" style="35" customWidth="1"/>
    <col min="6163" max="6164" width="10.81640625" style="35" customWidth="1"/>
    <col min="6165" max="6165" width="42.1796875" style="35" customWidth="1"/>
    <col min="6166" max="6168" width="8.26953125" style="35" customWidth="1"/>
    <col min="6169" max="6175" width="8.7265625" style="35" customWidth="1"/>
    <col min="6176" max="6400" width="3.54296875" style="35"/>
    <col min="6401" max="6401" width="9.26953125" style="35" customWidth="1"/>
    <col min="6402" max="6402" width="1.7265625" style="35" customWidth="1"/>
    <col min="6403" max="6418" width="8.26953125" style="35" customWidth="1"/>
    <col min="6419" max="6420" width="10.81640625" style="35" customWidth="1"/>
    <col min="6421" max="6421" width="42.1796875" style="35" customWidth="1"/>
    <col min="6422" max="6424" width="8.26953125" style="35" customWidth="1"/>
    <col min="6425" max="6431" width="8.7265625" style="35" customWidth="1"/>
    <col min="6432" max="6656" width="3.54296875" style="35"/>
    <col min="6657" max="6657" width="9.26953125" style="35" customWidth="1"/>
    <col min="6658" max="6658" width="1.7265625" style="35" customWidth="1"/>
    <col min="6659" max="6674" width="8.26953125" style="35" customWidth="1"/>
    <col min="6675" max="6676" width="10.81640625" style="35" customWidth="1"/>
    <col min="6677" max="6677" width="42.1796875" style="35" customWidth="1"/>
    <col min="6678" max="6680" width="8.26953125" style="35" customWidth="1"/>
    <col min="6681" max="6687" width="8.7265625" style="35" customWidth="1"/>
    <col min="6688" max="6912" width="3.54296875" style="35"/>
    <col min="6913" max="6913" width="9.26953125" style="35" customWidth="1"/>
    <col min="6914" max="6914" width="1.7265625" style="35" customWidth="1"/>
    <col min="6915" max="6930" width="8.26953125" style="35" customWidth="1"/>
    <col min="6931" max="6932" width="10.81640625" style="35" customWidth="1"/>
    <col min="6933" max="6933" width="42.1796875" style="35" customWidth="1"/>
    <col min="6934" max="6936" width="8.26953125" style="35" customWidth="1"/>
    <col min="6937" max="6943" width="8.7265625" style="35" customWidth="1"/>
    <col min="6944" max="7168" width="3.54296875" style="35"/>
    <col min="7169" max="7169" width="9.26953125" style="35" customWidth="1"/>
    <col min="7170" max="7170" width="1.7265625" style="35" customWidth="1"/>
    <col min="7171" max="7186" width="8.26953125" style="35" customWidth="1"/>
    <col min="7187" max="7188" width="10.81640625" style="35" customWidth="1"/>
    <col min="7189" max="7189" width="42.1796875" style="35" customWidth="1"/>
    <col min="7190" max="7192" width="8.26953125" style="35" customWidth="1"/>
    <col min="7193" max="7199" width="8.7265625" style="35" customWidth="1"/>
    <col min="7200" max="7424" width="3.54296875" style="35"/>
    <col min="7425" max="7425" width="9.26953125" style="35" customWidth="1"/>
    <col min="7426" max="7426" width="1.7265625" style="35" customWidth="1"/>
    <col min="7427" max="7442" width="8.26953125" style="35" customWidth="1"/>
    <col min="7443" max="7444" width="10.81640625" style="35" customWidth="1"/>
    <col min="7445" max="7445" width="42.1796875" style="35" customWidth="1"/>
    <col min="7446" max="7448" width="8.26953125" style="35" customWidth="1"/>
    <col min="7449" max="7455" width="8.7265625" style="35" customWidth="1"/>
    <col min="7456" max="7680" width="3.54296875" style="35"/>
    <col min="7681" max="7681" width="9.26953125" style="35" customWidth="1"/>
    <col min="7682" max="7682" width="1.7265625" style="35" customWidth="1"/>
    <col min="7683" max="7698" width="8.26953125" style="35" customWidth="1"/>
    <col min="7699" max="7700" width="10.81640625" style="35" customWidth="1"/>
    <col min="7701" max="7701" width="42.1796875" style="35" customWidth="1"/>
    <col min="7702" max="7704" width="8.26953125" style="35" customWidth="1"/>
    <col min="7705" max="7711" width="8.7265625" style="35" customWidth="1"/>
    <col min="7712" max="7936" width="3.54296875" style="35"/>
    <col min="7937" max="7937" width="9.26953125" style="35" customWidth="1"/>
    <col min="7938" max="7938" width="1.7265625" style="35" customWidth="1"/>
    <col min="7939" max="7954" width="8.26953125" style="35" customWidth="1"/>
    <col min="7955" max="7956" width="10.81640625" style="35" customWidth="1"/>
    <col min="7957" max="7957" width="42.1796875" style="35" customWidth="1"/>
    <col min="7958" max="7960" width="8.26953125" style="35" customWidth="1"/>
    <col min="7961" max="7967" width="8.7265625" style="35" customWidth="1"/>
    <col min="7968" max="8192" width="3.54296875" style="35"/>
    <col min="8193" max="8193" width="9.26953125" style="35" customWidth="1"/>
    <col min="8194" max="8194" width="1.7265625" style="35" customWidth="1"/>
    <col min="8195" max="8210" width="8.26953125" style="35" customWidth="1"/>
    <col min="8211" max="8212" width="10.81640625" style="35" customWidth="1"/>
    <col min="8213" max="8213" width="42.1796875" style="35" customWidth="1"/>
    <col min="8214" max="8216" width="8.26953125" style="35" customWidth="1"/>
    <col min="8217" max="8223" width="8.7265625" style="35" customWidth="1"/>
    <col min="8224" max="8448" width="3.54296875" style="35"/>
    <col min="8449" max="8449" width="9.26953125" style="35" customWidth="1"/>
    <col min="8450" max="8450" width="1.7265625" style="35" customWidth="1"/>
    <col min="8451" max="8466" width="8.26953125" style="35" customWidth="1"/>
    <col min="8467" max="8468" width="10.81640625" style="35" customWidth="1"/>
    <col min="8469" max="8469" width="42.1796875" style="35" customWidth="1"/>
    <col min="8470" max="8472" width="8.26953125" style="35" customWidth="1"/>
    <col min="8473" max="8479" width="8.7265625" style="35" customWidth="1"/>
    <col min="8480" max="8704" width="3.54296875" style="35"/>
    <col min="8705" max="8705" width="9.26953125" style="35" customWidth="1"/>
    <col min="8706" max="8706" width="1.7265625" style="35" customWidth="1"/>
    <col min="8707" max="8722" width="8.26953125" style="35" customWidth="1"/>
    <col min="8723" max="8724" width="10.81640625" style="35" customWidth="1"/>
    <col min="8725" max="8725" width="42.1796875" style="35" customWidth="1"/>
    <col min="8726" max="8728" width="8.26953125" style="35" customWidth="1"/>
    <col min="8729" max="8735" width="8.7265625" style="35" customWidth="1"/>
    <col min="8736" max="8960" width="3.54296875" style="35"/>
    <col min="8961" max="8961" width="9.26953125" style="35" customWidth="1"/>
    <col min="8962" max="8962" width="1.7265625" style="35" customWidth="1"/>
    <col min="8963" max="8978" width="8.26953125" style="35" customWidth="1"/>
    <col min="8979" max="8980" width="10.81640625" style="35" customWidth="1"/>
    <col min="8981" max="8981" width="42.1796875" style="35" customWidth="1"/>
    <col min="8982" max="8984" width="8.26953125" style="35" customWidth="1"/>
    <col min="8985" max="8991" width="8.7265625" style="35" customWidth="1"/>
    <col min="8992" max="9216" width="3.54296875" style="35"/>
    <col min="9217" max="9217" width="9.26953125" style="35" customWidth="1"/>
    <col min="9218" max="9218" width="1.7265625" style="35" customWidth="1"/>
    <col min="9219" max="9234" width="8.26953125" style="35" customWidth="1"/>
    <col min="9235" max="9236" width="10.81640625" style="35" customWidth="1"/>
    <col min="9237" max="9237" width="42.1796875" style="35" customWidth="1"/>
    <col min="9238" max="9240" width="8.26953125" style="35" customWidth="1"/>
    <col min="9241" max="9247" width="8.7265625" style="35" customWidth="1"/>
    <col min="9248" max="9472" width="3.54296875" style="35"/>
    <col min="9473" max="9473" width="9.26953125" style="35" customWidth="1"/>
    <col min="9474" max="9474" width="1.7265625" style="35" customWidth="1"/>
    <col min="9475" max="9490" width="8.26953125" style="35" customWidth="1"/>
    <col min="9491" max="9492" width="10.81640625" style="35" customWidth="1"/>
    <col min="9493" max="9493" width="42.1796875" style="35" customWidth="1"/>
    <col min="9494" max="9496" width="8.26953125" style="35" customWidth="1"/>
    <col min="9497" max="9503" width="8.7265625" style="35" customWidth="1"/>
    <col min="9504" max="9728" width="3.54296875" style="35"/>
    <col min="9729" max="9729" width="9.26953125" style="35" customWidth="1"/>
    <col min="9730" max="9730" width="1.7265625" style="35" customWidth="1"/>
    <col min="9731" max="9746" width="8.26953125" style="35" customWidth="1"/>
    <col min="9747" max="9748" width="10.81640625" style="35" customWidth="1"/>
    <col min="9749" max="9749" width="42.1796875" style="35" customWidth="1"/>
    <col min="9750" max="9752" width="8.26953125" style="35" customWidth="1"/>
    <col min="9753" max="9759" width="8.7265625" style="35" customWidth="1"/>
    <col min="9760" max="9984" width="3.54296875" style="35"/>
    <col min="9985" max="9985" width="9.26953125" style="35" customWidth="1"/>
    <col min="9986" max="9986" width="1.7265625" style="35" customWidth="1"/>
    <col min="9987" max="10002" width="8.26953125" style="35" customWidth="1"/>
    <col min="10003" max="10004" width="10.81640625" style="35" customWidth="1"/>
    <col min="10005" max="10005" width="42.1796875" style="35" customWidth="1"/>
    <col min="10006" max="10008" width="8.26953125" style="35" customWidth="1"/>
    <col min="10009" max="10015" width="8.7265625" style="35" customWidth="1"/>
    <col min="10016" max="10240" width="3.54296875" style="35"/>
    <col min="10241" max="10241" width="9.26953125" style="35" customWidth="1"/>
    <col min="10242" max="10242" width="1.7265625" style="35" customWidth="1"/>
    <col min="10243" max="10258" width="8.26953125" style="35" customWidth="1"/>
    <col min="10259" max="10260" width="10.81640625" style="35" customWidth="1"/>
    <col min="10261" max="10261" width="42.1796875" style="35" customWidth="1"/>
    <col min="10262" max="10264" width="8.26953125" style="35" customWidth="1"/>
    <col min="10265" max="10271" width="8.7265625" style="35" customWidth="1"/>
    <col min="10272" max="10496" width="3.54296875" style="35"/>
    <col min="10497" max="10497" width="9.26953125" style="35" customWidth="1"/>
    <col min="10498" max="10498" width="1.7265625" style="35" customWidth="1"/>
    <col min="10499" max="10514" width="8.26953125" style="35" customWidth="1"/>
    <col min="10515" max="10516" width="10.81640625" style="35" customWidth="1"/>
    <col min="10517" max="10517" width="42.1796875" style="35" customWidth="1"/>
    <col min="10518" max="10520" width="8.26953125" style="35" customWidth="1"/>
    <col min="10521" max="10527" width="8.7265625" style="35" customWidth="1"/>
    <col min="10528" max="10752" width="3.54296875" style="35"/>
    <col min="10753" max="10753" width="9.26953125" style="35" customWidth="1"/>
    <col min="10754" max="10754" width="1.7265625" style="35" customWidth="1"/>
    <col min="10755" max="10770" width="8.26953125" style="35" customWidth="1"/>
    <col min="10771" max="10772" width="10.81640625" style="35" customWidth="1"/>
    <col min="10773" max="10773" width="42.1796875" style="35" customWidth="1"/>
    <col min="10774" max="10776" width="8.26953125" style="35" customWidth="1"/>
    <col min="10777" max="10783" width="8.7265625" style="35" customWidth="1"/>
    <col min="10784" max="11008" width="3.54296875" style="35"/>
    <col min="11009" max="11009" width="9.26953125" style="35" customWidth="1"/>
    <col min="11010" max="11010" width="1.7265625" style="35" customWidth="1"/>
    <col min="11011" max="11026" width="8.26953125" style="35" customWidth="1"/>
    <col min="11027" max="11028" width="10.81640625" style="35" customWidth="1"/>
    <col min="11029" max="11029" width="42.1796875" style="35" customWidth="1"/>
    <col min="11030" max="11032" width="8.26953125" style="35" customWidth="1"/>
    <col min="11033" max="11039" width="8.7265625" style="35" customWidth="1"/>
    <col min="11040" max="11264" width="3.54296875" style="35"/>
    <col min="11265" max="11265" width="9.26953125" style="35" customWidth="1"/>
    <col min="11266" max="11266" width="1.7265625" style="35" customWidth="1"/>
    <col min="11267" max="11282" width="8.26953125" style="35" customWidth="1"/>
    <col min="11283" max="11284" width="10.81640625" style="35" customWidth="1"/>
    <col min="11285" max="11285" width="42.1796875" style="35" customWidth="1"/>
    <col min="11286" max="11288" width="8.26953125" style="35" customWidth="1"/>
    <col min="11289" max="11295" width="8.7265625" style="35" customWidth="1"/>
    <col min="11296" max="11520" width="3.54296875" style="35"/>
    <col min="11521" max="11521" width="9.26953125" style="35" customWidth="1"/>
    <col min="11522" max="11522" width="1.7265625" style="35" customWidth="1"/>
    <col min="11523" max="11538" width="8.26953125" style="35" customWidth="1"/>
    <col min="11539" max="11540" width="10.81640625" style="35" customWidth="1"/>
    <col min="11541" max="11541" width="42.1796875" style="35" customWidth="1"/>
    <col min="11542" max="11544" width="8.26953125" style="35" customWidth="1"/>
    <col min="11545" max="11551" width="8.7265625" style="35" customWidth="1"/>
    <col min="11552" max="11776" width="3.54296875" style="35"/>
    <col min="11777" max="11777" width="9.26953125" style="35" customWidth="1"/>
    <col min="11778" max="11778" width="1.7265625" style="35" customWidth="1"/>
    <col min="11779" max="11794" width="8.26953125" style="35" customWidth="1"/>
    <col min="11795" max="11796" width="10.81640625" style="35" customWidth="1"/>
    <col min="11797" max="11797" width="42.1796875" style="35" customWidth="1"/>
    <col min="11798" max="11800" width="8.26953125" style="35" customWidth="1"/>
    <col min="11801" max="11807" width="8.7265625" style="35" customWidth="1"/>
    <col min="11808" max="12032" width="3.54296875" style="35"/>
    <col min="12033" max="12033" width="9.26953125" style="35" customWidth="1"/>
    <col min="12034" max="12034" width="1.7265625" style="35" customWidth="1"/>
    <col min="12035" max="12050" width="8.26953125" style="35" customWidth="1"/>
    <col min="12051" max="12052" width="10.81640625" style="35" customWidth="1"/>
    <col min="12053" max="12053" width="42.1796875" style="35" customWidth="1"/>
    <col min="12054" max="12056" width="8.26953125" style="35" customWidth="1"/>
    <col min="12057" max="12063" width="8.7265625" style="35" customWidth="1"/>
    <col min="12064" max="12288" width="3.54296875" style="35"/>
    <col min="12289" max="12289" width="9.26953125" style="35" customWidth="1"/>
    <col min="12290" max="12290" width="1.7265625" style="35" customWidth="1"/>
    <col min="12291" max="12306" width="8.26953125" style="35" customWidth="1"/>
    <col min="12307" max="12308" width="10.81640625" style="35" customWidth="1"/>
    <col min="12309" max="12309" width="42.1796875" style="35" customWidth="1"/>
    <col min="12310" max="12312" width="8.26953125" style="35" customWidth="1"/>
    <col min="12313" max="12319" width="8.7265625" style="35" customWidth="1"/>
    <col min="12320" max="12544" width="3.54296875" style="35"/>
    <col min="12545" max="12545" width="9.26953125" style="35" customWidth="1"/>
    <col min="12546" max="12546" width="1.7265625" style="35" customWidth="1"/>
    <col min="12547" max="12562" width="8.26953125" style="35" customWidth="1"/>
    <col min="12563" max="12564" width="10.81640625" style="35" customWidth="1"/>
    <col min="12565" max="12565" width="42.1796875" style="35" customWidth="1"/>
    <col min="12566" max="12568" width="8.26953125" style="35" customWidth="1"/>
    <col min="12569" max="12575" width="8.7265625" style="35" customWidth="1"/>
    <col min="12576" max="12800" width="3.54296875" style="35"/>
    <col min="12801" max="12801" width="9.26953125" style="35" customWidth="1"/>
    <col min="12802" max="12802" width="1.7265625" style="35" customWidth="1"/>
    <col min="12803" max="12818" width="8.26953125" style="35" customWidth="1"/>
    <col min="12819" max="12820" width="10.81640625" style="35" customWidth="1"/>
    <col min="12821" max="12821" width="42.1796875" style="35" customWidth="1"/>
    <col min="12822" max="12824" width="8.26953125" style="35" customWidth="1"/>
    <col min="12825" max="12831" width="8.7265625" style="35" customWidth="1"/>
    <col min="12832" max="13056" width="3.54296875" style="35"/>
    <col min="13057" max="13057" width="9.26953125" style="35" customWidth="1"/>
    <col min="13058" max="13058" width="1.7265625" style="35" customWidth="1"/>
    <col min="13059" max="13074" width="8.26953125" style="35" customWidth="1"/>
    <col min="13075" max="13076" width="10.81640625" style="35" customWidth="1"/>
    <col min="13077" max="13077" width="42.1796875" style="35" customWidth="1"/>
    <col min="13078" max="13080" width="8.26953125" style="35" customWidth="1"/>
    <col min="13081" max="13087" width="8.7265625" style="35" customWidth="1"/>
    <col min="13088" max="13312" width="3.54296875" style="35"/>
    <col min="13313" max="13313" width="9.26953125" style="35" customWidth="1"/>
    <col min="13314" max="13314" width="1.7265625" style="35" customWidth="1"/>
    <col min="13315" max="13330" width="8.26953125" style="35" customWidth="1"/>
    <col min="13331" max="13332" width="10.81640625" style="35" customWidth="1"/>
    <col min="13333" max="13333" width="42.1796875" style="35" customWidth="1"/>
    <col min="13334" max="13336" width="8.26953125" style="35" customWidth="1"/>
    <col min="13337" max="13343" width="8.7265625" style="35" customWidth="1"/>
    <col min="13344" max="13568" width="3.54296875" style="35"/>
    <col min="13569" max="13569" width="9.26953125" style="35" customWidth="1"/>
    <col min="13570" max="13570" width="1.7265625" style="35" customWidth="1"/>
    <col min="13571" max="13586" width="8.26953125" style="35" customWidth="1"/>
    <col min="13587" max="13588" width="10.81640625" style="35" customWidth="1"/>
    <col min="13589" max="13589" width="42.1796875" style="35" customWidth="1"/>
    <col min="13590" max="13592" width="8.26953125" style="35" customWidth="1"/>
    <col min="13593" max="13599" width="8.7265625" style="35" customWidth="1"/>
    <col min="13600" max="13824" width="3.54296875" style="35"/>
    <col min="13825" max="13825" width="9.26953125" style="35" customWidth="1"/>
    <col min="13826" max="13826" width="1.7265625" style="35" customWidth="1"/>
    <col min="13827" max="13842" width="8.26953125" style="35" customWidth="1"/>
    <col min="13843" max="13844" width="10.81640625" style="35" customWidth="1"/>
    <col min="13845" max="13845" width="42.1796875" style="35" customWidth="1"/>
    <col min="13846" max="13848" width="8.26953125" style="35" customWidth="1"/>
    <col min="13849" max="13855" width="8.7265625" style="35" customWidth="1"/>
    <col min="13856" max="14080" width="3.54296875" style="35"/>
    <col min="14081" max="14081" width="9.26953125" style="35" customWidth="1"/>
    <col min="14082" max="14082" width="1.7265625" style="35" customWidth="1"/>
    <col min="14083" max="14098" width="8.26953125" style="35" customWidth="1"/>
    <col min="14099" max="14100" width="10.81640625" style="35" customWidth="1"/>
    <col min="14101" max="14101" width="42.1796875" style="35" customWidth="1"/>
    <col min="14102" max="14104" width="8.26953125" style="35" customWidth="1"/>
    <col min="14105" max="14111" width="8.7265625" style="35" customWidth="1"/>
    <col min="14112" max="14336" width="3.54296875" style="35"/>
    <col min="14337" max="14337" width="9.26953125" style="35" customWidth="1"/>
    <col min="14338" max="14338" width="1.7265625" style="35" customWidth="1"/>
    <col min="14339" max="14354" width="8.26953125" style="35" customWidth="1"/>
    <col min="14355" max="14356" width="10.81640625" style="35" customWidth="1"/>
    <col min="14357" max="14357" width="42.1796875" style="35" customWidth="1"/>
    <col min="14358" max="14360" width="8.26953125" style="35" customWidth="1"/>
    <col min="14361" max="14367" width="8.7265625" style="35" customWidth="1"/>
    <col min="14368" max="14592" width="3.54296875" style="35"/>
    <col min="14593" max="14593" width="9.26953125" style="35" customWidth="1"/>
    <col min="14594" max="14594" width="1.7265625" style="35" customWidth="1"/>
    <col min="14595" max="14610" width="8.26953125" style="35" customWidth="1"/>
    <col min="14611" max="14612" width="10.81640625" style="35" customWidth="1"/>
    <col min="14613" max="14613" width="42.1796875" style="35" customWidth="1"/>
    <col min="14614" max="14616" width="8.26953125" style="35" customWidth="1"/>
    <col min="14617" max="14623" width="8.7265625" style="35" customWidth="1"/>
    <col min="14624" max="14848" width="3.54296875" style="35"/>
    <col min="14849" max="14849" width="9.26953125" style="35" customWidth="1"/>
    <col min="14850" max="14850" width="1.7265625" style="35" customWidth="1"/>
    <col min="14851" max="14866" width="8.26953125" style="35" customWidth="1"/>
    <col min="14867" max="14868" width="10.81640625" style="35" customWidth="1"/>
    <col min="14869" max="14869" width="42.1796875" style="35" customWidth="1"/>
    <col min="14870" max="14872" width="8.26953125" style="35" customWidth="1"/>
    <col min="14873" max="14879" width="8.7265625" style="35" customWidth="1"/>
    <col min="14880" max="15104" width="3.54296875" style="35"/>
    <col min="15105" max="15105" width="9.26953125" style="35" customWidth="1"/>
    <col min="15106" max="15106" width="1.7265625" style="35" customWidth="1"/>
    <col min="15107" max="15122" width="8.26953125" style="35" customWidth="1"/>
    <col min="15123" max="15124" width="10.81640625" style="35" customWidth="1"/>
    <col min="15125" max="15125" width="42.1796875" style="35" customWidth="1"/>
    <col min="15126" max="15128" width="8.26953125" style="35" customWidth="1"/>
    <col min="15129" max="15135" width="8.7265625" style="35" customWidth="1"/>
    <col min="15136" max="15360" width="3.54296875" style="35"/>
    <col min="15361" max="15361" width="9.26953125" style="35" customWidth="1"/>
    <col min="15362" max="15362" width="1.7265625" style="35" customWidth="1"/>
    <col min="15363" max="15378" width="8.26953125" style="35" customWidth="1"/>
    <col min="15379" max="15380" width="10.81640625" style="35" customWidth="1"/>
    <col min="15381" max="15381" width="42.1796875" style="35" customWidth="1"/>
    <col min="15382" max="15384" width="8.26953125" style="35" customWidth="1"/>
    <col min="15385" max="15391" width="8.7265625" style="35" customWidth="1"/>
    <col min="15392" max="15616" width="3.54296875" style="35"/>
    <col min="15617" max="15617" width="9.26953125" style="35" customWidth="1"/>
    <col min="15618" max="15618" width="1.7265625" style="35" customWidth="1"/>
    <col min="15619" max="15634" width="8.26953125" style="35" customWidth="1"/>
    <col min="15635" max="15636" width="10.81640625" style="35" customWidth="1"/>
    <col min="15637" max="15637" width="42.1796875" style="35" customWidth="1"/>
    <col min="15638" max="15640" width="8.26953125" style="35" customWidth="1"/>
    <col min="15641" max="15647" width="8.7265625" style="35" customWidth="1"/>
    <col min="15648" max="15872" width="3.54296875" style="35"/>
    <col min="15873" max="15873" width="9.26953125" style="35" customWidth="1"/>
    <col min="15874" max="15874" width="1.7265625" style="35" customWidth="1"/>
    <col min="15875" max="15890" width="8.26953125" style="35" customWidth="1"/>
    <col min="15891" max="15892" width="10.81640625" style="35" customWidth="1"/>
    <col min="15893" max="15893" width="42.1796875" style="35" customWidth="1"/>
    <col min="15894" max="15896" width="8.26953125" style="35" customWidth="1"/>
    <col min="15897" max="15903" width="8.7265625" style="35" customWidth="1"/>
    <col min="15904" max="16128" width="3.54296875" style="35"/>
    <col min="16129" max="16129" width="9.26953125" style="35" customWidth="1"/>
    <col min="16130" max="16130" width="1.7265625" style="35" customWidth="1"/>
    <col min="16131" max="16146" width="8.26953125" style="35" customWidth="1"/>
    <col min="16147" max="16148" width="10.81640625" style="35" customWidth="1"/>
    <col min="16149" max="16149" width="42.1796875" style="35" customWidth="1"/>
    <col min="16150" max="16152" width="8.26953125" style="35" customWidth="1"/>
    <col min="16153" max="16159" width="8.7265625" style="35" customWidth="1"/>
    <col min="16160" max="16384" width="3.54296875" style="35"/>
  </cols>
  <sheetData>
    <row r="1" spans="1:31">
      <c r="A1" s="34" t="s">
        <v>0</v>
      </c>
      <c r="H1" s="189"/>
      <c r="I1" s="190" t="s">
        <v>103</v>
      </c>
      <c r="J1" s="189"/>
      <c r="K1" s="86"/>
      <c r="L1" s="86"/>
      <c r="N1" s="36"/>
      <c r="O1" s="36"/>
      <c r="P1" s="37"/>
      <c r="Q1" s="37"/>
      <c r="R1" s="37"/>
      <c r="S1" s="37"/>
      <c r="T1" s="37"/>
      <c r="U1" s="37">
        <f ca="1">TODAY()</f>
        <v>45797</v>
      </c>
    </row>
    <row r="2" spans="1:31">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row>
    <row r="3" spans="1:31">
      <c r="A3" s="40" t="s">
        <v>3</v>
      </c>
      <c r="C3" s="41"/>
      <c r="D3" s="41"/>
      <c r="E3" s="41"/>
      <c r="F3" s="41"/>
      <c r="G3" s="41"/>
      <c r="H3" s="41"/>
      <c r="I3" s="41"/>
      <c r="J3" s="41">
        <f ca="1">TODAY()</f>
        <v>45797</v>
      </c>
      <c r="K3" s="41">
        <v>46203</v>
      </c>
      <c r="L3" s="41">
        <v>46568</v>
      </c>
      <c r="M3" s="41">
        <v>46934</v>
      </c>
      <c r="N3" s="41">
        <v>47299</v>
      </c>
      <c r="O3" s="41">
        <v>47664</v>
      </c>
      <c r="P3" s="41">
        <v>48029</v>
      </c>
      <c r="Q3" s="41">
        <v>48395</v>
      </c>
      <c r="R3" s="41">
        <v>48760</v>
      </c>
      <c r="S3" s="41">
        <v>49125</v>
      </c>
      <c r="T3" s="41">
        <v>49490</v>
      </c>
      <c r="U3" s="41">
        <v>49856</v>
      </c>
    </row>
    <row r="4" spans="1:31" ht="13.5">
      <c r="A4" s="42"/>
      <c r="C4" s="43" t="str">
        <f>+Historical!C4</f>
        <v>FYE June 30th</v>
      </c>
      <c r="D4" s="44"/>
      <c r="E4" s="44"/>
      <c r="F4" s="44"/>
      <c r="G4" s="44"/>
      <c r="H4" s="44"/>
      <c r="I4" s="44"/>
      <c r="J4" s="44"/>
      <c r="K4" s="44"/>
      <c r="L4" s="44"/>
      <c r="M4" s="44"/>
      <c r="N4" s="44"/>
      <c r="O4" s="44"/>
      <c r="P4" s="44"/>
      <c r="Q4" s="44"/>
      <c r="R4" s="44"/>
      <c r="S4" s="44"/>
      <c r="T4" s="44"/>
      <c r="U4" s="44"/>
    </row>
    <row r="5" spans="1:31" ht="13.5">
      <c r="C5" s="45" t="s">
        <v>4</v>
      </c>
      <c r="D5" s="45" t="s">
        <v>5</v>
      </c>
      <c r="E5" s="45" t="s">
        <v>6</v>
      </c>
      <c r="F5" s="45" t="s">
        <v>7</v>
      </c>
      <c r="G5" s="45" t="s">
        <v>8</v>
      </c>
      <c r="H5" s="45" t="s">
        <v>9</v>
      </c>
      <c r="I5" s="45" t="s">
        <v>4196</v>
      </c>
      <c r="J5" s="45" t="s">
        <v>11</v>
      </c>
      <c r="K5" s="45" t="s">
        <v>12</v>
      </c>
      <c r="L5" s="45" t="s">
        <v>13</v>
      </c>
      <c r="M5" s="45" t="s">
        <v>14</v>
      </c>
      <c r="N5" s="45" t="s">
        <v>15</v>
      </c>
      <c r="O5" s="45" t="s">
        <v>16</v>
      </c>
      <c r="P5" s="45" t="s">
        <v>17</v>
      </c>
      <c r="Q5" s="45" t="s">
        <v>18</v>
      </c>
      <c r="R5" s="45" t="s">
        <v>19</v>
      </c>
      <c r="S5" s="45" t="s">
        <v>20</v>
      </c>
      <c r="T5" s="45" t="s">
        <v>21</v>
      </c>
      <c r="U5" s="45" t="s">
        <v>4195</v>
      </c>
    </row>
    <row r="6" spans="1:31" ht="13.5">
      <c r="C6" s="45"/>
      <c r="D6" s="45"/>
      <c r="E6" s="45"/>
      <c r="F6" s="93"/>
      <c r="G6" s="45"/>
      <c r="H6" s="45"/>
      <c r="I6" s="93"/>
      <c r="J6" s="93" t="str">
        <f>+Upside!J6</f>
        <v>c = 628</v>
      </c>
      <c r="K6" s="45"/>
      <c r="L6" s="45"/>
      <c r="M6" s="45"/>
      <c r="N6" s="45"/>
      <c r="O6" s="45"/>
      <c r="P6" s="45"/>
      <c r="Q6" s="45"/>
      <c r="R6" s="45"/>
      <c r="S6" s="45"/>
      <c r="T6" s="45"/>
      <c r="U6" s="45"/>
      <c r="W6" s="35" t="s">
        <v>22</v>
      </c>
    </row>
    <row r="7" spans="1:31" s="34" customFormat="1">
      <c r="A7" s="50" t="s">
        <v>23</v>
      </c>
      <c r="B7" s="54"/>
      <c r="C7" s="53">
        <f>+'Historical - USD'!Q33</f>
        <v>0.42151179143997225</v>
      </c>
      <c r="D7" s="53">
        <f>+'Historical - USD'!R33</f>
        <v>4.0829256170548218</v>
      </c>
      <c r="E7" s="53">
        <f>+'Historical - USD'!S33</f>
        <v>15.1969708197214</v>
      </c>
      <c r="F7" s="53">
        <f>+'Historical - USD'!T33</f>
        <v>69.29545015814108</v>
      </c>
      <c r="G7" s="53">
        <f>+'Historical - USD'!U33</f>
        <v>152.33569525294132</v>
      </c>
      <c r="H7" s="53">
        <f>+'Historical - USD'!V33</f>
        <v>279.26346024365614</v>
      </c>
      <c r="I7" s="53">
        <f>+'Historical - USD'!W33</f>
        <v>486.52275402455365</v>
      </c>
      <c r="J7" s="55">
        <f t="shared" ref="J7:U7" si="0">+I7*(1+J8)</f>
        <v>656.80571793314743</v>
      </c>
      <c r="K7" s="55">
        <f t="shared" si="0"/>
        <v>853.84743331309164</v>
      </c>
      <c r="L7" s="55">
        <f t="shared" si="0"/>
        <v>1067.3092916413646</v>
      </c>
      <c r="M7" s="55">
        <f t="shared" si="0"/>
        <v>1302.1173358024648</v>
      </c>
      <c r="N7" s="55">
        <f t="shared" si="0"/>
        <v>1562.5408029629577</v>
      </c>
      <c r="O7" s="55">
        <f t="shared" si="0"/>
        <v>1843.7981474962901</v>
      </c>
      <c r="P7" s="55">
        <f t="shared" si="0"/>
        <v>2138.8058510956962</v>
      </c>
      <c r="Q7" s="55">
        <f t="shared" si="0"/>
        <v>2438.238670249094</v>
      </c>
      <c r="R7" s="55">
        <f t="shared" si="0"/>
        <v>2730.8273106789857</v>
      </c>
      <c r="S7" s="55">
        <f t="shared" si="0"/>
        <v>3003.9100417468844</v>
      </c>
      <c r="T7" s="55">
        <f t="shared" si="0"/>
        <v>3304.3010459215729</v>
      </c>
      <c r="U7" s="55">
        <f t="shared" si="0"/>
        <v>3634.7311505137304</v>
      </c>
      <c r="V7" s="54"/>
      <c r="W7" s="54">
        <f>+AVERAGE(P7)/0.85</f>
        <v>2516.2421777596428</v>
      </c>
      <c r="X7" s="34" t="s">
        <v>24</v>
      </c>
    </row>
    <row r="8" spans="1:31">
      <c r="A8" s="51" t="s">
        <v>25</v>
      </c>
      <c r="C8" s="52"/>
      <c r="D8" s="52">
        <f t="shared" ref="D8:I8" si="1">D7/C7-1</f>
        <v>8.6863852921093763</v>
      </c>
      <c r="E8" s="52">
        <f t="shared" si="1"/>
        <v>2.72207878493843</v>
      </c>
      <c r="F8" s="56">
        <f t="shared" si="1"/>
        <v>3.5598199128088766</v>
      </c>
      <c r="G8" s="56">
        <f t="shared" si="1"/>
        <v>1.1983506118409184</v>
      </c>
      <c r="H8" s="56">
        <f t="shared" si="1"/>
        <v>0.83321092131401864</v>
      </c>
      <c r="I8" s="56">
        <f t="shared" si="1"/>
        <v>0.74216402532599401</v>
      </c>
      <c r="J8" s="118">
        <v>0.35</v>
      </c>
      <c r="K8" s="118">
        <v>0.3</v>
      </c>
      <c r="L8" s="118">
        <v>0.25</v>
      </c>
      <c r="M8" s="118">
        <v>0.22</v>
      </c>
      <c r="N8" s="118">
        <v>0.2</v>
      </c>
      <c r="O8" s="118">
        <v>0.18</v>
      </c>
      <c r="P8" s="118">
        <v>0.16</v>
      </c>
      <c r="Q8" s="118">
        <v>0.14000000000000001</v>
      </c>
      <c r="R8" s="118">
        <v>0.12</v>
      </c>
      <c r="S8" s="118">
        <v>0.1</v>
      </c>
      <c r="T8" s="118">
        <v>0.1</v>
      </c>
      <c r="U8" s="118">
        <v>0.1</v>
      </c>
      <c r="X8" s="98"/>
    </row>
    <row r="9" spans="1:31">
      <c r="A9" s="51"/>
      <c r="C9" s="52"/>
      <c r="D9" s="52"/>
      <c r="E9" s="52"/>
      <c r="F9" s="52"/>
      <c r="G9" s="52"/>
      <c r="H9" s="52"/>
      <c r="I9" s="52"/>
      <c r="J9" s="52"/>
      <c r="K9" s="52"/>
      <c r="L9" s="52"/>
      <c r="M9" s="52"/>
      <c r="N9" s="52"/>
      <c r="O9" s="52"/>
      <c r="P9" s="52"/>
      <c r="Q9" s="52"/>
      <c r="R9" s="52"/>
      <c r="S9" s="52"/>
      <c r="T9" s="52"/>
      <c r="U9" s="52"/>
    </row>
    <row r="10" spans="1:31" s="34" customFormat="1">
      <c r="A10" s="50" t="s">
        <v>26</v>
      </c>
      <c r="B10" s="54"/>
      <c r="C10" s="53">
        <f>+'Historical - USD'!Q40</f>
        <v>0.21772943638719156</v>
      </c>
      <c r="D10" s="53">
        <f>+'Historical - USD'!R40</f>
        <v>1.0461156178198256</v>
      </c>
      <c r="E10" s="53">
        <f>+'Historical - USD'!S40</f>
        <v>4.2722599178136935</v>
      </c>
      <c r="F10" s="53">
        <f>+'Historical - USD'!T40</f>
        <v>16.396602767294507</v>
      </c>
      <c r="G10" s="53">
        <f>+'Historical - USD'!U40</f>
        <v>27.170855716618469</v>
      </c>
      <c r="H10" s="53">
        <f>+'Historical - USD'!V40</f>
        <v>64.125255761920656</v>
      </c>
      <c r="I10" s="53">
        <f>+'Historical - USD'!W40</f>
        <v>101.55215696590894</v>
      </c>
      <c r="J10" s="55">
        <f>+J12*J7</f>
        <v>137.79227053113641</v>
      </c>
      <c r="K10" s="55"/>
      <c r="L10" s="55"/>
      <c r="M10" s="55"/>
      <c r="N10" s="55"/>
      <c r="O10" s="55"/>
      <c r="P10" s="55"/>
      <c r="Q10" s="55"/>
      <c r="R10" s="55"/>
      <c r="S10" s="55"/>
      <c r="T10" s="55"/>
      <c r="U10" s="55"/>
    </row>
    <row r="11" spans="1:31">
      <c r="A11" s="51" t="s">
        <v>25</v>
      </c>
      <c r="C11" s="52"/>
      <c r="D11" s="52">
        <f t="shared" ref="D11:J11" si="2">D10/C10-1</f>
        <v>3.8046586404582543</v>
      </c>
      <c r="E11" s="52">
        <f t="shared" si="2"/>
        <v>3.0839270966218502</v>
      </c>
      <c r="F11" s="56">
        <f t="shared" si="2"/>
        <v>2.8379225708920308</v>
      </c>
      <c r="G11" s="56">
        <f t="shared" si="2"/>
        <v>0.65710276099478548</v>
      </c>
      <c r="H11" s="56">
        <f t="shared" si="2"/>
        <v>1.3600749431936303</v>
      </c>
      <c r="I11" s="56">
        <f t="shared" si="2"/>
        <v>0.58365305150507329</v>
      </c>
      <c r="J11" s="56">
        <f t="shared" si="2"/>
        <v>0.3568620760797161</v>
      </c>
      <c r="K11" s="56"/>
      <c r="L11" s="56"/>
      <c r="M11" s="56"/>
      <c r="N11" s="56"/>
      <c r="O11" s="56"/>
      <c r="P11" s="56"/>
      <c r="Q11" s="56"/>
      <c r="R11" s="56"/>
      <c r="S11" s="56"/>
      <c r="T11" s="56"/>
      <c r="U11" s="56"/>
    </row>
    <row r="12" spans="1:31">
      <c r="A12" s="51" t="s">
        <v>27</v>
      </c>
      <c r="C12" s="52">
        <f t="shared" ref="C12:H12" si="3">+C10/C7</f>
        <v>0.51654411764705888</v>
      </c>
      <c r="D12" s="52">
        <f t="shared" si="3"/>
        <v>0.25621716287215412</v>
      </c>
      <c r="E12" s="52">
        <f t="shared" si="3"/>
        <v>0.28112575647440868</v>
      </c>
      <c r="F12" s="52">
        <f t="shared" si="3"/>
        <v>0.23661874956978218</v>
      </c>
      <c r="G12" s="52">
        <f t="shared" si="3"/>
        <v>0.17836171405200482</v>
      </c>
      <c r="H12" s="52">
        <f t="shared" si="3"/>
        <v>0.22962279313581394</v>
      </c>
      <c r="I12" s="52">
        <f t="shared" ref="I12" si="4">+I10/I7</f>
        <v>0.20873053958085552</v>
      </c>
      <c r="J12" s="234">
        <f>+'Simple - 5%'!J12</f>
        <v>0.20979152094586595</v>
      </c>
      <c r="K12" s="56"/>
      <c r="L12" s="56"/>
      <c r="M12" s="56"/>
      <c r="N12" s="56"/>
      <c r="O12" s="56"/>
      <c r="P12" s="56"/>
      <c r="Q12" s="56"/>
      <c r="R12" s="56"/>
      <c r="S12" s="56"/>
      <c r="T12" s="56"/>
      <c r="U12" s="56"/>
    </row>
    <row r="13" spans="1:31">
      <c r="A13" s="51"/>
      <c r="C13" s="52"/>
      <c r="D13" s="52"/>
      <c r="E13" s="52"/>
      <c r="F13" s="52"/>
      <c r="G13" s="52"/>
      <c r="H13" s="52"/>
      <c r="I13" s="52"/>
      <c r="J13" s="52"/>
      <c r="K13" s="52"/>
      <c r="L13" s="52"/>
      <c r="M13" s="52"/>
      <c r="N13" s="52"/>
      <c r="O13" s="52"/>
      <c r="P13" s="52"/>
      <c r="Q13" s="52"/>
      <c r="R13" s="52"/>
      <c r="S13" s="52"/>
      <c r="T13" s="52"/>
      <c r="U13" s="52"/>
    </row>
    <row r="14" spans="1:31">
      <c r="A14" s="51"/>
      <c r="C14" s="52"/>
      <c r="D14" s="52"/>
      <c r="E14" s="52"/>
      <c r="F14" s="52"/>
      <c r="G14" s="52"/>
      <c r="H14" s="52"/>
      <c r="I14" s="93"/>
      <c r="J14" s="93" t="str">
        <f>+Upside!J14</f>
        <v>c = 18</v>
      </c>
      <c r="K14" s="52"/>
      <c r="L14" s="52"/>
      <c r="M14" s="52"/>
      <c r="N14" s="52"/>
      <c r="O14" s="52"/>
      <c r="P14" s="52"/>
      <c r="Q14" s="52"/>
      <c r="R14" s="52"/>
      <c r="S14" s="52"/>
      <c r="T14" s="52"/>
      <c r="U14" s="52"/>
    </row>
    <row r="15" spans="1:31" s="34" customFormat="1">
      <c r="A15" s="50" t="s">
        <v>28</v>
      </c>
      <c r="B15" s="54"/>
      <c r="C15" s="53">
        <f>+'Historical - USD'!Q114</f>
        <v>0.13094759697307962</v>
      </c>
      <c r="D15" s="53">
        <f>+'Historical - USD'!R114</f>
        <v>0.43331925112700909</v>
      </c>
      <c r="E15" s="53">
        <f>+'Historical - USD'!S114</f>
        <v>1.8333797801119438</v>
      </c>
      <c r="F15" s="53">
        <f>+'Historical - USD'!T114</f>
        <v>1.5305748024914749</v>
      </c>
      <c r="G15" s="53">
        <f>+'Historical - USD'!U114</f>
        <v>-15.865268926498235</v>
      </c>
      <c r="H15" s="53">
        <f>+'Historical - USD'!V114</f>
        <v>19.41599918774542</v>
      </c>
      <c r="I15" s="53">
        <f>+'Historical - USD'!W114</f>
        <v>19.962779999556489</v>
      </c>
      <c r="J15" s="55">
        <f t="shared" ref="J15:T15" si="5">+J17*J7</f>
        <v>27.485255990060903</v>
      </c>
      <c r="K15" s="55">
        <f t="shared" si="5"/>
        <v>36.426986674936714</v>
      </c>
      <c r="L15" s="55">
        <f t="shared" si="5"/>
        <v>46.403925703492817</v>
      </c>
      <c r="M15" s="55">
        <f t="shared" si="5"/>
        <v>57.67442403724398</v>
      </c>
      <c r="N15" s="55">
        <f t="shared" si="5"/>
        <v>70.483270459472067</v>
      </c>
      <c r="O15" s="55">
        <f t="shared" si="5"/>
        <v>84.673533847616611</v>
      </c>
      <c r="P15" s="55">
        <f t="shared" si="5"/>
        <v>99.965097921545151</v>
      </c>
      <c r="Q15" s="55">
        <f t="shared" si="5"/>
        <v>115.94814210103478</v>
      </c>
      <c r="R15" s="55">
        <f t="shared" si="5"/>
        <v>132.08840128008904</v>
      </c>
      <c r="S15" s="55">
        <f t="shared" si="5"/>
        <v>147.74637174772107</v>
      </c>
      <c r="T15" s="55">
        <f t="shared" si="5"/>
        <v>165.21505229607865</v>
      </c>
      <c r="U15" s="55">
        <f t="shared" ref="U15" si="6">+U17*U7</f>
        <v>181.73655752568652</v>
      </c>
    </row>
    <row r="16" spans="1:31">
      <c r="A16" s="51" t="s">
        <v>25</v>
      </c>
      <c r="C16" s="52"/>
      <c r="D16" s="52">
        <f>+D15/C15-1</f>
        <v>2.3091042611197472</v>
      </c>
      <c r="E16" s="52">
        <f>+E15/D15-1</f>
        <v>3.231013912591127</v>
      </c>
      <c r="F16" s="56">
        <f t="shared" ref="F16:U16" si="7">+IFERROR(F15/E15-1,"-")</f>
        <v>-0.16516216711083176</v>
      </c>
      <c r="G16" s="56">
        <f t="shared" si="7"/>
        <v>-11.365562598229564</v>
      </c>
      <c r="H16" s="56">
        <f t="shared" si="7"/>
        <v>-2.2238052363119252</v>
      </c>
      <c r="I16" s="56">
        <f t="shared" si="7"/>
        <v>2.81613532491376E-2</v>
      </c>
      <c r="J16" s="56">
        <f t="shared" si="7"/>
        <v>0.37682507099069062</v>
      </c>
      <c r="K16" s="56">
        <f t="shared" si="7"/>
        <v>0.32532826647527968</v>
      </c>
      <c r="L16" s="56">
        <f t="shared" si="7"/>
        <v>0.27388867263678041</v>
      </c>
      <c r="M16" s="56">
        <f t="shared" si="7"/>
        <v>0.24287812211764725</v>
      </c>
      <c r="N16" s="56">
        <f t="shared" si="7"/>
        <v>0.22208884849819421</v>
      </c>
      <c r="O16" s="56">
        <f t="shared" si="7"/>
        <v>0.2013281065938044</v>
      </c>
      <c r="P16" s="56">
        <f t="shared" si="7"/>
        <v>0.18059437676769363</v>
      </c>
      <c r="Q16" s="56">
        <f t="shared" si="7"/>
        <v>0.15988624541771035</v>
      </c>
      <c r="R16" s="56">
        <f t="shared" si="7"/>
        <v>0.13920239588651606</v>
      </c>
      <c r="S16" s="56">
        <f t="shared" si="7"/>
        <v>0.11854160029107952</v>
      </c>
      <c r="T16" s="56">
        <f t="shared" si="7"/>
        <v>0.11823424387155579</v>
      </c>
      <c r="U16" s="56">
        <f t="shared" si="7"/>
        <v>0.10000000000000009</v>
      </c>
    </row>
    <row r="17" spans="1:21">
      <c r="A17" s="51" t="s">
        <v>27</v>
      </c>
      <c r="C17" s="52">
        <f t="shared" ref="C17:H17" si="8">+C15/C7</f>
        <v>0.31066176470588236</v>
      </c>
      <c r="D17" s="52">
        <f t="shared" si="8"/>
        <v>0.10612959719789841</v>
      </c>
      <c r="E17" s="52">
        <f t="shared" si="8"/>
        <v>0.12064113314824107</v>
      </c>
      <c r="F17" s="52">
        <f t="shared" si="8"/>
        <v>2.2087666636099592E-2</v>
      </c>
      <c r="G17" s="52">
        <f t="shared" si="8"/>
        <v>-0.10414675890739342</v>
      </c>
      <c r="H17" s="52">
        <f t="shared" si="8"/>
        <v>6.9525741644843361E-2</v>
      </c>
      <c r="I17" s="52">
        <f t="shared" ref="I17" si="9">+I15/I7</f>
        <v>4.103154443327231E-2</v>
      </c>
      <c r="J17" s="56">
        <f t="shared" ref="J17:S17" si="10">($T$17-$I$17)/11+I17</f>
        <v>4.1846858575702098E-2</v>
      </c>
      <c r="K17" s="56">
        <f t="shared" si="10"/>
        <v>4.2662172718131885E-2</v>
      </c>
      <c r="L17" s="56">
        <f t="shared" si="10"/>
        <v>4.3477486860561673E-2</v>
      </c>
      <c r="M17" s="56">
        <f t="shared" si="10"/>
        <v>4.4292801002991461E-2</v>
      </c>
      <c r="N17" s="56">
        <f t="shared" si="10"/>
        <v>4.5108115145421249E-2</v>
      </c>
      <c r="O17" s="56">
        <f t="shared" si="10"/>
        <v>4.5923429287851036E-2</v>
      </c>
      <c r="P17" s="56">
        <f t="shared" si="10"/>
        <v>4.6738743430280824E-2</v>
      </c>
      <c r="Q17" s="56">
        <f t="shared" si="10"/>
        <v>4.7554057572710612E-2</v>
      </c>
      <c r="R17" s="56">
        <f t="shared" si="10"/>
        <v>4.83693717151404E-2</v>
      </c>
      <c r="S17" s="56">
        <f t="shared" si="10"/>
        <v>4.9184685857570187E-2</v>
      </c>
      <c r="T17" s="118">
        <f>+T22+3%</f>
        <v>0.05</v>
      </c>
      <c r="U17" s="118">
        <f>+U22+3%</f>
        <v>0.05</v>
      </c>
    </row>
    <row r="18" spans="1:21" hidden="1" outlineLevel="1">
      <c r="A18" s="51" t="s">
        <v>29</v>
      </c>
      <c r="C18" s="52"/>
      <c r="D18" s="52">
        <f t="shared" ref="D18:U18" si="11">(D15-C15)/(D7-C7)</f>
        <v>8.2583304853051723E-2</v>
      </c>
      <c r="E18" s="52">
        <f t="shared" si="11"/>
        <v>0.12597218235616139</v>
      </c>
      <c r="F18" s="52">
        <f t="shared" si="11"/>
        <v>-5.5972918522577166E-3</v>
      </c>
      <c r="G18" s="52">
        <f t="shared" si="11"/>
        <v>-0.20948690251492275</v>
      </c>
      <c r="H18" s="52">
        <f t="shared" si="11"/>
        <v>0.27796336063133703</v>
      </c>
      <c r="I18" s="52">
        <f t="shared" si="11"/>
        <v>2.6381485811154655E-3</v>
      </c>
      <c r="J18" s="52">
        <f t="shared" si="11"/>
        <v>4.4176327554072907E-2</v>
      </c>
      <c r="K18" s="52">
        <f t="shared" si="11"/>
        <v>4.5379886526231192E-2</v>
      </c>
      <c r="L18" s="52">
        <f t="shared" si="11"/>
        <v>4.6738743430280831E-2</v>
      </c>
      <c r="M18" s="52">
        <f t="shared" si="11"/>
        <v>4.799877437767229E-2</v>
      </c>
      <c r="N18" s="52">
        <f t="shared" si="11"/>
        <v>4.9184685857570173E-2</v>
      </c>
      <c r="O18" s="52">
        <f t="shared" si="11"/>
        <v>5.0452952301349871E-2</v>
      </c>
      <c r="P18" s="52">
        <f t="shared" si="11"/>
        <v>5.1834456820466994E-2</v>
      </c>
      <c r="Q18" s="52">
        <f t="shared" si="11"/>
        <v>5.3377730018637673E-2</v>
      </c>
      <c r="R18" s="52">
        <f t="shared" si="11"/>
        <v>5.5163656235388596E-2</v>
      </c>
      <c r="S18" s="52">
        <f t="shared" si="11"/>
        <v>5.7337827281868141E-2</v>
      </c>
      <c r="T18" s="52">
        <f t="shared" si="11"/>
        <v>5.8153141424298095E-2</v>
      </c>
      <c r="U18" s="52">
        <f t="shared" si="11"/>
        <v>4.9999999999999982E-2</v>
      </c>
    </row>
    <row r="19" spans="1:21" collapsed="1">
      <c r="A19" s="51" t="s">
        <v>30</v>
      </c>
      <c r="C19" s="52">
        <f t="shared" ref="C19:H19" si="12">+C15/C$10</f>
        <v>0.60142348754448394</v>
      </c>
      <c r="D19" s="52">
        <f t="shared" si="12"/>
        <v>0.4142173615857826</v>
      </c>
      <c r="E19" s="52">
        <f t="shared" si="12"/>
        <v>0.42913582398567318</v>
      </c>
      <c r="F19" s="52">
        <f t="shared" si="12"/>
        <v>9.3347068549128775E-2</v>
      </c>
      <c r="G19" s="52">
        <f t="shared" si="12"/>
        <v>-0.58390759172132312</v>
      </c>
      <c r="H19" s="52">
        <f t="shared" si="12"/>
        <v>0.30278240541966267</v>
      </c>
      <c r="I19" s="52">
        <f t="shared" ref="I19:J19" si="13">+I15/I$10</f>
        <v>0.19657662225981073</v>
      </c>
      <c r="J19" s="52">
        <f t="shared" si="13"/>
        <v>0.199468779229167</v>
      </c>
      <c r="K19" s="52"/>
      <c r="L19" s="52"/>
      <c r="M19" s="52"/>
      <c r="N19" s="52"/>
      <c r="O19" s="52"/>
      <c r="P19" s="52"/>
      <c r="Q19" s="52"/>
      <c r="R19" s="52"/>
      <c r="S19" s="52"/>
      <c r="T19" s="52"/>
      <c r="U19" s="52"/>
    </row>
    <row r="20" spans="1:21">
      <c r="C20" s="34"/>
      <c r="D20" s="34"/>
      <c r="E20" s="34"/>
      <c r="F20" s="34"/>
      <c r="G20" s="34"/>
      <c r="H20" s="34"/>
      <c r="I20" s="34"/>
      <c r="J20" s="34"/>
      <c r="K20" s="34"/>
      <c r="L20" s="34"/>
      <c r="M20" s="34"/>
      <c r="N20" s="34"/>
      <c r="O20" s="34"/>
      <c r="P20" s="34"/>
      <c r="Q20" s="34"/>
      <c r="R20" s="34"/>
      <c r="S20" s="34"/>
      <c r="T20" s="34"/>
      <c r="U20" s="34"/>
    </row>
    <row r="21" spans="1:21">
      <c r="A21" s="35" t="s">
        <v>31</v>
      </c>
      <c r="B21" s="58"/>
      <c r="C21" s="53">
        <f>+'Historical - USD'!Q120</f>
        <v>0.43778338633011815</v>
      </c>
      <c r="D21" s="53">
        <f>+'Historical - USD'!R120</f>
        <v>0.80657444764235353</v>
      </c>
      <c r="E21" s="53">
        <f>+'Historical - USD'!S120</f>
        <v>0.88504926094406966</v>
      </c>
      <c r="F21" s="53">
        <f>+'Historical - USD'!T120</f>
        <v>2.0347208621357233</v>
      </c>
      <c r="G21" s="53">
        <f>+'Historical - USD'!U120</f>
        <v>6.0664968319692836</v>
      </c>
      <c r="H21" s="53">
        <f>+'Historical - USD'!V120</f>
        <v>8.0984135817659855</v>
      </c>
      <c r="I21" s="53">
        <f>+'Historical - USD'!W120</f>
        <v>9.3570270108481353</v>
      </c>
      <c r="J21" s="55">
        <f t="shared" ref="J21:T21" si="14">+J22*J7</f>
        <v>13.136114358662949</v>
      </c>
      <c r="K21" s="55">
        <f t="shared" si="14"/>
        <v>17.076948666261835</v>
      </c>
      <c r="L21" s="55">
        <f t="shared" si="14"/>
        <v>21.346185832827292</v>
      </c>
      <c r="M21" s="55">
        <f t="shared" si="14"/>
        <v>26.042346716049298</v>
      </c>
      <c r="N21" s="55">
        <f t="shared" si="14"/>
        <v>31.250816059259154</v>
      </c>
      <c r="O21" s="55">
        <f t="shared" si="14"/>
        <v>36.8759629499258</v>
      </c>
      <c r="P21" s="55">
        <f t="shared" si="14"/>
        <v>42.776117021913926</v>
      </c>
      <c r="Q21" s="55">
        <f t="shared" si="14"/>
        <v>48.764773404981881</v>
      </c>
      <c r="R21" s="55">
        <f t="shared" si="14"/>
        <v>54.616546213579717</v>
      </c>
      <c r="S21" s="55">
        <f t="shared" si="14"/>
        <v>60.078200834937689</v>
      </c>
      <c r="T21" s="55">
        <f t="shared" si="14"/>
        <v>66.086020918431458</v>
      </c>
      <c r="U21" s="55">
        <f t="shared" ref="U21" si="15">+U22*U7</f>
        <v>72.694623010274611</v>
      </c>
    </row>
    <row r="22" spans="1:21">
      <c r="A22" s="51" t="s">
        <v>32</v>
      </c>
      <c r="C22" s="52">
        <f t="shared" ref="C22:H22" si="16">+C21/C7</f>
        <v>1.0386029411764703</v>
      </c>
      <c r="D22" s="52">
        <f t="shared" si="16"/>
        <v>0.19754816112084062</v>
      </c>
      <c r="E22" s="52">
        <f t="shared" si="16"/>
        <v>5.8238531312801121E-2</v>
      </c>
      <c r="F22" s="52">
        <f t="shared" si="16"/>
        <v>2.9362979207036396E-2</v>
      </c>
      <c r="G22" s="52">
        <f t="shared" si="16"/>
        <v>3.9823212950164749E-2</v>
      </c>
      <c r="H22" s="52">
        <f t="shared" si="16"/>
        <v>2.8999187987931378E-2</v>
      </c>
      <c r="I22" s="52">
        <f t="shared" ref="I22" si="17">+I21/I7</f>
        <v>1.9232455077272517E-2</v>
      </c>
      <c r="J22" s="118">
        <f>+Upside!J22</f>
        <v>0.02</v>
      </c>
      <c r="K22" s="118">
        <f>+Upside!K22</f>
        <v>0.02</v>
      </c>
      <c r="L22" s="118">
        <f>+Upside!L22</f>
        <v>0.02</v>
      </c>
      <c r="M22" s="118">
        <f>+Upside!M22</f>
        <v>0.02</v>
      </c>
      <c r="N22" s="118">
        <f>+Upside!N22</f>
        <v>0.02</v>
      </c>
      <c r="O22" s="118">
        <f>+Upside!O22</f>
        <v>0.02</v>
      </c>
      <c r="P22" s="118">
        <f>+Upside!P22</f>
        <v>0.02</v>
      </c>
      <c r="Q22" s="118">
        <f>+Upside!Q22</f>
        <v>0.02</v>
      </c>
      <c r="R22" s="118">
        <f>+Upside!R22</f>
        <v>0.02</v>
      </c>
      <c r="S22" s="118">
        <f>+Upside!S22</f>
        <v>0.02</v>
      </c>
      <c r="T22" s="118">
        <f>+Upside!T22</f>
        <v>0.02</v>
      </c>
      <c r="U22" s="118">
        <f>+Upside!U22</f>
        <v>0.02</v>
      </c>
    </row>
    <row r="23" spans="1:21" collapsed="1">
      <c r="A23" s="51" t="s">
        <v>30</v>
      </c>
      <c r="C23" s="52">
        <f t="shared" ref="C23:H23" si="18">+C21/C$10</f>
        <v>2.0106761565836293</v>
      </c>
      <c r="D23" s="52">
        <f t="shared" si="18"/>
        <v>0.77101845522898149</v>
      </c>
      <c r="E23" s="52">
        <f t="shared" si="18"/>
        <v>0.20716184828871295</v>
      </c>
      <c r="F23" s="52">
        <f t="shared" si="18"/>
        <v>0.12409405112833986</v>
      </c>
      <c r="G23" s="52">
        <f t="shared" si="18"/>
        <v>0.22327220368914777</v>
      </c>
      <c r="H23" s="52">
        <f t="shared" si="18"/>
        <v>0.1262905462994667</v>
      </c>
      <c r="I23" s="52">
        <f t="shared" ref="I23:J23" si="19">+I21/I$10</f>
        <v>9.2140110957852822E-2</v>
      </c>
      <c r="J23" s="52">
        <f t="shared" si="19"/>
        <v>9.5332737518790137E-2</v>
      </c>
      <c r="K23" s="34"/>
      <c r="L23" s="34"/>
      <c r="M23" s="34"/>
      <c r="N23" s="34"/>
      <c r="O23" s="34"/>
      <c r="P23" s="34"/>
      <c r="Q23" s="34"/>
      <c r="R23" s="34"/>
      <c r="S23" s="34"/>
      <c r="T23" s="34"/>
      <c r="U23" s="34"/>
    </row>
    <row r="24" spans="1:21">
      <c r="C24" s="34"/>
      <c r="D24" s="34"/>
      <c r="E24" s="34"/>
      <c r="F24" s="34"/>
      <c r="G24" s="34"/>
      <c r="H24" s="34"/>
      <c r="I24" s="34"/>
      <c r="J24" s="34"/>
      <c r="K24" s="34"/>
      <c r="L24" s="34"/>
      <c r="M24" s="34"/>
      <c r="N24" s="34"/>
      <c r="O24" s="34"/>
      <c r="P24" s="34"/>
      <c r="Q24" s="34"/>
      <c r="R24" s="34"/>
      <c r="S24" s="34"/>
      <c r="T24" s="34"/>
      <c r="U24" s="34"/>
    </row>
    <row r="25" spans="1:21">
      <c r="A25" s="35" t="s">
        <v>33</v>
      </c>
      <c r="B25" s="58"/>
      <c r="C25" s="55">
        <f t="shared" ref="C25:T25" si="20">+C15-C21</f>
        <v>-0.30683578935703854</v>
      </c>
      <c r="D25" s="55">
        <f t="shared" si="20"/>
        <v>-0.37325519651534445</v>
      </c>
      <c r="E25" s="55">
        <f t="shared" si="20"/>
        <v>0.94833051916787414</v>
      </c>
      <c r="F25" s="55">
        <f t="shared" si="20"/>
        <v>-0.50414605964424841</v>
      </c>
      <c r="G25" s="55">
        <f t="shared" si="20"/>
        <v>-21.93176575846752</v>
      </c>
      <c r="H25" s="55">
        <f t="shared" si="20"/>
        <v>11.317585605979435</v>
      </c>
      <c r="I25" s="55">
        <f t="shared" si="20"/>
        <v>10.605752988708353</v>
      </c>
      <c r="J25" s="55">
        <f t="shared" si="20"/>
        <v>14.349141631397954</v>
      </c>
      <c r="K25" s="55">
        <f t="shared" si="20"/>
        <v>19.350038008674879</v>
      </c>
      <c r="L25" s="55">
        <f t="shared" si="20"/>
        <v>25.057739870665525</v>
      </c>
      <c r="M25" s="55">
        <f t="shared" si="20"/>
        <v>31.632077321194682</v>
      </c>
      <c r="N25" s="55">
        <f t="shared" si="20"/>
        <v>39.232454400212916</v>
      </c>
      <c r="O25" s="55">
        <f t="shared" si="20"/>
        <v>47.797570897690811</v>
      </c>
      <c r="P25" s="55">
        <f t="shared" si="20"/>
        <v>57.188980899631225</v>
      </c>
      <c r="Q25" s="55">
        <f t="shared" si="20"/>
        <v>67.183368696052895</v>
      </c>
      <c r="R25" s="55">
        <f t="shared" si="20"/>
        <v>77.471855066509335</v>
      </c>
      <c r="S25" s="55">
        <f t="shared" si="20"/>
        <v>87.668170912783381</v>
      </c>
      <c r="T25" s="55">
        <f t="shared" si="20"/>
        <v>99.129031377647195</v>
      </c>
      <c r="U25" s="55">
        <f t="shared" ref="U25" si="21">+U15-U21</f>
        <v>109.04193451541191</v>
      </c>
    </row>
    <row r="26" spans="1:21">
      <c r="A26" s="51" t="s">
        <v>25</v>
      </c>
      <c r="C26" s="56"/>
      <c r="D26" s="56">
        <f>+D25/C25-1</f>
        <v>0.21646564534562596</v>
      </c>
      <c r="E26" s="56">
        <f>+E25/D25-1</f>
        <v>-3.5407027899982322</v>
      </c>
      <c r="F26" s="56">
        <f t="shared" ref="F26:U26" si="22">+IFERROR(F25/E25-1,"-")</f>
        <v>-1.5316142942300521</v>
      </c>
      <c r="G26" s="56">
        <f t="shared" si="22"/>
        <v>42.502801100823262</v>
      </c>
      <c r="H26" s="56">
        <f t="shared" si="22"/>
        <v>-1.5160362248356536</v>
      </c>
      <c r="I26" s="56">
        <f t="shared" si="22"/>
        <v>-6.2896154891463607E-2</v>
      </c>
      <c r="J26" s="56">
        <f t="shared" si="22"/>
        <v>0.35295830920021243</v>
      </c>
      <c r="K26" s="56">
        <f t="shared" si="22"/>
        <v>0.34851536807848182</v>
      </c>
      <c r="L26" s="56">
        <f t="shared" si="22"/>
        <v>0.29497109305065994</v>
      </c>
      <c r="M26" s="56">
        <f t="shared" si="22"/>
        <v>0.26236753531892032</v>
      </c>
      <c r="N26" s="56">
        <f t="shared" si="22"/>
        <v>0.24027435826750754</v>
      </c>
      <c r="O26" s="56">
        <f t="shared" si="22"/>
        <v>0.21831712107798729</v>
      </c>
      <c r="P26" s="56">
        <f t="shared" si="22"/>
        <v>0.19648299747370901</v>
      </c>
      <c r="Q26" s="56">
        <f t="shared" si="22"/>
        <v>0.17476072556638478</v>
      </c>
      <c r="R26" s="56">
        <f t="shared" si="22"/>
        <v>0.15314037640778344</v>
      </c>
      <c r="S26" s="56">
        <f t="shared" si="22"/>
        <v>0.1316131624513257</v>
      </c>
      <c r="T26" s="56">
        <f t="shared" si="22"/>
        <v>0.13073000549156699</v>
      </c>
      <c r="U26" s="56">
        <f t="shared" si="22"/>
        <v>9.9999999999999867E-2</v>
      </c>
    </row>
    <row r="27" spans="1:21">
      <c r="A27" s="51" t="s">
        <v>27</v>
      </c>
      <c r="C27" s="56">
        <f t="shared" ref="C27:T27" si="23">+C25/C7</f>
        <v>-0.72794117647058798</v>
      </c>
      <c r="D27" s="56">
        <f t="shared" si="23"/>
        <v>-9.1418563922942203E-2</v>
      </c>
      <c r="E27" s="56">
        <f t="shared" si="23"/>
        <v>6.2402601835439955E-2</v>
      </c>
      <c r="F27" s="56">
        <f t="shared" si="23"/>
        <v>-7.2753125709368021E-3</v>
      </c>
      <c r="G27" s="56">
        <f t="shared" si="23"/>
        <v>-0.14396997185755817</v>
      </c>
      <c r="H27" s="56">
        <f t="shared" si="23"/>
        <v>4.0526553656911976E-2</v>
      </c>
      <c r="I27" s="56">
        <f t="shared" si="23"/>
        <v>2.1799089355999793E-2</v>
      </c>
      <c r="J27" s="56">
        <f t="shared" si="23"/>
        <v>2.1846858575702097E-2</v>
      </c>
      <c r="K27" s="56">
        <f t="shared" si="23"/>
        <v>2.2662172718131885E-2</v>
      </c>
      <c r="L27" s="56">
        <f t="shared" si="23"/>
        <v>2.3477486860561676E-2</v>
      </c>
      <c r="M27" s="56">
        <f t="shared" si="23"/>
        <v>2.4292801002991457E-2</v>
      </c>
      <c r="N27" s="56">
        <f t="shared" si="23"/>
        <v>2.5108115145421248E-2</v>
      </c>
      <c r="O27" s="56">
        <f t="shared" si="23"/>
        <v>2.5923429287851036E-2</v>
      </c>
      <c r="P27" s="56">
        <f t="shared" si="23"/>
        <v>2.673874343028082E-2</v>
      </c>
      <c r="Q27" s="56">
        <f t="shared" si="23"/>
        <v>2.7554057572710611E-2</v>
      </c>
      <c r="R27" s="56">
        <f t="shared" si="23"/>
        <v>2.8369371715140399E-2</v>
      </c>
      <c r="S27" s="56">
        <f t="shared" si="23"/>
        <v>2.918468585757019E-2</v>
      </c>
      <c r="T27" s="56">
        <f t="shared" si="23"/>
        <v>3.0000000000000002E-2</v>
      </c>
      <c r="U27" s="59">
        <f t="shared" ref="U27" si="24">+U25/U7</f>
        <v>0.03</v>
      </c>
    </row>
    <row r="28" spans="1:21" hidden="1" outlineLevel="1">
      <c r="A28" s="51" t="s">
        <v>29</v>
      </c>
      <c r="C28" s="52"/>
      <c r="D28" s="52">
        <f t="shared" ref="D28:U28" si="25">(D25-C25)/(D7-C7)</f>
        <v>-1.8140371539989014E-2</v>
      </c>
      <c r="E28" s="52">
        <f t="shared" si="25"/>
        <v>0.1189113137101631</v>
      </c>
      <c r="F28" s="52">
        <f t="shared" si="25"/>
        <v>-2.6848750585501249E-2</v>
      </c>
      <c r="G28" s="52">
        <f t="shared" si="25"/>
        <v>-0.25803897464851067</v>
      </c>
      <c r="H28" s="52">
        <f t="shared" si="25"/>
        <v>0.26195491086508338</v>
      </c>
      <c r="I28" s="52">
        <f t="shared" si="25"/>
        <v>-3.4345027635942333E-3</v>
      </c>
      <c r="J28" s="52">
        <f t="shared" si="25"/>
        <v>2.1983342060565816E-2</v>
      </c>
      <c r="K28" s="52">
        <f t="shared" si="25"/>
        <v>2.5379886526231181E-2</v>
      </c>
      <c r="L28" s="52">
        <f t="shared" si="25"/>
        <v>2.6738743430280838E-2</v>
      </c>
      <c r="M28" s="52">
        <f t="shared" si="25"/>
        <v>2.7998774377672286E-2</v>
      </c>
      <c r="N28" s="52">
        <f t="shared" si="25"/>
        <v>2.9184685857570194E-2</v>
      </c>
      <c r="O28" s="52">
        <f t="shared" si="25"/>
        <v>3.0452952301349864E-2</v>
      </c>
      <c r="P28" s="52">
        <f t="shared" si="25"/>
        <v>3.1834456820466976E-2</v>
      </c>
      <c r="Q28" s="52">
        <f t="shared" si="25"/>
        <v>3.3377730018637669E-2</v>
      </c>
      <c r="R28" s="52">
        <f t="shared" si="25"/>
        <v>3.516365623538862E-2</v>
      </c>
      <c r="S28" s="52">
        <f t="shared" si="25"/>
        <v>3.733782728186813E-2</v>
      </c>
      <c r="T28" s="52">
        <f t="shared" si="25"/>
        <v>3.8153141424298105E-2</v>
      </c>
      <c r="U28" s="52">
        <f t="shared" si="25"/>
        <v>2.9999999999999971E-2</v>
      </c>
    </row>
    <row r="29" spans="1:21" collapsed="1">
      <c r="A29" s="51" t="s">
        <v>30</v>
      </c>
      <c r="C29" s="52">
        <f t="shared" ref="C29:J29" si="26">+C25/C$10</f>
        <v>-1.4092526690391454</v>
      </c>
      <c r="D29" s="52">
        <f t="shared" si="26"/>
        <v>-0.35680109364319884</v>
      </c>
      <c r="E29" s="52">
        <f t="shared" si="26"/>
        <v>0.22197397569696023</v>
      </c>
      <c r="F29" s="52">
        <f t="shared" si="26"/>
        <v>-3.0746982579211081E-2</v>
      </c>
      <c r="G29" s="52">
        <f t="shared" si="26"/>
        <v>-0.80717979541047091</v>
      </c>
      <c r="H29" s="52">
        <f t="shared" si="26"/>
        <v>0.17649185912019597</v>
      </c>
      <c r="I29" s="52">
        <f t="shared" si="26"/>
        <v>0.10443651130195793</v>
      </c>
      <c r="J29" s="52">
        <f t="shared" si="26"/>
        <v>0.10413604171037687</v>
      </c>
      <c r="K29" s="34"/>
      <c r="L29" s="34"/>
      <c r="M29" s="34"/>
      <c r="N29" s="34"/>
      <c r="O29" s="34"/>
      <c r="P29" s="34"/>
      <c r="Q29" s="34"/>
      <c r="R29" s="34"/>
      <c r="S29" s="34"/>
      <c r="T29" s="34"/>
      <c r="U29" s="34"/>
    </row>
    <row r="30" spans="1:21">
      <c r="C30" s="34"/>
      <c r="D30" s="34"/>
      <c r="E30" s="34"/>
      <c r="F30" s="34"/>
      <c r="G30" s="34"/>
      <c r="H30" s="34"/>
      <c r="I30" s="34"/>
      <c r="J30" s="34"/>
      <c r="K30" s="34"/>
      <c r="L30" s="34"/>
      <c r="M30" s="34"/>
      <c r="N30" s="34"/>
      <c r="O30" s="34"/>
      <c r="P30" s="34"/>
      <c r="Q30" s="34"/>
      <c r="R30" s="34"/>
      <c r="S30" s="34"/>
      <c r="T30" s="34"/>
      <c r="U30" s="34"/>
    </row>
    <row r="31" spans="1:21">
      <c r="A31" s="35" t="s">
        <v>34</v>
      </c>
      <c r="B31" s="58"/>
      <c r="C31" s="53">
        <f>+'Historical - USD'!Q130</f>
        <v>0</v>
      </c>
      <c r="D31" s="53">
        <f>+'Historical - USD'!R130</f>
        <v>0.17089653633556959</v>
      </c>
      <c r="E31" s="53">
        <f>+'Historical - USD'!S130</f>
        <v>0.24489991939785954</v>
      </c>
      <c r="F31" s="53">
        <f>+'Historical - USD'!T130</f>
        <v>0.49888073518175047</v>
      </c>
      <c r="G31" s="53">
        <f>+'Historical - USD'!U130</f>
        <v>1.2840357889516987</v>
      </c>
      <c r="H31" s="53">
        <f>+'Historical - USD'!V130</f>
        <v>2.739214733075678</v>
      </c>
      <c r="I31" s="53">
        <f>+'Historical - USD'!W130</f>
        <v>4.2578292722233622</v>
      </c>
      <c r="J31" s="55">
        <f t="shared" ref="J31:T31" si="27">+J32*J7</f>
        <v>6.4197099576071217</v>
      </c>
      <c r="K31" s="55">
        <f t="shared" si="27"/>
        <v>9.2187555170265156</v>
      </c>
      <c r="L31" s="55">
        <f t="shared" si="27"/>
        <v>12.614860111454716</v>
      </c>
      <c r="M31" s="55">
        <f t="shared" si="27"/>
        <v>16.72165650848407</v>
      </c>
      <c r="N31" s="55">
        <f t="shared" si="27"/>
        <v>21.663820417192067</v>
      </c>
      <c r="O31" s="55">
        <f t="shared" si="27"/>
        <v>27.448750568559831</v>
      </c>
      <c r="P31" s="55">
        <f t="shared" si="27"/>
        <v>34.027663932006298</v>
      </c>
      <c r="Q31" s="55">
        <f t="shared" si="27"/>
        <v>41.284846013110865</v>
      </c>
      <c r="R31" s="55">
        <f t="shared" si="27"/>
        <v>49.03153376098269</v>
      </c>
      <c r="S31" s="55">
        <f t="shared" si="27"/>
        <v>57.00644398600933</v>
      </c>
      <c r="T31" s="55">
        <f t="shared" si="27"/>
        <v>66.086020918431458</v>
      </c>
      <c r="U31" s="55">
        <f t="shared" ref="U31" si="28">+U32*U7</f>
        <v>72.694623010274611</v>
      </c>
    </row>
    <row r="32" spans="1:21">
      <c r="A32" s="51" t="s">
        <v>32</v>
      </c>
      <c r="C32" s="56">
        <f t="shared" ref="C32:I32" si="29">+C31/C7</f>
        <v>0</v>
      </c>
      <c r="D32" s="56">
        <f t="shared" si="29"/>
        <v>4.1856392294220661E-2</v>
      </c>
      <c r="E32" s="56">
        <f t="shared" si="29"/>
        <v>1.6115048341084411E-2</v>
      </c>
      <c r="F32" s="56">
        <f t="shared" si="29"/>
        <v>7.1993288743090753E-3</v>
      </c>
      <c r="G32" s="56">
        <f t="shared" si="29"/>
        <v>8.4289882736915938E-3</v>
      </c>
      <c r="H32" s="56">
        <f t="shared" si="29"/>
        <v>9.8087115682292461E-3</v>
      </c>
      <c r="I32" s="56">
        <f t="shared" si="29"/>
        <v>8.7515521874409179E-3</v>
      </c>
      <c r="J32" s="56">
        <f t="shared" ref="J32:S32" si="30">($T$32-$I$32)/11+I32</f>
        <v>9.774138352219016E-3</v>
      </c>
      <c r="K32" s="56">
        <f t="shared" si="30"/>
        <v>1.0796724516997114E-2</v>
      </c>
      <c r="L32" s="56">
        <f t="shared" si="30"/>
        <v>1.1819310681775212E-2</v>
      </c>
      <c r="M32" s="56">
        <f t="shared" si="30"/>
        <v>1.284189684655331E-2</v>
      </c>
      <c r="N32" s="56">
        <f t="shared" si="30"/>
        <v>1.3864483011331408E-2</v>
      </c>
      <c r="O32" s="56">
        <f t="shared" si="30"/>
        <v>1.4887069176109506E-2</v>
      </c>
      <c r="P32" s="56">
        <f t="shared" si="30"/>
        <v>1.5909655340887605E-2</v>
      </c>
      <c r="Q32" s="56">
        <f t="shared" si="30"/>
        <v>1.6932241505665704E-2</v>
      </c>
      <c r="R32" s="56">
        <f t="shared" si="30"/>
        <v>1.7954827670443804E-2</v>
      </c>
      <c r="S32" s="56">
        <f t="shared" si="30"/>
        <v>1.8977413835221904E-2</v>
      </c>
      <c r="T32" s="118">
        <f>+T22</f>
        <v>0.02</v>
      </c>
      <c r="U32" s="118">
        <f>+U22</f>
        <v>0.02</v>
      </c>
    </row>
    <row r="33" spans="1:31" collapsed="1">
      <c r="A33" s="51" t="s">
        <v>30</v>
      </c>
      <c r="C33" s="52">
        <f t="shared" ref="C33:J33" si="31">+C31/C$10</f>
        <v>0</v>
      </c>
      <c r="D33" s="52">
        <f t="shared" si="31"/>
        <v>0.16336295283663704</v>
      </c>
      <c r="E33" s="52">
        <f t="shared" si="31"/>
        <v>5.7323272485534024E-2</v>
      </c>
      <c r="F33" s="52">
        <f t="shared" si="31"/>
        <v>3.0425859689474408E-2</v>
      </c>
      <c r="G33" s="52">
        <f t="shared" si="31"/>
        <v>4.7257833994766157E-2</v>
      </c>
      <c r="H33" s="52">
        <f t="shared" si="31"/>
        <v>4.271662858150032E-2</v>
      </c>
      <c r="I33" s="52">
        <f t="shared" si="31"/>
        <v>4.1927511925253499E-2</v>
      </c>
      <c r="J33" s="52">
        <f t="shared" si="31"/>
        <v>4.6589768300221775E-2</v>
      </c>
      <c r="K33" s="34"/>
      <c r="L33" s="34"/>
      <c r="M33" s="34"/>
      <c r="N33" s="34"/>
      <c r="O33" s="34"/>
      <c r="P33" s="34"/>
      <c r="Q33" s="34"/>
      <c r="R33" s="34"/>
      <c r="S33" s="34"/>
      <c r="T33" s="34"/>
      <c r="U33" s="34"/>
    </row>
    <row r="34" spans="1:31">
      <c r="C34" s="34"/>
      <c r="D34" s="34"/>
      <c r="E34" s="34"/>
      <c r="F34" s="34"/>
      <c r="G34" s="34"/>
      <c r="H34" s="34"/>
      <c r="I34" s="34"/>
      <c r="J34" s="34"/>
      <c r="K34" s="34"/>
      <c r="L34" s="34"/>
      <c r="M34" s="34"/>
      <c r="N34" s="34"/>
      <c r="O34" s="34"/>
      <c r="P34" s="34"/>
      <c r="Q34" s="34"/>
      <c r="R34" s="34"/>
      <c r="S34" s="34"/>
      <c r="T34" s="34"/>
      <c r="U34" s="34"/>
    </row>
    <row r="35" spans="1:31" s="34" customFormat="1">
      <c r="A35" s="50" t="s">
        <v>35</v>
      </c>
      <c r="B35" s="54"/>
      <c r="C35" s="55">
        <f t="shared" ref="C35:T35" si="32">+C15-C31</f>
        <v>0.13094759697307962</v>
      </c>
      <c r="D35" s="55">
        <f t="shared" si="32"/>
        <v>0.26242271479143953</v>
      </c>
      <c r="E35" s="55">
        <f t="shared" si="32"/>
        <v>1.5884798607140842</v>
      </c>
      <c r="F35" s="55">
        <f t="shared" si="32"/>
        <v>1.0316940673097243</v>
      </c>
      <c r="G35" s="55">
        <f t="shared" si="32"/>
        <v>-17.149304715449933</v>
      </c>
      <c r="H35" s="55">
        <f t="shared" si="32"/>
        <v>16.676784454669743</v>
      </c>
      <c r="I35" s="55">
        <f t="shared" si="32"/>
        <v>15.704950727333127</v>
      </c>
      <c r="J35" s="55">
        <f t="shared" si="32"/>
        <v>21.065546032453781</v>
      </c>
      <c r="K35" s="55">
        <f t="shared" si="32"/>
        <v>27.208231157910198</v>
      </c>
      <c r="L35" s="55">
        <f t="shared" si="32"/>
        <v>33.789065592038099</v>
      </c>
      <c r="M35" s="55">
        <f t="shared" si="32"/>
        <v>40.952767528759907</v>
      </c>
      <c r="N35" s="55">
        <f t="shared" si="32"/>
        <v>48.819450042279996</v>
      </c>
      <c r="O35" s="55">
        <f t="shared" si="32"/>
        <v>57.22478327905678</v>
      </c>
      <c r="P35" s="55">
        <f t="shared" si="32"/>
        <v>65.937433989538846</v>
      </c>
      <c r="Q35" s="55">
        <f t="shared" si="32"/>
        <v>74.663296087923911</v>
      </c>
      <c r="R35" s="55">
        <f t="shared" si="32"/>
        <v>83.056867519106362</v>
      </c>
      <c r="S35" s="55">
        <f t="shared" si="32"/>
        <v>90.739927761711741</v>
      </c>
      <c r="T35" s="55">
        <f t="shared" si="32"/>
        <v>99.129031377647195</v>
      </c>
      <c r="U35" s="55">
        <f t="shared" ref="U35" si="33">+U15-U31</f>
        <v>109.04193451541191</v>
      </c>
    </row>
    <row r="36" spans="1:31">
      <c r="A36" s="51" t="s">
        <v>25</v>
      </c>
      <c r="C36" s="56"/>
      <c r="D36" s="56">
        <f t="shared" ref="D36:U36" si="34">+D35/C35-1</f>
        <v>1.00402848816988</v>
      </c>
      <c r="E36" s="56">
        <f t="shared" si="34"/>
        <v>5.0531340130999283</v>
      </c>
      <c r="F36" s="56">
        <f t="shared" si="34"/>
        <v>-0.35051485837161489</v>
      </c>
      <c r="G36" s="56">
        <f t="shared" si="34"/>
        <v>-17.622471000699811</v>
      </c>
      <c r="H36" s="56">
        <f t="shared" si="34"/>
        <v>-1.972446681155855</v>
      </c>
      <c r="I36" s="56">
        <f t="shared" si="34"/>
        <v>-5.8274647008733638E-2</v>
      </c>
      <c r="J36" s="56">
        <f t="shared" si="34"/>
        <v>0.3413315583213512</v>
      </c>
      <c r="K36" s="56">
        <f t="shared" si="34"/>
        <v>0.29159866618187524</v>
      </c>
      <c r="L36" s="56">
        <f t="shared" si="34"/>
        <v>0.24186924890244721</v>
      </c>
      <c r="M36" s="56">
        <f t="shared" si="34"/>
        <v>0.21201243098032951</v>
      </c>
      <c r="N36" s="56">
        <f t="shared" si="34"/>
        <v>0.1920915969353123</v>
      </c>
      <c r="O36" s="56">
        <f t="shared" si="34"/>
        <v>0.17217181327313935</v>
      </c>
      <c r="P36" s="56">
        <f t="shared" si="34"/>
        <v>0.15225310103831768</v>
      </c>
      <c r="Q36" s="56">
        <f t="shared" si="34"/>
        <v>0.13233548184130806</v>
      </c>
      <c r="R36" s="56">
        <f t="shared" si="34"/>
        <v>0.11241897787767274</v>
      </c>
      <c r="S36" s="56">
        <f t="shared" si="34"/>
        <v>9.2503611948018261E-2</v>
      </c>
      <c r="T36" s="56">
        <f t="shared" si="34"/>
        <v>9.2452174283913058E-2</v>
      </c>
      <c r="U36" s="56">
        <f t="shared" si="34"/>
        <v>9.9999999999999867E-2</v>
      </c>
    </row>
    <row r="37" spans="1:31">
      <c r="A37" s="51" t="s">
        <v>27</v>
      </c>
      <c r="C37" s="52">
        <f t="shared" ref="C37:T37" si="35">+C35/C7</f>
        <v>0.31066176470588236</v>
      </c>
      <c r="D37" s="52">
        <f t="shared" si="35"/>
        <v>6.4273204903677758E-2</v>
      </c>
      <c r="E37" s="52">
        <f t="shared" si="35"/>
        <v>0.10452608480715667</v>
      </c>
      <c r="F37" s="52">
        <f t="shared" si="35"/>
        <v>1.4888337761790516E-2</v>
      </c>
      <c r="G37" s="52">
        <f t="shared" si="35"/>
        <v>-0.112575747181085</v>
      </c>
      <c r="H37" s="52">
        <f t="shared" si="35"/>
        <v>5.9717030076614115E-2</v>
      </c>
      <c r="I37" s="52">
        <f t="shared" si="35"/>
        <v>3.2279992245831397E-2</v>
      </c>
      <c r="J37" s="52">
        <f t="shared" si="35"/>
        <v>3.2072720223483078E-2</v>
      </c>
      <c r="K37" s="52">
        <f t="shared" si="35"/>
        <v>3.1865448201134773E-2</v>
      </c>
      <c r="L37" s="52">
        <f t="shared" si="35"/>
        <v>3.1658176178786461E-2</v>
      </c>
      <c r="M37" s="52">
        <f t="shared" si="35"/>
        <v>3.1450904156438149E-2</v>
      </c>
      <c r="N37" s="52">
        <f t="shared" si="35"/>
        <v>3.1243632134089833E-2</v>
      </c>
      <c r="O37" s="52">
        <f t="shared" si="35"/>
        <v>3.1036360111741528E-2</v>
      </c>
      <c r="P37" s="52">
        <f t="shared" si="35"/>
        <v>3.0829088089393216E-2</v>
      </c>
      <c r="Q37" s="52">
        <f t="shared" si="35"/>
        <v>3.0621816067044904E-2</v>
      </c>
      <c r="R37" s="52">
        <f t="shared" si="35"/>
        <v>3.0414544044696595E-2</v>
      </c>
      <c r="S37" s="52">
        <f t="shared" si="35"/>
        <v>3.0207272022348287E-2</v>
      </c>
      <c r="T37" s="52">
        <f t="shared" si="35"/>
        <v>3.0000000000000002E-2</v>
      </c>
      <c r="U37" s="52">
        <f t="shared" ref="U37" si="36">+U35/U7</f>
        <v>0.03</v>
      </c>
    </row>
    <row r="38" spans="1:31">
      <c r="A38" s="51" t="s">
        <v>30</v>
      </c>
      <c r="C38" s="52">
        <f t="shared" ref="C38:J38" si="37">+C35/C10</f>
        <v>0.60142348754448394</v>
      </c>
      <c r="D38" s="52">
        <f t="shared" si="37"/>
        <v>0.25085440874914561</v>
      </c>
      <c r="E38" s="52">
        <f t="shared" si="37"/>
        <v>0.37181255150013914</v>
      </c>
      <c r="F38" s="52">
        <f t="shared" si="37"/>
        <v>6.2921208859654368E-2</v>
      </c>
      <c r="G38" s="52">
        <f t="shared" si="37"/>
        <v>-0.63116542571608925</v>
      </c>
      <c r="H38" s="52">
        <f t="shared" si="37"/>
        <v>0.2600657768381624</v>
      </c>
      <c r="I38" s="52">
        <f t="shared" si="37"/>
        <v>0.15464911033455725</v>
      </c>
      <c r="J38" s="52">
        <f t="shared" si="37"/>
        <v>0.15287901092894524</v>
      </c>
      <c r="K38" s="52"/>
      <c r="L38" s="52"/>
      <c r="M38" s="52"/>
      <c r="N38" s="52"/>
      <c r="O38" s="52"/>
      <c r="P38" s="52"/>
      <c r="Q38" s="52"/>
      <c r="R38" s="52"/>
      <c r="S38" s="52"/>
      <c r="T38" s="52"/>
      <c r="U38" s="52"/>
    </row>
    <row r="39" spans="1:31">
      <c r="C39" s="34"/>
      <c r="D39" s="34"/>
      <c r="E39" s="34"/>
      <c r="F39" s="34"/>
      <c r="G39" s="34"/>
      <c r="H39" s="34"/>
      <c r="I39" s="34"/>
      <c r="J39" s="34"/>
      <c r="K39" s="34"/>
      <c r="L39" s="34"/>
      <c r="M39" s="34"/>
      <c r="N39" s="34"/>
      <c r="O39" s="34"/>
      <c r="P39" s="34"/>
      <c r="Q39" s="34"/>
      <c r="R39" s="34"/>
      <c r="S39" s="34"/>
      <c r="T39" s="34"/>
      <c r="U39" s="34"/>
    </row>
    <row r="40" spans="1:31">
      <c r="A40" s="35" t="s">
        <v>36</v>
      </c>
      <c r="B40" s="58"/>
      <c r="C40" s="53">
        <f>+'Historical - USD'!Q132</f>
        <v>0</v>
      </c>
      <c r="D40" s="53">
        <f>+'Historical - USD'!R132</f>
        <v>0</v>
      </c>
      <c r="E40" s="53">
        <f>+'Historical - USD'!S132</f>
        <v>0</v>
      </c>
      <c r="F40" s="53">
        <f>+'Historical - USD'!T132</f>
        <v>-7.0749051826770768E-3</v>
      </c>
      <c r="G40" s="53">
        <f>+'Historical - USD'!U132</f>
        <v>-2.5816387697817581E-2</v>
      </c>
      <c r="H40" s="53">
        <f>+'Historical - USD'!V132</f>
        <v>-0.16662784528069635</v>
      </c>
      <c r="I40" s="53">
        <f>+'Historical - USD'!W132</f>
        <v>-1.3713725277292057</v>
      </c>
      <c r="J40" s="55">
        <v>0</v>
      </c>
      <c r="K40" s="55">
        <v>0</v>
      </c>
      <c r="L40" s="55">
        <v>0</v>
      </c>
      <c r="M40" s="55">
        <v>0</v>
      </c>
      <c r="N40" s="55">
        <v>0</v>
      </c>
      <c r="O40" s="55">
        <v>0</v>
      </c>
      <c r="P40" s="55">
        <v>0</v>
      </c>
      <c r="Q40" s="55">
        <v>0</v>
      </c>
      <c r="R40" s="55">
        <v>0</v>
      </c>
      <c r="S40" s="55">
        <v>0</v>
      </c>
      <c r="T40" s="55">
        <v>0</v>
      </c>
      <c r="U40" s="55">
        <v>0</v>
      </c>
    </row>
    <row r="41" spans="1:31" hidden="1" outlineLevel="1">
      <c r="A41" s="51" t="s">
        <v>37</v>
      </c>
      <c r="C41" s="57"/>
      <c r="D41" s="57"/>
      <c r="E41" s="57"/>
      <c r="F41" s="57"/>
      <c r="G41" s="57">
        <v>0.05</v>
      </c>
      <c r="H41" s="57">
        <f t="shared" ref="H41:P41" si="38">G41</f>
        <v>0.05</v>
      </c>
      <c r="I41" s="57">
        <f t="shared" si="38"/>
        <v>0.05</v>
      </c>
      <c r="J41" s="57">
        <f t="shared" si="38"/>
        <v>0.05</v>
      </c>
      <c r="K41" s="57">
        <f t="shared" si="38"/>
        <v>0.05</v>
      </c>
      <c r="L41" s="57">
        <f t="shared" si="38"/>
        <v>0.05</v>
      </c>
      <c r="M41" s="57">
        <f t="shared" si="38"/>
        <v>0.05</v>
      </c>
      <c r="N41" s="57">
        <f t="shared" si="38"/>
        <v>0.05</v>
      </c>
      <c r="O41" s="57">
        <f t="shared" si="38"/>
        <v>0.05</v>
      </c>
      <c r="P41" s="57">
        <f t="shared" si="38"/>
        <v>0.05</v>
      </c>
      <c r="Q41" s="57"/>
      <c r="R41" s="57"/>
      <c r="S41" s="57"/>
      <c r="T41" s="57"/>
      <c r="U41" s="57"/>
    </row>
    <row r="42" spans="1:31" collapsed="1">
      <c r="C42" s="34"/>
      <c r="D42" s="34"/>
      <c r="E42" s="34"/>
      <c r="F42" s="34"/>
      <c r="G42" s="34"/>
      <c r="H42" s="34"/>
      <c r="I42" s="34"/>
      <c r="J42" s="34"/>
      <c r="K42" s="34"/>
      <c r="L42" s="34"/>
      <c r="M42" s="34"/>
      <c r="N42" s="34"/>
      <c r="O42" s="34"/>
      <c r="P42" s="34"/>
      <c r="Q42" s="34"/>
      <c r="R42" s="34"/>
      <c r="S42" s="34"/>
      <c r="T42" s="34"/>
      <c r="U42" s="34"/>
    </row>
    <row r="43" spans="1:31">
      <c r="A43" s="34" t="s">
        <v>38</v>
      </c>
      <c r="B43" s="54"/>
      <c r="C43" s="55">
        <f t="shared" ref="C43:T43" si="39">+MAX((C15-C31-C40)*C44,0)</f>
        <v>3.9284279091923884E-2</v>
      </c>
      <c r="D43" s="55">
        <f t="shared" si="39"/>
        <v>7.8726814437431861E-2</v>
      </c>
      <c r="E43" s="55">
        <f t="shared" si="39"/>
        <v>0.47654395821422524</v>
      </c>
      <c r="F43" s="55">
        <f t="shared" si="39"/>
        <v>0.3116306917477204</v>
      </c>
      <c r="G43" s="55">
        <f t="shared" si="39"/>
        <v>0</v>
      </c>
      <c r="H43" s="55">
        <f t="shared" si="39"/>
        <v>5.0530236899851317</v>
      </c>
      <c r="I43" s="55">
        <f t="shared" si="39"/>
        <v>5.1228969765187005</v>
      </c>
      <c r="J43" s="55">
        <f t="shared" si="39"/>
        <v>6.3196638097361344</v>
      </c>
      <c r="K43" s="55">
        <f t="shared" si="39"/>
        <v>8.1624693473730598</v>
      </c>
      <c r="L43" s="55">
        <f t="shared" si="39"/>
        <v>10.136719677611429</v>
      </c>
      <c r="M43" s="55">
        <f t="shared" si="39"/>
        <v>12.285830258627971</v>
      </c>
      <c r="N43" s="55">
        <f t="shared" si="39"/>
        <v>14.645835012683998</v>
      </c>
      <c r="O43" s="55">
        <f t="shared" si="39"/>
        <v>17.167434983717033</v>
      </c>
      <c r="P43" s="55">
        <f t="shared" si="39"/>
        <v>19.781230196861653</v>
      </c>
      <c r="Q43" s="55">
        <f t="shared" si="39"/>
        <v>22.398988826377174</v>
      </c>
      <c r="R43" s="55">
        <f t="shared" si="39"/>
        <v>24.917060255731908</v>
      </c>
      <c r="S43" s="55">
        <f t="shared" si="39"/>
        <v>27.221978328513522</v>
      </c>
      <c r="T43" s="55">
        <f t="shared" si="39"/>
        <v>29.738709413294156</v>
      </c>
      <c r="U43" s="55">
        <f t="shared" ref="U43" si="40">+MAX((U15-U31-U40)*U44,0)</f>
        <v>32.712580354623569</v>
      </c>
      <c r="V43" s="34"/>
      <c r="W43" s="34"/>
      <c r="X43" s="34"/>
      <c r="Y43" s="34"/>
      <c r="Z43" s="34"/>
      <c r="AA43" s="34"/>
      <c r="AB43" s="34"/>
      <c r="AC43" s="34"/>
      <c r="AD43" s="34"/>
      <c r="AE43" s="34"/>
    </row>
    <row r="44" spans="1:31">
      <c r="A44" s="51" t="s">
        <v>37</v>
      </c>
      <c r="C44" s="118">
        <v>0.3</v>
      </c>
      <c r="D44" s="118">
        <f t="shared" ref="D44:U44" si="41">C44</f>
        <v>0.3</v>
      </c>
      <c r="E44" s="118">
        <f t="shared" si="41"/>
        <v>0.3</v>
      </c>
      <c r="F44" s="118">
        <f t="shared" si="41"/>
        <v>0.3</v>
      </c>
      <c r="G44" s="118">
        <f t="shared" si="41"/>
        <v>0.3</v>
      </c>
      <c r="H44" s="118">
        <f t="shared" si="41"/>
        <v>0.3</v>
      </c>
      <c r="I44" s="118">
        <f t="shared" si="41"/>
        <v>0.3</v>
      </c>
      <c r="J44" s="118">
        <f t="shared" si="41"/>
        <v>0.3</v>
      </c>
      <c r="K44" s="118">
        <f t="shared" si="41"/>
        <v>0.3</v>
      </c>
      <c r="L44" s="118">
        <f t="shared" si="41"/>
        <v>0.3</v>
      </c>
      <c r="M44" s="118">
        <f t="shared" si="41"/>
        <v>0.3</v>
      </c>
      <c r="N44" s="118">
        <f t="shared" si="41"/>
        <v>0.3</v>
      </c>
      <c r="O44" s="118">
        <f t="shared" si="41"/>
        <v>0.3</v>
      </c>
      <c r="P44" s="118">
        <f t="shared" si="41"/>
        <v>0.3</v>
      </c>
      <c r="Q44" s="118">
        <f t="shared" si="41"/>
        <v>0.3</v>
      </c>
      <c r="R44" s="118">
        <f t="shared" si="41"/>
        <v>0.3</v>
      </c>
      <c r="S44" s="118">
        <f t="shared" si="41"/>
        <v>0.3</v>
      </c>
      <c r="T44" s="118">
        <f t="shared" si="41"/>
        <v>0.3</v>
      </c>
      <c r="U44" s="118">
        <f t="shared" si="41"/>
        <v>0.3</v>
      </c>
    </row>
    <row r="45" spans="1:31">
      <c r="C45" s="34"/>
      <c r="D45" s="60"/>
      <c r="E45" s="60"/>
      <c r="F45" s="34"/>
      <c r="G45" s="34"/>
      <c r="H45" s="34"/>
      <c r="I45" s="34"/>
      <c r="J45" s="34"/>
      <c r="K45" s="34"/>
      <c r="L45" s="34"/>
      <c r="M45" s="34"/>
      <c r="N45" s="34"/>
      <c r="O45" s="34"/>
      <c r="P45" s="34"/>
      <c r="Q45" s="34"/>
      <c r="R45" s="34"/>
      <c r="S45" s="34"/>
      <c r="T45" s="34"/>
      <c r="U45" s="34"/>
    </row>
    <row r="46" spans="1:31">
      <c r="A46" s="35" t="s">
        <v>39</v>
      </c>
      <c r="B46" s="58"/>
      <c r="C46" s="55">
        <f t="shared" ref="C46:T46" si="42">+C25-C40-C43</f>
        <v>-0.34612006844896243</v>
      </c>
      <c r="D46" s="55">
        <f t="shared" si="42"/>
        <v>-0.45198201095277629</v>
      </c>
      <c r="E46" s="55">
        <f t="shared" si="42"/>
        <v>0.4717865609536489</v>
      </c>
      <c r="F46" s="55">
        <f t="shared" si="42"/>
        <v>-0.80870184620929175</v>
      </c>
      <c r="G46" s="55">
        <f t="shared" si="42"/>
        <v>-21.905949370769704</v>
      </c>
      <c r="H46" s="55">
        <f t="shared" si="42"/>
        <v>6.4311897612750002</v>
      </c>
      <c r="I46" s="55">
        <f t="shared" si="42"/>
        <v>6.8542285399188581</v>
      </c>
      <c r="J46" s="55">
        <f t="shared" si="42"/>
        <v>8.0294778216618194</v>
      </c>
      <c r="K46" s="55">
        <f t="shared" si="42"/>
        <v>11.187568661301819</v>
      </c>
      <c r="L46" s="55">
        <f t="shared" si="42"/>
        <v>14.921020193054096</v>
      </c>
      <c r="M46" s="55">
        <f t="shared" si="42"/>
        <v>19.346247062566711</v>
      </c>
      <c r="N46" s="55">
        <f t="shared" si="42"/>
        <v>24.58661938752892</v>
      </c>
      <c r="O46" s="55">
        <f t="shared" si="42"/>
        <v>30.630135913973778</v>
      </c>
      <c r="P46" s="55">
        <f t="shared" si="42"/>
        <v>37.407750702769576</v>
      </c>
      <c r="Q46" s="55">
        <f t="shared" si="42"/>
        <v>44.784379869675718</v>
      </c>
      <c r="R46" s="55">
        <f t="shared" si="42"/>
        <v>52.554794810777423</v>
      </c>
      <c r="S46" s="55">
        <f t="shared" si="42"/>
        <v>60.446192584269859</v>
      </c>
      <c r="T46" s="55">
        <f t="shared" si="42"/>
        <v>69.390321964353035</v>
      </c>
      <c r="U46" s="55">
        <f t="shared" ref="U46" si="43">+U25-U40-U43</f>
        <v>76.329354160788341</v>
      </c>
    </row>
    <row r="47" spans="1:31">
      <c r="A47" s="51" t="s">
        <v>25</v>
      </c>
      <c r="C47" s="56"/>
      <c r="D47" s="56">
        <f>+D46/C46-1</f>
        <v>0.30585323462520897</v>
      </c>
      <c r="E47" s="56">
        <f>+E46/D46-1</f>
        <v>-2.0438171199759139</v>
      </c>
      <c r="F47" s="56">
        <f t="shared" ref="F47:U47" si="44">+IFERROR(F46/E46-1,"-")</f>
        <v>-2.7141264994378327</v>
      </c>
      <c r="G47" s="56">
        <f t="shared" si="44"/>
        <v>26.087794436789814</v>
      </c>
      <c r="H47" s="56">
        <f t="shared" si="44"/>
        <v>-1.2935818782570769</v>
      </c>
      <c r="I47" s="56">
        <f t="shared" si="44"/>
        <v>6.5779240598863753E-2</v>
      </c>
      <c r="J47" s="56">
        <f t="shared" si="44"/>
        <v>0.17146339298410296</v>
      </c>
      <c r="K47" s="56">
        <f t="shared" si="44"/>
        <v>0.39331210693678531</v>
      </c>
      <c r="L47" s="56">
        <f t="shared" si="44"/>
        <v>0.33371428992131347</v>
      </c>
      <c r="M47" s="56">
        <f t="shared" si="44"/>
        <v>0.29657669598038661</v>
      </c>
      <c r="N47" s="56">
        <f t="shared" si="44"/>
        <v>0.27087281104260619</v>
      </c>
      <c r="O47" s="56">
        <f t="shared" si="44"/>
        <v>0.24580510362926566</v>
      </c>
      <c r="P47" s="56">
        <f t="shared" si="44"/>
        <v>0.22127276247911731</v>
      </c>
      <c r="Q47" s="56">
        <f t="shared" si="44"/>
        <v>0.19719520763273257</v>
      </c>
      <c r="R47" s="56">
        <f t="shared" si="44"/>
        <v>0.17350725774731979</v>
      </c>
      <c r="S47" s="56">
        <f t="shared" si="44"/>
        <v>0.1501556195187379</v>
      </c>
      <c r="T47" s="56">
        <f t="shared" si="44"/>
        <v>0.14796844925532571</v>
      </c>
      <c r="U47" s="56">
        <f t="shared" si="44"/>
        <v>0.10000000000000009</v>
      </c>
    </row>
    <row r="48" spans="1:31">
      <c r="A48" s="34"/>
      <c r="B48" s="58"/>
      <c r="C48" s="55"/>
      <c r="D48" s="55"/>
      <c r="E48" s="55"/>
      <c r="F48" s="55"/>
      <c r="G48" s="55"/>
      <c r="H48" s="55"/>
      <c r="I48" s="55"/>
      <c r="J48" s="55"/>
      <c r="K48" s="55"/>
      <c r="L48" s="55"/>
      <c r="M48" s="55"/>
      <c r="N48" s="55"/>
      <c r="O48" s="55"/>
      <c r="P48" s="55"/>
      <c r="Q48" s="55"/>
      <c r="R48" s="55"/>
      <c r="S48" s="55"/>
      <c r="T48" s="55"/>
      <c r="U48" s="55"/>
      <c r="V48" s="58"/>
      <c r="W48" s="58"/>
      <c r="X48" s="58"/>
      <c r="Y48" s="58"/>
      <c r="Z48" s="58"/>
      <c r="AA48" s="58"/>
      <c r="AB48" s="58"/>
      <c r="AC48" s="58"/>
      <c r="AD48" s="58"/>
      <c r="AE48" s="58"/>
    </row>
    <row r="49" spans="1:31">
      <c r="A49" s="35" t="s">
        <v>40</v>
      </c>
      <c r="B49" s="58"/>
      <c r="C49" s="55">
        <f t="shared" ref="C49:T49" si="45">+C15-C31-C40-C43</f>
        <v>9.1663317881155726E-2</v>
      </c>
      <c r="D49" s="55">
        <f t="shared" si="45"/>
        <v>0.18369590035400768</v>
      </c>
      <c r="E49" s="55">
        <f t="shared" si="45"/>
        <v>1.111935902499859</v>
      </c>
      <c r="F49" s="55">
        <f t="shared" si="45"/>
        <v>0.72713828074468101</v>
      </c>
      <c r="G49" s="55">
        <f t="shared" si="45"/>
        <v>-17.123488327752117</v>
      </c>
      <c r="H49" s="55">
        <f t="shared" si="45"/>
        <v>11.790388609965309</v>
      </c>
      <c r="I49" s="55">
        <f t="shared" si="45"/>
        <v>11.953426278543635</v>
      </c>
      <c r="J49" s="55">
        <f t="shared" si="45"/>
        <v>14.745882222717647</v>
      </c>
      <c r="K49" s="55">
        <f t="shared" si="45"/>
        <v>19.045761810537137</v>
      </c>
      <c r="L49" s="55">
        <f t="shared" si="45"/>
        <v>23.652345914426668</v>
      </c>
      <c r="M49" s="55">
        <f t="shared" si="45"/>
        <v>28.666937270131935</v>
      </c>
      <c r="N49" s="55">
        <f t="shared" si="45"/>
        <v>34.173615029596</v>
      </c>
      <c r="O49" s="55">
        <f t="shared" si="45"/>
        <v>40.05734829533975</v>
      </c>
      <c r="P49" s="55">
        <f t="shared" si="45"/>
        <v>46.156203792677189</v>
      </c>
      <c r="Q49" s="55">
        <f t="shared" si="45"/>
        <v>52.264307261546733</v>
      </c>
      <c r="R49" s="55">
        <f t="shared" si="45"/>
        <v>58.13980726337445</v>
      </c>
      <c r="S49" s="55">
        <f t="shared" si="45"/>
        <v>63.517949433198218</v>
      </c>
      <c r="T49" s="55">
        <f t="shared" si="45"/>
        <v>69.390321964353035</v>
      </c>
      <c r="U49" s="55">
        <f t="shared" ref="U49" si="46">+U15-U31-U40-U43</f>
        <v>76.329354160788341</v>
      </c>
    </row>
    <row r="50" spans="1:31">
      <c r="A50" s="51" t="s">
        <v>25</v>
      </c>
      <c r="C50" s="56"/>
      <c r="D50" s="56">
        <f>+D49/C49-1</f>
        <v>1.0040284881698804</v>
      </c>
      <c r="E50" s="56">
        <f>+E49/D49-1</f>
        <v>5.0531340130999283</v>
      </c>
      <c r="F50" s="56">
        <f t="shared" ref="F50:U50" si="47">+IFERROR(F49/E49-1,"-")</f>
        <v>-0.34606097427924964</v>
      </c>
      <c r="G50" s="56">
        <f t="shared" si="47"/>
        <v>-24.549149840131527</v>
      </c>
      <c r="H50" s="56">
        <f t="shared" si="47"/>
        <v>-1.6885506261511312</v>
      </c>
      <c r="I50" s="56">
        <f t="shared" si="47"/>
        <v>1.382801483239704E-2</v>
      </c>
      <c r="J50" s="56">
        <f t="shared" si="47"/>
        <v>0.23361134114211768</v>
      </c>
      <c r="K50" s="56">
        <f t="shared" si="47"/>
        <v>0.29159866618187502</v>
      </c>
      <c r="L50" s="56">
        <f t="shared" si="47"/>
        <v>0.24186924890244721</v>
      </c>
      <c r="M50" s="56">
        <f t="shared" si="47"/>
        <v>0.21201243098032974</v>
      </c>
      <c r="N50" s="56">
        <f t="shared" si="47"/>
        <v>0.1920915969353123</v>
      </c>
      <c r="O50" s="56">
        <f t="shared" si="47"/>
        <v>0.17217181327313935</v>
      </c>
      <c r="P50" s="56">
        <f t="shared" si="47"/>
        <v>0.15225310103831746</v>
      </c>
      <c r="Q50" s="56">
        <f t="shared" si="47"/>
        <v>0.13233548184130806</v>
      </c>
      <c r="R50" s="56">
        <f t="shared" si="47"/>
        <v>0.11241897787767274</v>
      </c>
      <c r="S50" s="56">
        <f t="shared" si="47"/>
        <v>9.2503611948018261E-2</v>
      </c>
      <c r="T50" s="56">
        <f t="shared" si="47"/>
        <v>9.2452174283913058E-2</v>
      </c>
      <c r="U50" s="56">
        <f t="shared" si="47"/>
        <v>0.10000000000000009</v>
      </c>
    </row>
    <row r="51" spans="1:31">
      <c r="A51" s="34"/>
      <c r="B51" s="58"/>
      <c r="C51" s="55"/>
      <c r="D51" s="55"/>
      <c r="E51" s="55"/>
      <c r="F51" s="55"/>
      <c r="G51" s="55"/>
      <c r="H51" s="55"/>
      <c r="I51" s="55"/>
      <c r="J51" s="55"/>
      <c r="K51" s="55"/>
      <c r="L51" s="55"/>
      <c r="M51" s="55"/>
      <c r="N51" s="55"/>
      <c r="O51" s="55"/>
      <c r="P51" s="55"/>
      <c r="Q51" s="55"/>
      <c r="R51" s="55"/>
      <c r="S51" s="55"/>
      <c r="T51" s="55"/>
      <c r="U51" s="55"/>
      <c r="V51" s="58"/>
      <c r="W51" s="58"/>
      <c r="X51" s="58"/>
      <c r="Y51" s="58"/>
      <c r="Z51" s="58"/>
      <c r="AA51" s="58"/>
      <c r="AB51" s="58"/>
      <c r="AC51" s="58"/>
      <c r="AD51" s="58"/>
      <c r="AE51" s="58"/>
    </row>
    <row r="52" spans="1:31" ht="13.5">
      <c r="A52" s="34" t="s">
        <v>41</v>
      </c>
      <c r="C52" s="61">
        <f t="shared" ref="C52:I52" si="48">C53-C46-SUM(C48:C48)</f>
        <v>-0.71387993155103757</v>
      </c>
      <c r="D52" s="61">
        <f t="shared" si="48"/>
        <v>7.9982010952776406E-2</v>
      </c>
      <c r="E52" s="61">
        <f t="shared" si="48"/>
        <v>3.7221444390463514</v>
      </c>
      <c r="F52" s="61">
        <f t="shared" si="48"/>
        <v>8.1824757556801817</v>
      </c>
      <c r="G52" s="61">
        <f t="shared" si="48"/>
        <v>5.4401249618434946</v>
      </c>
      <c r="H52" s="61">
        <f t="shared" si="48"/>
        <v>9.8710336611714489</v>
      </c>
      <c r="I52" s="61">
        <f t="shared" si="48"/>
        <v>24.881363022435856</v>
      </c>
      <c r="J52" s="121">
        <f t="shared" ref="J52:U52" si="49">+I52/(I7-H7)*(J7-I7)</f>
        <v>20.442375172932127</v>
      </c>
      <c r="K52" s="121">
        <f t="shared" si="49"/>
        <v>23.654748414392884</v>
      </c>
      <c r="L52" s="121">
        <f t="shared" si="49"/>
        <v>25.625977448925624</v>
      </c>
      <c r="M52" s="121">
        <f t="shared" si="49"/>
        <v>28.188575193818195</v>
      </c>
      <c r="N52" s="121">
        <f t="shared" si="49"/>
        <v>31.263692487689259</v>
      </c>
      <c r="O52" s="121">
        <f t="shared" si="49"/>
        <v>33.764787886704397</v>
      </c>
      <c r="P52" s="121">
        <f t="shared" si="49"/>
        <v>35.415510850054361</v>
      </c>
      <c r="Q52" s="121">
        <f t="shared" si="49"/>
        <v>35.946743512805241</v>
      </c>
      <c r="R52" s="121">
        <f t="shared" si="49"/>
        <v>35.125103661084005</v>
      </c>
      <c r="S52" s="121">
        <f t="shared" si="49"/>
        <v>32.783430083678383</v>
      </c>
      <c r="T52" s="121">
        <f t="shared" si="49"/>
        <v>36.061773092046209</v>
      </c>
      <c r="U52" s="121">
        <f t="shared" si="49"/>
        <v>39.667950401250842</v>
      </c>
    </row>
    <row r="53" spans="1:31">
      <c r="A53" s="62" t="s">
        <v>42</v>
      </c>
      <c r="B53" s="53"/>
      <c r="C53" s="53">
        <f>+'Historical - USD'!Q148</f>
        <v>-1.06</v>
      </c>
      <c r="D53" s="53">
        <f>+'Historical - USD'!R148</f>
        <v>-0.37199999999999989</v>
      </c>
      <c r="E53" s="53">
        <f>+'Historical - USD'!S148</f>
        <v>4.1939310000000001</v>
      </c>
      <c r="F53" s="53">
        <f>+'Historical - USD'!T148</f>
        <v>7.3737739094708905</v>
      </c>
      <c r="G53" s="53">
        <f>+'Historical - USD'!U148</f>
        <v>-16.46582440892621</v>
      </c>
      <c r="H53" s="53">
        <f>+'Historical - USD'!V148</f>
        <v>16.302223422446449</v>
      </c>
      <c r="I53" s="53">
        <f>+'Historical - USD'!W148</f>
        <v>31.735591562354713</v>
      </c>
      <c r="J53" s="55">
        <f t="shared" ref="J53:T53" si="50">+J46+J52+J48</f>
        <v>28.471852994593945</v>
      </c>
      <c r="K53" s="55">
        <f t="shared" si="50"/>
        <v>34.842317075694702</v>
      </c>
      <c r="L53" s="55">
        <f t="shared" si="50"/>
        <v>40.546997641979722</v>
      </c>
      <c r="M53" s="55">
        <f t="shared" si="50"/>
        <v>47.534822256384906</v>
      </c>
      <c r="N53" s="55">
        <f t="shared" si="50"/>
        <v>55.850311875218182</v>
      </c>
      <c r="O53" s="55">
        <f t="shared" si="50"/>
        <v>64.394923800678171</v>
      </c>
      <c r="P53" s="55">
        <f t="shared" si="50"/>
        <v>72.823261552823936</v>
      </c>
      <c r="Q53" s="55">
        <f t="shared" si="50"/>
        <v>80.731123382480959</v>
      </c>
      <c r="R53" s="55">
        <f t="shared" si="50"/>
        <v>87.679898471861435</v>
      </c>
      <c r="S53" s="55">
        <f t="shared" si="50"/>
        <v>93.229622667948234</v>
      </c>
      <c r="T53" s="55">
        <f t="shared" si="50"/>
        <v>105.45209505639924</v>
      </c>
      <c r="U53" s="55">
        <f t="shared" ref="U53" si="51">+U46+U52+U48</f>
        <v>115.99730456203918</v>
      </c>
      <c r="V53" s="63"/>
      <c r="W53" s="63"/>
      <c r="X53" s="63"/>
      <c r="Y53" s="63"/>
      <c r="Z53" s="63"/>
      <c r="AA53" s="63"/>
      <c r="AB53" s="63"/>
      <c r="AC53" s="63"/>
      <c r="AD53" s="63"/>
      <c r="AE53" s="63"/>
    </row>
    <row r="54" spans="1:31">
      <c r="C54" s="34"/>
      <c r="D54" s="34"/>
      <c r="E54" s="34"/>
      <c r="F54" s="34"/>
      <c r="G54" s="34"/>
      <c r="H54" s="34"/>
      <c r="I54" s="34"/>
      <c r="J54" s="34"/>
      <c r="K54" s="34"/>
      <c r="L54" s="34"/>
      <c r="M54" s="34"/>
      <c r="N54" s="34"/>
      <c r="O54" s="34"/>
      <c r="P54" s="34"/>
      <c r="Q54" s="34"/>
      <c r="R54" s="34"/>
      <c r="S54" s="34"/>
      <c r="T54" s="34"/>
      <c r="U54" s="34"/>
    </row>
    <row r="55" spans="1:31">
      <c r="A55" s="35" t="s">
        <v>43</v>
      </c>
      <c r="B55" s="58"/>
      <c r="C55" s="53">
        <f>+'Historical - USD'!Q157</f>
        <v>-0.24484876120410151</v>
      </c>
      <c r="D55" s="53">
        <f>+'Historical - USD'!R157</f>
        <v>-0.58347938765617069</v>
      </c>
      <c r="E55" s="53">
        <f>+'Historical - USD'!S157</f>
        <v>-3.0639729932710362</v>
      </c>
      <c r="F55" s="53">
        <f>+'Historical - USD'!T157</f>
        <v>-36.339216416289275</v>
      </c>
      <c r="G55" s="53">
        <f>+'Historical - USD'!U157</f>
        <v>-16.304137214963198</v>
      </c>
      <c r="H55" s="53">
        <f>+'Historical - USD'!V157</f>
        <v>-30.769202710783336</v>
      </c>
      <c r="I55" s="53">
        <f>+'Historical - USD'!W157</f>
        <v>-52.680382305844681</v>
      </c>
      <c r="J55" s="55">
        <f>+I55-J53</f>
        <v>-81.152235300438633</v>
      </c>
      <c r="K55" s="55">
        <f t="shared" ref="K55:U55" si="52">+J55</f>
        <v>-81.152235300438633</v>
      </c>
      <c r="L55" s="55">
        <f t="shared" si="52"/>
        <v>-81.152235300438633</v>
      </c>
      <c r="M55" s="55">
        <f t="shared" si="52"/>
        <v>-81.152235300438633</v>
      </c>
      <c r="N55" s="55">
        <f t="shared" si="52"/>
        <v>-81.152235300438633</v>
      </c>
      <c r="O55" s="55">
        <f t="shared" si="52"/>
        <v>-81.152235300438633</v>
      </c>
      <c r="P55" s="55">
        <f t="shared" si="52"/>
        <v>-81.152235300438633</v>
      </c>
      <c r="Q55" s="55">
        <f t="shared" si="52"/>
        <v>-81.152235300438633</v>
      </c>
      <c r="R55" s="55">
        <f t="shared" si="52"/>
        <v>-81.152235300438633</v>
      </c>
      <c r="S55" s="55">
        <f t="shared" si="52"/>
        <v>-81.152235300438633</v>
      </c>
      <c r="T55" s="55">
        <f t="shared" si="52"/>
        <v>-81.152235300438633</v>
      </c>
      <c r="U55" s="55">
        <f t="shared" si="52"/>
        <v>-81.152235300438633</v>
      </c>
    </row>
    <row r="56" spans="1:31" outlineLevel="1">
      <c r="A56" s="51" t="s">
        <v>44</v>
      </c>
      <c r="B56" s="42"/>
      <c r="C56" s="64">
        <f t="shared" ref="C56:J56" si="53">+C55/C15</f>
        <v>-1.8698224852071004</v>
      </c>
      <c r="D56" s="64">
        <f t="shared" si="53"/>
        <v>-1.3465346534653466</v>
      </c>
      <c r="E56" s="64">
        <f t="shared" si="53"/>
        <v>-1.6712156567385912</v>
      </c>
      <c r="F56" s="64">
        <f t="shared" si="53"/>
        <v>-23.742202182563162</v>
      </c>
      <c r="G56" s="64">
        <f t="shared" si="53"/>
        <v>1.0276622029225084</v>
      </c>
      <c r="H56" s="64">
        <f t="shared" si="53"/>
        <v>-1.5847344457144183</v>
      </c>
      <c r="I56" s="64">
        <f t="shared" ref="I56" si="54">+I55/I15</f>
        <v>-2.6389301643866774</v>
      </c>
      <c r="J56" s="179">
        <f t="shared" si="53"/>
        <v>-2.9525733844278017</v>
      </c>
      <c r="K56" s="55">
        <f t="shared" ref="K56:U56" si="55">+J56</f>
        <v>-2.9525733844278017</v>
      </c>
      <c r="L56" s="55">
        <f t="shared" si="55"/>
        <v>-2.9525733844278017</v>
      </c>
      <c r="M56" s="55">
        <f t="shared" si="55"/>
        <v>-2.9525733844278017</v>
      </c>
      <c r="N56" s="55">
        <f t="shared" si="55"/>
        <v>-2.9525733844278017</v>
      </c>
      <c r="O56" s="55">
        <f t="shared" si="55"/>
        <v>-2.9525733844278017</v>
      </c>
      <c r="P56" s="55">
        <f t="shared" si="55"/>
        <v>-2.9525733844278017</v>
      </c>
      <c r="Q56" s="55">
        <f t="shared" si="55"/>
        <v>-2.9525733844278017</v>
      </c>
      <c r="R56" s="55">
        <f t="shared" si="55"/>
        <v>-2.9525733844278017</v>
      </c>
      <c r="S56" s="55">
        <f t="shared" si="55"/>
        <v>-2.9525733844278017</v>
      </c>
      <c r="T56" s="55">
        <f t="shared" si="55"/>
        <v>-2.9525733844278017</v>
      </c>
      <c r="U56" s="55">
        <f t="shared" si="55"/>
        <v>-2.9525733844278017</v>
      </c>
    </row>
    <row r="57" spans="1:31">
      <c r="C57" s="34"/>
      <c r="D57" s="34"/>
      <c r="E57" s="34"/>
      <c r="F57" s="34"/>
      <c r="G57" s="34"/>
      <c r="H57" s="34"/>
      <c r="I57" s="34"/>
      <c r="J57" s="34"/>
      <c r="K57" s="34"/>
      <c r="L57" s="34"/>
      <c r="M57" s="34"/>
      <c r="N57" s="34"/>
      <c r="O57" s="34"/>
      <c r="P57" s="34"/>
      <c r="Q57" s="34"/>
      <c r="R57" s="34"/>
      <c r="S57" s="34"/>
      <c r="T57" s="34"/>
      <c r="U57" s="34"/>
    </row>
    <row r="58" spans="1:31">
      <c r="A58" s="65" t="s">
        <v>45</v>
      </c>
      <c r="B58" s="58"/>
      <c r="C58" s="55"/>
      <c r="D58" s="55"/>
      <c r="E58" s="55"/>
      <c r="F58" s="55"/>
      <c r="G58" s="55"/>
      <c r="H58" s="55"/>
      <c r="I58" s="55"/>
      <c r="J58" s="55">
        <f t="shared" ref="J58:U58" si="56">+J53+(J55-I55)</f>
        <v>0</v>
      </c>
      <c r="K58" s="55">
        <f t="shared" si="56"/>
        <v>34.842317075694702</v>
      </c>
      <c r="L58" s="55">
        <f t="shared" si="56"/>
        <v>40.546997641979722</v>
      </c>
      <c r="M58" s="55">
        <f t="shared" si="56"/>
        <v>47.534822256384906</v>
      </c>
      <c r="N58" s="55">
        <f t="shared" si="56"/>
        <v>55.850311875218182</v>
      </c>
      <c r="O58" s="55">
        <f t="shared" si="56"/>
        <v>64.394923800678171</v>
      </c>
      <c r="P58" s="55">
        <f t="shared" si="56"/>
        <v>72.823261552823936</v>
      </c>
      <c r="Q58" s="55">
        <f t="shared" si="56"/>
        <v>80.731123382480959</v>
      </c>
      <c r="R58" s="55">
        <f t="shared" si="56"/>
        <v>87.679898471861435</v>
      </c>
      <c r="S58" s="55">
        <f t="shared" si="56"/>
        <v>93.229622667948234</v>
      </c>
      <c r="T58" s="55">
        <f t="shared" si="56"/>
        <v>105.45209505639924</v>
      </c>
      <c r="U58" s="55">
        <f t="shared" si="56"/>
        <v>115.99730456203918</v>
      </c>
    </row>
    <row r="59" spans="1:31">
      <c r="A59" s="66" t="s">
        <v>46</v>
      </c>
      <c r="C59" s="56"/>
      <c r="D59" s="56"/>
      <c r="E59" s="56"/>
      <c r="F59" s="56"/>
      <c r="G59" s="56"/>
      <c r="H59" s="56"/>
      <c r="I59" s="56"/>
      <c r="J59" s="56">
        <f t="shared" ref="J59:T59" si="57">+J58/$C$86</f>
        <v>0</v>
      </c>
      <c r="K59" s="56">
        <f t="shared" si="57"/>
        <v>7.0734860959467447E-2</v>
      </c>
      <c r="L59" s="56">
        <f t="shared" si="57"/>
        <v>8.2316174159668881E-2</v>
      </c>
      <c r="M59" s="56">
        <f t="shared" si="57"/>
        <v>9.6502452340745906E-2</v>
      </c>
      <c r="N59" s="56">
        <f t="shared" si="57"/>
        <v>0.113384079378357</v>
      </c>
      <c r="O59" s="56">
        <f t="shared" si="57"/>
        <v>0.13073085729748796</v>
      </c>
      <c r="P59" s="56">
        <f t="shared" si="57"/>
        <v>0.14784158210153212</v>
      </c>
      <c r="Q59" s="56">
        <f t="shared" si="57"/>
        <v>0.1638956667306416</v>
      </c>
      <c r="R59" s="56">
        <f t="shared" si="57"/>
        <v>0.17800266882002944</v>
      </c>
      <c r="S59" s="56">
        <f t="shared" si="57"/>
        <v>0.1892693985418433</v>
      </c>
      <c r="T59" s="56">
        <f t="shared" si="57"/>
        <v>0.21408275647954225</v>
      </c>
      <c r="U59" s="56">
        <f t="shared" ref="U59" si="58">+U58/$C$86</f>
        <v>0.23549103212749647</v>
      </c>
    </row>
    <row r="60" spans="1:31">
      <c r="C60" s="34"/>
      <c r="D60" s="34"/>
      <c r="E60" s="34"/>
      <c r="F60" s="34"/>
      <c r="G60" s="34"/>
      <c r="H60" s="34"/>
      <c r="I60" s="34"/>
      <c r="J60" s="34"/>
      <c r="K60" s="34"/>
      <c r="L60" s="34"/>
      <c r="M60" s="34"/>
      <c r="N60" s="34"/>
      <c r="O60" s="34"/>
      <c r="P60" s="34"/>
      <c r="Q60" s="34"/>
      <c r="R60" s="34"/>
      <c r="S60" s="34"/>
      <c r="T60" s="34"/>
      <c r="U60" s="34"/>
    </row>
    <row r="61" spans="1:31">
      <c r="A61" s="65" t="s">
        <v>47</v>
      </c>
      <c r="B61" s="58"/>
      <c r="C61" s="55"/>
      <c r="D61" s="55"/>
      <c r="E61" s="55"/>
      <c r="F61" s="55"/>
      <c r="G61" s="55"/>
      <c r="H61" s="55"/>
      <c r="I61" s="55"/>
      <c r="J61" s="55">
        <f t="shared" ref="J61:U61" si="59">J58+I61</f>
        <v>0</v>
      </c>
      <c r="K61" s="55">
        <f t="shared" si="59"/>
        <v>34.842317075694702</v>
      </c>
      <c r="L61" s="55">
        <f t="shared" si="59"/>
        <v>75.389314717674424</v>
      </c>
      <c r="M61" s="55">
        <f t="shared" si="59"/>
        <v>122.92413697405934</v>
      </c>
      <c r="N61" s="55">
        <f t="shared" si="59"/>
        <v>178.77444884927752</v>
      </c>
      <c r="O61" s="55">
        <f t="shared" si="59"/>
        <v>243.16937264995568</v>
      </c>
      <c r="P61" s="55">
        <f t="shared" si="59"/>
        <v>315.99263420277964</v>
      </c>
      <c r="Q61" s="55">
        <f t="shared" si="59"/>
        <v>396.72375758526061</v>
      </c>
      <c r="R61" s="55">
        <f t="shared" si="59"/>
        <v>484.40365605712202</v>
      </c>
      <c r="S61" s="55">
        <f t="shared" si="59"/>
        <v>577.63327872507023</v>
      </c>
      <c r="T61" s="55">
        <f t="shared" si="59"/>
        <v>683.08537378146946</v>
      </c>
      <c r="U61" s="55">
        <f t="shared" si="59"/>
        <v>799.08267834350863</v>
      </c>
    </row>
    <row r="62" spans="1:31">
      <c r="A62" s="66" t="s">
        <v>46</v>
      </c>
      <c r="C62" s="56"/>
      <c r="D62" s="56"/>
      <c r="E62" s="56"/>
      <c r="F62" s="56"/>
      <c r="G62" s="56"/>
      <c r="H62" s="56"/>
      <c r="I62" s="56"/>
      <c r="J62" s="56">
        <f t="shared" ref="J62:T62" si="60">J61/$C$86</f>
        <v>0</v>
      </c>
      <c r="K62" s="56">
        <f t="shared" si="60"/>
        <v>7.0734860959467447E-2</v>
      </c>
      <c r="L62" s="56">
        <f t="shared" si="60"/>
        <v>0.15305103511913634</v>
      </c>
      <c r="M62" s="56">
        <f t="shared" si="60"/>
        <v>0.24955348745988223</v>
      </c>
      <c r="N62" s="67">
        <f t="shared" si="60"/>
        <v>0.36293756683823925</v>
      </c>
      <c r="O62" s="56">
        <f t="shared" si="60"/>
        <v>0.49366842413572715</v>
      </c>
      <c r="P62" s="56">
        <f t="shared" si="60"/>
        <v>0.64151000623725929</v>
      </c>
      <c r="Q62" s="56">
        <f t="shared" si="60"/>
        <v>0.805405672967901</v>
      </c>
      <c r="R62" s="56">
        <f t="shared" si="60"/>
        <v>0.98340834178793035</v>
      </c>
      <c r="S62" s="56">
        <f t="shared" si="60"/>
        <v>1.1726777403297737</v>
      </c>
      <c r="T62" s="56">
        <f t="shared" si="60"/>
        <v>1.3867604968093159</v>
      </c>
      <c r="U62" s="56">
        <f t="shared" ref="U62" si="61">U61/$C$86</f>
        <v>1.6222515289368122</v>
      </c>
    </row>
    <row r="63" spans="1:31">
      <c r="C63" s="34"/>
      <c r="D63" s="34"/>
      <c r="E63" s="34"/>
      <c r="F63" s="34"/>
      <c r="G63" s="34"/>
      <c r="H63" s="34"/>
      <c r="I63" s="34"/>
      <c r="J63" s="34"/>
      <c r="K63" s="34"/>
      <c r="L63" s="34"/>
      <c r="M63" s="34"/>
      <c r="N63" s="34"/>
      <c r="O63" s="34"/>
      <c r="P63" s="34"/>
      <c r="Q63" s="34"/>
      <c r="R63" s="34"/>
      <c r="S63" s="34"/>
      <c r="T63" s="34"/>
      <c r="U63" s="34"/>
    </row>
    <row r="64" spans="1:31" hidden="1" outlineLevel="1">
      <c r="A64" s="94" t="s">
        <v>48</v>
      </c>
      <c r="B64" s="95"/>
      <c r="C64" s="96"/>
      <c r="D64" s="96"/>
      <c r="E64" s="96"/>
      <c r="F64" s="185"/>
      <c r="G64" s="97">
        <f>+C86/SUM('Historical - USD'!H148:I148)</f>
        <v>-214.3280730450748</v>
      </c>
      <c r="H64" s="34"/>
      <c r="I64" s="34"/>
      <c r="J64" s="34"/>
      <c r="K64" s="34"/>
      <c r="L64" s="34"/>
      <c r="M64" s="34"/>
      <c r="N64" s="34"/>
      <c r="O64" s="34"/>
      <c r="P64" s="34"/>
      <c r="Q64" s="34"/>
      <c r="R64" s="34"/>
      <c r="S64" s="34"/>
      <c r="T64" s="34"/>
      <c r="U64" s="34"/>
      <c r="X64" s="98"/>
    </row>
    <row r="65" spans="1:21" hidden="1" outlineLevel="1">
      <c r="C65" s="34"/>
      <c r="D65" s="34"/>
      <c r="E65" s="34"/>
      <c r="F65" s="34"/>
      <c r="G65" s="34"/>
      <c r="H65" s="34"/>
      <c r="I65" s="34"/>
      <c r="J65" s="34"/>
      <c r="K65" s="34"/>
      <c r="L65" s="34"/>
      <c r="M65" s="34"/>
      <c r="N65" s="34"/>
      <c r="O65" s="34"/>
      <c r="P65" s="34"/>
      <c r="Q65" s="34"/>
      <c r="R65" s="34"/>
      <c r="S65" s="34"/>
      <c r="T65" s="34"/>
      <c r="U65" s="34"/>
    </row>
    <row r="66" spans="1:21" collapsed="1">
      <c r="A66" s="34"/>
      <c r="B66" s="34"/>
      <c r="C66" s="68"/>
      <c r="D66" s="68"/>
      <c r="E66" s="68"/>
      <c r="F66" s="68"/>
      <c r="G66" s="68"/>
      <c r="H66" s="68"/>
      <c r="I66" s="68"/>
      <c r="J66" s="68"/>
      <c r="K66" s="68"/>
      <c r="L66" s="68"/>
      <c r="M66" s="68"/>
      <c r="N66" s="68"/>
      <c r="O66" s="68"/>
      <c r="P66" s="68"/>
      <c r="Q66" s="68"/>
      <c r="R66" s="68"/>
      <c r="S66" s="68"/>
      <c r="T66" s="68"/>
      <c r="U66" s="68"/>
    </row>
    <row r="67" spans="1:21">
      <c r="A67" s="34" t="s">
        <v>49</v>
      </c>
      <c r="B67" s="34"/>
      <c r="C67" s="68"/>
      <c r="D67" s="68"/>
      <c r="E67" s="68"/>
      <c r="F67" s="68"/>
      <c r="G67" s="68"/>
      <c r="H67" s="68"/>
      <c r="I67" s="68"/>
      <c r="J67" s="68">
        <f t="shared" ref="J67:T67" si="62">+($C$86-J61+J55)/(J7)</f>
        <v>0.62640148733017254</v>
      </c>
      <c r="K67" s="68">
        <f t="shared" si="62"/>
        <v>0.44104104179757408</v>
      </c>
      <c r="L67" s="68">
        <f t="shared" si="62"/>
        <v>0.31484291059233532</v>
      </c>
      <c r="M67" s="68">
        <f t="shared" si="62"/>
        <v>0.22156216931742959</v>
      </c>
      <c r="N67" s="68">
        <f t="shared" si="62"/>
        <v>0.14889187489366515</v>
      </c>
      <c r="O67" s="68">
        <f t="shared" si="62"/>
        <v>9.1254406659863618E-2</v>
      </c>
      <c r="P67" s="68">
        <f t="shared" si="62"/>
        <v>4.4619030917938056E-2</v>
      </c>
      <c r="Q67" s="68">
        <f t="shared" si="62"/>
        <v>6.0290738533496013E-3</v>
      </c>
      <c r="R67" s="68">
        <f t="shared" si="62"/>
        <v>-2.6724347296311183E-2</v>
      </c>
      <c r="S67" s="68">
        <f t="shared" si="62"/>
        <v>-5.5330951265147782E-2</v>
      </c>
      <c r="T67" s="68">
        <f t="shared" si="62"/>
        <v>-8.2214450622315347E-2</v>
      </c>
      <c r="U67" s="68">
        <f t="shared" ref="U67" si="63">+($C$86-U61+U55)/(U7)</f>
        <v>-0.10665399549246769</v>
      </c>
    </row>
    <row r="68" spans="1:21">
      <c r="A68" s="34" t="s">
        <v>95</v>
      </c>
      <c r="B68" s="34"/>
      <c r="C68" s="68"/>
      <c r="D68" s="68"/>
      <c r="E68" s="68"/>
      <c r="F68" s="68"/>
      <c r="G68" s="68"/>
      <c r="H68" s="68"/>
      <c r="I68" s="68"/>
      <c r="J68" s="68">
        <f>+($C$86-J61+J55)/J10</f>
        <v>2.9858284286513541</v>
      </c>
      <c r="K68" s="68"/>
      <c r="L68" s="68"/>
      <c r="M68" s="68"/>
      <c r="N68" s="68"/>
      <c r="O68" s="68"/>
      <c r="P68" s="68"/>
      <c r="Q68" s="68"/>
      <c r="R68" s="68"/>
      <c r="S68" s="68"/>
      <c r="T68" s="68"/>
      <c r="U68" s="68"/>
    </row>
    <row r="69" spans="1:21">
      <c r="A69" s="34" t="s">
        <v>51</v>
      </c>
      <c r="B69" s="34"/>
      <c r="C69" s="68">
        <f>($C$86-C61)/C46</f>
        <v>-1423.1371099285375</v>
      </c>
      <c r="D69" s="68">
        <f>($C$86-D61)/D46</f>
        <v>-1089.8139792386316</v>
      </c>
      <c r="E69" s="68">
        <f>($C$86-E61)/E46</f>
        <v>1044.0660134639095</v>
      </c>
      <c r="F69" s="68">
        <f>($C$86-F61)/F46</f>
        <v>-609.09507775903535</v>
      </c>
      <c r="G69" s="68">
        <f t="shared" ref="G69:T69" si="64">IFERROR(($C$86-G61)/G46,"-")</f>
        <v>-22.48596057461884</v>
      </c>
      <c r="H69" s="68">
        <f t="shared" si="64"/>
        <v>76.59178661882143</v>
      </c>
      <c r="I69" s="68">
        <f t="shared" si="64"/>
        <v>71.864588557555621</v>
      </c>
      <c r="J69" s="68">
        <f t="shared" si="64"/>
        <v>61.345995946568038</v>
      </c>
      <c r="K69" s="68">
        <f t="shared" si="64"/>
        <v>40.914519560299702</v>
      </c>
      <c r="L69" s="68">
        <f t="shared" si="64"/>
        <v>27.959683304849008</v>
      </c>
      <c r="M69" s="68">
        <f t="shared" si="64"/>
        <v>19.107177517747573</v>
      </c>
      <c r="N69" s="68">
        <f t="shared" si="64"/>
        <v>12.763115583536315</v>
      </c>
      <c r="O69" s="68">
        <f t="shared" si="64"/>
        <v>8.1425345924431998</v>
      </c>
      <c r="P69" s="68">
        <f t="shared" si="64"/>
        <v>4.720510492625543</v>
      </c>
      <c r="Q69" s="68">
        <f t="shared" si="64"/>
        <v>2.1403122382044364</v>
      </c>
      <c r="R69" s="68">
        <f t="shared" si="64"/>
        <v>0.15550736850990371</v>
      </c>
      <c r="S69" s="68">
        <f t="shared" si="64"/>
        <v>-1.4071517359139831</v>
      </c>
      <c r="T69" s="68">
        <f t="shared" si="64"/>
        <v>-2.7454701821186704</v>
      </c>
      <c r="U69" s="68">
        <f t="shared" ref="U69" si="65">IFERROR(($C$86-U61)/U46,"-")</f>
        <v>-4.0155765473545966</v>
      </c>
    </row>
    <row r="70" spans="1:21">
      <c r="A70" s="34" t="s">
        <v>52</v>
      </c>
      <c r="B70" s="34"/>
      <c r="C70" s="68">
        <f t="shared" ref="C70:H70" si="66">IFERROR(($C$86-C61)/C49,"-")</f>
        <v>5373.7561031705627</v>
      </c>
      <c r="D70" s="68">
        <f t="shared" si="66"/>
        <v>2681.4769025953251</v>
      </c>
      <c r="E70" s="68">
        <f t="shared" si="66"/>
        <v>442.98984572160305</v>
      </c>
      <c r="F70" s="68">
        <f t="shared" si="66"/>
        <v>677.41766173589963</v>
      </c>
      <c r="G70" s="68">
        <f t="shared" si="66"/>
        <v>-28.766119640611034</v>
      </c>
      <c r="H70" s="68">
        <f t="shared" si="66"/>
        <v>41.777784447613158</v>
      </c>
      <c r="I70" s="68">
        <f t="shared" ref="I70:T70" si="67">IFERROR(($C$86-I61)/I49,"-")</f>
        <v>41.207960163262733</v>
      </c>
      <c r="J70" s="68">
        <f t="shared" si="67"/>
        <v>33.404329863821658</v>
      </c>
      <c r="K70" s="68">
        <f t="shared" si="67"/>
        <v>24.033378206577499</v>
      </c>
      <c r="L70" s="68">
        <f t="shared" si="67"/>
        <v>17.63829265360895</v>
      </c>
      <c r="M70" s="68">
        <f t="shared" si="67"/>
        <v>12.894721659429068</v>
      </c>
      <c r="N70" s="68">
        <f t="shared" si="67"/>
        <v>9.1825774001281069</v>
      </c>
      <c r="O70" s="68">
        <f t="shared" si="67"/>
        <v>6.2262469150955795</v>
      </c>
      <c r="P70" s="68">
        <f t="shared" si="67"/>
        <v>3.8257842974070542</v>
      </c>
      <c r="Q70" s="68">
        <f t="shared" si="67"/>
        <v>1.8339964946973764</v>
      </c>
      <c r="R70" s="68">
        <f t="shared" si="67"/>
        <v>0.14056905635375846</v>
      </c>
      <c r="S70" s="68">
        <f t="shared" si="67"/>
        <v>-1.3391012396236219</v>
      </c>
      <c r="T70" s="68">
        <f t="shared" si="67"/>
        <v>-2.7454701821186704</v>
      </c>
      <c r="U70" s="68">
        <f t="shared" ref="U70" si="68">IFERROR(($C$86-U61)/U49,"-")</f>
        <v>-4.0155765473545966</v>
      </c>
    </row>
    <row r="71" spans="1:21">
      <c r="A71" s="34"/>
      <c r="B71" s="34"/>
      <c r="C71" s="68"/>
      <c r="D71" s="68"/>
      <c r="E71" s="68"/>
      <c r="F71" s="68"/>
      <c r="G71" s="68"/>
      <c r="H71" s="68"/>
      <c r="I71" s="68"/>
      <c r="J71" s="68"/>
      <c r="K71" s="68"/>
      <c r="L71" s="68"/>
      <c r="M71" s="68"/>
      <c r="N71" s="68"/>
      <c r="O71" s="68"/>
      <c r="P71" s="68"/>
      <c r="Q71" s="68"/>
      <c r="R71" s="68"/>
      <c r="S71" s="68"/>
      <c r="T71" s="68"/>
      <c r="U71" s="68"/>
    </row>
    <row r="72" spans="1:21">
      <c r="A72" s="34" t="s">
        <v>53</v>
      </c>
      <c r="B72" s="34"/>
      <c r="C72" s="68"/>
      <c r="D72" s="68"/>
      <c r="E72" s="68"/>
      <c r="F72" s="68"/>
      <c r="G72" s="68"/>
      <c r="H72" s="68"/>
      <c r="I72" s="68"/>
      <c r="J72" s="68">
        <f t="shared" ref="J72:T72" si="69">($C$86-J61+J55)/(J$7*0.03*0.7)</f>
        <v>29.82864225381774</v>
      </c>
      <c r="K72" s="68">
        <f t="shared" si="69"/>
        <v>21.001954371313055</v>
      </c>
      <c r="L72" s="68">
        <f t="shared" si="69"/>
        <v>14.992519552015972</v>
      </c>
      <c r="M72" s="68">
        <f t="shared" si="69"/>
        <v>10.550579491306172</v>
      </c>
      <c r="N72" s="68">
        <f t="shared" si="69"/>
        <v>7.0900892806507212</v>
      </c>
      <c r="O72" s="68">
        <f t="shared" si="69"/>
        <v>4.345447936183982</v>
      </c>
      <c r="P72" s="68">
        <f t="shared" si="69"/>
        <v>2.1247157579970506</v>
      </c>
      <c r="Q72" s="68">
        <f t="shared" si="69"/>
        <v>0.28709875492140963</v>
      </c>
      <c r="R72" s="68">
        <f t="shared" si="69"/>
        <v>-1.2725879664910089</v>
      </c>
      <c r="S72" s="68">
        <f t="shared" si="69"/>
        <v>-2.6348072031022753</v>
      </c>
      <c r="T72" s="68">
        <f t="shared" si="69"/>
        <v>-3.9149738391578746</v>
      </c>
      <c r="U72" s="68">
        <f t="shared" ref="U72" si="70">($C$86-U61+U55)/(U$7*0.03*0.7)</f>
        <v>-5.0787616901175099</v>
      </c>
    </row>
    <row r="73" spans="1:21">
      <c r="A73" s="34" t="s">
        <v>54</v>
      </c>
      <c r="B73" s="34"/>
      <c r="C73" s="68"/>
      <c r="D73" s="68"/>
      <c r="E73" s="68"/>
      <c r="F73" s="68"/>
      <c r="G73" s="68"/>
      <c r="H73" s="68"/>
      <c r="I73" s="68"/>
      <c r="J73" s="68">
        <f t="shared" ref="J73:T73" si="71">($C$86-J61+J55)/(J$7*0.05*0.7)</f>
        <v>17.897185352290645</v>
      </c>
      <c r="K73" s="68">
        <f t="shared" si="71"/>
        <v>12.601172622787832</v>
      </c>
      <c r="L73" s="68">
        <f t="shared" si="71"/>
        <v>8.9955117312095805</v>
      </c>
      <c r="M73" s="68">
        <f t="shared" si="71"/>
        <v>6.3303476947837023</v>
      </c>
      <c r="N73" s="68">
        <f t="shared" si="71"/>
        <v>4.2540535683904332</v>
      </c>
      <c r="O73" s="68">
        <f t="shared" si="71"/>
        <v>2.6072687617103889</v>
      </c>
      <c r="P73" s="68">
        <f t="shared" si="71"/>
        <v>1.2748294547982302</v>
      </c>
      <c r="Q73" s="68">
        <f t="shared" si="71"/>
        <v>0.17225925295284575</v>
      </c>
      <c r="R73" s="68">
        <f t="shared" si="71"/>
        <v>-0.76355277989460524</v>
      </c>
      <c r="S73" s="68">
        <f t="shared" si="71"/>
        <v>-1.5808843218613651</v>
      </c>
      <c r="T73" s="68">
        <f t="shared" si="71"/>
        <v>-2.3489843034947242</v>
      </c>
      <c r="U73" s="68">
        <f t="shared" ref="U73" si="72">($C$86-U61+U55)/(U$7*0.05*0.7)</f>
        <v>-3.0472570140705058</v>
      </c>
    </row>
    <row r="74" spans="1:21" hidden="1" outlineLevel="1">
      <c r="A74" s="34" t="s">
        <v>55</v>
      </c>
      <c r="B74" s="34"/>
      <c r="C74" s="68"/>
      <c r="D74" s="68"/>
      <c r="E74" s="68"/>
      <c r="F74" s="68"/>
      <c r="G74" s="68">
        <f>($C$86-G61)/(G$7*0.15*0.7)</f>
        <v>30.795165780031628</v>
      </c>
      <c r="H74" s="68"/>
      <c r="I74" s="68">
        <f t="shared" ref="I74:T74" si="73">($C$86-I61)/(I$7*0.15*0.7)</f>
        <v>9.6423095337776363</v>
      </c>
      <c r="J74" s="68">
        <f t="shared" si="73"/>
        <v>7.1424515065019509</v>
      </c>
      <c r="K74" s="68">
        <f t="shared" si="73"/>
        <v>5.1055624555998449</v>
      </c>
      <c r="L74" s="68">
        <f t="shared" si="73"/>
        <v>3.7226411754729805</v>
      </c>
      <c r="M74" s="68">
        <f t="shared" si="73"/>
        <v>2.7036710335643379</v>
      </c>
      <c r="N74" s="68">
        <f t="shared" si="73"/>
        <v>1.9126471355493979</v>
      </c>
      <c r="O74" s="68">
        <f t="shared" si="73"/>
        <v>1.2882669426768414</v>
      </c>
      <c r="P74" s="68">
        <f t="shared" si="73"/>
        <v>0.78630294077186269</v>
      </c>
      <c r="Q74" s="68">
        <f t="shared" si="73"/>
        <v>0.37440202218818774</v>
      </c>
      <c r="R74" s="68">
        <f t="shared" si="73"/>
        <v>2.8502291705285499E-2</v>
      </c>
      <c r="S74" s="68">
        <f t="shared" si="73"/>
        <v>-0.26967063607183034</v>
      </c>
      <c r="T74" s="68">
        <f t="shared" si="73"/>
        <v>-0.54909403642373411</v>
      </c>
      <c r="U74" s="68">
        <f t="shared" ref="U74" si="74">($C$86-U61)/(U$7*0.15*0.7)</f>
        <v>-0.80311530947091947</v>
      </c>
    </row>
    <row r="75" spans="1:21" collapsed="1">
      <c r="C75" s="34"/>
      <c r="D75" s="34"/>
      <c r="E75" s="34"/>
      <c r="F75" s="34"/>
      <c r="G75" s="34"/>
      <c r="H75" s="34"/>
      <c r="I75" s="34"/>
      <c r="J75" s="34"/>
    </row>
    <row r="76" spans="1:21">
      <c r="A76" s="46" t="s">
        <v>56</v>
      </c>
      <c r="B76" s="69"/>
      <c r="C76" s="34"/>
      <c r="E76" s="34"/>
      <c r="F76" s="92"/>
      <c r="G76" s="92"/>
      <c r="H76" s="34"/>
      <c r="I76" s="34"/>
      <c r="J76" s="34"/>
    </row>
    <row r="77" spans="1:21">
      <c r="C77" s="34"/>
      <c r="D77" s="34"/>
      <c r="E77" s="34"/>
      <c r="F77" s="92"/>
      <c r="G77" s="92"/>
      <c r="H77" s="34"/>
      <c r="I77" s="34"/>
      <c r="J77" s="34"/>
    </row>
    <row r="78" spans="1:21">
      <c r="A78" s="47" t="s">
        <v>57</v>
      </c>
      <c r="C78" s="34"/>
      <c r="D78" s="34"/>
      <c r="E78" s="34"/>
      <c r="F78" s="92"/>
      <c r="G78" s="92"/>
      <c r="H78" s="92"/>
      <c r="I78" s="92"/>
      <c r="J78" s="34"/>
      <c r="K78" s="34"/>
      <c r="L78" s="34"/>
      <c r="M78" s="34"/>
    </row>
    <row r="79" spans="1:21" ht="13.5">
      <c r="A79" s="35" t="s">
        <v>58</v>
      </c>
      <c r="C79" s="34"/>
      <c r="D79" s="34"/>
      <c r="E79" s="34"/>
      <c r="F79" s="34"/>
      <c r="G79" s="34"/>
      <c r="H79" s="34"/>
      <c r="I79" s="34"/>
      <c r="J79" s="92"/>
      <c r="K79" s="34"/>
      <c r="L79" s="34"/>
      <c r="M79" s="34"/>
      <c r="N79" s="34"/>
      <c r="O79" s="34"/>
      <c r="P79" s="34"/>
      <c r="Q79" s="34"/>
      <c r="R79" s="34"/>
      <c r="S79" s="34"/>
      <c r="T79" s="122">
        <f>+Upside!T79</f>
        <v>15</v>
      </c>
      <c r="U79" s="70"/>
    </row>
    <row r="80" spans="1:21">
      <c r="A80" s="65" t="s">
        <v>59</v>
      </c>
      <c r="C80" s="55"/>
      <c r="D80" s="55"/>
      <c r="E80" s="55"/>
      <c r="F80" s="55"/>
      <c r="G80" s="55"/>
      <c r="H80" s="55"/>
      <c r="I80" s="55"/>
      <c r="J80" s="92"/>
      <c r="K80" s="55"/>
      <c r="L80" s="55"/>
      <c r="M80" s="55"/>
      <c r="N80" s="55"/>
      <c r="O80" s="55"/>
      <c r="P80" s="55"/>
      <c r="Q80" s="55"/>
      <c r="R80" s="55"/>
      <c r="S80" s="55"/>
      <c r="T80" s="55">
        <f>+T79*U46</f>
        <v>1144.9403124118251</v>
      </c>
      <c r="U80" s="55"/>
    </row>
    <row r="81" spans="1:24">
      <c r="A81" s="65" t="s">
        <v>60</v>
      </c>
      <c r="C81" s="55"/>
      <c r="D81" s="55"/>
      <c r="E81" s="55"/>
      <c r="F81" s="55"/>
      <c r="G81" s="55"/>
      <c r="H81" s="55"/>
      <c r="I81" s="55"/>
      <c r="J81" s="55">
        <f>-$C$86+J61</f>
        <v>-492.57631390072396</v>
      </c>
      <c r="K81" s="55">
        <f t="shared" ref="K81:T81" si="75">+K58+K80</f>
        <v>34.842317075694702</v>
      </c>
      <c r="L81" s="55">
        <f t="shared" si="75"/>
        <v>40.546997641979722</v>
      </c>
      <c r="M81" s="55">
        <f t="shared" si="75"/>
        <v>47.534822256384906</v>
      </c>
      <c r="N81" s="55">
        <f t="shared" si="75"/>
        <v>55.850311875218182</v>
      </c>
      <c r="O81" s="55">
        <f t="shared" si="75"/>
        <v>64.394923800678171</v>
      </c>
      <c r="P81" s="55">
        <f t="shared" si="75"/>
        <v>72.823261552823936</v>
      </c>
      <c r="Q81" s="55">
        <f t="shared" si="75"/>
        <v>80.731123382480959</v>
      </c>
      <c r="R81" s="55">
        <f t="shared" si="75"/>
        <v>87.679898471861435</v>
      </c>
      <c r="S81" s="55">
        <f t="shared" si="75"/>
        <v>93.229622667948234</v>
      </c>
      <c r="T81" s="55">
        <f t="shared" si="75"/>
        <v>1250.3924074682243</v>
      </c>
      <c r="U81" s="55"/>
    </row>
    <row r="82" spans="1:24">
      <c r="A82" s="71" t="s">
        <v>61</v>
      </c>
      <c r="B82" s="72"/>
      <c r="C82" s="72"/>
      <c r="D82" s="72"/>
      <c r="E82" s="72"/>
      <c r="F82" s="72"/>
      <c r="G82" s="72"/>
      <c r="H82" s="72"/>
      <c r="I82" s="72"/>
      <c r="J82" s="73">
        <f ca="1">XIRR(J81:T81,J3:T3)</f>
        <v>0.17295972704887391</v>
      </c>
      <c r="K82" s="74"/>
      <c r="L82" s="50"/>
      <c r="M82" s="50"/>
      <c r="N82" s="50"/>
      <c r="O82" s="50"/>
      <c r="P82" s="50"/>
      <c r="Q82" s="50"/>
      <c r="R82" s="50"/>
      <c r="S82" s="50"/>
      <c r="T82" s="50"/>
      <c r="U82" s="50"/>
    </row>
    <row r="83" spans="1:24">
      <c r="N83" s="99" t="str">
        <f>+Simple!N73</f>
        <v>AUD / USD &gt;&gt;</v>
      </c>
      <c r="O83" s="98">
        <f>+Simple!O73</f>
        <v>0.69278464789220273</v>
      </c>
      <c r="P83" s="100"/>
      <c r="V83" s="42"/>
      <c r="W83" s="42"/>
      <c r="X83" s="42"/>
    </row>
    <row r="84" spans="1:24">
      <c r="A84" s="75" t="s">
        <v>62</v>
      </c>
      <c r="B84" s="76"/>
      <c r="C84" s="77"/>
      <c r="D84" s="78"/>
      <c r="E84" s="34"/>
      <c r="F84" s="34"/>
      <c r="G84" s="34"/>
      <c r="H84" s="34"/>
      <c r="I84" s="34"/>
      <c r="J84" s="34"/>
      <c r="N84" s="101"/>
      <c r="O84" s="102" t="s">
        <v>63</v>
      </c>
      <c r="P84" s="78"/>
      <c r="V84" s="42"/>
      <c r="W84" s="103">
        <f ca="1">+X84-1</f>
        <v>45795</v>
      </c>
      <c r="X84" s="103">
        <f ca="1">TODAY()-1</f>
        <v>45796</v>
      </c>
    </row>
    <row r="85" spans="1:24">
      <c r="C85" s="79" t="s">
        <v>64</v>
      </c>
      <c r="D85" s="90" t="s">
        <v>65</v>
      </c>
      <c r="E85" s="34"/>
      <c r="F85" s="34"/>
      <c r="G85" s="34"/>
      <c r="H85" s="34"/>
      <c r="I85" s="34"/>
      <c r="J85" s="34"/>
      <c r="O85" s="79" t="s">
        <v>64</v>
      </c>
      <c r="P85" s="90" t="s">
        <v>66</v>
      </c>
      <c r="V85" s="42"/>
      <c r="W85" s="104" t="s">
        <v>67</v>
      </c>
      <c r="X85" s="104" t="s">
        <v>68</v>
      </c>
    </row>
    <row r="86" spans="1:24">
      <c r="A86" s="35" t="s">
        <v>69</v>
      </c>
      <c r="C86" s="54">
        <f>+D86*D89</f>
        <v>492.57631390072396</v>
      </c>
      <c r="D86" s="89">
        <f>+Simple!P76</f>
        <v>1.2920433683189581</v>
      </c>
      <c r="E86" s="40"/>
      <c r="F86" s="34"/>
      <c r="G86" s="34"/>
      <c r="H86" s="80"/>
      <c r="I86" s="34"/>
      <c r="J86" s="34"/>
      <c r="N86" s="35" t="s">
        <v>70</v>
      </c>
      <c r="O86" s="54">
        <f>+P86*P89</f>
        <v>711.0092803</v>
      </c>
      <c r="P86" s="89">
        <f>+Simple!D76</f>
        <v>1.865</v>
      </c>
      <c r="V86" s="42"/>
      <c r="W86" s="42"/>
      <c r="X86" s="42"/>
    </row>
    <row r="87" spans="1:24" ht="13.5">
      <c r="A87" s="35" t="s">
        <v>43</v>
      </c>
      <c r="C87" s="82">
        <f>+Simple!O77</f>
        <v>-54.700444767743953</v>
      </c>
      <c r="D87" s="83">
        <f>+C87/D89</f>
        <v>-0.14348100976797121</v>
      </c>
      <c r="E87" s="40"/>
      <c r="F87" s="34"/>
      <c r="G87" s="34"/>
      <c r="H87" s="34"/>
      <c r="I87" s="34"/>
      <c r="J87" s="34"/>
      <c r="N87" s="35" t="s">
        <v>71</v>
      </c>
      <c r="O87" s="82">
        <f>+Simple!C77</f>
        <v>-78.957357000000002</v>
      </c>
      <c r="P87" s="105">
        <f>+O87/P89</f>
        <v>-0.20710766354957799</v>
      </c>
      <c r="V87" s="42"/>
      <c r="W87" s="42"/>
      <c r="X87" s="42"/>
    </row>
    <row r="88" spans="1:24">
      <c r="A88" s="48" t="s">
        <v>72</v>
      </c>
      <c r="B88" s="49"/>
      <c r="C88" s="54">
        <f>+C87+C86</f>
        <v>437.87586913298003</v>
      </c>
      <c r="D88" s="89">
        <f>+C88/D89</f>
        <v>1.1485623585509868</v>
      </c>
      <c r="E88" s="34"/>
      <c r="F88" s="34"/>
      <c r="G88" s="34"/>
      <c r="H88" s="34"/>
      <c r="I88" s="34"/>
      <c r="J88" s="34"/>
      <c r="N88" s="48" t="s">
        <v>73</v>
      </c>
      <c r="O88" s="106">
        <f>+O87+O86</f>
        <v>632.0519233</v>
      </c>
      <c r="P88" s="107">
        <f>+O88/P89</f>
        <v>1.6578923364504219</v>
      </c>
      <c r="V88" s="42"/>
      <c r="W88" s="42"/>
      <c r="X88" s="42"/>
    </row>
    <row r="89" spans="1:24">
      <c r="A89" s="51" t="s">
        <v>74</v>
      </c>
      <c r="C89" s="34"/>
      <c r="D89" s="109">
        <f>+Simple!D79</f>
        <v>381.23822000000001</v>
      </c>
      <c r="E89" s="40"/>
      <c r="F89" s="34"/>
      <c r="G89" s="34"/>
      <c r="H89" s="34"/>
      <c r="I89" s="34"/>
      <c r="J89" s="34"/>
      <c r="N89" s="108" t="s">
        <v>74</v>
      </c>
      <c r="O89" s="40"/>
      <c r="P89" s="109">
        <f>+D89</f>
        <v>381.23822000000001</v>
      </c>
      <c r="V89" s="42"/>
      <c r="W89" s="42"/>
      <c r="X89" s="42"/>
    </row>
    <row r="90" spans="1:24">
      <c r="W90" s="81"/>
    </row>
    <row r="91" spans="1:24">
      <c r="C91" s="85"/>
      <c r="D91" s="85"/>
      <c r="E91" s="85"/>
      <c r="F91" s="85"/>
      <c r="G91" s="85"/>
      <c r="H91" s="85"/>
      <c r="I91" s="85"/>
      <c r="J91" s="85">
        <f ca="1">J82</f>
        <v>0.17295972704887391</v>
      </c>
      <c r="K91" s="86">
        <f>+K53/J53-1</f>
        <v>0.22374603023942075</v>
      </c>
    </row>
    <row r="92" spans="1:24">
      <c r="H92" s="85"/>
      <c r="J92" s="110"/>
    </row>
    <row r="93" spans="1:24">
      <c r="K93" s="86">
        <f>(K91)+(K58)/$C$86</f>
        <v>0.29448089119888821</v>
      </c>
      <c r="L93" s="369">
        <f>(L47)+(L58)/$C$86</f>
        <v>0.41603046408098232</v>
      </c>
    </row>
    <row r="94" spans="1:24">
      <c r="C94" s="86">
        <f t="shared" ref="C94:J94" si="76">+$D$86/C69</f>
        <v>-9.0788396936949923E-4</v>
      </c>
      <c r="D94" s="86">
        <f t="shared" si="76"/>
        <v>-1.1855632180655348E-3</v>
      </c>
      <c r="E94" s="86">
        <f t="shared" si="76"/>
        <v>1.2375111838305428E-3</v>
      </c>
      <c r="F94" s="86">
        <f t="shared" si="76"/>
        <v>-2.1212507135546159E-3</v>
      </c>
      <c r="G94" s="86">
        <f t="shared" si="76"/>
        <v>-5.7460003277661154E-2</v>
      </c>
      <c r="H94" s="86">
        <f t="shared" si="76"/>
        <v>1.6869215686913554E-2</v>
      </c>
      <c r="I94" s="86">
        <f t="shared" si="76"/>
        <v>1.797885988429717E-2</v>
      </c>
      <c r="J94" s="86">
        <f t="shared" si="76"/>
        <v>2.1061576202044536E-2</v>
      </c>
      <c r="K94" s="86">
        <f>+J94*(1+K93)</f>
        <v>2.7263807932075904E-2</v>
      </c>
      <c r="L94" s="86">
        <f>+K94*(1+L93)</f>
        <v>3.8606382598672204E-2</v>
      </c>
      <c r="M94" s="86"/>
    </row>
    <row r="95" spans="1:24">
      <c r="C95" s="86"/>
      <c r="D95" s="131" t="s">
        <v>75</v>
      </c>
      <c r="E95" s="131" t="s">
        <v>76</v>
      </c>
      <c r="F95" s="131" t="s">
        <v>77</v>
      </c>
      <c r="G95" s="131" t="s">
        <v>78</v>
      </c>
      <c r="H95" s="131" t="s">
        <v>79</v>
      </c>
      <c r="I95" s="131" t="s">
        <v>80</v>
      </c>
      <c r="J95" s="131" t="s">
        <v>81</v>
      </c>
      <c r="K95" s="131" t="s">
        <v>82</v>
      </c>
      <c r="L95" s="131" t="s">
        <v>83</v>
      </c>
      <c r="M95" s="131"/>
    </row>
    <row r="96" spans="1:24">
      <c r="C96" s="86"/>
      <c r="D96" s="86">
        <f t="shared" ref="D96:L96" si="77">AVERAGE(C94:D94)</f>
        <v>-1.046723593717517E-3</v>
      </c>
      <c r="E96" s="86">
        <f t="shared" si="77"/>
        <v>2.5973982882504E-5</v>
      </c>
      <c r="F96" s="86">
        <f t="shared" si="77"/>
        <v>-4.4186976486203656E-4</v>
      </c>
      <c r="G96" s="86">
        <f t="shared" si="77"/>
        <v>-2.9790626995607885E-2</v>
      </c>
      <c r="H96" s="86">
        <f t="shared" si="77"/>
        <v>-2.02953937953738E-2</v>
      </c>
      <c r="I96" s="86">
        <f t="shared" si="77"/>
        <v>1.7424037785605362E-2</v>
      </c>
      <c r="J96" s="86">
        <f t="shared" si="77"/>
        <v>1.9520218043170855E-2</v>
      </c>
      <c r="K96" s="86">
        <f t="shared" si="77"/>
        <v>2.4162692067060218E-2</v>
      </c>
      <c r="L96" s="86">
        <f t="shared" si="77"/>
        <v>3.2935095265374054E-2</v>
      </c>
      <c r="M96" s="86"/>
    </row>
    <row r="102" spans="3:3">
      <c r="C102" s="88"/>
    </row>
    <row r="103" spans="3:3">
      <c r="C103" s="88"/>
    </row>
    <row r="104" spans="3:3">
      <c r="C104" s="88"/>
    </row>
  </sheetData>
  <printOptions horizontalCentered="1"/>
  <pageMargins left="0.3" right="0.3" top="0.3" bottom="0.3" header="0.3" footer="0.3"/>
  <pageSetup scale="54" fitToHeight="0" orientation="landscape" r:id="rId1"/>
  <headerFooter>
    <oddFooter>Page &amp;P of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F9C84-63DA-4E0A-8002-76E838CAC03B}">
  <dimension ref="A1:H1"/>
  <sheetViews>
    <sheetView workbookViewId="0"/>
  </sheetViews>
  <sheetFormatPr defaultRowHeight="14.5"/>
  <sheetData>
    <row r="1" spans="1:8">
      <c r="A1">
        <v>8</v>
      </c>
      <c r="B1" t="s">
        <v>96</v>
      </c>
      <c r="C1" t="s">
        <v>97</v>
      </c>
      <c r="D1" t="s">
        <v>98</v>
      </c>
      <c r="E1" t="s">
        <v>99</v>
      </c>
      <c r="F1" t="s">
        <v>100</v>
      </c>
      <c r="G1" t="s">
        <v>101</v>
      </c>
      <c r="H1" t="s">
        <v>102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5417-971E-4B1C-9F2A-66C7F7056AB7}">
  <sheetPr>
    <pageSetUpPr fitToPage="1"/>
  </sheetPr>
  <dimension ref="A1:R110"/>
  <sheetViews>
    <sheetView view="pageBreakPreview" zoomScale="60" zoomScaleNormal="100" workbookViewId="0"/>
  </sheetViews>
  <sheetFormatPr defaultRowHeight="14.5"/>
  <cols>
    <col min="1" max="1" width="14" customWidth="1"/>
    <col min="2" max="2" width="23" bestFit="1" customWidth="1"/>
    <col min="3" max="3" width="12.54296875" bestFit="1" customWidth="1"/>
    <col min="4" max="4" width="12.54296875" customWidth="1"/>
    <col min="5" max="5" width="32.7265625" customWidth="1"/>
    <col min="6" max="6" width="10" customWidth="1"/>
    <col min="7" max="7" width="30.54296875" bestFit="1" customWidth="1"/>
    <col min="8" max="8" width="37" customWidth="1"/>
    <col min="13" max="13" width="23.54296875" customWidth="1"/>
    <col min="14" max="14" width="16.54296875" customWidth="1"/>
    <col min="15" max="15" width="18.54296875" customWidth="1"/>
    <col min="16" max="16" width="54.81640625" bestFit="1" customWidth="1"/>
    <col min="17" max="17" width="16.54296875" customWidth="1"/>
  </cols>
  <sheetData>
    <row r="1" spans="1:8">
      <c r="A1" t="s">
        <v>430</v>
      </c>
      <c r="H1" s="155">
        <f ca="1">TODAY()</f>
        <v>45797</v>
      </c>
    </row>
    <row r="2" spans="1:8">
      <c r="A2" s="2" t="s">
        <v>431</v>
      </c>
    </row>
    <row r="3" spans="1:8" s="207" customFormat="1">
      <c r="A3" s="22"/>
    </row>
    <row r="5" spans="1:8" ht="16">
      <c r="A5" s="208" t="s">
        <v>432</v>
      </c>
      <c r="B5" s="208" t="s">
        <v>433</v>
      </c>
      <c r="C5" s="208" t="s">
        <v>434</v>
      </c>
      <c r="D5" s="208" t="s">
        <v>435</v>
      </c>
      <c r="E5" s="208" t="s">
        <v>436</v>
      </c>
      <c r="F5" s="208" t="s">
        <v>437</v>
      </c>
      <c r="G5" s="208" t="s">
        <v>438</v>
      </c>
      <c r="H5" s="208" t="s">
        <v>439</v>
      </c>
    </row>
    <row r="6" spans="1:8">
      <c r="A6" s="215">
        <v>45329</v>
      </c>
      <c r="B6" t="s">
        <v>440</v>
      </c>
      <c r="C6" t="s">
        <v>441</v>
      </c>
      <c r="D6" s="216" t="s">
        <v>442</v>
      </c>
      <c r="E6" t="s">
        <v>443</v>
      </c>
      <c r="F6" t="s">
        <v>444</v>
      </c>
      <c r="G6" s="230" t="s">
        <v>251</v>
      </c>
      <c r="H6" s="217" t="s">
        <v>251</v>
      </c>
    </row>
    <row r="7" spans="1:8">
      <c r="A7" s="215">
        <v>45329</v>
      </c>
      <c r="B7" t="s">
        <v>440</v>
      </c>
      <c r="C7" t="s">
        <v>93</v>
      </c>
      <c r="D7" s="216" t="s">
        <v>442</v>
      </c>
      <c r="E7" t="s">
        <v>445</v>
      </c>
      <c r="F7" t="s">
        <v>444</v>
      </c>
      <c r="G7" s="230" t="s">
        <v>251</v>
      </c>
      <c r="H7" s="217" t="s">
        <v>251</v>
      </c>
    </row>
    <row r="8" spans="1:8" s="210" customFormat="1">
      <c r="A8" s="209">
        <v>45217</v>
      </c>
      <c r="B8" s="210" t="s">
        <v>446</v>
      </c>
      <c r="C8" s="210" t="s">
        <v>441</v>
      </c>
      <c r="D8" s="211" t="s">
        <v>447</v>
      </c>
      <c r="E8" s="214" t="s">
        <v>448</v>
      </c>
      <c r="F8" s="210" t="s">
        <v>444</v>
      </c>
      <c r="G8" s="231" t="s">
        <v>251</v>
      </c>
      <c r="H8" s="212" t="s">
        <v>251</v>
      </c>
    </row>
    <row r="9" spans="1:8" s="298" customFormat="1" ht="58">
      <c r="A9" s="297">
        <v>45217</v>
      </c>
      <c r="B9" s="298" t="s">
        <v>446</v>
      </c>
      <c r="C9" s="298" t="s">
        <v>93</v>
      </c>
      <c r="D9" s="299" t="s">
        <v>449</v>
      </c>
      <c r="E9" s="300" t="s">
        <v>450</v>
      </c>
      <c r="F9" s="298" t="s">
        <v>444</v>
      </c>
      <c r="G9" s="231" t="s">
        <v>251</v>
      </c>
      <c r="H9" s="212" t="s">
        <v>251</v>
      </c>
    </row>
    <row r="10" spans="1:8">
      <c r="A10" s="215">
        <v>45148</v>
      </c>
      <c r="B10" t="s">
        <v>451</v>
      </c>
      <c r="C10" t="s">
        <v>441</v>
      </c>
      <c r="D10" s="218">
        <v>45108</v>
      </c>
      <c r="E10" s="219" t="s">
        <v>452</v>
      </c>
      <c r="F10" t="s">
        <v>444</v>
      </c>
      <c r="G10" s="217" t="s">
        <v>251</v>
      </c>
      <c r="H10" s="217" t="s">
        <v>251</v>
      </c>
    </row>
    <row r="11" spans="1:8">
      <c r="A11" s="215">
        <v>45148</v>
      </c>
      <c r="B11" t="s">
        <v>451</v>
      </c>
      <c r="C11" t="s">
        <v>93</v>
      </c>
      <c r="D11" s="218">
        <v>45108</v>
      </c>
      <c r="E11" t="s">
        <v>453</v>
      </c>
      <c r="F11" t="s">
        <v>444</v>
      </c>
      <c r="G11" s="217" t="s">
        <v>251</v>
      </c>
      <c r="H11" s="217" t="s">
        <v>251</v>
      </c>
    </row>
    <row r="12" spans="1:8">
      <c r="A12" s="215">
        <v>45148</v>
      </c>
      <c r="B12" t="s">
        <v>451</v>
      </c>
      <c r="C12" t="s">
        <v>454</v>
      </c>
      <c r="D12" s="216" t="s">
        <v>455</v>
      </c>
      <c r="E12" s="648" t="s">
        <v>456</v>
      </c>
      <c r="F12" t="s">
        <v>444</v>
      </c>
      <c r="G12" s="217" t="s">
        <v>251</v>
      </c>
      <c r="H12" s="217" t="s">
        <v>251</v>
      </c>
    </row>
    <row r="13" spans="1:8">
      <c r="A13" s="215"/>
      <c r="D13" s="216"/>
      <c r="E13" s="648"/>
      <c r="G13" s="217"/>
      <c r="H13" s="217"/>
    </row>
    <row r="14" spans="1:8">
      <c r="A14" s="215"/>
      <c r="D14" s="216"/>
      <c r="E14" s="648"/>
      <c r="G14" s="217"/>
      <c r="H14" s="217"/>
    </row>
    <row r="15" spans="1:8">
      <c r="A15" s="215"/>
      <c r="D15" s="216"/>
      <c r="E15" s="647"/>
      <c r="G15" s="217"/>
      <c r="H15" s="217" t="s">
        <v>251</v>
      </c>
    </row>
    <row r="16" spans="1:8" s="210" customFormat="1">
      <c r="A16" s="209">
        <v>45062</v>
      </c>
      <c r="B16" s="210" t="s">
        <v>457</v>
      </c>
      <c r="C16" s="210" t="s">
        <v>441</v>
      </c>
      <c r="D16" s="211" t="s">
        <v>458</v>
      </c>
      <c r="E16" s="210" t="s">
        <v>459</v>
      </c>
      <c r="F16" s="210" t="s">
        <v>444</v>
      </c>
      <c r="G16" s="231">
        <f>+'Detailed Disclosure'!Q9</f>
        <v>1.6192368839427664</v>
      </c>
      <c r="H16" s="212" t="s">
        <v>460</v>
      </c>
    </row>
    <row r="17" spans="1:8" s="210" customFormat="1">
      <c r="A17" s="209">
        <v>45062</v>
      </c>
      <c r="B17" s="210" t="s">
        <v>457</v>
      </c>
      <c r="C17" s="210" t="s">
        <v>461</v>
      </c>
      <c r="D17" s="211" t="s">
        <v>411</v>
      </c>
      <c r="E17" s="210" t="s">
        <v>462</v>
      </c>
      <c r="F17" s="210" t="s">
        <v>463</v>
      </c>
      <c r="G17" s="212" t="s">
        <v>464</v>
      </c>
      <c r="H17" s="212" t="s">
        <v>465</v>
      </c>
    </row>
    <row r="18" spans="1:8" s="210" customFormat="1">
      <c r="A18" s="209">
        <v>45062</v>
      </c>
      <c r="B18" s="210" t="s">
        <v>457</v>
      </c>
      <c r="C18" s="210" t="s">
        <v>441</v>
      </c>
      <c r="D18" s="213">
        <v>45017</v>
      </c>
      <c r="E18" s="214" t="s">
        <v>466</v>
      </c>
      <c r="F18" s="210" t="s">
        <v>444</v>
      </c>
      <c r="G18" s="212" t="s">
        <v>251</v>
      </c>
      <c r="H18" s="212" t="s">
        <v>251</v>
      </c>
    </row>
    <row r="19" spans="1:8">
      <c r="A19" s="215">
        <v>44964</v>
      </c>
      <c r="B19" t="s">
        <v>467</v>
      </c>
      <c r="C19" t="s">
        <v>468</v>
      </c>
      <c r="D19" s="216" t="s">
        <v>113</v>
      </c>
      <c r="E19" t="s">
        <v>251</v>
      </c>
      <c r="F19" t="s">
        <v>251</v>
      </c>
      <c r="G19" s="217" t="s">
        <v>251</v>
      </c>
      <c r="H19" s="217" t="s">
        <v>251</v>
      </c>
    </row>
    <row r="20" spans="1:8">
      <c r="A20" s="215">
        <v>44964</v>
      </c>
      <c r="B20" t="s">
        <v>467</v>
      </c>
      <c r="C20" t="s">
        <v>469</v>
      </c>
      <c r="D20" s="216" t="s">
        <v>113</v>
      </c>
      <c r="E20" t="s">
        <v>470</v>
      </c>
      <c r="F20" t="s">
        <v>463</v>
      </c>
      <c r="G20" s="230">
        <f>+'Historical - USD'!J44</f>
        <v>0.21264613135063218</v>
      </c>
      <c r="H20" s="217" t="s">
        <v>471</v>
      </c>
    </row>
    <row r="21" spans="1:8">
      <c r="A21" s="215">
        <v>44964</v>
      </c>
      <c r="B21" t="s">
        <v>467</v>
      </c>
      <c r="C21" t="s">
        <v>472</v>
      </c>
      <c r="D21" s="216" t="s">
        <v>113</v>
      </c>
      <c r="E21" t="s">
        <v>473</v>
      </c>
      <c r="F21" t="s">
        <v>463</v>
      </c>
      <c r="G21" s="230">
        <f>+'Historical - USD'!J88</f>
        <v>8.8231990660471091E-2</v>
      </c>
      <c r="H21" s="217" t="s">
        <v>474</v>
      </c>
    </row>
    <row r="22" spans="1:8">
      <c r="A22" s="215">
        <v>44964</v>
      </c>
      <c r="B22" t="s">
        <v>467</v>
      </c>
      <c r="C22" t="s">
        <v>461</v>
      </c>
      <c r="D22" s="216" t="s">
        <v>113</v>
      </c>
      <c r="E22" t="s">
        <v>475</v>
      </c>
      <c r="F22" t="s">
        <v>444</v>
      </c>
      <c r="G22" s="230" t="s">
        <v>464</v>
      </c>
      <c r="H22" s="217" t="s">
        <v>476</v>
      </c>
    </row>
    <row r="23" spans="1:8">
      <c r="A23" s="215">
        <v>44964</v>
      </c>
      <c r="B23" t="s">
        <v>467</v>
      </c>
      <c r="C23" t="s">
        <v>468</v>
      </c>
      <c r="D23" s="218">
        <v>44927</v>
      </c>
      <c r="E23" s="219" t="s">
        <v>477</v>
      </c>
      <c r="F23" t="s">
        <v>251</v>
      </c>
      <c r="G23" s="217" t="s">
        <v>251</v>
      </c>
      <c r="H23" s="217" t="s">
        <v>251</v>
      </c>
    </row>
    <row r="24" spans="1:8">
      <c r="A24" s="215">
        <v>44964</v>
      </c>
      <c r="B24" t="s">
        <v>467</v>
      </c>
      <c r="C24" t="s">
        <v>461</v>
      </c>
      <c r="D24" s="218">
        <v>44927</v>
      </c>
      <c r="E24" t="s">
        <v>475</v>
      </c>
      <c r="F24" t="s">
        <v>251</v>
      </c>
      <c r="G24" s="217" t="s">
        <v>251</v>
      </c>
      <c r="H24" s="217" t="s">
        <v>251</v>
      </c>
    </row>
    <row r="25" spans="1:8" s="210" customFormat="1">
      <c r="A25" s="209">
        <v>44895</v>
      </c>
      <c r="B25" s="210" t="s">
        <v>478</v>
      </c>
      <c r="C25" s="210" t="s">
        <v>441</v>
      </c>
      <c r="D25" s="211" t="s">
        <v>251</v>
      </c>
      <c r="E25" s="210" t="s">
        <v>251</v>
      </c>
      <c r="F25" s="210" t="s">
        <v>251</v>
      </c>
      <c r="G25" s="212" t="s">
        <v>251</v>
      </c>
      <c r="H25" s="212" t="s">
        <v>251</v>
      </c>
    </row>
    <row r="26" spans="1:8" s="210" customFormat="1">
      <c r="A26" s="209">
        <v>44895</v>
      </c>
      <c r="B26" s="210" t="s">
        <v>478</v>
      </c>
      <c r="C26" s="210" t="s">
        <v>93</v>
      </c>
      <c r="D26" s="211" t="s">
        <v>113</v>
      </c>
      <c r="E26" s="210" t="s">
        <v>479</v>
      </c>
      <c r="F26" s="210" t="s">
        <v>463</v>
      </c>
      <c r="G26" s="232" t="str">
        <f>+G22</f>
        <v>5.5% Adj. EBITDA Margin</v>
      </c>
      <c r="H26" s="212" t="s">
        <v>474</v>
      </c>
    </row>
    <row r="27" spans="1:8">
      <c r="A27" s="215">
        <v>44845</v>
      </c>
      <c r="B27" t="s">
        <v>480</v>
      </c>
      <c r="C27" t="s">
        <v>441</v>
      </c>
      <c r="D27" s="216" t="s">
        <v>481</v>
      </c>
      <c r="E27" t="s">
        <v>482</v>
      </c>
      <c r="F27" t="s">
        <v>444</v>
      </c>
      <c r="G27" s="219" t="s">
        <v>483</v>
      </c>
      <c r="H27" s="220" t="s">
        <v>251</v>
      </c>
    </row>
    <row r="28" spans="1:8">
      <c r="A28" s="215">
        <v>44845</v>
      </c>
      <c r="B28" t="s">
        <v>480</v>
      </c>
      <c r="C28" t="s">
        <v>93</v>
      </c>
      <c r="D28" s="216" t="s">
        <v>251</v>
      </c>
      <c r="E28" t="s">
        <v>251</v>
      </c>
      <c r="F28" t="s">
        <v>251</v>
      </c>
      <c r="G28" s="217" t="s">
        <v>251</v>
      </c>
      <c r="H28" s="217" t="s">
        <v>251</v>
      </c>
    </row>
    <row r="29" spans="1:8" s="210" customFormat="1">
      <c r="A29" s="209">
        <v>44803</v>
      </c>
      <c r="B29" s="210" t="s">
        <v>484</v>
      </c>
      <c r="C29" s="210" t="s">
        <v>441</v>
      </c>
      <c r="D29" s="211" t="s">
        <v>251</v>
      </c>
      <c r="E29" s="210" t="s">
        <v>251</v>
      </c>
      <c r="F29" s="210" t="s">
        <v>251</v>
      </c>
      <c r="G29" s="212" t="s">
        <v>251</v>
      </c>
      <c r="H29" s="212" t="s">
        <v>251</v>
      </c>
    </row>
    <row r="30" spans="1:8" s="210" customFormat="1">
      <c r="A30" s="209">
        <v>44803</v>
      </c>
      <c r="B30" s="210" t="s">
        <v>484</v>
      </c>
      <c r="C30" s="210" t="s">
        <v>93</v>
      </c>
      <c r="D30" s="211" t="s">
        <v>221</v>
      </c>
      <c r="E30" s="210" t="s">
        <v>475</v>
      </c>
      <c r="F30" s="210" t="s">
        <v>444</v>
      </c>
      <c r="G30" s="233" t="s">
        <v>485</v>
      </c>
      <c r="H30" s="212" t="s">
        <v>476</v>
      </c>
    </row>
    <row r="31" spans="1:8" s="210" customFormat="1">
      <c r="A31" s="209">
        <v>44803</v>
      </c>
      <c r="B31" s="210" t="s">
        <v>484</v>
      </c>
      <c r="C31" s="210" t="s">
        <v>441</v>
      </c>
      <c r="D31" s="213" t="s">
        <v>486</v>
      </c>
      <c r="E31" s="214" t="s">
        <v>487</v>
      </c>
      <c r="F31" s="210" t="s">
        <v>444</v>
      </c>
      <c r="G31" s="212" t="s">
        <v>251</v>
      </c>
      <c r="H31" s="212" t="s">
        <v>251</v>
      </c>
    </row>
    <row r="32" spans="1:8" s="210" customFormat="1">
      <c r="A32" s="209">
        <v>44803</v>
      </c>
      <c r="B32" s="210" t="s">
        <v>484</v>
      </c>
      <c r="C32" s="210" t="s">
        <v>441</v>
      </c>
      <c r="D32" s="213">
        <v>44743</v>
      </c>
      <c r="E32" s="214" t="s">
        <v>487</v>
      </c>
      <c r="F32" s="210" t="s">
        <v>444</v>
      </c>
      <c r="G32" s="212" t="s">
        <v>251</v>
      </c>
      <c r="H32" s="212" t="s">
        <v>251</v>
      </c>
    </row>
    <row r="33" spans="1:8" s="210" customFormat="1">
      <c r="A33" s="209">
        <v>44803</v>
      </c>
      <c r="B33" s="210" t="s">
        <v>484</v>
      </c>
      <c r="C33" s="210" t="s">
        <v>93</v>
      </c>
      <c r="D33" s="213">
        <v>44743</v>
      </c>
      <c r="E33" s="211" t="s">
        <v>488</v>
      </c>
      <c r="F33" s="210" t="s">
        <v>444</v>
      </c>
      <c r="G33" s="212" t="s">
        <v>251</v>
      </c>
      <c r="H33" s="212" t="s">
        <v>251</v>
      </c>
    </row>
    <row r="34" spans="1:8">
      <c r="A34" s="215">
        <v>44679</v>
      </c>
      <c r="B34" t="s">
        <v>489</v>
      </c>
      <c r="C34" t="s">
        <v>441</v>
      </c>
      <c r="D34" s="216" t="s">
        <v>251</v>
      </c>
      <c r="E34" s="216" t="s">
        <v>251</v>
      </c>
      <c r="F34" t="s">
        <v>251</v>
      </c>
      <c r="G34" s="217" t="s">
        <v>251</v>
      </c>
      <c r="H34" s="217" t="s">
        <v>251</v>
      </c>
    </row>
    <row r="35" spans="1:8">
      <c r="A35" s="215">
        <v>44679</v>
      </c>
      <c r="B35" t="s">
        <v>489</v>
      </c>
      <c r="C35" t="s">
        <v>93</v>
      </c>
      <c r="D35" s="216" t="s">
        <v>251</v>
      </c>
      <c r="E35" s="216" t="s">
        <v>251</v>
      </c>
      <c r="F35" t="s">
        <v>251</v>
      </c>
      <c r="G35" s="217" t="s">
        <v>251</v>
      </c>
      <c r="H35" s="217" t="s">
        <v>251</v>
      </c>
    </row>
    <row r="36" spans="1:8" s="210" customFormat="1">
      <c r="A36" s="209">
        <v>44595</v>
      </c>
      <c r="B36" s="210" t="s">
        <v>490</v>
      </c>
      <c r="C36" s="210" t="s">
        <v>441</v>
      </c>
      <c r="D36" s="213">
        <v>44197</v>
      </c>
      <c r="E36" s="221" t="s">
        <v>491</v>
      </c>
      <c r="F36" s="210" t="s">
        <v>444</v>
      </c>
      <c r="G36" s="212" t="s">
        <v>251</v>
      </c>
      <c r="H36" s="212" t="s">
        <v>251</v>
      </c>
    </row>
    <row r="37" spans="1:8" s="210" customFormat="1">
      <c r="A37" s="209">
        <v>44595</v>
      </c>
      <c r="B37" s="210" t="s">
        <v>490</v>
      </c>
      <c r="C37" s="210" t="s">
        <v>93</v>
      </c>
      <c r="D37" s="211" t="s">
        <v>251</v>
      </c>
      <c r="E37" s="211" t="s">
        <v>251</v>
      </c>
      <c r="F37" s="210" t="s">
        <v>251</v>
      </c>
      <c r="G37" s="212" t="s">
        <v>251</v>
      </c>
      <c r="H37" s="212" t="s">
        <v>251</v>
      </c>
    </row>
    <row r="38" spans="1:8">
      <c r="A38" s="215">
        <v>44518</v>
      </c>
      <c r="B38" t="s">
        <v>492</v>
      </c>
      <c r="C38" t="s">
        <v>441</v>
      </c>
      <c r="D38" s="216" t="s">
        <v>251</v>
      </c>
      <c r="E38" s="216" t="s">
        <v>251</v>
      </c>
      <c r="F38" t="s">
        <v>251</v>
      </c>
      <c r="G38" s="217" t="s">
        <v>251</v>
      </c>
      <c r="H38" s="217" t="s">
        <v>251</v>
      </c>
    </row>
    <row r="39" spans="1:8">
      <c r="A39" s="215">
        <v>44518</v>
      </c>
      <c r="B39" t="s">
        <v>492</v>
      </c>
      <c r="C39" t="s">
        <v>93</v>
      </c>
      <c r="D39" s="216" t="s">
        <v>251</v>
      </c>
      <c r="E39" s="216" t="s">
        <v>251</v>
      </c>
      <c r="F39" t="s">
        <v>251</v>
      </c>
      <c r="G39" s="217" t="s">
        <v>251</v>
      </c>
      <c r="H39" s="217" t="s">
        <v>251</v>
      </c>
    </row>
    <row r="40" spans="1:8" s="210" customFormat="1">
      <c r="A40" s="209">
        <v>44439</v>
      </c>
      <c r="B40" s="210" t="s">
        <v>493</v>
      </c>
      <c r="C40" s="210" t="s">
        <v>441</v>
      </c>
      <c r="D40" s="213">
        <v>44378</v>
      </c>
      <c r="E40" s="221" t="s">
        <v>494</v>
      </c>
      <c r="F40" s="210" t="s">
        <v>444</v>
      </c>
      <c r="G40" s="212" t="s">
        <v>251</v>
      </c>
      <c r="H40" s="212" t="s">
        <v>251</v>
      </c>
    </row>
    <row r="41" spans="1:8" s="210" customFormat="1">
      <c r="A41" s="209">
        <v>44439</v>
      </c>
      <c r="B41" s="210" t="s">
        <v>493</v>
      </c>
      <c r="C41" s="210" t="s">
        <v>93</v>
      </c>
      <c r="D41" s="211" t="s">
        <v>251</v>
      </c>
      <c r="E41" s="211" t="s">
        <v>251</v>
      </c>
      <c r="F41" s="210" t="s">
        <v>251</v>
      </c>
      <c r="G41" s="212" t="s">
        <v>251</v>
      </c>
      <c r="H41" s="212" t="s">
        <v>251</v>
      </c>
    </row>
    <row r="42" spans="1:8">
      <c r="A42" s="215">
        <v>44319</v>
      </c>
      <c r="B42" t="s">
        <v>495</v>
      </c>
      <c r="C42" t="str">
        <f>+C51</f>
        <v>Sales</v>
      </c>
      <c r="D42" s="216" t="s">
        <v>219</v>
      </c>
      <c r="E42" s="216">
        <v>80</v>
      </c>
      <c r="F42" t="s">
        <v>444</v>
      </c>
      <c r="G42" s="17">
        <f>+G51</f>
        <v>92.4</v>
      </c>
      <c r="H42" t="s">
        <v>496</v>
      </c>
    </row>
    <row r="43" spans="1:8">
      <c r="A43" s="215">
        <v>44319</v>
      </c>
      <c r="B43" t="s">
        <v>495</v>
      </c>
      <c r="C43" t="s">
        <v>93</v>
      </c>
      <c r="D43" s="216" t="s">
        <v>219</v>
      </c>
      <c r="E43" s="216" t="s">
        <v>475</v>
      </c>
      <c r="F43" t="s">
        <v>444</v>
      </c>
      <c r="G43" s="17">
        <f>+G46</f>
        <v>2.0819999999999999</v>
      </c>
      <c r="H43" t="s">
        <v>497</v>
      </c>
    </row>
    <row r="44" spans="1:8" s="210" customFormat="1">
      <c r="A44" s="209">
        <v>44253</v>
      </c>
      <c r="B44" s="210" t="s">
        <v>498</v>
      </c>
      <c r="C44" s="210" t="s">
        <v>499</v>
      </c>
      <c r="D44" s="211" t="s">
        <v>219</v>
      </c>
      <c r="E44" s="222" t="s">
        <v>500</v>
      </c>
      <c r="F44" s="210" t="s">
        <v>444</v>
      </c>
      <c r="G44" s="223">
        <f>+G51</f>
        <v>92.4</v>
      </c>
      <c r="H44" s="210" t="str">
        <f t="shared" ref="H44:H45" si="0">+H51</f>
        <v>40% beat on sales A$ (98% pts of growth)</v>
      </c>
    </row>
    <row r="45" spans="1:8" s="210" customFormat="1">
      <c r="A45" s="209">
        <v>44253</v>
      </c>
      <c r="B45" s="210" t="s">
        <v>498</v>
      </c>
      <c r="C45" s="210" t="s">
        <v>501</v>
      </c>
      <c r="D45" s="211" t="s">
        <v>219</v>
      </c>
      <c r="E45" s="222" t="s">
        <v>502</v>
      </c>
      <c r="F45" s="210" t="s">
        <v>444</v>
      </c>
      <c r="G45" s="223">
        <f t="shared" ref="G45:G46" si="1">+G52</f>
        <v>22</v>
      </c>
      <c r="H45" s="210" t="str">
        <f t="shared" si="0"/>
        <v>29% beat on GP A$ (76% pts of growth)</v>
      </c>
    </row>
    <row r="46" spans="1:8">
      <c r="A46" s="215">
        <v>44253</v>
      </c>
      <c r="B46" t="s">
        <v>498</v>
      </c>
      <c r="C46" t="s">
        <v>93</v>
      </c>
      <c r="D46" s="216" t="s">
        <v>219</v>
      </c>
      <c r="E46" s="224" t="s">
        <v>503</v>
      </c>
      <c r="F46" t="s">
        <v>444</v>
      </c>
      <c r="G46" s="17">
        <f t="shared" si="1"/>
        <v>2.0819999999999999</v>
      </c>
      <c r="H46" t="str">
        <f>+H53</f>
        <v>A$4M beat on base of $92M Sales</v>
      </c>
    </row>
    <row r="47" spans="1:8">
      <c r="A47" s="215">
        <v>44253</v>
      </c>
      <c r="B47" t="s">
        <v>498</v>
      </c>
      <c r="C47" t="s">
        <v>441</v>
      </c>
      <c r="D47" s="218">
        <v>44197</v>
      </c>
      <c r="E47" s="225" t="s">
        <v>504</v>
      </c>
      <c r="F47" t="s">
        <v>444</v>
      </c>
      <c r="G47" s="217" t="s">
        <v>251</v>
      </c>
      <c r="H47" s="217" t="s">
        <v>251</v>
      </c>
    </row>
    <row r="48" spans="1:8" s="210" customFormat="1">
      <c r="A48" s="209">
        <v>44183</v>
      </c>
      <c r="B48" s="210" t="s">
        <v>505</v>
      </c>
      <c r="C48" s="210" t="s">
        <v>93</v>
      </c>
      <c r="D48" s="211" t="s">
        <v>251</v>
      </c>
      <c r="E48" s="211" t="s">
        <v>251</v>
      </c>
      <c r="F48" s="210" t="s">
        <v>251</v>
      </c>
      <c r="G48" s="212" t="s">
        <v>251</v>
      </c>
      <c r="H48" s="212" t="s">
        <v>251</v>
      </c>
    </row>
    <row r="49" spans="1:9" s="210" customFormat="1">
      <c r="A49" s="209">
        <v>44183</v>
      </c>
      <c r="B49" s="210" t="s">
        <v>505</v>
      </c>
      <c r="C49" s="210" t="s">
        <v>441</v>
      </c>
      <c r="D49" s="213" t="s">
        <v>486</v>
      </c>
      <c r="E49" s="221" t="s">
        <v>506</v>
      </c>
      <c r="F49" s="210" t="s">
        <v>251</v>
      </c>
      <c r="G49" s="212" t="s">
        <v>251</v>
      </c>
      <c r="H49" s="212" t="s">
        <v>251</v>
      </c>
    </row>
    <row r="50" spans="1:9" s="210" customFormat="1">
      <c r="A50" s="209">
        <v>44183</v>
      </c>
      <c r="B50" s="210" t="s">
        <v>505</v>
      </c>
      <c r="C50" s="210" t="s">
        <v>441</v>
      </c>
      <c r="D50" s="213">
        <v>44136</v>
      </c>
      <c r="E50" s="221" t="s">
        <v>507</v>
      </c>
      <c r="F50" s="210" t="s">
        <v>251</v>
      </c>
      <c r="G50" s="212" t="s">
        <v>251</v>
      </c>
      <c r="H50" s="212" t="s">
        <v>251</v>
      </c>
    </row>
    <row r="51" spans="1:9">
      <c r="A51" s="215">
        <v>44182</v>
      </c>
      <c r="B51" t="s">
        <v>508</v>
      </c>
      <c r="C51" t="s">
        <v>499</v>
      </c>
      <c r="D51" s="216" t="s">
        <v>219</v>
      </c>
      <c r="E51" s="226">
        <v>70</v>
      </c>
      <c r="F51" t="s">
        <v>509</v>
      </c>
      <c r="G51" s="192">
        <v>92.4</v>
      </c>
      <c r="H51" t="s">
        <v>510</v>
      </c>
    </row>
    <row r="52" spans="1:9">
      <c r="A52" s="215">
        <v>44182</v>
      </c>
      <c r="B52" t="s">
        <v>508</v>
      </c>
      <c r="C52" t="s">
        <v>501</v>
      </c>
      <c r="D52" s="216" t="s">
        <v>219</v>
      </c>
      <c r="E52" s="226">
        <v>17.100000000000001</v>
      </c>
      <c r="F52" t="s">
        <v>509</v>
      </c>
      <c r="G52" s="192">
        <v>22</v>
      </c>
      <c r="H52" t="s">
        <v>511</v>
      </c>
    </row>
    <row r="53" spans="1:9">
      <c r="A53" s="215">
        <v>44182</v>
      </c>
      <c r="B53" t="s">
        <v>508</v>
      </c>
      <c r="C53" t="s">
        <v>93</v>
      </c>
      <c r="D53" s="216" t="s">
        <v>219</v>
      </c>
      <c r="E53" s="227">
        <v>-2</v>
      </c>
      <c r="F53" t="s">
        <v>509</v>
      </c>
      <c r="G53" s="192">
        <v>2.0819999999999999</v>
      </c>
      <c r="H53" t="s">
        <v>512</v>
      </c>
    </row>
    <row r="54" spans="1:9">
      <c r="A54" s="215"/>
      <c r="D54" s="216"/>
      <c r="G54" s="228"/>
      <c r="H54" s="219"/>
      <c r="I54" s="2"/>
    </row>
    <row r="55" spans="1:9">
      <c r="A55" s="3" t="s">
        <v>513</v>
      </c>
      <c r="H55" s="219"/>
    </row>
    <row r="56" spans="1:9" ht="125.5" customHeight="1">
      <c r="A56" s="647" t="s">
        <v>514</v>
      </c>
      <c r="B56" s="647"/>
      <c r="C56" s="647"/>
      <c r="D56" s="647"/>
      <c r="E56" s="647"/>
      <c r="F56" s="647"/>
      <c r="G56" s="647"/>
      <c r="H56" s="647"/>
    </row>
    <row r="57" spans="1:9">
      <c r="A57" s="215"/>
      <c r="H57" s="219"/>
    </row>
    <row r="58" spans="1:9">
      <c r="A58" s="3" t="s">
        <v>515</v>
      </c>
    </row>
    <row r="59" spans="1:9" ht="115" customHeight="1">
      <c r="A59" s="647" t="s">
        <v>516</v>
      </c>
      <c r="B59" s="647"/>
      <c r="C59" s="647"/>
      <c r="D59" s="647"/>
      <c r="E59" s="647"/>
      <c r="F59" s="647"/>
      <c r="G59" s="647"/>
      <c r="H59" s="647"/>
    </row>
    <row r="96" spans="13:17" ht="16">
      <c r="M96" s="208" t="s">
        <v>432</v>
      </c>
      <c r="N96" s="208" t="s">
        <v>433</v>
      </c>
      <c r="O96" s="208" t="s">
        <v>517</v>
      </c>
      <c r="P96" s="208" t="s">
        <v>518</v>
      </c>
      <c r="Q96" s="208"/>
    </row>
    <row r="97" spans="13:18">
      <c r="M97" s="302" t="s">
        <v>455</v>
      </c>
      <c r="N97" s="217"/>
      <c r="O97" s="217"/>
    </row>
    <row r="98" spans="13:18">
      <c r="M98" s="215">
        <v>45246</v>
      </c>
      <c r="N98" s="217" t="s">
        <v>519</v>
      </c>
      <c r="O98" s="217" t="s">
        <v>520</v>
      </c>
      <c r="P98" t="s">
        <v>251</v>
      </c>
    </row>
    <row r="99" spans="13:18">
      <c r="M99" s="215">
        <v>45217</v>
      </c>
      <c r="N99" s="303" t="s">
        <v>446</v>
      </c>
      <c r="O99" s="303" t="s">
        <v>521</v>
      </c>
      <c r="P99" s="304" t="s">
        <v>522</v>
      </c>
      <c r="Q99" s="304"/>
      <c r="R99" s="304"/>
    </row>
    <row r="100" spans="13:18">
      <c r="M100" s="215"/>
      <c r="N100" s="303"/>
      <c r="O100" s="303"/>
      <c r="P100" s="304"/>
      <c r="Q100" s="304"/>
      <c r="R100" s="304"/>
    </row>
    <row r="101" spans="13:18">
      <c r="M101" s="302" t="s">
        <v>221</v>
      </c>
      <c r="N101" s="303"/>
      <c r="O101" s="303"/>
      <c r="P101" s="304"/>
      <c r="Q101" s="304"/>
      <c r="R101" s="304"/>
    </row>
    <row r="102" spans="13:18">
      <c r="M102" s="215">
        <v>44882</v>
      </c>
      <c r="N102" s="217" t="s">
        <v>523</v>
      </c>
      <c r="O102" s="217" t="s">
        <v>521</v>
      </c>
      <c r="P102" s="291" t="s">
        <v>524</v>
      </c>
    </row>
    <row r="103" spans="13:18">
      <c r="M103" s="215">
        <v>44845</v>
      </c>
      <c r="N103" s="303" t="s">
        <v>480</v>
      </c>
      <c r="O103" s="217" t="s">
        <v>521</v>
      </c>
      <c r="P103" t="s">
        <v>525</v>
      </c>
    </row>
    <row r="104" spans="13:18">
      <c r="M104" s="215"/>
      <c r="N104" s="303"/>
      <c r="O104" s="217"/>
    </row>
    <row r="105" spans="13:18">
      <c r="M105" s="302" t="s">
        <v>220</v>
      </c>
      <c r="N105" s="303"/>
      <c r="O105" s="217"/>
    </row>
    <row r="106" spans="13:18">
      <c r="M106" s="215">
        <v>44518</v>
      </c>
      <c r="N106" s="217" t="s">
        <v>526</v>
      </c>
      <c r="O106" s="217" t="s">
        <v>521</v>
      </c>
      <c r="P106" t="s">
        <v>527</v>
      </c>
    </row>
    <row r="107" spans="13:18">
      <c r="M107" s="301" t="s">
        <v>528</v>
      </c>
      <c r="N107" s="212"/>
      <c r="O107" s="212"/>
      <c r="P107" s="210"/>
      <c r="Q107" s="210"/>
    </row>
    <row r="108" spans="13:18">
      <c r="M108" s="305"/>
      <c r="N108" s="217"/>
    </row>
    <row r="109" spans="13:18">
      <c r="M109" s="302" t="s">
        <v>219</v>
      </c>
    </row>
    <row r="110" spans="13:18">
      <c r="M110" s="215">
        <v>44183</v>
      </c>
      <c r="N110" t="s">
        <v>508</v>
      </c>
    </row>
  </sheetData>
  <mergeCells count="3">
    <mergeCell ref="A56:H56"/>
    <mergeCell ref="A59:H59"/>
    <mergeCell ref="E12:E15"/>
  </mergeCells>
  <pageMargins left="0.3" right="0.3" top="0.3" bottom="0.3" header="0.3" footer="0.3"/>
  <pageSetup scale="58" fitToHeight="0" orientation="portrait" r:id="rId1"/>
  <headerFooter>
    <oddFooter>Page &amp;P of &amp;N</oddFooter>
  </headerFooter>
  <colBreaks count="1" manualBreakCount="1">
    <brk id="8" max="1048575" man="1"/>
  </colBreaks>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C9E6-F969-4723-AC97-02671EB7D996}">
  <dimension ref="A1:AY67"/>
  <sheetViews>
    <sheetView workbookViewId="0">
      <selection activeCell="B6" sqref="B6"/>
    </sheetView>
  </sheetViews>
  <sheetFormatPr defaultRowHeight="14.5" outlineLevelCol="1"/>
  <cols>
    <col min="1" max="1" width="17.81640625" bestFit="1" customWidth="1"/>
    <col min="2" max="10" width="11.1796875" hidden="1" customWidth="1" outlineLevel="1"/>
    <col min="11" max="11" width="11.1796875" bestFit="1" customWidth="1" collapsed="1"/>
    <col min="12" max="13" width="11.1796875" bestFit="1" customWidth="1"/>
    <col min="15" max="17" width="11.1796875" bestFit="1" customWidth="1"/>
    <col min="19" max="19" width="10.7265625" bestFit="1" customWidth="1"/>
  </cols>
  <sheetData>
    <row r="1" spans="1:51">
      <c r="A1" t="s">
        <v>430</v>
      </c>
      <c r="S1" s="155">
        <f ca="1">TODAY()</f>
        <v>45797</v>
      </c>
    </row>
    <row r="2" spans="1:51" s="127" customFormat="1">
      <c r="A2" s="126" t="s">
        <v>1659</v>
      </c>
    </row>
    <row r="3" spans="1:51">
      <c r="A3" s="22" t="s">
        <v>409</v>
      </c>
    </row>
    <row r="6" spans="1:51" ht="16">
      <c r="B6" s="24"/>
      <c r="C6" s="24"/>
      <c r="D6" s="24"/>
      <c r="E6" s="24"/>
      <c r="F6" s="24"/>
      <c r="G6" s="24"/>
      <c r="H6" s="24"/>
      <c r="I6" s="24"/>
      <c r="J6" s="24"/>
      <c r="K6" s="24" t="s">
        <v>1660</v>
      </c>
      <c r="L6" s="24"/>
      <c r="M6" s="24"/>
      <c r="O6" s="24" t="s">
        <v>1662</v>
      </c>
      <c r="P6" s="24"/>
      <c r="Q6" s="24"/>
      <c r="S6" s="368" t="s">
        <v>1672</v>
      </c>
    </row>
    <row r="7" spans="1:51" ht="16">
      <c r="B7" s="16" t="s">
        <v>1665</v>
      </c>
      <c r="C7" s="16" t="s">
        <v>1668</v>
      </c>
      <c r="D7" s="367" t="s">
        <v>1670</v>
      </c>
      <c r="E7" s="367" t="s">
        <v>1671</v>
      </c>
      <c r="F7" s="16" t="s">
        <v>1664</v>
      </c>
      <c r="G7" s="16"/>
      <c r="H7" s="16" t="s">
        <v>1667</v>
      </c>
      <c r="I7" s="16" t="s">
        <v>1666</v>
      </c>
      <c r="J7" s="16"/>
      <c r="K7" s="16" t="s">
        <v>1661</v>
      </c>
      <c r="L7" s="16" t="s">
        <v>1669</v>
      </c>
      <c r="M7" s="16" t="s">
        <v>458</v>
      </c>
      <c r="O7" s="16" t="s">
        <v>1661</v>
      </c>
      <c r="P7" s="16" t="s">
        <v>1669</v>
      </c>
      <c r="Q7" s="16" t="s">
        <v>1663</v>
      </c>
      <c r="S7" s="16" t="s">
        <v>455</v>
      </c>
    </row>
    <row r="9" spans="1:51">
      <c r="A9" t="s">
        <v>189</v>
      </c>
      <c r="B9" s="9">
        <f>'Detailed Disclosure'!L37</f>
        <v>48800</v>
      </c>
      <c r="C9" s="9">
        <f>'Detailed Disclosure'!L72</f>
        <v>63648.648648648654</v>
      </c>
      <c r="D9" s="9">
        <f>C9-B9</f>
        <v>14848.648648648654</v>
      </c>
      <c r="E9" s="9">
        <f>F9-D9</f>
        <v>32528.937351351356</v>
      </c>
      <c r="F9" s="9">
        <f>'Detailed Disclosure'!M37</f>
        <v>47377.58600000001</v>
      </c>
      <c r="G9" s="9"/>
      <c r="H9" s="9">
        <f>'Detailed Disclosure'!P37</f>
        <v>101500</v>
      </c>
      <c r="I9" s="9">
        <f>'Detailed Disclosure'!P72</f>
        <v>141300</v>
      </c>
      <c r="J9" s="9"/>
      <c r="K9" s="9">
        <f>I9-H9</f>
        <v>39800</v>
      </c>
      <c r="L9" s="9">
        <f>M9-K9</f>
        <v>87229.589000000007</v>
      </c>
      <c r="M9" s="9">
        <f>'Detailed Disclosure'!Q37</f>
        <v>127029.58900000001</v>
      </c>
      <c r="O9" s="9">
        <f>O11*Q9</f>
        <v>61015.363237930324</v>
      </c>
      <c r="P9" s="9">
        <f>P11*Q9</f>
        <v>133727.26276206967</v>
      </c>
      <c r="Q9" s="9">
        <f>S9-'Detailed Disclosure'!T17-'Detailed Disclosure'!S17-'Detailed Disclosure'!R17</f>
        <v>194742.62599999999</v>
      </c>
      <c r="S9" s="159">
        <v>740000</v>
      </c>
    </row>
    <row r="10" spans="1:51">
      <c r="A10" s="91" t="s">
        <v>237</v>
      </c>
      <c r="B10" s="167"/>
      <c r="C10" s="167"/>
      <c r="D10" s="167"/>
      <c r="E10" s="167"/>
      <c r="F10" s="167"/>
      <c r="G10" s="167"/>
      <c r="H10" s="167">
        <f>H9/B9-1</f>
        <v>1.0799180327868854</v>
      </c>
      <c r="I10" s="167">
        <f>I9/C9-1</f>
        <v>1.2199999999999998</v>
      </c>
      <c r="J10" s="167"/>
      <c r="K10" s="167">
        <f t="shared" ref="K10:L10" si="0">K9/D9-1</f>
        <v>1.6803785948307235</v>
      </c>
      <c r="L10" s="167">
        <f t="shared" si="0"/>
        <v>1.6815997109839866</v>
      </c>
      <c r="M10" s="167">
        <f>M9/F9-1</f>
        <v>1.681216999954366</v>
      </c>
      <c r="N10" s="167"/>
      <c r="O10" s="167">
        <f t="shared" ref="O10:P10" si="1">O9/K9-1</f>
        <v>0.53304932758618895</v>
      </c>
      <c r="P10" s="167">
        <f t="shared" si="1"/>
        <v>0.53304932758618939</v>
      </c>
      <c r="Q10" s="167">
        <f>Q9/M9-1</f>
        <v>0.53304932758618917</v>
      </c>
      <c r="R10" s="165"/>
      <c r="S10" s="165"/>
      <c r="T10" s="165"/>
      <c r="U10" s="165"/>
      <c r="V10" s="165"/>
      <c r="W10" s="165"/>
      <c r="X10" s="165"/>
      <c r="Y10" s="165"/>
      <c r="Z10" s="165"/>
      <c r="AA10" s="165"/>
      <c r="AB10" s="165"/>
      <c r="AC10" s="163"/>
      <c r="AD10" s="165"/>
      <c r="AE10" s="165"/>
      <c r="AF10" s="165"/>
      <c r="AG10" s="165"/>
      <c r="AH10" s="165"/>
      <c r="AI10" s="165"/>
      <c r="AJ10" s="165"/>
      <c r="AK10" s="165"/>
      <c r="AL10" s="165"/>
      <c r="AM10" s="165"/>
      <c r="AN10" s="166"/>
      <c r="AO10" s="166"/>
      <c r="AP10" s="165"/>
      <c r="AQ10" s="165"/>
      <c r="AR10" s="165"/>
      <c r="AS10" s="165"/>
      <c r="AT10" s="183"/>
      <c r="AU10" s="183"/>
      <c r="AV10" s="183"/>
      <c r="AW10" s="9"/>
      <c r="AY10" s="17"/>
    </row>
    <row r="11" spans="1:51">
      <c r="A11" s="91" t="s">
        <v>1673</v>
      </c>
      <c r="B11" s="167"/>
      <c r="C11" s="167"/>
      <c r="D11" s="167"/>
      <c r="E11" s="167"/>
      <c r="F11" s="167"/>
      <c r="G11" s="167"/>
      <c r="H11" s="167"/>
      <c r="I11" s="167"/>
      <c r="J11" s="167"/>
      <c r="K11" s="167">
        <f>K9/M9</f>
        <v>0.3133128298163666</v>
      </c>
      <c r="L11" s="167">
        <f>L9/M9</f>
        <v>0.68668717018363334</v>
      </c>
      <c r="M11" s="167">
        <f>L11+K11</f>
        <v>1</v>
      </c>
      <c r="N11" s="167"/>
      <c r="O11" s="31">
        <f>+K11</f>
        <v>0.3133128298163666</v>
      </c>
      <c r="P11" s="167">
        <f>1-O11</f>
        <v>0.68668717018363346</v>
      </c>
      <c r="Q11" s="167">
        <f>P11+O11</f>
        <v>1</v>
      </c>
      <c r="R11" s="165"/>
      <c r="S11" s="165"/>
      <c r="T11" s="165"/>
      <c r="U11" s="165"/>
      <c r="V11" s="165"/>
      <c r="W11" s="165"/>
      <c r="X11" s="165"/>
      <c r="Y11" s="165"/>
      <c r="Z11" s="165"/>
      <c r="AA11" s="165"/>
      <c r="AB11" s="165"/>
      <c r="AC11" s="163"/>
      <c r="AD11" s="165"/>
      <c r="AE11" s="165"/>
      <c r="AF11" s="165"/>
      <c r="AG11" s="165"/>
      <c r="AH11" s="165"/>
      <c r="AI11" s="165"/>
      <c r="AJ11" s="165"/>
      <c r="AK11" s="165"/>
      <c r="AL11" s="165"/>
      <c r="AM11" s="165"/>
      <c r="AN11" s="166"/>
      <c r="AO11" s="166"/>
      <c r="AP11" s="165"/>
      <c r="AQ11" s="165"/>
      <c r="AR11" s="165"/>
      <c r="AS11" s="165"/>
      <c r="AT11" s="183"/>
      <c r="AU11" s="183"/>
      <c r="AV11" s="183"/>
      <c r="AW11" s="9"/>
      <c r="AY11" s="17"/>
    </row>
    <row r="13" spans="1:51">
      <c r="A13" t="s">
        <v>245</v>
      </c>
      <c r="B13" s="150" t="s">
        <v>251</v>
      </c>
      <c r="C13" s="150" t="s">
        <v>251</v>
      </c>
      <c r="D13" s="150"/>
      <c r="E13" s="150"/>
      <c r="F13" s="150" t="s">
        <v>251</v>
      </c>
      <c r="G13" s="9"/>
      <c r="H13" s="9">
        <f>'Detailed Disclosure'!P67</f>
        <v>3108.9008249999843</v>
      </c>
      <c r="I13" s="150" t="str">
        <f>'Detailed Disclosure'!P73</f>
        <v>&gt;7,000</v>
      </c>
      <c r="J13" s="9"/>
      <c r="K13" s="159">
        <f>7000-H13</f>
        <v>3891.0991750000157</v>
      </c>
      <c r="L13" s="9">
        <f>M13-K13</f>
        <v>5636.1199999999844</v>
      </c>
      <c r="M13" s="9">
        <f>'Detailed Disclosure'!Q67</f>
        <v>9527.2191750000002</v>
      </c>
      <c r="O13" s="9">
        <f>O15*O9</f>
        <v>4271.075426655123</v>
      </c>
      <c r="P13" s="9">
        <f>Q13-O13</f>
        <v>-2865.075426655123</v>
      </c>
      <c r="Q13" s="9">
        <f>S13-'Detailed Disclosure'!T67-'Detailed Disclosure'!S67-'Detailed Disclosure'!R67</f>
        <v>1406</v>
      </c>
      <c r="S13" s="159">
        <v>33500</v>
      </c>
      <c r="T13">
        <f>'Detailed Disclosure'!AO67</f>
        <v>29322.119999999984</v>
      </c>
    </row>
    <row r="14" spans="1:51">
      <c r="A14" s="91" t="s">
        <v>237</v>
      </c>
      <c r="B14" s="167" t="s">
        <v>251</v>
      </c>
      <c r="C14" s="167" t="s">
        <v>251</v>
      </c>
      <c r="D14" s="167"/>
      <c r="E14" s="167"/>
      <c r="F14" s="167" t="s">
        <v>251</v>
      </c>
      <c r="G14" s="167"/>
      <c r="H14" s="167" t="s">
        <v>251</v>
      </c>
      <c r="I14" s="167" t="s">
        <v>251</v>
      </c>
      <c r="J14" s="167"/>
      <c r="K14" s="167" t="s">
        <v>251</v>
      </c>
      <c r="L14" s="167" t="s">
        <v>251</v>
      </c>
      <c r="M14" s="167" t="s">
        <v>251</v>
      </c>
      <c r="N14" s="167"/>
      <c r="O14" s="167">
        <f t="shared" ref="O14:P14" si="2">O13/K13-1</f>
        <v>9.7652677191170767E-2</v>
      </c>
      <c r="P14" s="167">
        <f t="shared" si="2"/>
        <v>-1.5083418072459653</v>
      </c>
      <c r="Q14" s="167">
        <f>Q13/M13-1</f>
        <v>-0.8524228345990581</v>
      </c>
      <c r="R14" s="165"/>
      <c r="S14" s="165">
        <f>S13/T13-1</f>
        <v>0.14248219432974207</v>
      </c>
      <c r="T14" s="165"/>
      <c r="U14" s="165"/>
      <c r="V14" s="165"/>
      <c r="W14" s="165"/>
      <c r="X14" s="165"/>
      <c r="Y14" s="165"/>
      <c r="Z14" s="165"/>
      <c r="AA14" s="165"/>
      <c r="AB14" s="165"/>
      <c r="AC14" s="163"/>
      <c r="AD14" s="165"/>
      <c r="AE14" s="165"/>
      <c r="AF14" s="165"/>
      <c r="AG14" s="165"/>
      <c r="AH14" s="165"/>
      <c r="AI14" s="165"/>
      <c r="AJ14" s="165"/>
      <c r="AK14" s="165"/>
      <c r="AL14" s="165"/>
      <c r="AM14" s="165"/>
      <c r="AN14" s="166"/>
      <c r="AO14" s="166"/>
      <c r="AP14" s="165"/>
      <c r="AQ14" s="165"/>
      <c r="AR14" s="165"/>
      <c r="AS14" s="165"/>
      <c r="AT14" s="183"/>
      <c r="AU14" s="183"/>
      <c r="AV14" s="183"/>
      <c r="AW14" s="9"/>
      <c r="AY14" s="17"/>
    </row>
    <row r="15" spans="1:51">
      <c r="A15" s="91" t="s">
        <v>239</v>
      </c>
      <c r="B15" s="167" t="s">
        <v>251</v>
      </c>
      <c r="C15" s="167" t="s">
        <v>251</v>
      </c>
      <c r="D15" s="167"/>
      <c r="E15" s="167"/>
      <c r="F15" s="167" t="s">
        <v>251</v>
      </c>
      <c r="G15" s="167"/>
      <c r="H15" s="167"/>
      <c r="I15" s="167"/>
      <c r="J15" s="167"/>
      <c r="K15" s="167">
        <f t="shared" ref="K15" si="3">K13/K9</f>
        <v>9.7766310929648631E-2</v>
      </c>
      <c r="L15" s="167">
        <f>L13/L9</f>
        <v>6.4612479143974694E-2</v>
      </c>
      <c r="M15" s="167">
        <f>M13/M9</f>
        <v>7.4999999999999997E-2</v>
      </c>
      <c r="N15" s="167"/>
      <c r="O15" s="31">
        <v>7.0000000000000007E-2</v>
      </c>
      <c r="P15" s="167">
        <f>P13/P9</f>
        <v>-2.1424766853657393E-2</v>
      </c>
      <c r="Q15" s="167">
        <f>Q13/Q9</f>
        <v>7.2197855645635594E-3</v>
      </c>
      <c r="R15" s="165"/>
      <c r="S15" s="167">
        <f>S13/S9</f>
        <v>4.5270270270270273E-2</v>
      </c>
      <c r="T15" s="165"/>
      <c r="U15" s="165"/>
      <c r="V15" s="165"/>
      <c r="W15" s="165"/>
      <c r="X15" s="165"/>
      <c r="Y15" s="165"/>
      <c r="Z15" s="165"/>
      <c r="AA15" s="165"/>
      <c r="AB15" s="165"/>
      <c r="AC15" s="163"/>
      <c r="AD15" s="165"/>
      <c r="AE15" s="165"/>
      <c r="AF15" s="165"/>
      <c r="AG15" s="165"/>
      <c r="AH15" s="165"/>
      <c r="AI15" s="165"/>
      <c r="AJ15" s="165"/>
      <c r="AK15" s="165"/>
      <c r="AL15" s="165"/>
      <c r="AM15" s="165"/>
      <c r="AN15" s="166"/>
      <c r="AO15" s="166"/>
      <c r="AP15" s="165"/>
      <c r="AQ15" s="165"/>
      <c r="AR15" s="165"/>
      <c r="AS15" s="165"/>
      <c r="AT15" s="183"/>
      <c r="AU15" s="183"/>
      <c r="AV15" s="183"/>
      <c r="AW15" s="9"/>
      <c r="AY15" s="17"/>
    </row>
    <row r="17" spans="19:19">
      <c r="S17" s="115"/>
    </row>
    <row r="41" spans="17:19">
      <c r="Q41" s="9"/>
    </row>
    <row r="44" spans="17:19">
      <c r="Q44" s="9"/>
      <c r="S44" s="159"/>
    </row>
    <row r="55" spans="17:19">
      <c r="Q55" s="9"/>
      <c r="S55" s="159"/>
    </row>
    <row r="67" spans="17:17">
      <c r="Q67" s="9"/>
    </row>
  </sheetData>
  <pageMargins left="0.3" right="0.3" top="0.3" bottom="0.3"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B004B-8B9C-4647-A043-9F7DFD163005}">
  <dimension ref="A1:S2418"/>
  <sheetViews>
    <sheetView workbookViewId="0">
      <selection activeCell="C14" sqref="C14"/>
    </sheetView>
  </sheetViews>
  <sheetFormatPr defaultRowHeight="14.5"/>
  <cols>
    <col min="3" max="3" width="12.26953125" customWidth="1"/>
    <col min="7" max="11" width="10" customWidth="1"/>
    <col min="14" max="18" width="10" customWidth="1"/>
  </cols>
  <sheetData>
    <row r="1" spans="1:19">
      <c r="F1" s="393" t="s">
        <v>4178</v>
      </c>
      <c r="G1" s="393"/>
      <c r="H1" s="393"/>
      <c r="I1" s="393"/>
      <c r="J1" s="393"/>
      <c r="K1" s="393"/>
      <c r="L1" s="393"/>
      <c r="M1" s="393"/>
      <c r="N1" s="393"/>
      <c r="O1" s="393"/>
      <c r="P1" s="393"/>
      <c r="Q1" s="393"/>
      <c r="R1" s="393"/>
      <c r="S1" s="393"/>
    </row>
    <row r="2" spans="1:19">
      <c r="A2" t="s">
        <v>430</v>
      </c>
      <c r="F2" t="s">
        <v>1754</v>
      </c>
      <c r="G2" t="s">
        <v>1755</v>
      </c>
      <c r="H2" t="s">
        <v>1756</v>
      </c>
      <c r="I2" t="s">
        <v>1758</v>
      </c>
      <c r="J2" t="s">
        <v>1757</v>
      </c>
      <c r="K2" t="s">
        <v>1759</v>
      </c>
      <c r="M2" t="s">
        <v>1754</v>
      </c>
      <c r="N2" t="s">
        <v>1755</v>
      </c>
      <c r="O2" t="s">
        <v>1760</v>
      </c>
      <c r="P2" t="s">
        <v>1758</v>
      </c>
      <c r="Q2" t="s">
        <v>1757</v>
      </c>
      <c r="R2" t="s">
        <v>1759</v>
      </c>
    </row>
    <row r="3" spans="1:19" s="127" customFormat="1">
      <c r="A3" s="126" t="s">
        <v>1750</v>
      </c>
      <c r="F3" t="s">
        <v>1761</v>
      </c>
      <c r="G3" t="s">
        <v>1762</v>
      </c>
      <c r="H3" t="s">
        <v>1763</v>
      </c>
      <c r="I3" t="s">
        <v>1765</v>
      </c>
      <c r="J3" t="s">
        <v>1764</v>
      </c>
      <c r="K3" t="s">
        <v>1766</v>
      </c>
      <c r="L3"/>
      <c r="M3" t="s">
        <v>1761</v>
      </c>
      <c r="N3" t="s">
        <v>1762</v>
      </c>
      <c r="O3" t="s">
        <v>1763</v>
      </c>
      <c r="P3" t="s">
        <v>1765</v>
      </c>
      <c r="Q3" t="s">
        <v>1764</v>
      </c>
      <c r="R3" t="s">
        <v>1766</v>
      </c>
      <c r="S3"/>
    </row>
    <row r="4" spans="1:19">
      <c r="A4" s="22" t="s">
        <v>1751</v>
      </c>
      <c r="F4" t="s">
        <v>435</v>
      </c>
      <c r="G4" t="s">
        <v>1767</v>
      </c>
      <c r="H4" t="s">
        <v>1767</v>
      </c>
      <c r="I4" t="s">
        <v>1767</v>
      </c>
      <c r="J4" t="s">
        <v>1767</v>
      </c>
      <c r="K4" t="s">
        <v>1767</v>
      </c>
      <c r="M4" t="s">
        <v>435</v>
      </c>
      <c r="N4" t="s">
        <v>1768</v>
      </c>
      <c r="O4" t="s">
        <v>1768</v>
      </c>
      <c r="P4" t="s">
        <v>1768</v>
      </c>
      <c r="Q4" t="s">
        <v>1768</v>
      </c>
      <c r="R4" t="s">
        <v>1768</v>
      </c>
    </row>
    <row r="5" spans="1:19">
      <c r="F5" t="s">
        <v>1769</v>
      </c>
      <c r="G5" s="312"/>
      <c r="H5" s="312">
        <v>36.54</v>
      </c>
      <c r="I5" s="312">
        <v>4.24</v>
      </c>
      <c r="J5" s="312">
        <v>179.22</v>
      </c>
      <c r="K5" s="312">
        <v>108.91999999999999</v>
      </c>
      <c r="M5" t="s">
        <v>1769</v>
      </c>
      <c r="N5" s="312"/>
      <c r="O5" s="312">
        <v>23215.190000000002</v>
      </c>
      <c r="P5" s="312">
        <v>259.93</v>
      </c>
      <c r="Q5" s="312">
        <v>65893.009999999995</v>
      </c>
      <c r="R5" s="312">
        <v>35912.57</v>
      </c>
    </row>
    <row r="6" spans="1:19">
      <c r="B6" s="400" t="s">
        <v>80</v>
      </c>
      <c r="F6" t="s">
        <v>1770</v>
      </c>
      <c r="G6" s="312"/>
      <c r="H6" s="312">
        <v>141.88999999999999</v>
      </c>
      <c r="I6" s="312">
        <v>7.5</v>
      </c>
      <c r="J6" s="312">
        <v>232.77</v>
      </c>
      <c r="K6" s="312">
        <v>353.20000000000005</v>
      </c>
      <c r="M6" t="s">
        <v>1770</v>
      </c>
      <c r="N6" s="312"/>
      <c r="O6" s="312">
        <v>104089.55</v>
      </c>
      <c r="P6" s="312">
        <v>2399.77</v>
      </c>
      <c r="Q6" s="312">
        <v>113106.56</v>
      </c>
      <c r="R6" s="312">
        <v>108498.59</v>
      </c>
    </row>
    <row r="7" spans="1:19">
      <c r="A7" s="3" t="s">
        <v>4181</v>
      </c>
      <c r="F7" t="s">
        <v>1771</v>
      </c>
      <c r="G7" s="312"/>
      <c r="H7" s="312">
        <v>161.74</v>
      </c>
      <c r="I7" s="312">
        <v>15.55</v>
      </c>
      <c r="J7" s="312">
        <v>247.63</v>
      </c>
      <c r="K7" s="312">
        <v>268.58</v>
      </c>
      <c r="M7" t="s">
        <v>1771</v>
      </c>
      <c r="N7" s="312"/>
      <c r="O7" s="312">
        <v>99550.85</v>
      </c>
      <c r="P7" s="312">
        <v>5710.4</v>
      </c>
      <c r="Q7" s="312">
        <v>117938.31</v>
      </c>
      <c r="R7" s="312">
        <v>90119.35</v>
      </c>
    </row>
    <row r="8" spans="1:19">
      <c r="A8" t="s">
        <v>529</v>
      </c>
      <c r="B8" s="9">
        <f>+('Historical - USD'!K13+'Historical - USD'!J13)/('Historical - USD'!J11+'Historical - USD'!K11)*1000000</f>
        <v>520.45376305138996</v>
      </c>
      <c r="F8" t="s">
        <v>1772</v>
      </c>
      <c r="G8" s="312"/>
      <c r="H8" s="312">
        <v>139.26</v>
      </c>
      <c r="I8" s="312">
        <v>16.670000000000002</v>
      </c>
      <c r="J8" s="312">
        <v>112.55</v>
      </c>
      <c r="K8" s="312">
        <v>361.39</v>
      </c>
      <c r="M8" t="s">
        <v>1772</v>
      </c>
      <c r="N8" s="312"/>
      <c r="O8" s="312">
        <v>84808.44</v>
      </c>
      <c r="P8" s="312">
        <v>17308.989999999998</v>
      </c>
      <c r="Q8" s="312">
        <v>50908.24</v>
      </c>
      <c r="R8" s="312">
        <v>116625.14</v>
      </c>
    </row>
    <row r="9" spans="1:19">
      <c r="A9" t="s">
        <v>1677</v>
      </c>
      <c r="B9" s="9">
        <f>672*D9</f>
        <v>734.49599999999998</v>
      </c>
      <c r="C9" t="s">
        <v>4179</v>
      </c>
      <c r="D9">
        <v>1.093</v>
      </c>
      <c r="F9" t="s">
        <v>1773</v>
      </c>
      <c r="G9" s="312"/>
      <c r="H9" s="312">
        <v>128.79</v>
      </c>
      <c r="I9" s="312">
        <v>21.12</v>
      </c>
      <c r="J9" s="312">
        <v>188.34</v>
      </c>
      <c r="K9" s="312">
        <v>294.77999999999997</v>
      </c>
      <c r="M9" t="s">
        <v>1773</v>
      </c>
      <c r="N9" s="312"/>
      <c r="O9" s="312">
        <v>65009.95</v>
      </c>
      <c r="P9" s="312">
        <v>13063.74</v>
      </c>
      <c r="Q9" s="312">
        <v>62158.91</v>
      </c>
      <c r="R9" s="312">
        <v>104655.34000000001</v>
      </c>
    </row>
    <row r="10" spans="1:19">
      <c r="A10" t="s">
        <v>647</v>
      </c>
      <c r="B10" s="9">
        <v>551.81208625249303</v>
      </c>
      <c r="C10" t="s">
        <v>1752</v>
      </c>
      <c r="F10" t="s">
        <v>1774</v>
      </c>
      <c r="G10" s="312"/>
      <c r="H10" s="312">
        <v>89.7</v>
      </c>
      <c r="I10" s="312">
        <v>4.22</v>
      </c>
      <c r="J10" s="312">
        <v>217.86</v>
      </c>
      <c r="K10" s="312">
        <v>178.69</v>
      </c>
      <c r="M10" t="s">
        <v>1774</v>
      </c>
      <c r="N10" s="312"/>
      <c r="O10" s="312">
        <v>38606.089999999997</v>
      </c>
      <c r="P10" s="312">
        <v>5349.79</v>
      </c>
      <c r="Q10" s="312">
        <v>112472.37</v>
      </c>
      <c r="R10" s="312">
        <v>63219.789999999994</v>
      </c>
    </row>
    <row r="11" spans="1:19">
      <c r="A11" t="s">
        <v>1753</v>
      </c>
      <c r="B11" s="9">
        <v>583</v>
      </c>
      <c r="C11" t="s">
        <v>4180</v>
      </c>
      <c r="F11" t="s">
        <v>1775</v>
      </c>
      <c r="G11" s="312"/>
      <c r="H11" s="312">
        <v>123.03</v>
      </c>
      <c r="I11" s="312">
        <v>8.5299999999999994</v>
      </c>
      <c r="J11" s="312">
        <v>203.64</v>
      </c>
      <c r="K11" s="312">
        <v>107.94</v>
      </c>
      <c r="M11" t="s">
        <v>1775</v>
      </c>
      <c r="N11" s="312"/>
      <c r="O11" s="312">
        <v>135137.87</v>
      </c>
      <c r="P11" s="312">
        <v>7949.26</v>
      </c>
      <c r="Q11" s="312">
        <v>65981.990000000005</v>
      </c>
      <c r="R11" s="312">
        <v>36100.93</v>
      </c>
    </row>
    <row r="12" spans="1:19">
      <c r="B12" s="9"/>
      <c r="F12" t="s">
        <v>1776</v>
      </c>
      <c r="G12" s="312"/>
      <c r="H12" s="312">
        <v>269.86</v>
      </c>
      <c r="I12" s="312">
        <v>4.42</v>
      </c>
      <c r="J12" s="312">
        <v>319.89999999999998</v>
      </c>
      <c r="K12" s="312">
        <v>331.75</v>
      </c>
      <c r="M12" t="s">
        <v>1776</v>
      </c>
      <c r="N12" s="312"/>
      <c r="O12" s="312">
        <v>145963.07999999999</v>
      </c>
      <c r="P12" s="312">
        <v>3808.83</v>
      </c>
      <c r="Q12" s="312">
        <v>148858.1</v>
      </c>
      <c r="R12" s="312">
        <v>91426.140000000014</v>
      </c>
    </row>
    <row r="13" spans="1:19">
      <c r="A13" s="3" t="s">
        <v>4182</v>
      </c>
      <c r="B13" s="9"/>
      <c r="F13" t="s">
        <v>1777</v>
      </c>
      <c r="G13" s="312"/>
      <c r="H13" s="312">
        <v>196.60999999999999</v>
      </c>
      <c r="I13" s="312">
        <v>17.02</v>
      </c>
      <c r="J13" s="312">
        <v>291.96999999999997</v>
      </c>
      <c r="K13" s="312">
        <v>243.94</v>
      </c>
      <c r="M13" t="s">
        <v>1777</v>
      </c>
      <c r="N13" s="312"/>
      <c r="O13" s="312">
        <v>91097.8</v>
      </c>
      <c r="P13" s="312">
        <v>13765.83</v>
      </c>
      <c r="Q13" s="312">
        <v>102688.12</v>
      </c>
      <c r="R13" s="312">
        <v>99551.010000000009</v>
      </c>
    </row>
    <row r="14" spans="1:19">
      <c r="A14" t="s">
        <v>529</v>
      </c>
      <c r="B14" s="9">
        <f>+G2418</f>
        <v>533.66472232944864</v>
      </c>
      <c r="F14" t="s">
        <v>1778</v>
      </c>
      <c r="G14" s="312"/>
      <c r="H14" s="312">
        <v>141.62</v>
      </c>
      <c r="I14" s="312">
        <v>21.82</v>
      </c>
      <c r="J14" s="312">
        <v>299.94</v>
      </c>
      <c r="K14" s="312">
        <v>252.95</v>
      </c>
      <c r="M14" t="s">
        <v>1778</v>
      </c>
      <c r="N14" s="312"/>
      <c r="O14" s="312">
        <v>122281.2</v>
      </c>
      <c r="P14" s="312">
        <v>3325.8199999999997</v>
      </c>
      <c r="Q14" s="312">
        <v>140499.28</v>
      </c>
      <c r="R14" s="312">
        <v>78582.84</v>
      </c>
    </row>
    <row r="15" spans="1:19">
      <c r="A15" t="s">
        <v>1677</v>
      </c>
      <c r="B15" s="9">
        <f>+I2418</f>
        <v>729.02627682455284</v>
      </c>
      <c r="F15" t="s">
        <v>1779</v>
      </c>
      <c r="G15" s="312"/>
      <c r="H15" s="312">
        <v>165.14</v>
      </c>
      <c r="I15" s="312">
        <v>31.24</v>
      </c>
      <c r="J15" s="312">
        <v>273.90000000000003</v>
      </c>
      <c r="K15" s="312">
        <v>133.16999999999999</v>
      </c>
      <c r="M15" t="s">
        <v>1779</v>
      </c>
      <c r="N15" s="312"/>
      <c r="O15" s="312">
        <v>68630.17</v>
      </c>
      <c r="P15" s="312">
        <v>13162.740000000002</v>
      </c>
      <c r="Q15" s="312">
        <v>100064.37</v>
      </c>
      <c r="R15" s="312">
        <v>60703.199999999997</v>
      </c>
    </row>
    <row r="16" spans="1:19">
      <c r="A16" t="s">
        <v>647</v>
      </c>
      <c r="B16" s="9">
        <f>+H2418</f>
        <v>488.70469599522795</v>
      </c>
      <c r="F16" t="s">
        <v>1780</v>
      </c>
      <c r="G16" s="312"/>
      <c r="H16" s="312">
        <v>189.26999999999998</v>
      </c>
      <c r="I16" s="312">
        <v>18.86</v>
      </c>
      <c r="J16" s="312">
        <v>350.83000000000004</v>
      </c>
      <c r="K16" s="312">
        <v>62.09</v>
      </c>
      <c r="M16" t="s">
        <v>1780</v>
      </c>
      <c r="N16" s="312"/>
      <c r="O16" s="312">
        <v>95648.239999999991</v>
      </c>
      <c r="P16" s="312">
        <v>13537.02</v>
      </c>
      <c r="Q16" s="312">
        <v>110090.31999999999</v>
      </c>
      <c r="R16" s="312">
        <v>30536.17</v>
      </c>
    </row>
    <row r="17" spans="1:18">
      <c r="A17" t="s">
        <v>1753</v>
      </c>
      <c r="B17" s="9">
        <f>+J2418</f>
        <v>579.88850772970397</v>
      </c>
      <c r="F17" t="s">
        <v>1781</v>
      </c>
      <c r="G17" s="312"/>
      <c r="H17" s="312">
        <v>160.86000000000001</v>
      </c>
      <c r="I17" s="312">
        <v>14.11</v>
      </c>
      <c r="J17" s="312">
        <v>282.5</v>
      </c>
      <c r="K17" s="312">
        <v>21.09</v>
      </c>
      <c r="M17" t="s">
        <v>1781</v>
      </c>
      <c r="N17" s="312"/>
      <c r="O17" s="312">
        <v>88406.950000000012</v>
      </c>
      <c r="P17" s="312">
        <v>7940.14</v>
      </c>
      <c r="Q17" s="312">
        <v>258117.63</v>
      </c>
      <c r="R17" s="312">
        <v>2810.92</v>
      </c>
    </row>
    <row r="18" spans="1:18">
      <c r="A18" t="s">
        <v>1766</v>
      </c>
      <c r="B18" s="9">
        <f>+K2418</f>
        <v>332.32869536578596</v>
      </c>
      <c r="F18" t="s">
        <v>1782</v>
      </c>
      <c r="G18" s="312"/>
      <c r="H18" s="312">
        <v>75.58</v>
      </c>
      <c r="I18" s="312">
        <v>3.51</v>
      </c>
      <c r="J18" s="312">
        <v>192.71</v>
      </c>
      <c r="K18" s="312">
        <v>22.78</v>
      </c>
      <c r="M18" t="s">
        <v>1782</v>
      </c>
      <c r="N18" s="312"/>
      <c r="O18" s="312">
        <v>52161.35</v>
      </c>
      <c r="P18" s="312">
        <v>1893.06</v>
      </c>
      <c r="Q18" s="312">
        <v>88031.7</v>
      </c>
      <c r="R18" s="312">
        <v>8861.0600000000013</v>
      </c>
    </row>
    <row r="19" spans="1:18">
      <c r="F19" t="s">
        <v>1783</v>
      </c>
      <c r="G19" s="312"/>
      <c r="H19" s="312">
        <v>132.16</v>
      </c>
      <c r="I19" s="312">
        <v>11.39</v>
      </c>
      <c r="J19" s="312">
        <v>371.14000000000004</v>
      </c>
      <c r="K19" s="312">
        <v>39.04</v>
      </c>
      <c r="M19" t="s">
        <v>1783</v>
      </c>
      <c r="N19" s="312"/>
      <c r="O19" s="312">
        <v>63924.420000000006</v>
      </c>
      <c r="P19" s="312">
        <v>15611.94</v>
      </c>
      <c r="Q19" s="312">
        <v>161544.01</v>
      </c>
      <c r="R19" s="312">
        <v>13603.779999999999</v>
      </c>
    </row>
    <row r="20" spans="1:18">
      <c r="F20" t="s">
        <v>1784</v>
      </c>
      <c r="G20" s="312"/>
      <c r="H20" s="312">
        <v>161.42000000000002</v>
      </c>
      <c r="I20" s="312">
        <v>38.42</v>
      </c>
      <c r="J20" s="312">
        <v>494.63</v>
      </c>
      <c r="K20" s="312">
        <v>53.74</v>
      </c>
      <c r="M20" t="s">
        <v>1784</v>
      </c>
      <c r="N20" s="312"/>
      <c r="O20" s="312">
        <v>109981.51000000001</v>
      </c>
      <c r="P20" s="312">
        <v>28646.36</v>
      </c>
      <c r="Q20" s="312">
        <v>238707.7</v>
      </c>
      <c r="R20" s="312">
        <v>19202.919999999998</v>
      </c>
    </row>
    <row r="21" spans="1:18">
      <c r="F21" t="s">
        <v>1785</v>
      </c>
      <c r="G21" s="312"/>
      <c r="H21" s="312">
        <v>142.11000000000001</v>
      </c>
      <c r="I21" s="312">
        <v>21.1</v>
      </c>
      <c r="J21" s="312">
        <v>284.62</v>
      </c>
      <c r="K21" s="312">
        <v>109.76</v>
      </c>
      <c r="M21" t="s">
        <v>1785</v>
      </c>
      <c r="N21" s="312"/>
      <c r="O21" s="312">
        <v>71665.09</v>
      </c>
      <c r="P21" s="312">
        <v>3766.75</v>
      </c>
      <c r="Q21" s="312">
        <v>132169.44</v>
      </c>
      <c r="R21" s="312">
        <v>35713.68</v>
      </c>
    </row>
    <row r="22" spans="1:18">
      <c r="F22" t="s">
        <v>1786</v>
      </c>
      <c r="G22" s="312"/>
      <c r="H22" s="312">
        <v>145.70999999999998</v>
      </c>
      <c r="I22" s="312">
        <v>38.71</v>
      </c>
      <c r="J22" s="312">
        <v>266.64</v>
      </c>
      <c r="K22" s="312">
        <v>94.04</v>
      </c>
      <c r="M22" t="s">
        <v>1786</v>
      </c>
      <c r="N22" s="312"/>
      <c r="O22" s="312">
        <v>104550.05</v>
      </c>
      <c r="P22" s="312">
        <v>29220.38</v>
      </c>
      <c r="Q22" s="312">
        <v>126345.32</v>
      </c>
      <c r="R22" s="312">
        <v>22585.58</v>
      </c>
    </row>
    <row r="23" spans="1:18">
      <c r="F23" t="s">
        <v>1787</v>
      </c>
      <c r="G23" s="312"/>
      <c r="H23" s="312">
        <v>164.17</v>
      </c>
      <c r="I23" s="312">
        <v>17.96</v>
      </c>
      <c r="J23" s="312">
        <v>282.65999999999997</v>
      </c>
      <c r="K23" s="312">
        <v>59.79</v>
      </c>
      <c r="M23" t="s">
        <v>1787</v>
      </c>
      <c r="N23" s="312"/>
      <c r="O23" s="312">
        <v>121743.25</v>
      </c>
      <c r="P23" s="312">
        <v>13381.800000000001</v>
      </c>
      <c r="Q23" s="312">
        <v>106023.88</v>
      </c>
      <c r="R23" s="312">
        <v>32308.78</v>
      </c>
    </row>
    <row r="24" spans="1:18">
      <c r="F24" t="s">
        <v>1788</v>
      </c>
      <c r="G24" s="312"/>
      <c r="H24" s="312">
        <v>58.510000000000005</v>
      </c>
      <c r="I24" s="312">
        <v>21.89</v>
      </c>
      <c r="J24" s="312">
        <v>247.45000000000002</v>
      </c>
      <c r="K24" s="312">
        <v>23.060000000000002</v>
      </c>
      <c r="M24" t="s">
        <v>1788</v>
      </c>
      <c r="N24" s="312"/>
      <c r="O24" s="312">
        <v>28293.35</v>
      </c>
      <c r="P24" s="312">
        <v>6145.01</v>
      </c>
      <c r="Q24" s="312">
        <v>110306.37</v>
      </c>
      <c r="R24" s="312">
        <v>11691.77</v>
      </c>
    </row>
    <row r="25" spans="1:18">
      <c r="F25" t="s">
        <v>1789</v>
      </c>
      <c r="G25" s="312"/>
      <c r="H25" s="312">
        <v>72.23</v>
      </c>
      <c r="I25" s="312">
        <v>5.84</v>
      </c>
      <c r="J25" s="312">
        <v>142.58000000000001</v>
      </c>
      <c r="K25" s="312">
        <v>28.480000000000004</v>
      </c>
      <c r="M25" t="s">
        <v>1789</v>
      </c>
      <c r="N25" s="312"/>
      <c r="O25" s="312">
        <v>53477.54</v>
      </c>
      <c r="P25" s="312">
        <v>2223.06</v>
      </c>
      <c r="Q25" s="312">
        <v>59288.69</v>
      </c>
      <c r="R25" s="312">
        <v>9207.36</v>
      </c>
    </row>
    <row r="26" spans="1:18">
      <c r="F26" t="s">
        <v>1790</v>
      </c>
      <c r="G26" s="312"/>
      <c r="H26" s="312">
        <v>163.37</v>
      </c>
      <c r="I26" s="312">
        <v>8.16</v>
      </c>
      <c r="J26" s="312">
        <v>397.43</v>
      </c>
      <c r="K26" s="312">
        <v>90.11</v>
      </c>
      <c r="M26" t="s">
        <v>1790</v>
      </c>
      <c r="N26" s="312"/>
      <c r="O26" s="312">
        <v>80137.87</v>
      </c>
      <c r="P26" s="312">
        <v>9416.8499999999985</v>
      </c>
      <c r="Q26" s="312">
        <v>184214.21</v>
      </c>
      <c r="R26" s="312">
        <v>26281.14</v>
      </c>
    </row>
    <row r="27" spans="1:18">
      <c r="F27" t="s">
        <v>1791</v>
      </c>
      <c r="G27" s="312"/>
      <c r="H27" s="312">
        <v>94.01</v>
      </c>
      <c r="I27" s="312">
        <v>23.240000000000002</v>
      </c>
      <c r="J27" s="312">
        <v>229.52</v>
      </c>
      <c r="K27" s="312">
        <v>72.099999999999994</v>
      </c>
      <c r="M27" t="s">
        <v>1791</v>
      </c>
      <c r="N27" s="312"/>
      <c r="O27" s="312">
        <v>53717.45</v>
      </c>
      <c r="P27" s="312">
        <v>11918.18</v>
      </c>
      <c r="Q27" s="312">
        <v>112378.94</v>
      </c>
      <c r="R27" s="312">
        <v>20282.740000000002</v>
      </c>
    </row>
    <row r="28" spans="1:18">
      <c r="F28" t="s">
        <v>1792</v>
      </c>
      <c r="G28" s="312"/>
      <c r="H28" s="312">
        <v>132.27000000000001</v>
      </c>
      <c r="I28" s="312">
        <v>5.42</v>
      </c>
      <c r="J28" s="312">
        <v>315.51</v>
      </c>
      <c r="K28" s="312">
        <v>72.44</v>
      </c>
      <c r="M28" t="s">
        <v>1792</v>
      </c>
      <c r="N28" s="312"/>
      <c r="O28" s="312">
        <v>82681.540000000008</v>
      </c>
      <c r="P28" s="312">
        <v>2247.9499999999998</v>
      </c>
      <c r="Q28" s="312">
        <v>82351.060000000012</v>
      </c>
      <c r="R28" s="312">
        <v>37544.85</v>
      </c>
    </row>
    <row r="29" spans="1:18">
      <c r="F29" t="s">
        <v>1793</v>
      </c>
      <c r="G29" s="312"/>
      <c r="H29" s="312">
        <v>153.20999999999998</v>
      </c>
      <c r="I29" s="312">
        <v>8.5</v>
      </c>
      <c r="J29" s="312">
        <v>272.36</v>
      </c>
      <c r="K29" s="312">
        <v>72.930000000000007</v>
      </c>
      <c r="M29" t="s">
        <v>1793</v>
      </c>
      <c r="N29" s="312"/>
      <c r="O29" s="312">
        <v>75612.990000000005</v>
      </c>
      <c r="P29" s="312">
        <v>7857.37</v>
      </c>
      <c r="Q29" s="312">
        <v>115348.83</v>
      </c>
      <c r="R29" s="312">
        <v>25945.210000000003</v>
      </c>
    </row>
    <row r="30" spans="1:18">
      <c r="F30" t="s">
        <v>1794</v>
      </c>
      <c r="G30" s="312"/>
      <c r="H30" s="312">
        <v>198.08</v>
      </c>
      <c r="I30" s="312">
        <v>24.82</v>
      </c>
      <c r="J30" s="312">
        <v>381.27</v>
      </c>
      <c r="K30" s="312">
        <v>99.81</v>
      </c>
      <c r="M30" t="s">
        <v>1794</v>
      </c>
      <c r="N30" s="312"/>
      <c r="O30" s="312">
        <v>99925</v>
      </c>
      <c r="P30" s="312">
        <v>9500.4399999999987</v>
      </c>
      <c r="Q30" s="312">
        <v>177645.71000000002</v>
      </c>
      <c r="R30" s="312">
        <v>31210.42</v>
      </c>
    </row>
    <row r="31" spans="1:18">
      <c r="F31" t="s">
        <v>1795</v>
      </c>
      <c r="G31" s="312"/>
      <c r="H31" s="312">
        <v>52.51</v>
      </c>
      <c r="I31" s="312">
        <v>12.65</v>
      </c>
      <c r="J31" s="312">
        <v>243</v>
      </c>
      <c r="K31" s="312">
        <v>31.25</v>
      </c>
      <c r="M31" t="s">
        <v>1795</v>
      </c>
      <c r="N31" s="312"/>
      <c r="O31" s="312">
        <v>29909.21</v>
      </c>
      <c r="P31" s="312">
        <v>4380.91</v>
      </c>
      <c r="Q31" s="312">
        <v>75586.320000000007</v>
      </c>
      <c r="R31" s="312">
        <v>9715.69</v>
      </c>
    </row>
    <row r="32" spans="1:18">
      <c r="F32" t="s">
        <v>1796</v>
      </c>
      <c r="G32" s="312"/>
      <c r="H32" s="312">
        <v>74.44</v>
      </c>
      <c r="I32" s="312">
        <v>2.2000000000000002</v>
      </c>
      <c r="J32" s="312">
        <v>208.91</v>
      </c>
      <c r="K32" s="312">
        <v>53.75</v>
      </c>
      <c r="M32" t="s">
        <v>1796</v>
      </c>
      <c r="N32" s="312"/>
      <c r="O32" s="312">
        <v>58009.89</v>
      </c>
      <c r="P32" s="312">
        <v>1276.57</v>
      </c>
      <c r="Q32" s="312">
        <v>95172.78</v>
      </c>
      <c r="R32" s="312">
        <v>12093.720000000001</v>
      </c>
    </row>
    <row r="33" spans="6:18">
      <c r="F33" t="s">
        <v>1797</v>
      </c>
      <c r="G33" s="312"/>
      <c r="H33" s="312">
        <v>155.41999999999999</v>
      </c>
      <c r="I33" s="312">
        <v>23.18</v>
      </c>
      <c r="J33" s="312">
        <v>194.31</v>
      </c>
      <c r="K33" s="312">
        <v>56.21</v>
      </c>
      <c r="M33" t="s">
        <v>1797</v>
      </c>
      <c r="N33" s="312"/>
      <c r="O33" s="312">
        <v>119285.10999999999</v>
      </c>
      <c r="P33" s="312">
        <v>25362.129999999997</v>
      </c>
      <c r="Q33" s="312">
        <v>85939.69</v>
      </c>
      <c r="R33" s="312">
        <v>19551.689999999999</v>
      </c>
    </row>
    <row r="34" spans="6:18">
      <c r="F34" t="s">
        <v>1798</v>
      </c>
      <c r="G34" s="312"/>
      <c r="H34" s="312">
        <v>146.35999999999999</v>
      </c>
      <c r="I34" s="312">
        <v>16.84</v>
      </c>
      <c r="J34" s="312">
        <v>348.48</v>
      </c>
      <c r="K34" s="312">
        <v>84.61</v>
      </c>
      <c r="M34" t="s">
        <v>1798</v>
      </c>
      <c r="N34" s="312"/>
      <c r="O34" s="312">
        <v>104239.37</v>
      </c>
      <c r="P34" s="312">
        <v>6794.19</v>
      </c>
      <c r="Q34" s="312">
        <v>171689.09999999998</v>
      </c>
      <c r="R34" s="312">
        <v>22719.84</v>
      </c>
    </row>
    <row r="35" spans="6:18">
      <c r="F35" t="s">
        <v>1799</v>
      </c>
      <c r="G35" s="312"/>
      <c r="H35" s="312">
        <v>131.51</v>
      </c>
      <c r="I35" s="312">
        <v>15</v>
      </c>
      <c r="J35" s="312">
        <v>302.83</v>
      </c>
      <c r="K35" s="312">
        <v>47.769999999999996</v>
      </c>
      <c r="M35" t="s">
        <v>1799</v>
      </c>
      <c r="N35" s="312"/>
      <c r="O35" s="312">
        <v>89376.03</v>
      </c>
      <c r="P35" s="312">
        <v>6017.41</v>
      </c>
      <c r="Q35" s="312">
        <v>137126.91</v>
      </c>
      <c r="R35" s="312">
        <v>19889.97</v>
      </c>
    </row>
    <row r="36" spans="6:18">
      <c r="F36" t="s">
        <v>1800</v>
      </c>
      <c r="G36" s="312"/>
      <c r="H36" s="312">
        <v>130.24</v>
      </c>
      <c r="I36" s="312">
        <v>22</v>
      </c>
      <c r="J36" s="312">
        <v>282.41000000000003</v>
      </c>
      <c r="K36" s="312">
        <v>61.46</v>
      </c>
      <c r="M36" t="s">
        <v>1800</v>
      </c>
      <c r="N36" s="312"/>
      <c r="O36" s="312">
        <v>68104.42</v>
      </c>
      <c r="P36" s="312">
        <v>15864.29</v>
      </c>
      <c r="Q36" s="312">
        <v>135220.45000000001</v>
      </c>
      <c r="R36" s="312">
        <v>15164.939999999999</v>
      </c>
    </row>
    <row r="37" spans="6:18">
      <c r="F37" t="s">
        <v>1801</v>
      </c>
      <c r="G37" s="312"/>
      <c r="H37" s="312">
        <v>106.87</v>
      </c>
      <c r="I37" s="312">
        <v>17.04</v>
      </c>
      <c r="J37" s="312">
        <v>273.74</v>
      </c>
      <c r="K37" s="312">
        <v>58.94</v>
      </c>
      <c r="M37" t="s">
        <v>1801</v>
      </c>
      <c r="N37" s="312"/>
      <c r="O37" s="312">
        <v>35925.879999999997</v>
      </c>
      <c r="P37" s="312">
        <v>6460.8</v>
      </c>
      <c r="Q37" s="312">
        <v>103126.72</v>
      </c>
      <c r="R37" s="312">
        <v>18877.95</v>
      </c>
    </row>
    <row r="38" spans="6:18">
      <c r="F38" t="s">
        <v>1802</v>
      </c>
      <c r="G38" s="312"/>
      <c r="H38" s="312">
        <v>87.09</v>
      </c>
      <c r="I38" s="312">
        <v>11.190000000000001</v>
      </c>
      <c r="J38" s="312">
        <v>244.19</v>
      </c>
      <c r="K38" s="312">
        <v>39.64</v>
      </c>
      <c r="M38" t="s">
        <v>1802</v>
      </c>
      <c r="N38" s="312"/>
      <c r="O38" s="312">
        <v>41466.800000000003</v>
      </c>
      <c r="P38" s="312">
        <v>3786.23</v>
      </c>
      <c r="Q38" s="312">
        <v>101220.42</v>
      </c>
      <c r="R38" s="312">
        <v>15203.060000000001</v>
      </c>
    </row>
    <row r="39" spans="6:18">
      <c r="F39" t="s">
        <v>1803</v>
      </c>
      <c r="G39" s="312">
        <v>9.8000000000000007</v>
      </c>
      <c r="H39" s="312">
        <v>49.06</v>
      </c>
      <c r="I39" s="312"/>
      <c r="J39" s="312">
        <v>227.5</v>
      </c>
      <c r="K39" s="312">
        <v>32.96</v>
      </c>
      <c r="M39" t="s">
        <v>1803</v>
      </c>
      <c r="N39" s="312">
        <v>2482.44</v>
      </c>
      <c r="O39" s="312">
        <v>43477.120000000003</v>
      </c>
      <c r="P39" s="312"/>
      <c r="Q39" s="312">
        <v>120912.55</v>
      </c>
      <c r="R39" s="312">
        <v>8161.0499999999993</v>
      </c>
    </row>
    <row r="40" spans="6:18">
      <c r="F40" t="s">
        <v>1804</v>
      </c>
      <c r="G40" s="312"/>
      <c r="H40" s="312">
        <v>142.29</v>
      </c>
      <c r="I40" s="312">
        <v>15.96</v>
      </c>
      <c r="J40" s="312">
        <v>185</v>
      </c>
      <c r="K40" s="312">
        <v>88.01</v>
      </c>
      <c r="M40" t="s">
        <v>1804</v>
      </c>
      <c r="N40" s="312"/>
      <c r="O40" s="312">
        <v>96901.47</v>
      </c>
      <c r="P40" s="312">
        <v>19247.03</v>
      </c>
      <c r="Q40" s="312">
        <v>65941.850000000006</v>
      </c>
      <c r="R40" s="312">
        <v>16670.34</v>
      </c>
    </row>
    <row r="41" spans="6:18">
      <c r="F41" t="s">
        <v>1805</v>
      </c>
      <c r="G41" s="312"/>
      <c r="H41" s="312">
        <v>89.77</v>
      </c>
      <c r="I41" s="312">
        <v>28.05</v>
      </c>
      <c r="J41" s="312">
        <v>303.79000000000002</v>
      </c>
      <c r="K41" s="312">
        <v>57.97</v>
      </c>
      <c r="M41" t="s">
        <v>1805</v>
      </c>
      <c r="N41" s="312"/>
      <c r="O41" s="312">
        <v>41580.559999999998</v>
      </c>
      <c r="P41" s="312">
        <v>27402.59</v>
      </c>
      <c r="Q41" s="312">
        <v>113262.84</v>
      </c>
      <c r="R41" s="312">
        <v>18965.599999999999</v>
      </c>
    </row>
    <row r="42" spans="6:18">
      <c r="F42" t="s">
        <v>1806</v>
      </c>
      <c r="G42" s="312"/>
      <c r="H42" s="312">
        <v>64.92</v>
      </c>
      <c r="I42" s="312">
        <v>42.41</v>
      </c>
      <c r="J42" s="312">
        <v>227.91000000000003</v>
      </c>
      <c r="K42" s="312">
        <v>51.89</v>
      </c>
      <c r="M42" t="s">
        <v>1806</v>
      </c>
      <c r="N42" s="312"/>
      <c r="O42" s="312">
        <v>31565.01</v>
      </c>
      <c r="P42" s="312">
        <v>17636.95</v>
      </c>
      <c r="Q42" s="312">
        <v>60983.77</v>
      </c>
      <c r="R42" s="312">
        <v>11363.02</v>
      </c>
    </row>
    <row r="43" spans="6:18">
      <c r="F43" t="s">
        <v>1807</v>
      </c>
      <c r="G43" s="312"/>
      <c r="H43" s="312">
        <v>140.26999999999998</v>
      </c>
      <c r="I43" s="312">
        <v>21.590000000000003</v>
      </c>
      <c r="J43" s="312">
        <v>214.31</v>
      </c>
      <c r="K43" s="312">
        <v>35.99</v>
      </c>
      <c r="M43" t="s">
        <v>1807</v>
      </c>
      <c r="N43" s="312"/>
      <c r="O43" s="312">
        <v>71156.489999999991</v>
      </c>
      <c r="P43" s="312">
        <v>7058.54</v>
      </c>
      <c r="Q43" s="312">
        <v>173625.69</v>
      </c>
      <c r="R43" s="312">
        <v>5584.35</v>
      </c>
    </row>
    <row r="44" spans="6:18">
      <c r="F44" t="s">
        <v>1808</v>
      </c>
      <c r="G44" s="312"/>
      <c r="H44" s="312">
        <v>83.92</v>
      </c>
      <c r="I44" s="312">
        <v>8.83</v>
      </c>
      <c r="J44" s="312">
        <v>260.42</v>
      </c>
      <c r="K44" s="312">
        <v>57.069999999999993</v>
      </c>
      <c r="M44" t="s">
        <v>1808</v>
      </c>
      <c r="N44" s="312"/>
      <c r="O44" s="312">
        <v>54131.009999999995</v>
      </c>
      <c r="P44" s="312">
        <v>4827.8900000000003</v>
      </c>
      <c r="Q44" s="312">
        <v>96692.3</v>
      </c>
      <c r="R44" s="312">
        <v>14729.78</v>
      </c>
    </row>
    <row r="45" spans="6:18">
      <c r="F45" t="s">
        <v>1809</v>
      </c>
      <c r="G45" s="312"/>
      <c r="H45" s="312">
        <v>65.960000000000008</v>
      </c>
      <c r="I45" s="312">
        <v>21.4</v>
      </c>
      <c r="J45" s="312">
        <v>183.71</v>
      </c>
      <c r="K45" s="312">
        <v>24.85</v>
      </c>
      <c r="M45" t="s">
        <v>1809</v>
      </c>
      <c r="N45" s="312"/>
      <c r="O45" s="312">
        <v>32392.980000000003</v>
      </c>
      <c r="P45" s="312">
        <v>8433.369999999999</v>
      </c>
      <c r="Q45" s="312">
        <v>179313.89</v>
      </c>
      <c r="R45" s="312">
        <v>6506.12</v>
      </c>
    </row>
    <row r="46" spans="6:18">
      <c r="F46" t="s">
        <v>1810</v>
      </c>
      <c r="G46" s="312"/>
      <c r="H46" s="312">
        <v>59.849999999999994</v>
      </c>
      <c r="I46" s="312">
        <v>6.22</v>
      </c>
      <c r="J46" s="312">
        <v>130.37</v>
      </c>
      <c r="K46" s="312">
        <v>34.86</v>
      </c>
      <c r="M46" t="s">
        <v>1810</v>
      </c>
      <c r="N46" s="312"/>
      <c r="O46" s="312">
        <v>26674.5</v>
      </c>
      <c r="P46" s="312">
        <v>5793.2900000000009</v>
      </c>
      <c r="Q46" s="312">
        <v>69915.08</v>
      </c>
      <c r="R46" s="312">
        <v>26623.5</v>
      </c>
    </row>
    <row r="47" spans="6:18">
      <c r="F47" t="s">
        <v>1811</v>
      </c>
      <c r="G47" s="312"/>
      <c r="H47" s="312">
        <v>107.17</v>
      </c>
      <c r="I47" s="312">
        <v>26.23</v>
      </c>
      <c r="J47" s="312">
        <v>192.34</v>
      </c>
      <c r="K47" s="312">
        <v>82.8</v>
      </c>
      <c r="M47" t="s">
        <v>1811</v>
      </c>
      <c r="N47" s="312"/>
      <c r="O47" s="312">
        <v>61665.020000000004</v>
      </c>
      <c r="P47" s="312">
        <v>6782.4000000000005</v>
      </c>
      <c r="Q47" s="312">
        <v>85483.459999999992</v>
      </c>
      <c r="R47" s="312">
        <v>25026.17</v>
      </c>
    </row>
    <row r="48" spans="6:18">
      <c r="F48" t="s">
        <v>1812</v>
      </c>
      <c r="G48" s="312"/>
      <c r="H48" s="312">
        <v>89.68</v>
      </c>
      <c r="I48" s="312">
        <v>16.38</v>
      </c>
      <c r="J48" s="312">
        <v>203.44</v>
      </c>
      <c r="K48" s="312">
        <v>43.24</v>
      </c>
      <c r="M48" t="s">
        <v>1812</v>
      </c>
      <c r="N48" s="312"/>
      <c r="O48" s="312">
        <v>34721.360000000001</v>
      </c>
      <c r="P48" s="312">
        <v>7817.24</v>
      </c>
      <c r="Q48" s="312">
        <v>177049.33000000002</v>
      </c>
      <c r="R48" s="312">
        <v>15725.15</v>
      </c>
    </row>
    <row r="49" spans="6:18">
      <c r="F49" t="s">
        <v>1813</v>
      </c>
      <c r="G49" s="312"/>
      <c r="H49" s="312">
        <v>84.039999999999992</v>
      </c>
      <c r="I49" s="312">
        <v>7.79</v>
      </c>
      <c r="J49" s="312">
        <v>148.55000000000001</v>
      </c>
      <c r="K49" s="312">
        <v>79.929999999999993</v>
      </c>
      <c r="M49" t="s">
        <v>1813</v>
      </c>
      <c r="N49" s="312"/>
      <c r="O49" s="312">
        <v>62067.7</v>
      </c>
      <c r="P49" s="312">
        <v>1140.57</v>
      </c>
      <c r="Q49" s="312">
        <v>64682.899999999994</v>
      </c>
      <c r="R49" s="312">
        <v>13908.66</v>
      </c>
    </row>
    <row r="50" spans="6:18">
      <c r="F50" t="s">
        <v>1814</v>
      </c>
      <c r="G50" s="312"/>
      <c r="H50" s="312">
        <v>119.91</v>
      </c>
      <c r="I50" s="312">
        <v>20.71</v>
      </c>
      <c r="J50" s="312">
        <v>237.19</v>
      </c>
      <c r="K50" s="312">
        <v>73.14</v>
      </c>
      <c r="M50" t="s">
        <v>1814</v>
      </c>
      <c r="N50" s="312"/>
      <c r="O50" s="312">
        <v>64099.009999999995</v>
      </c>
      <c r="P50" s="312">
        <v>16855.16</v>
      </c>
      <c r="Q50" s="312">
        <v>135790.32999999999</v>
      </c>
      <c r="R50" s="312">
        <v>26198.649999999998</v>
      </c>
    </row>
    <row r="51" spans="6:18">
      <c r="F51" t="s">
        <v>1815</v>
      </c>
      <c r="G51" s="312"/>
      <c r="H51" s="312">
        <v>159.29</v>
      </c>
      <c r="I51" s="312">
        <v>0.8</v>
      </c>
      <c r="J51" s="312">
        <v>185.39999999999998</v>
      </c>
      <c r="K51" s="312">
        <v>42.69</v>
      </c>
      <c r="M51" t="s">
        <v>1815</v>
      </c>
      <c r="N51" s="312"/>
      <c r="O51" s="312">
        <v>93031.26999999999</v>
      </c>
      <c r="P51" s="312">
        <v>11.83</v>
      </c>
      <c r="Q51" s="312">
        <v>100143.14</v>
      </c>
      <c r="R51" s="312">
        <v>7841.59</v>
      </c>
    </row>
    <row r="52" spans="6:18">
      <c r="F52" t="s">
        <v>1816</v>
      </c>
      <c r="G52" s="312"/>
      <c r="H52" s="312">
        <v>95.02</v>
      </c>
      <c r="I52" s="312">
        <v>22.8</v>
      </c>
      <c r="J52" s="312">
        <v>137.04</v>
      </c>
      <c r="K52" s="312">
        <v>20.57</v>
      </c>
      <c r="M52" t="s">
        <v>1816</v>
      </c>
      <c r="N52" s="312"/>
      <c r="O52" s="312">
        <v>51576.320000000007</v>
      </c>
      <c r="P52" s="312">
        <v>17737.190000000002</v>
      </c>
      <c r="Q52" s="312">
        <v>103631.87</v>
      </c>
      <c r="R52" s="312">
        <v>13056.5</v>
      </c>
    </row>
    <row r="53" spans="6:18">
      <c r="F53" t="s">
        <v>1817</v>
      </c>
      <c r="G53" s="312"/>
      <c r="H53" s="312">
        <v>57.16</v>
      </c>
      <c r="I53" s="312">
        <v>2.8</v>
      </c>
      <c r="J53" s="312">
        <v>151.76999999999998</v>
      </c>
      <c r="K53" s="312">
        <v>16.09</v>
      </c>
      <c r="M53" t="s">
        <v>1817</v>
      </c>
      <c r="N53" s="312"/>
      <c r="O53" s="312">
        <v>29025.360000000001</v>
      </c>
      <c r="P53" s="312">
        <v>1499.45</v>
      </c>
      <c r="Q53" s="312">
        <v>82297.22</v>
      </c>
      <c r="R53" s="312">
        <v>1878.3200000000002</v>
      </c>
    </row>
    <row r="54" spans="6:18">
      <c r="F54" t="s">
        <v>1818</v>
      </c>
      <c r="G54" s="312"/>
      <c r="H54" s="312">
        <v>118.86</v>
      </c>
      <c r="I54" s="312">
        <v>18.52</v>
      </c>
      <c r="J54" s="312">
        <v>197.73</v>
      </c>
      <c r="K54" s="312">
        <v>82.31</v>
      </c>
      <c r="M54" t="s">
        <v>1818</v>
      </c>
      <c r="N54" s="312"/>
      <c r="O54" s="312">
        <v>71451.460000000006</v>
      </c>
      <c r="P54" s="312">
        <v>7815.16</v>
      </c>
      <c r="Q54" s="312">
        <v>112241.45</v>
      </c>
      <c r="R54" s="312">
        <v>24096.43</v>
      </c>
    </row>
    <row r="55" spans="6:18">
      <c r="F55" t="s">
        <v>1819</v>
      </c>
      <c r="G55" s="312"/>
      <c r="H55" s="312">
        <v>79.86</v>
      </c>
      <c r="I55" s="312">
        <v>20.07</v>
      </c>
      <c r="J55" s="312">
        <v>195.93</v>
      </c>
      <c r="K55" s="312">
        <v>61.92</v>
      </c>
      <c r="M55" t="s">
        <v>1819</v>
      </c>
      <c r="N55" s="312"/>
      <c r="O55" s="312">
        <v>34858.43</v>
      </c>
      <c r="P55" s="312">
        <v>19030.36</v>
      </c>
      <c r="Q55" s="312">
        <v>125021.91</v>
      </c>
      <c r="R55" s="312">
        <v>34280.550000000003</v>
      </c>
    </row>
    <row r="56" spans="6:18">
      <c r="F56" t="s">
        <v>1820</v>
      </c>
      <c r="G56" s="312"/>
      <c r="H56" s="312">
        <v>75.539999999999992</v>
      </c>
      <c r="I56" s="312">
        <v>5.13</v>
      </c>
      <c r="J56" s="312">
        <v>173.11</v>
      </c>
      <c r="K56" s="312">
        <v>69.44</v>
      </c>
      <c r="M56" t="s">
        <v>1820</v>
      </c>
      <c r="N56" s="312"/>
      <c r="O56" s="312">
        <v>41332.31</v>
      </c>
      <c r="P56" s="312">
        <v>3726.42</v>
      </c>
      <c r="Q56" s="312">
        <v>118576.45999999999</v>
      </c>
      <c r="R56" s="312">
        <v>22465.559999999998</v>
      </c>
    </row>
    <row r="57" spans="6:18">
      <c r="F57" t="s">
        <v>1821</v>
      </c>
      <c r="G57" s="312"/>
      <c r="H57" s="312">
        <v>105.91</v>
      </c>
      <c r="I57" s="312">
        <v>9.57</v>
      </c>
      <c r="J57" s="312">
        <v>274.03000000000003</v>
      </c>
      <c r="K57" s="312">
        <v>91.25</v>
      </c>
      <c r="M57" t="s">
        <v>1821</v>
      </c>
      <c r="N57" s="312"/>
      <c r="O57" s="312">
        <v>40747.379999999997</v>
      </c>
      <c r="P57" s="312">
        <v>5525.86</v>
      </c>
      <c r="Q57" s="312">
        <v>125188.33</v>
      </c>
      <c r="R57" s="312">
        <v>30597.809999999998</v>
      </c>
    </row>
    <row r="58" spans="6:18">
      <c r="F58" t="s">
        <v>1822</v>
      </c>
      <c r="G58" s="312"/>
      <c r="H58" s="312">
        <v>96.56</v>
      </c>
      <c r="I58" s="312">
        <v>7.49</v>
      </c>
      <c r="J58" s="312">
        <v>276.74</v>
      </c>
      <c r="K58" s="312">
        <v>71.460000000000008</v>
      </c>
      <c r="M58" t="s">
        <v>1822</v>
      </c>
      <c r="N58" s="312"/>
      <c r="O58" s="312">
        <v>66142.06</v>
      </c>
      <c r="P58" s="312">
        <v>4039.89</v>
      </c>
      <c r="Q58" s="312">
        <v>130807.23</v>
      </c>
      <c r="R58" s="312">
        <v>19099.89</v>
      </c>
    </row>
    <row r="59" spans="6:18">
      <c r="F59" t="s">
        <v>1823</v>
      </c>
      <c r="G59" s="312"/>
      <c r="H59" s="312">
        <v>89.26</v>
      </c>
      <c r="I59" s="312">
        <v>14.209999999999999</v>
      </c>
      <c r="J59" s="312">
        <v>129.81</v>
      </c>
      <c r="K59" s="312">
        <v>77.02</v>
      </c>
      <c r="M59" t="s">
        <v>1823</v>
      </c>
      <c r="N59" s="312"/>
      <c r="O59" s="312">
        <v>65397.539999999994</v>
      </c>
      <c r="P59" s="312">
        <v>11459</v>
      </c>
      <c r="Q59" s="312">
        <v>74847.839999999997</v>
      </c>
      <c r="R59" s="312">
        <v>16584.77</v>
      </c>
    </row>
    <row r="60" spans="6:18">
      <c r="F60" t="s">
        <v>1824</v>
      </c>
      <c r="G60" s="312"/>
      <c r="H60" s="312">
        <v>59.15</v>
      </c>
      <c r="I60" s="312"/>
      <c r="J60" s="312">
        <v>143.72999999999999</v>
      </c>
      <c r="K60" s="312">
        <v>22.15</v>
      </c>
      <c r="M60" t="s">
        <v>1824</v>
      </c>
      <c r="N60" s="312"/>
      <c r="O60" s="312">
        <v>23300.42</v>
      </c>
      <c r="P60" s="312"/>
      <c r="Q60" s="312">
        <v>73272.73</v>
      </c>
      <c r="R60" s="312">
        <v>10361.950000000001</v>
      </c>
    </row>
    <row r="61" spans="6:18">
      <c r="F61" t="s">
        <v>1825</v>
      </c>
      <c r="G61" s="312"/>
      <c r="H61" s="312">
        <v>115.23</v>
      </c>
      <c r="I61" s="312">
        <v>27.1</v>
      </c>
      <c r="J61" s="312">
        <v>217.17</v>
      </c>
      <c r="K61" s="312">
        <v>76.84</v>
      </c>
      <c r="M61" t="s">
        <v>1825</v>
      </c>
      <c r="N61" s="312"/>
      <c r="O61" s="312">
        <v>75772.009999999995</v>
      </c>
      <c r="P61" s="312">
        <v>59521.270000000004</v>
      </c>
      <c r="Q61" s="312">
        <v>104538.4</v>
      </c>
      <c r="R61" s="312">
        <v>29443.06</v>
      </c>
    </row>
    <row r="62" spans="6:18">
      <c r="F62" t="s">
        <v>1826</v>
      </c>
      <c r="G62" s="312"/>
      <c r="H62" s="312">
        <v>129.61000000000001</v>
      </c>
      <c r="I62" s="312">
        <v>12.08</v>
      </c>
      <c r="J62" s="312">
        <v>256.76</v>
      </c>
      <c r="K62" s="312">
        <v>68</v>
      </c>
      <c r="M62" t="s">
        <v>1826</v>
      </c>
      <c r="N62" s="312"/>
      <c r="O62" s="312">
        <v>61674.87</v>
      </c>
      <c r="P62" s="312">
        <v>6082.45</v>
      </c>
      <c r="Q62" s="312">
        <v>129073.87000000001</v>
      </c>
      <c r="R62" s="312">
        <v>16573.759999999998</v>
      </c>
    </row>
    <row r="63" spans="6:18">
      <c r="F63" t="s">
        <v>1827</v>
      </c>
      <c r="G63" s="312"/>
      <c r="H63" s="312">
        <v>107.41</v>
      </c>
      <c r="I63" s="312">
        <v>16.48</v>
      </c>
      <c r="J63" s="312">
        <v>258.42</v>
      </c>
      <c r="K63" s="312">
        <v>41.099999999999994</v>
      </c>
      <c r="M63" t="s">
        <v>1827</v>
      </c>
      <c r="N63" s="312"/>
      <c r="O63" s="312">
        <v>40834.03</v>
      </c>
      <c r="P63" s="312">
        <v>4538.03</v>
      </c>
      <c r="Q63" s="312">
        <v>228758.5</v>
      </c>
      <c r="R63" s="312">
        <v>16402.169999999998</v>
      </c>
    </row>
    <row r="64" spans="6:18">
      <c r="F64" t="s">
        <v>1828</v>
      </c>
      <c r="G64" s="312"/>
      <c r="H64" s="312">
        <v>119.18</v>
      </c>
      <c r="I64" s="312">
        <v>5.76</v>
      </c>
      <c r="J64" s="312">
        <v>176.53</v>
      </c>
      <c r="K64" s="312">
        <v>35.339999999999996</v>
      </c>
      <c r="M64" t="s">
        <v>1828</v>
      </c>
      <c r="N64" s="312"/>
      <c r="O64" s="312">
        <v>73179.100000000006</v>
      </c>
      <c r="P64" s="312">
        <v>12924.77</v>
      </c>
      <c r="Q64" s="312">
        <v>107196.81999999999</v>
      </c>
      <c r="R64" s="312">
        <v>15673.539999999999</v>
      </c>
    </row>
    <row r="65" spans="6:18">
      <c r="F65" t="s">
        <v>1829</v>
      </c>
      <c r="G65" s="312"/>
      <c r="H65" s="312">
        <v>156.82999999999998</v>
      </c>
      <c r="I65" s="312">
        <v>18.57</v>
      </c>
      <c r="J65" s="312">
        <v>236.63</v>
      </c>
      <c r="K65" s="312">
        <v>67.89</v>
      </c>
      <c r="M65" t="s">
        <v>1829</v>
      </c>
      <c r="N65" s="312"/>
      <c r="O65" s="312">
        <v>117273.85</v>
      </c>
      <c r="P65" s="312">
        <v>2762.66</v>
      </c>
      <c r="Q65" s="312">
        <v>205139.67</v>
      </c>
      <c r="R65" s="312">
        <v>20615.02</v>
      </c>
    </row>
    <row r="66" spans="6:18">
      <c r="F66" t="s">
        <v>1830</v>
      </c>
      <c r="G66" s="312"/>
      <c r="H66" s="312">
        <v>65.349999999999994</v>
      </c>
      <c r="I66" s="312">
        <v>17.39</v>
      </c>
      <c r="J66" s="312">
        <v>157.69</v>
      </c>
      <c r="K66" s="312">
        <v>38</v>
      </c>
      <c r="M66" t="s">
        <v>1830</v>
      </c>
      <c r="N66" s="312"/>
      <c r="O66" s="312">
        <v>36806.71</v>
      </c>
      <c r="P66" s="312">
        <v>12698.26</v>
      </c>
      <c r="Q66" s="312">
        <v>149005.19999999998</v>
      </c>
      <c r="R66" s="312">
        <v>12905.01</v>
      </c>
    </row>
    <row r="67" spans="6:18">
      <c r="F67" t="s">
        <v>1831</v>
      </c>
      <c r="G67" s="312"/>
      <c r="H67" s="312">
        <v>76.55</v>
      </c>
      <c r="I67" s="312">
        <v>0.7</v>
      </c>
      <c r="J67" s="312">
        <v>145.9</v>
      </c>
      <c r="K67" s="312">
        <v>22.78</v>
      </c>
      <c r="M67" t="s">
        <v>1831</v>
      </c>
      <c r="N67" s="312"/>
      <c r="O67" s="312">
        <v>32905.699999999997</v>
      </c>
      <c r="P67" s="312">
        <v>16.71</v>
      </c>
      <c r="Q67" s="312">
        <v>99315.510000000009</v>
      </c>
      <c r="R67" s="312">
        <v>9889.83</v>
      </c>
    </row>
    <row r="68" spans="6:18">
      <c r="F68" t="s">
        <v>1832</v>
      </c>
      <c r="G68" s="312"/>
      <c r="H68" s="312">
        <v>118.84</v>
      </c>
      <c r="I68" s="312">
        <v>0.79</v>
      </c>
      <c r="J68" s="312">
        <v>175.97</v>
      </c>
      <c r="K68" s="312">
        <v>84.300000000000011</v>
      </c>
      <c r="M68" t="s">
        <v>1832</v>
      </c>
      <c r="N68" s="312"/>
      <c r="O68" s="312">
        <v>51725.490000000005</v>
      </c>
      <c r="P68" s="312">
        <v>468</v>
      </c>
      <c r="Q68" s="312">
        <v>69653.509999999995</v>
      </c>
      <c r="R68" s="312">
        <v>20385.120000000003</v>
      </c>
    </row>
    <row r="69" spans="6:18">
      <c r="F69" t="s">
        <v>1833</v>
      </c>
      <c r="G69" s="312"/>
      <c r="H69" s="312">
        <v>115.27</v>
      </c>
      <c r="I69" s="312">
        <v>7.7</v>
      </c>
      <c r="J69" s="312">
        <v>206.7</v>
      </c>
      <c r="K69" s="312">
        <v>53.53</v>
      </c>
      <c r="M69" t="s">
        <v>1833</v>
      </c>
      <c r="N69" s="312"/>
      <c r="O69" s="312">
        <v>59762.2</v>
      </c>
      <c r="P69" s="312">
        <v>14417.91</v>
      </c>
      <c r="Q69" s="312">
        <v>151483.09999999998</v>
      </c>
      <c r="R69" s="312">
        <v>19311.73</v>
      </c>
    </row>
    <row r="70" spans="6:18">
      <c r="F70" t="s">
        <v>1834</v>
      </c>
      <c r="G70" s="312"/>
      <c r="H70" s="312">
        <v>122.27000000000001</v>
      </c>
      <c r="I70" s="312">
        <v>19.010000000000002</v>
      </c>
      <c r="J70" s="312">
        <v>70.11</v>
      </c>
      <c r="K70" s="312">
        <v>92.820000000000007</v>
      </c>
      <c r="M70" t="s">
        <v>1834</v>
      </c>
      <c r="N70" s="312"/>
      <c r="O70" s="312">
        <v>72311.63</v>
      </c>
      <c r="P70" s="312">
        <v>21047.599999999999</v>
      </c>
      <c r="Q70" s="312">
        <v>29088.97</v>
      </c>
      <c r="R70" s="312">
        <v>42938.5</v>
      </c>
    </row>
    <row r="71" spans="6:18">
      <c r="F71" t="s">
        <v>1835</v>
      </c>
      <c r="G71" s="312"/>
      <c r="H71" s="312">
        <v>104.56</v>
      </c>
      <c r="I71" s="312">
        <v>18.27</v>
      </c>
      <c r="J71" s="312">
        <v>203.13</v>
      </c>
      <c r="K71" s="312">
        <v>74.960000000000008</v>
      </c>
      <c r="M71" t="s">
        <v>1835</v>
      </c>
      <c r="N71" s="312"/>
      <c r="O71" s="312">
        <v>44714.869999999995</v>
      </c>
      <c r="P71" s="312">
        <v>6653.4500000000007</v>
      </c>
      <c r="Q71" s="312">
        <v>169079.01</v>
      </c>
      <c r="R71" s="312">
        <v>29222.550000000003</v>
      </c>
    </row>
    <row r="72" spans="6:18">
      <c r="F72" t="s">
        <v>1836</v>
      </c>
      <c r="G72" s="312"/>
      <c r="H72" s="312">
        <v>91.03</v>
      </c>
      <c r="I72" s="312">
        <v>28.7</v>
      </c>
      <c r="J72" s="312">
        <v>279.93</v>
      </c>
      <c r="K72" s="312">
        <v>98.25</v>
      </c>
      <c r="M72" t="s">
        <v>1836</v>
      </c>
      <c r="N72" s="312"/>
      <c r="O72" s="312">
        <v>39423.800000000003</v>
      </c>
      <c r="P72" s="312">
        <v>10972.53</v>
      </c>
      <c r="Q72" s="312">
        <v>95087.51</v>
      </c>
      <c r="R72" s="312">
        <v>28313.589999999997</v>
      </c>
    </row>
    <row r="73" spans="6:18">
      <c r="F73" t="s">
        <v>1837</v>
      </c>
      <c r="G73" s="312"/>
      <c r="H73" s="312">
        <v>77.84</v>
      </c>
      <c r="I73" s="312">
        <v>5.1100000000000003</v>
      </c>
      <c r="J73" s="312">
        <v>156.04</v>
      </c>
      <c r="K73" s="312">
        <v>30.88</v>
      </c>
      <c r="M73" t="s">
        <v>1837</v>
      </c>
      <c r="N73" s="312"/>
      <c r="O73" s="312">
        <v>36117.96</v>
      </c>
      <c r="P73" s="312">
        <v>1968.3600000000001</v>
      </c>
      <c r="Q73" s="312">
        <v>68883.539999999994</v>
      </c>
      <c r="R73" s="312">
        <v>10992.98</v>
      </c>
    </row>
    <row r="74" spans="6:18">
      <c r="F74" t="s">
        <v>1838</v>
      </c>
      <c r="G74" s="312"/>
      <c r="H74" s="312">
        <v>69.819999999999993</v>
      </c>
      <c r="I74" s="312">
        <v>0.79</v>
      </c>
      <c r="J74" s="312">
        <v>116.75999999999999</v>
      </c>
      <c r="K74" s="312">
        <v>50.019999999999996</v>
      </c>
      <c r="M74" t="s">
        <v>1838</v>
      </c>
      <c r="N74" s="312"/>
      <c r="O74" s="312">
        <v>92216.52</v>
      </c>
      <c r="P74" s="312">
        <v>127.59</v>
      </c>
      <c r="Q74" s="312">
        <v>100711.92</v>
      </c>
      <c r="R74" s="312">
        <v>34234.61</v>
      </c>
    </row>
    <row r="75" spans="6:18">
      <c r="F75" t="s">
        <v>1839</v>
      </c>
      <c r="G75" s="312"/>
      <c r="H75" s="312">
        <v>134.74</v>
      </c>
      <c r="I75" s="312">
        <v>4.2200000000000006</v>
      </c>
      <c r="J75" s="312">
        <v>226.76</v>
      </c>
      <c r="K75" s="312">
        <v>60.17</v>
      </c>
      <c r="M75" t="s">
        <v>1839</v>
      </c>
      <c r="N75" s="312"/>
      <c r="O75" s="312">
        <v>92195.28</v>
      </c>
      <c r="P75" s="312">
        <v>6229.01</v>
      </c>
      <c r="Q75" s="312">
        <v>241550.33</v>
      </c>
      <c r="R75" s="312">
        <v>17859.650000000001</v>
      </c>
    </row>
    <row r="76" spans="6:18">
      <c r="F76" t="s">
        <v>1840</v>
      </c>
      <c r="G76" s="312"/>
      <c r="H76" s="312">
        <v>117.22999999999999</v>
      </c>
      <c r="I76" s="312">
        <v>7.08</v>
      </c>
      <c r="J76" s="312">
        <v>214.31</v>
      </c>
      <c r="K76" s="312">
        <v>89</v>
      </c>
      <c r="M76" t="s">
        <v>1840</v>
      </c>
      <c r="N76" s="312"/>
      <c r="O76" s="312">
        <v>59979.659999999996</v>
      </c>
      <c r="P76" s="312">
        <v>858.6</v>
      </c>
      <c r="Q76" s="312">
        <v>80151.06</v>
      </c>
      <c r="R76" s="312">
        <v>41922.21</v>
      </c>
    </row>
    <row r="77" spans="6:18">
      <c r="F77" t="s">
        <v>1841</v>
      </c>
      <c r="G77" s="312"/>
      <c r="H77" s="312">
        <v>110.12</v>
      </c>
      <c r="I77" s="312">
        <v>6.4399999999999995</v>
      </c>
      <c r="J77" s="312">
        <v>257.14999999999998</v>
      </c>
      <c r="K77" s="312">
        <v>51.94</v>
      </c>
      <c r="M77" t="s">
        <v>1841</v>
      </c>
      <c r="N77" s="312"/>
      <c r="O77" s="312">
        <v>59749.58</v>
      </c>
      <c r="P77" s="312">
        <v>1737.55</v>
      </c>
      <c r="Q77" s="312">
        <v>160204.35999999999</v>
      </c>
      <c r="R77" s="312">
        <v>14807.54</v>
      </c>
    </row>
    <row r="78" spans="6:18">
      <c r="F78" t="s">
        <v>1842</v>
      </c>
      <c r="G78" s="312"/>
      <c r="H78" s="312">
        <v>98.34</v>
      </c>
      <c r="I78" s="312">
        <v>15.9</v>
      </c>
      <c r="J78" s="312">
        <v>275.92</v>
      </c>
      <c r="K78" s="312">
        <v>68.099999999999994</v>
      </c>
      <c r="M78" t="s">
        <v>1842</v>
      </c>
      <c r="N78" s="312"/>
      <c r="O78" s="312">
        <v>58704.01</v>
      </c>
      <c r="P78" s="312">
        <v>6059.33</v>
      </c>
      <c r="Q78" s="312">
        <v>173856.9</v>
      </c>
      <c r="R78" s="312">
        <v>19109.39</v>
      </c>
    </row>
    <row r="79" spans="6:18">
      <c r="F79" t="s">
        <v>1843</v>
      </c>
      <c r="G79" s="312"/>
      <c r="H79" s="312">
        <v>104.27000000000001</v>
      </c>
      <c r="I79" s="312">
        <v>6.39</v>
      </c>
      <c r="J79" s="312">
        <v>178.12</v>
      </c>
      <c r="K79" s="312">
        <v>78.740000000000009</v>
      </c>
      <c r="M79" t="s">
        <v>1843</v>
      </c>
      <c r="N79" s="312"/>
      <c r="O79" s="312">
        <v>33584.46</v>
      </c>
      <c r="P79" s="312">
        <v>1520.26</v>
      </c>
      <c r="Q79" s="312">
        <v>77277.600000000006</v>
      </c>
      <c r="R79" s="312">
        <v>25048.98</v>
      </c>
    </row>
    <row r="80" spans="6:18">
      <c r="F80" t="s">
        <v>1844</v>
      </c>
      <c r="G80" s="312"/>
      <c r="H80" s="312">
        <v>47.06</v>
      </c>
      <c r="I80" s="312">
        <v>6.76</v>
      </c>
      <c r="J80" s="312">
        <v>155.61000000000001</v>
      </c>
      <c r="K80" s="312">
        <v>96.59</v>
      </c>
      <c r="M80" t="s">
        <v>1844</v>
      </c>
      <c r="N80" s="312"/>
      <c r="O80" s="312">
        <v>25342.730000000003</v>
      </c>
      <c r="P80" s="312">
        <v>3252.3599999999997</v>
      </c>
      <c r="Q80" s="312">
        <v>85530.5</v>
      </c>
      <c r="R80" s="312">
        <v>41117.599999999999</v>
      </c>
    </row>
    <row r="81" spans="6:18">
      <c r="F81" t="s">
        <v>1845</v>
      </c>
      <c r="G81" s="312"/>
      <c r="H81" s="312">
        <v>73.27000000000001</v>
      </c>
      <c r="I81" s="312">
        <v>1</v>
      </c>
      <c r="J81" s="312">
        <v>50.510000000000005</v>
      </c>
      <c r="K81" s="312">
        <v>36.450000000000003</v>
      </c>
      <c r="M81" t="s">
        <v>1845</v>
      </c>
      <c r="N81" s="312"/>
      <c r="O81" s="312">
        <v>32869.07</v>
      </c>
      <c r="P81" s="312">
        <v>156.09</v>
      </c>
      <c r="Q81" s="312">
        <v>35253.47</v>
      </c>
      <c r="R81" s="312">
        <v>14868.57</v>
      </c>
    </row>
    <row r="82" spans="6:18">
      <c r="F82" t="s">
        <v>1846</v>
      </c>
      <c r="G82" s="312"/>
      <c r="H82" s="312">
        <v>100.65</v>
      </c>
      <c r="I82" s="312">
        <v>10.039999999999999</v>
      </c>
      <c r="J82" s="312">
        <v>228.16</v>
      </c>
      <c r="K82" s="312">
        <v>84.68</v>
      </c>
      <c r="M82" t="s">
        <v>1846</v>
      </c>
      <c r="N82" s="312"/>
      <c r="O82" s="312">
        <v>58121.82</v>
      </c>
      <c r="P82" s="312">
        <v>4749.93</v>
      </c>
      <c r="Q82" s="312">
        <v>124177.29000000001</v>
      </c>
      <c r="R82" s="312">
        <v>35538.270000000004</v>
      </c>
    </row>
    <row r="83" spans="6:18">
      <c r="F83" t="s">
        <v>1847</v>
      </c>
      <c r="G83" s="312"/>
      <c r="H83" s="312">
        <v>110.74000000000001</v>
      </c>
      <c r="I83" s="312">
        <v>15.17</v>
      </c>
      <c r="J83" s="312">
        <v>182.71</v>
      </c>
      <c r="K83" s="312">
        <v>92.509999999999991</v>
      </c>
      <c r="M83" t="s">
        <v>1847</v>
      </c>
      <c r="N83" s="312"/>
      <c r="O83" s="312">
        <v>48175.95</v>
      </c>
      <c r="P83" s="312">
        <v>10051.4</v>
      </c>
      <c r="Q83" s="312">
        <v>95507.09</v>
      </c>
      <c r="R83" s="312">
        <v>37065.46</v>
      </c>
    </row>
    <row r="84" spans="6:18">
      <c r="F84" t="s">
        <v>1848</v>
      </c>
      <c r="G84" s="312"/>
      <c r="H84" s="312">
        <v>73.760000000000005</v>
      </c>
      <c r="I84" s="312">
        <v>26.29</v>
      </c>
      <c r="J84" s="312">
        <v>124.11</v>
      </c>
      <c r="K84" s="312">
        <v>58.17</v>
      </c>
      <c r="M84" t="s">
        <v>1848</v>
      </c>
      <c r="N84" s="312"/>
      <c r="O84" s="312">
        <v>32489.48</v>
      </c>
      <c r="P84" s="312">
        <v>20508.36</v>
      </c>
      <c r="Q84" s="312">
        <v>62647.13</v>
      </c>
      <c r="R84" s="312">
        <v>22702.379999999997</v>
      </c>
    </row>
    <row r="85" spans="6:18">
      <c r="F85" t="s">
        <v>1849</v>
      </c>
      <c r="G85" s="312"/>
      <c r="H85" s="312">
        <v>76.680000000000007</v>
      </c>
      <c r="I85" s="312">
        <v>26.990000000000002</v>
      </c>
      <c r="J85" s="312">
        <v>257.52</v>
      </c>
      <c r="K85" s="312">
        <v>81.209999999999994</v>
      </c>
      <c r="M85" t="s">
        <v>1849</v>
      </c>
      <c r="N85" s="312"/>
      <c r="O85" s="312">
        <v>34148.25</v>
      </c>
      <c r="P85" s="312">
        <v>12552.380000000001</v>
      </c>
      <c r="Q85" s="312">
        <v>137329.57</v>
      </c>
      <c r="R85" s="312">
        <v>17864.310000000001</v>
      </c>
    </row>
    <row r="86" spans="6:18">
      <c r="F86" t="s">
        <v>1850</v>
      </c>
      <c r="G86" s="312"/>
      <c r="H86" s="312">
        <v>148.34</v>
      </c>
      <c r="I86" s="312">
        <v>6.68</v>
      </c>
      <c r="J86" s="312">
        <v>317.52999999999997</v>
      </c>
      <c r="K86" s="312">
        <v>85.43</v>
      </c>
      <c r="M86" t="s">
        <v>1850</v>
      </c>
      <c r="N86" s="312"/>
      <c r="O86" s="312">
        <v>87758.9</v>
      </c>
      <c r="P86" s="312">
        <v>3047.72</v>
      </c>
      <c r="Q86" s="312">
        <v>205112.94999999998</v>
      </c>
      <c r="R86" s="312">
        <v>42936.56</v>
      </c>
    </row>
    <row r="87" spans="6:18">
      <c r="F87" t="s">
        <v>1851</v>
      </c>
      <c r="G87" s="312"/>
      <c r="H87" s="312">
        <v>45.629999999999995</v>
      </c>
      <c r="I87" s="312">
        <v>0.79</v>
      </c>
      <c r="J87" s="312">
        <v>136.71</v>
      </c>
      <c r="K87" s="312">
        <v>50.67</v>
      </c>
      <c r="M87" t="s">
        <v>1851</v>
      </c>
      <c r="N87" s="312"/>
      <c r="O87" s="312">
        <v>32829.58</v>
      </c>
      <c r="P87" s="312">
        <v>17.86</v>
      </c>
      <c r="Q87" s="312">
        <v>86175.049999999988</v>
      </c>
      <c r="R87" s="312">
        <v>11246.17</v>
      </c>
    </row>
    <row r="88" spans="6:18">
      <c r="F88" t="s">
        <v>1852</v>
      </c>
      <c r="G88" s="312"/>
      <c r="H88" s="312">
        <v>74.97</v>
      </c>
      <c r="I88" s="312">
        <v>2.48</v>
      </c>
      <c r="J88" s="312">
        <v>157.04</v>
      </c>
      <c r="K88" s="312">
        <v>47.77</v>
      </c>
      <c r="M88" t="s">
        <v>1852</v>
      </c>
      <c r="N88" s="312"/>
      <c r="O88" s="312">
        <v>39587.99</v>
      </c>
      <c r="P88" s="312">
        <v>592.85</v>
      </c>
      <c r="Q88" s="312">
        <v>131486.14000000001</v>
      </c>
      <c r="R88" s="312">
        <v>13403.46</v>
      </c>
    </row>
    <row r="89" spans="6:18">
      <c r="F89" t="s">
        <v>1853</v>
      </c>
      <c r="G89" s="312"/>
      <c r="H89" s="312">
        <v>105.29</v>
      </c>
      <c r="I89" s="312">
        <v>23.33</v>
      </c>
      <c r="J89" s="312">
        <v>247.2</v>
      </c>
      <c r="K89" s="312">
        <v>80.039999999999992</v>
      </c>
      <c r="M89" t="s">
        <v>1853</v>
      </c>
      <c r="N89" s="312"/>
      <c r="O89" s="312">
        <v>50161.350000000006</v>
      </c>
      <c r="P89" s="312">
        <v>21384.52</v>
      </c>
      <c r="Q89" s="312">
        <v>137899.47</v>
      </c>
      <c r="R89" s="312">
        <v>17531.580000000002</v>
      </c>
    </row>
    <row r="90" spans="6:18">
      <c r="F90" t="s">
        <v>1854</v>
      </c>
      <c r="G90" s="312">
        <v>6.83</v>
      </c>
      <c r="H90" s="312">
        <v>74.42</v>
      </c>
      <c r="I90" s="312">
        <v>18.41</v>
      </c>
      <c r="J90" s="312">
        <v>270.26</v>
      </c>
      <c r="K90" s="312">
        <v>118.06</v>
      </c>
      <c r="M90" t="s">
        <v>1854</v>
      </c>
      <c r="N90" s="312">
        <v>2303.0100000000002</v>
      </c>
      <c r="O90" s="312">
        <v>42382.619999999995</v>
      </c>
      <c r="P90" s="312">
        <v>17283.23</v>
      </c>
      <c r="Q90" s="312">
        <v>154497.47999999998</v>
      </c>
      <c r="R90" s="312">
        <v>38996.239999999998</v>
      </c>
    </row>
    <row r="91" spans="6:18">
      <c r="F91" t="s">
        <v>1855</v>
      </c>
      <c r="G91" s="312"/>
      <c r="H91" s="312">
        <v>139.38</v>
      </c>
      <c r="I91" s="312">
        <v>18.88</v>
      </c>
      <c r="J91" s="312">
        <v>280.89</v>
      </c>
      <c r="K91" s="312">
        <v>66.84</v>
      </c>
      <c r="M91" t="s">
        <v>1855</v>
      </c>
      <c r="N91" s="312"/>
      <c r="O91" s="312">
        <v>87307.36</v>
      </c>
      <c r="P91" s="312">
        <v>17257.02</v>
      </c>
      <c r="Q91" s="312">
        <v>177902.57</v>
      </c>
      <c r="R91" s="312">
        <v>14536.619999999999</v>
      </c>
    </row>
    <row r="92" spans="6:18">
      <c r="F92" t="s">
        <v>1856</v>
      </c>
      <c r="G92" s="312"/>
      <c r="H92" s="312">
        <v>124.48</v>
      </c>
      <c r="I92" s="312">
        <v>8.15</v>
      </c>
      <c r="J92" s="312">
        <v>262.03999999999996</v>
      </c>
      <c r="K92" s="312">
        <v>80.13</v>
      </c>
      <c r="M92" t="s">
        <v>1856</v>
      </c>
      <c r="N92" s="312"/>
      <c r="O92" s="312">
        <v>48536.639999999999</v>
      </c>
      <c r="P92" s="312">
        <v>4383.09</v>
      </c>
      <c r="Q92" s="312">
        <v>195153.69999999998</v>
      </c>
      <c r="R92" s="312">
        <v>21584.489999999998</v>
      </c>
    </row>
    <row r="93" spans="6:18">
      <c r="F93" t="s">
        <v>1857</v>
      </c>
      <c r="G93" s="312"/>
      <c r="H93" s="312">
        <v>116.02000000000001</v>
      </c>
      <c r="I93" s="312">
        <v>24.84</v>
      </c>
      <c r="J93" s="312">
        <v>298.20999999999998</v>
      </c>
      <c r="K93" s="312">
        <v>33.380000000000003</v>
      </c>
      <c r="M93" t="s">
        <v>1857</v>
      </c>
      <c r="N93" s="312"/>
      <c r="O93" s="312">
        <v>79034.650000000009</v>
      </c>
      <c r="P93" s="312">
        <v>10169.950000000001</v>
      </c>
      <c r="Q93" s="312">
        <v>199261.92</v>
      </c>
      <c r="R93" s="312">
        <v>12248.5</v>
      </c>
    </row>
    <row r="94" spans="6:18">
      <c r="F94" t="s">
        <v>1858</v>
      </c>
      <c r="G94" s="312"/>
      <c r="H94" s="312">
        <v>95.11</v>
      </c>
      <c r="I94" s="312">
        <v>3.62</v>
      </c>
      <c r="J94" s="312">
        <v>173.68</v>
      </c>
      <c r="K94" s="312">
        <v>43.05</v>
      </c>
      <c r="M94" t="s">
        <v>1858</v>
      </c>
      <c r="N94" s="312"/>
      <c r="O94" s="312">
        <v>44600.350000000006</v>
      </c>
      <c r="P94" s="312">
        <v>3531</v>
      </c>
      <c r="Q94" s="312">
        <v>107356.70000000001</v>
      </c>
      <c r="R94" s="312">
        <v>29646.059999999998</v>
      </c>
    </row>
    <row r="95" spans="6:18">
      <c r="F95" t="s">
        <v>1859</v>
      </c>
      <c r="G95" s="312"/>
      <c r="H95" s="312">
        <v>65.55</v>
      </c>
      <c r="I95" s="312">
        <v>12.43</v>
      </c>
      <c r="J95" s="312">
        <v>55.43</v>
      </c>
      <c r="K95" s="312">
        <v>41.54</v>
      </c>
      <c r="M95" t="s">
        <v>1859</v>
      </c>
      <c r="N95" s="312"/>
      <c r="O95" s="312">
        <v>30796.560000000001</v>
      </c>
      <c r="P95" s="312">
        <v>8315.9699999999993</v>
      </c>
      <c r="Q95" s="312">
        <v>33906.400000000001</v>
      </c>
      <c r="R95" s="312">
        <v>11132.64</v>
      </c>
    </row>
    <row r="96" spans="6:18">
      <c r="F96" t="s">
        <v>1860</v>
      </c>
      <c r="G96" s="312"/>
      <c r="H96" s="312">
        <v>114.33000000000001</v>
      </c>
      <c r="I96" s="312">
        <v>3.25</v>
      </c>
      <c r="J96" s="312">
        <v>222.07999999999998</v>
      </c>
      <c r="K96" s="312">
        <v>119.43</v>
      </c>
      <c r="M96" t="s">
        <v>1860</v>
      </c>
      <c r="N96" s="312"/>
      <c r="O96" s="312">
        <v>58913.5</v>
      </c>
      <c r="P96" s="312">
        <v>520.70000000000005</v>
      </c>
      <c r="Q96" s="312">
        <v>186325.01</v>
      </c>
      <c r="R96" s="312">
        <v>46039.93</v>
      </c>
    </row>
    <row r="97" spans="6:18">
      <c r="F97" t="s">
        <v>1861</v>
      </c>
      <c r="G97" s="312"/>
      <c r="H97" s="312">
        <v>92.24</v>
      </c>
      <c r="I97" s="312">
        <v>15.15</v>
      </c>
      <c r="J97" s="312">
        <v>220.64000000000001</v>
      </c>
      <c r="K97" s="312">
        <v>54.099999999999994</v>
      </c>
      <c r="M97" t="s">
        <v>1861</v>
      </c>
      <c r="N97" s="312"/>
      <c r="O97" s="312">
        <v>38209.879999999997</v>
      </c>
      <c r="P97" s="312">
        <v>9103.64</v>
      </c>
      <c r="Q97" s="312">
        <v>155362.21</v>
      </c>
      <c r="R97" s="312">
        <v>19049.21</v>
      </c>
    </row>
    <row r="98" spans="6:18">
      <c r="F98" t="s">
        <v>1862</v>
      </c>
      <c r="G98" s="312"/>
      <c r="H98" s="312">
        <v>121.00999999999999</v>
      </c>
      <c r="I98" s="312">
        <v>6.41</v>
      </c>
      <c r="J98" s="312">
        <v>233.29999999999998</v>
      </c>
      <c r="K98" s="312">
        <v>95.53</v>
      </c>
      <c r="M98" t="s">
        <v>1862</v>
      </c>
      <c r="N98" s="312"/>
      <c r="O98" s="312">
        <v>72555.03</v>
      </c>
      <c r="P98" s="312">
        <v>3882.49</v>
      </c>
      <c r="Q98" s="312">
        <v>179577.24</v>
      </c>
      <c r="R98" s="312">
        <v>37337.49</v>
      </c>
    </row>
    <row r="99" spans="6:18">
      <c r="F99" t="s">
        <v>1863</v>
      </c>
      <c r="G99" s="312"/>
      <c r="H99" s="312">
        <v>89.31</v>
      </c>
      <c r="I99" s="312">
        <v>16.86</v>
      </c>
      <c r="J99" s="312">
        <v>279.20999999999998</v>
      </c>
      <c r="K99" s="312">
        <v>77.199999999999989</v>
      </c>
      <c r="M99" t="s">
        <v>1863</v>
      </c>
      <c r="N99" s="312"/>
      <c r="O99" s="312">
        <v>79321.820000000007</v>
      </c>
      <c r="P99" s="312">
        <v>8531.2099999999991</v>
      </c>
      <c r="Q99" s="312">
        <v>239741.81</v>
      </c>
      <c r="R99" s="312">
        <v>48316.17</v>
      </c>
    </row>
    <row r="100" spans="6:18">
      <c r="F100" t="s">
        <v>1864</v>
      </c>
      <c r="G100" s="312"/>
      <c r="H100" s="312">
        <v>102.55</v>
      </c>
      <c r="I100" s="312">
        <v>31.62</v>
      </c>
      <c r="J100" s="312">
        <v>214.17000000000002</v>
      </c>
      <c r="K100" s="312">
        <v>106.53999999999999</v>
      </c>
      <c r="M100" t="s">
        <v>1864</v>
      </c>
      <c r="N100" s="312"/>
      <c r="O100" s="312">
        <v>37801.589999999997</v>
      </c>
      <c r="P100" s="312">
        <v>18470.55</v>
      </c>
      <c r="Q100" s="312">
        <v>96374.6</v>
      </c>
      <c r="R100" s="312">
        <v>24444.14</v>
      </c>
    </row>
    <row r="101" spans="6:18">
      <c r="F101" t="s">
        <v>1865</v>
      </c>
      <c r="G101" s="312"/>
      <c r="H101" s="312">
        <v>91.22</v>
      </c>
      <c r="I101" s="312">
        <v>10.32</v>
      </c>
      <c r="J101" s="312">
        <v>157.45999999999998</v>
      </c>
      <c r="K101" s="312">
        <v>49.519999999999996</v>
      </c>
      <c r="M101" t="s">
        <v>1865</v>
      </c>
      <c r="N101" s="312"/>
      <c r="O101" s="312">
        <v>35417.22</v>
      </c>
      <c r="P101" s="312">
        <v>13606.96</v>
      </c>
      <c r="Q101" s="312">
        <v>176823.73</v>
      </c>
      <c r="R101" s="312">
        <v>15808.029999999999</v>
      </c>
    </row>
    <row r="102" spans="6:18">
      <c r="F102" t="s">
        <v>1866</v>
      </c>
      <c r="G102" s="312"/>
      <c r="H102" s="312">
        <v>82.1</v>
      </c>
      <c r="I102" s="312">
        <v>5.67</v>
      </c>
      <c r="J102" s="312">
        <v>138.47</v>
      </c>
      <c r="K102" s="312">
        <v>36.450000000000003</v>
      </c>
      <c r="M102" t="s">
        <v>1866</v>
      </c>
      <c r="N102" s="312"/>
      <c r="O102" s="312">
        <v>66336.509999999995</v>
      </c>
      <c r="P102" s="312">
        <v>5059.3900000000003</v>
      </c>
      <c r="Q102" s="312">
        <v>75897.5</v>
      </c>
      <c r="R102" s="312">
        <v>16456.489999999998</v>
      </c>
    </row>
    <row r="103" spans="6:18">
      <c r="F103" t="s">
        <v>1867</v>
      </c>
      <c r="G103" s="312"/>
      <c r="H103" s="312">
        <v>115.91</v>
      </c>
      <c r="I103" s="312">
        <v>4.8499999999999996</v>
      </c>
      <c r="J103" s="312">
        <v>262.5</v>
      </c>
      <c r="K103" s="312">
        <v>68.77000000000001</v>
      </c>
      <c r="M103" t="s">
        <v>1867</v>
      </c>
      <c r="N103" s="312"/>
      <c r="O103" s="312">
        <v>72938.649999999994</v>
      </c>
      <c r="P103" s="312">
        <v>1566.88</v>
      </c>
      <c r="Q103" s="312">
        <v>276155.14999999997</v>
      </c>
      <c r="R103" s="312">
        <v>20474.629999999997</v>
      </c>
    </row>
    <row r="104" spans="6:18">
      <c r="F104" t="s">
        <v>1868</v>
      </c>
      <c r="G104" s="312"/>
      <c r="H104" s="312">
        <v>133.06</v>
      </c>
      <c r="I104" s="312">
        <v>11.68</v>
      </c>
      <c r="J104" s="312">
        <v>231.31</v>
      </c>
      <c r="K104" s="312">
        <v>69.06</v>
      </c>
      <c r="M104" t="s">
        <v>1868</v>
      </c>
      <c r="N104" s="312"/>
      <c r="O104" s="312">
        <v>52811.55</v>
      </c>
      <c r="P104" s="312">
        <v>7113.66</v>
      </c>
      <c r="Q104" s="312">
        <v>132611.01999999999</v>
      </c>
      <c r="R104" s="312">
        <v>21895</v>
      </c>
    </row>
    <row r="105" spans="6:18">
      <c r="F105" t="s">
        <v>1869</v>
      </c>
      <c r="G105" s="312"/>
      <c r="H105" s="312">
        <v>138.45999999999998</v>
      </c>
      <c r="I105" s="312">
        <v>20.43</v>
      </c>
      <c r="J105" s="312">
        <v>222.59</v>
      </c>
      <c r="K105" s="312">
        <v>37.590000000000003</v>
      </c>
      <c r="M105" t="s">
        <v>1869</v>
      </c>
      <c r="N105" s="312"/>
      <c r="O105" s="312">
        <v>70929.7</v>
      </c>
      <c r="P105" s="312">
        <v>4800.3200000000006</v>
      </c>
      <c r="Q105" s="312">
        <v>117955.06999999999</v>
      </c>
      <c r="R105" s="312">
        <v>17695.27</v>
      </c>
    </row>
    <row r="106" spans="6:18">
      <c r="F106" t="s">
        <v>1870</v>
      </c>
      <c r="G106" s="312"/>
      <c r="H106" s="312">
        <v>109.96</v>
      </c>
      <c r="I106" s="312">
        <v>15.21</v>
      </c>
      <c r="J106" s="312">
        <v>262.34000000000003</v>
      </c>
      <c r="K106" s="312">
        <v>125.36999999999999</v>
      </c>
      <c r="M106" t="s">
        <v>1870</v>
      </c>
      <c r="N106" s="312"/>
      <c r="O106" s="312">
        <v>47008.19</v>
      </c>
      <c r="P106" s="312">
        <v>6753.42</v>
      </c>
      <c r="Q106" s="312">
        <v>153954.66999999998</v>
      </c>
      <c r="R106" s="312">
        <v>27890.62</v>
      </c>
    </row>
    <row r="107" spans="6:18">
      <c r="F107" t="s">
        <v>1871</v>
      </c>
      <c r="G107" s="312"/>
      <c r="H107" s="312">
        <v>110.78999999999999</v>
      </c>
      <c r="I107" s="312"/>
      <c r="J107" s="312">
        <v>223.57</v>
      </c>
      <c r="K107" s="312">
        <v>76.569999999999993</v>
      </c>
      <c r="M107" t="s">
        <v>1871</v>
      </c>
      <c r="N107" s="312"/>
      <c r="O107" s="312">
        <v>40351.47</v>
      </c>
      <c r="P107" s="312"/>
      <c r="Q107" s="312">
        <v>144157.63999999998</v>
      </c>
      <c r="R107" s="312">
        <v>20024.939999999999</v>
      </c>
    </row>
    <row r="108" spans="6:18">
      <c r="F108" t="s">
        <v>1872</v>
      </c>
      <c r="G108" s="312"/>
      <c r="H108" s="312">
        <v>40.82</v>
      </c>
      <c r="I108" s="312">
        <v>26.68</v>
      </c>
      <c r="J108" s="312">
        <v>127.55</v>
      </c>
      <c r="K108" s="312">
        <v>54.52</v>
      </c>
      <c r="M108" t="s">
        <v>1872</v>
      </c>
      <c r="N108" s="312"/>
      <c r="O108" s="312">
        <v>26491.84</v>
      </c>
      <c r="P108" s="312">
        <v>17910.509999999998</v>
      </c>
      <c r="Q108" s="312">
        <v>92517.010000000009</v>
      </c>
      <c r="R108" s="312">
        <v>14756.01</v>
      </c>
    </row>
    <row r="109" spans="6:18">
      <c r="F109" t="s">
        <v>1873</v>
      </c>
      <c r="G109" s="312"/>
      <c r="H109" s="312">
        <v>100.78999999999999</v>
      </c>
      <c r="I109" s="312">
        <v>4.26</v>
      </c>
      <c r="J109" s="312">
        <v>125.64999999999999</v>
      </c>
      <c r="K109" s="312">
        <v>45.94</v>
      </c>
      <c r="M109" t="s">
        <v>1873</v>
      </c>
      <c r="N109" s="312"/>
      <c r="O109" s="312">
        <v>44987.759999999995</v>
      </c>
      <c r="P109" s="312">
        <v>69.599999999999994</v>
      </c>
      <c r="Q109" s="312">
        <v>74271.97</v>
      </c>
      <c r="R109" s="312">
        <v>16375.99</v>
      </c>
    </row>
    <row r="110" spans="6:18">
      <c r="F110" t="s">
        <v>1874</v>
      </c>
      <c r="G110" s="312"/>
      <c r="H110" s="312">
        <v>145.12</v>
      </c>
      <c r="I110" s="312"/>
      <c r="J110" s="312">
        <v>213.57999999999998</v>
      </c>
      <c r="K110" s="312">
        <v>134.12</v>
      </c>
      <c r="M110" t="s">
        <v>1874</v>
      </c>
      <c r="N110" s="312"/>
      <c r="O110" s="312">
        <v>87964.790000000008</v>
      </c>
      <c r="P110" s="312"/>
      <c r="Q110" s="312">
        <v>146264.91999999998</v>
      </c>
      <c r="R110" s="312">
        <v>41092.979999999996</v>
      </c>
    </row>
    <row r="111" spans="6:18">
      <c r="F111" t="s">
        <v>1875</v>
      </c>
      <c r="G111" s="312"/>
      <c r="H111" s="312">
        <v>208.92</v>
      </c>
      <c r="I111" s="312">
        <v>21.24</v>
      </c>
      <c r="J111" s="312">
        <v>199.02</v>
      </c>
      <c r="K111" s="312">
        <v>98.64</v>
      </c>
      <c r="M111" t="s">
        <v>1875</v>
      </c>
      <c r="N111" s="312"/>
      <c r="O111" s="312">
        <v>89886.81</v>
      </c>
      <c r="P111" s="312">
        <v>24832.97</v>
      </c>
      <c r="Q111" s="312">
        <v>135927.95000000001</v>
      </c>
      <c r="R111" s="312">
        <v>23270.98</v>
      </c>
    </row>
    <row r="112" spans="6:18">
      <c r="F112" t="s">
        <v>1876</v>
      </c>
      <c r="G112" s="312"/>
      <c r="H112" s="312">
        <v>122.13</v>
      </c>
      <c r="I112" s="312">
        <v>16.43</v>
      </c>
      <c r="J112" s="312">
        <v>171.78</v>
      </c>
      <c r="K112" s="312">
        <v>65.37</v>
      </c>
      <c r="M112" t="s">
        <v>1876</v>
      </c>
      <c r="N112" s="312"/>
      <c r="O112" s="312">
        <v>60961.03</v>
      </c>
      <c r="P112" s="312">
        <v>7048.82</v>
      </c>
      <c r="Q112" s="312">
        <v>79116.53</v>
      </c>
      <c r="R112" s="312">
        <v>31627.9</v>
      </c>
    </row>
    <row r="113" spans="6:18">
      <c r="F113" t="s">
        <v>1877</v>
      </c>
      <c r="G113" s="312"/>
      <c r="H113" s="312">
        <v>200.88</v>
      </c>
      <c r="I113" s="312">
        <v>23.58</v>
      </c>
      <c r="J113" s="312">
        <v>235.69</v>
      </c>
      <c r="K113" s="312">
        <v>57.61</v>
      </c>
      <c r="M113" t="s">
        <v>1877</v>
      </c>
      <c r="N113" s="312"/>
      <c r="O113" s="312">
        <v>99245.97</v>
      </c>
      <c r="P113" s="312">
        <v>25285.32</v>
      </c>
      <c r="Q113" s="312">
        <v>122453</v>
      </c>
      <c r="R113" s="312">
        <v>21901.32</v>
      </c>
    </row>
    <row r="114" spans="6:18">
      <c r="F114" t="s">
        <v>1878</v>
      </c>
      <c r="G114" s="312"/>
      <c r="H114" s="312">
        <v>152.36000000000001</v>
      </c>
      <c r="I114" s="312">
        <v>22.19</v>
      </c>
      <c r="J114" s="312">
        <v>261.75</v>
      </c>
      <c r="K114" s="312">
        <v>80.52</v>
      </c>
      <c r="M114" t="s">
        <v>1878</v>
      </c>
      <c r="N114" s="312"/>
      <c r="O114" s="312">
        <v>64838.74</v>
      </c>
      <c r="P114" s="312">
        <v>12624.77</v>
      </c>
      <c r="Q114" s="312">
        <v>198176.09000000003</v>
      </c>
      <c r="R114" s="312">
        <v>28763.260000000002</v>
      </c>
    </row>
    <row r="115" spans="6:18">
      <c r="F115" t="s">
        <v>1879</v>
      </c>
      <c r="G115" s="312"/>
      <c r="H115" s="312">
        <v>121.1</v>
      </c>
      <c r="I115" s="312">
        <v>28.169999999999998</v>
      </c>
      <c r="J115" s="312">
        <v>145.72999999999999</v>
      </c>
      <c r="K115" s="312">
        <v>18.34</v>
      </c>
      <c r="M115" t="s">
        <v>1879</v>
      </c>
      <c r="N115" s="312"/>
      <c r="O115" s="312">
        <v>83665.739999999991</v>
      </c>
      <c r="P115" s="312">
        <v>20389.55</v>
      </c>
      <c r="Q115" s="312">
        <v>109548.44</v>
      </c>
      <c r="R115" s="312">
        <v>10693.560000000001</v>
      </c>
    </row>
    <row r="116" spans="6:18">
      <c r="F116" t="s">
        <v>1880</v>
      </c>
      <c r="G116" s="312"/>
      <c r="H116" s="312">
        <v>56.22</v>
      </c>
      <c r="I116" s="312">
        <v>9.08</v>
      </c>
      <c r="J116" s="312">
        <v>175.83999999999997</v>
      </c>
      <c r="K116" s="312">
        <v>28.68</v>
      </c>
      <c r="M116" t="s">
        <v>1880</v>
      </c>
      <c r="N116" s="312"/>
      <c r="O116" s="312">
        <v>47436.42</v>
      </c>
      <c r="P116" s="312">
        <v>6699.6</v>
      </c>
      <c r="Q116" s="312">
        <v>200318.06999999998</v>
      </c>
      <c r="R116" s="312">
        <v>6456.38</v>
      </c>
    </row>
    <row r="117" spans="6:18">
      <c r="F117" t="s">
        <v>1881</v>
      </c>
      <c r="G117" s="312"/>
      <c r="H117" s="312">
        <v>212.76</v>
      </c>
      <c r="I117" s="312">
        <v>15.9</v>
      </c>
      <c r="J117" s="312">
        <v>188.5</v>
      </c>
      <c r="K117" s="312">
        <v>76.069999999999993</v>
      </c>
      <c r="M117" t="s">
        <v>1881</v>
      </c>
      <c r="N117" s="312"/>
      <c r="O117" s="312">
        <v>78910.75</v>
      </c>
      <c r="P117" s="312">
        <v>25112.01</v>
      </c>
      <c r="Q117" s="312">
        <v>108325.95</v>
      </c>
      <c r="R117" s="312">
        <v>24965.82</v>
      </c>
    </row>
    <row r="118" spans="6:18">
      <c r="F118" t="s">
        <v>1882</v>
      </c>
      <c r="G118" s="312"/>
      <c r="H118" s="312">
        <v>198.95999999999998</v>
      </c>
      <c r="I118" s="312">
        <v>22.88</v>
      </c>
      <c r="J118" s="312">
        <v>153.11000000000001</v>
      </c>
      <c r="K118" s="312">
        <v>68.22</v>
      </c>
      <c r="M118" t="s">
        <v>1882</v>
      </c>
      <c r="N118" s="312"/>
      <c r="O118" s="312">
        <v>88565.15</v>
      </c>
      <c r="P118" s="312">
        <v>14171.89</v>
      </c>
      <c r="Q118" s="312">
        <v>102573.29000000001</v>
      </c>
      <c r="R118" s="312">
        <v>29697.39</v>
      </c>
    </row>
    <row r="119" spans="6:18">
      <c r="F119" t="s">
        <v>1883</v>
      </c>
      <c r="G119" s="312"/>
      <c r="H119" s="312">
        <v>148.29</v>
      </c>
      <c r="I119" s="312">
        <v>41.42</v>
      </c>
      <c r="J119" s="312">
        <v>200.64</v>
      </c>
      <c r="K119" s="312">
        <v>85.12</v>
      </c>
      <c r="M119" t="s">
        <v>1883</v>
      </c>
      <c r="N119" s="312"/>
      <c r="O119" s="312">
        <v>81468.08</v>
      </c>
      <c r="P119" s="312">
        <v>81591.59</v>
      </c>
      <c r="Q119" s="312">
        <v>102084.16</v>
      </c>
      <c r="R119" s="312">
        <v>32874.21</v>
      </c>
    </row>
    <row r="120" spans="6:18">
      <c r="F120" t="s">
        <v>1884</v>
      </c>
      <c r="G120" s="312">
        <v>0.79</v>
      </c>
      <c r="H120" s="312">
        <v>220.22</v>
      </c>
      <c r="I120" s="312">
        <v>5.14</v>
      </c>
      <c r="J120" s="312">
        <v>225.56</v>
      </c>
      <c r="K120" s="312">
        <v>57.17</v>
      </c>
      <c r="M120" t="s">
        <v>1884</v>
      </c>
      <c r="N120" s="312">
        <v>268.99</v>
      </c>
      <c r="O120" s="312">
        <v>264172.87</v>
      </c>
      <c r="P120" s="312">
        <v>1974.42</v>
      </c>
      <c r="Q120" s="312">
        <v>123171.3</v>
      </c>
      <c r="R120" s="312">
        <v>20022.510000000002</v>
      </c>
    </row>
    <row r="121" spans="6:18">
      <c r="F121" t="s">
        <v>1885</v>
      </c>
      <c r="G121" s="312"/>
      <c r="H121" s="312">
        <v>131.43</v>
      </c>
      <c r="I121" s="312">
        <v>15.37</v>
      </c>
      <c r="J121" s="312">
        <v>149.05000000000001</v>
      </c>
      <c r="K121" s="312">
        <v>74.8</v>
      </c>
      <c r="M121" t="s">
        <v>1885</v>
      </c>
      <c r="N121" s="312"/>
      <c r="O121" s="312">
        <v>114842.68</v>
      </c>
      <c r="P121" s="312">
        <v>16626.36</v>
      </c>
      <c r="Q121" s="312">
        <v>44887.040000000001</v>
      </c>
      <c r="R121" s="312">
        <v>15481.380000000001</v>
      </c>
    </row>
    <row r="122" spans="6:18">
      <c r="F122" t="s">
        <v>1886</v>
      </c>
      <c r="G122" s="312"/>
      <c r="H122" s="312">
        <v>154.32</v>
      </c>
      <c r="I122" s="312">
        <v>17.989999999999998</v>
      </c>
      <c r="J122" s="312">
        <v>126.89</v>
      </c>
      <c r="K122" s="312">
        <v>35.979999999999997</v>
      </c>
      <c r="M122" t="s">
        <v>1886</v>
      </c>
      <c r="N122" s="312"/>
      <c r="O122" s="312">
        <v>59258.11</v>
      </c>
      <c r="P122" s="312">
        <v>15256.33</v>
      </c>
      <c r="Q122" s="312">
        <v>89365.959999999992</v>
      </c>
      <c r="R122" s="312">
        <v>15864.259999999998</v>
      </c>
    </row>
    <row r="123" spans="6:18">
      <c r="F123" t="s">
        <v>1887</v>
      </c>
      <c r="G123" s="312"/>
      <c r="H123" s="312">
        <v>106.66</v>
      </c>
      <c r="I123" s="312"/>
      <c r="J123" s="312">
        <v>92.13</v>
      </c>
      <c r="K123" s="312">
        <v>63.480000000000004</v>
      </c>
      <c r="M123" t="s">
        <v>1887</v>
      </c>
      <c r="N123" s="312"/>
      <c r="O123" s="312">
        <v>80565.8</v>
      </c>
      <c r="P123" s="312"/>
      <c r="Q123" s="312">
        <v>85408.5</v>
      </c>
      <c r="R123" s="312">
        <v>19583.57</v>
      </c>
    </row>
    <row r="124" spans="6:18">
      <c r="F124" t="s">
        <v>1888</v>
      </c>
      <c r="G124" s="312"/>
      <c r="H124" s="312">
        <v>140.55000000000001</v>
      </c>
      <c r="I124" s="312">
        <v>13.59</v>
      </c>
      <c r="J124" s="312">
        <v>289.35000000000002</v>
      </c>
      <c r="K124" s="312">
        <v>74.319999999999993</v>
      </c>
      <c r="M124" t="s">
        <v>1888</v>
      </c>
      <c r="N124" s="312"/>
      <c r="O124" s="312">
        <v>51720.399999999994</v>
      </c>
      <c r="P124" s="312">
        <v>5034.3999999999996</v>
      </c>
      <c r="Q124" s="312">
        <v>131137.72</v>
      </c>
      <c r="R124" s="312">
        <v>48238.439999999995</v>
      </c>
    </row>
    <row r="125" spans="6:18">
      <c r="F125" t="s">
        <v>1889</v>
      </c>
      <c r="G125" s="312">
        <v>0.89</v>
      </c>
      <c r="H125" s="312">
        <v>153.47</v>
      </c>
      <c r="I125" s="312">
        <v>7.58</v>
      </c>
      <c r="J125" s="312">
        <v>275.14</v>
      </c>
      <c r="K125" s="312">
        <v>45.05</v>
      </c>
      <c r="M125" t="s">
        <v>1889</v>
      </c>
      <c r="N125" s="312">
        <v>206.07</v>
      </c>
      <c r="O125" s="312">
        <v>92052.53</v>
      </c>
      <c r="P125" s="312">
        <v>4111.96</v>
      </c>
      <c r="Q125" s="312">
        <v>168245.19</v>
      </c>
      <c r="R125" s="312">
        <v>9159.7799999999988</v>
      </c>
    </row>
    <row r="126" spans="6:18">
      <c r="F126" t="s">
        <v>1890</v>
      </c>
      <c r="G126" s="312"/>
      <c r="H126" s="312">
        <v>168.64999999999998</v>
      </c>
      <c r="I126" s="312">
        <v>33.659999999999997</v>
      </c>
      <c r="J126" s="312">
        <v>244.71</v>
      </c>
      <c r="K126" s="312">
        <v>74.03</v>
      </c>
      <c r="M126" t="s">
        <v>1890</v>
      </c>
      <c r="N126" s="312"/>
      <c r="O126" s="312">
        <v>91269.84</v>
      </c>
      <c r="P126" s="312">
        <v>10609.62</v>
      </c>
      <c r="Q126" s="312">
        <v>153447.12</v>
      </c>
      <c r="R126" s="312">
        <v>22218.92</v>
      </c>
    </row>
    <row r="127" spans="6:18">
      <c r="F127" t="s">
        <v>1891</v>
      </c>
      <c r="G127" s="312"/>
      <c r="H127" s="312">
        <v>239.19</v>
      </c>
      <c r="I127" s="312">
        <v>31.61</v>
      </c>
      <c r="J127" s="312">
        <v>341.83</v>
      </c>
      <c r="K127" s="312">
        <v>70.39</v>
      </c>
      <c r="M127" t="s">
        <v>1891</v>
      </c>
      <c r="N127" s="312"/>
      <c r="O127" s="312">
        <v>200796.34</v>
      </c>
      <c r="P127" s="312">
        <v>23831.989999999998</v>
      </c>
      <c r="Q127" s="312">
        <v>207363.24</v>
      </c>
      <c r="R127" s="312">
        <v>25754.65</v>
      </c>
    </row>
    <row r="128" spans="6:18">
      <c r="F128" t="s">
        <v>1892</v>
      </c>
      <c r="G128" s="312"/>
      <c r="H128" s="312">
        <v>202.84</v>
      </c>
      <c r="I128" s="312">
        <v>3.64</v>
      </c>
      <c r="J128" s="312">
        <v>243.41</v>
      </c>
      <c r="K128" s="312">
        <v>61.760000000000005</v>
      </c>
      <c r="M128" t="s">
        <v>1892</v>
      </c>
      <c r="N128" s="312"/>
      <c r="O128" s="312">
        <v>104448.82999999999</v>
      </c>
      <c r="P128" s="312">
        <v>1608.63</v>
      </c>
      <c r="Q128" s="312">
        <v>136010.81</v>
      </c>
      <c r="R128" s="312">
        <v>15941.92</v>
      </c>
    </row>
    <row r="129" spans="6:18">
      <c r="F129" t="s">
        <v>1893</v>
      </c>
      <c r="G129" s="312"/>
      <c r="H129" s="312">
        <v>134.64000000000001</v>
      </c>
      <c r="I129" s="312">
        <v>15.52</v>
      </c>
      <c r="J129" s="312">
        <v>101.24000000000001</v>
      </c>
      <c r="K129" s="312">
        <v>60.55</v>
      </c>
      <c r="M129" t="s">
        <v>1893</v>
      </c>
      <c r="N129" s="312"/>
      <c r="O129" s="312">
        <v>72107.600000000006</v>
      </c>
      <c r="P129" s="312">
        <v>20522.91</v>
      </c>
      <c r="Q129" s="312">
        <v>48241.630000000005</v>
      </c>
      <c r="R129" s="312">
        <v>55045.55</v>
      </c>
    </row>
    <row r="130" spans="6:18">
      <c r="F130" t="s">
        <v>1894</v>
      </c>
      <c r="G130" s="312"/>
      <c r="H130" s="312">
        <v>94.7</v>
      </c>
      <c r="I130" s="312">
        <v>2.67</v>
      </c>
      <c r="J130" s="312">
        <v>141.38999999999999</v>
      </c>
      <c r="K130" s="312">
        <v>71.17</v>
      </c>
      <c r="M130" t="s">
        <v>1894</v>
      </c>
      <c r="N130" s="312"/>
      <c r="O130" s="312">
        <v>58430.89</v>
      </c>
      <c r="P130" s="312">
        <v>364.42</v>
      </c>
      <c r="Q130" s="312">
        <v>81444.740000000005</v>
      </c>
      <c r="R130" s="312">
        <v>30933.81</v>
      </c>
    </row>
    <row r="131" spans="6:18">
      <c r="F131" t="s">
        <v>1895</v>
      </c>
      <c r="G131" s="312"/>
      <c r="H131" s="312">
        <v>155.15</v>
      </c>
      <c r="I131" s="312">
        <v>2.72</v>
      </c>
      <c r="J131" s="312">
        <v>229.19</v>
      </c>
      <c r="K131" s="312">
        <v>73.61</v>
      </c>
      <c r="M131" t="s">
        <v>1895</v>
      </c>
      <c r="N131" s="312"/>
      <c r="O131" s="312">
        <v>82847.539999999994</v>
      </c>
      <c r="P131" s="312">
        <v>1519.45</v>
      </c>
      <c r="Q131" s="312">
        <v>133031.84</v>
      </c>
      <c r="R131" s="312">
        <v>19810.440000000002</v>
      </c>
    </row>
    <row r="132" spans="6:18">
      <c r="F132" t="s">
        <v>1896</v>
      </c>
      <c r="G132" s="312"/>
      <c r="H132" s="312">
        <v>289.78999999999996</v>
      </c>
      <c r="I132" s="312">
        <v>23.24</v>
      </c>
      <c r="J132" s="312">
        <v>261.52999999999997</v>
      </c>
      <c r="K132" s="312">
        <v>46.86</v>
      </c>
      <c r="M132" t="s">
        <v>1896</v>
      </c>
      <c r="N132" s="312"/>
      <c r="O132" s="312">
        <v>174717.84999999998</v>
      </c>
      <c r="P132" s="312">
        <v>19606.740000000002</v>
      </c>
      <c r="Q132" s="312">
        <v>185043.81</v>
      </c>
      <c r="R132" s="312">
        <v>10663.08</v>
      </c>
    </row>
    <row r="133" spans="6:18">
      <c r="F133" t="s">
        <v>1897</v>
      </c>
      <c r="G133" s="312"/>
      <c r="H133" s="312">
        <v>214.24</v>
      </c>
      <c r="I133" s="312">
        <v>6.03</v>
      </c>
      <c r="J133" s="312">
        <v>251.88</v>
      </c>
      <c r="K133" s="312">
        <v>66.680000000000007</v>
      </c>
      <c r="M133" t="s">
        <v>1897</v>
      </c>
      <c r="N133" s="312"/>
      <c r="O133" s="312">
        <v>98294</v>
      </c>
      <c r="P133" s="312">
        <v>4185.3599999999997</v>
      </c>
      <c r="Q133" s="312">
        <v>111950.09999999999</v>
      </c>
      <c r="R133" s="312">
        <v>18057.77</v>
      </c>
    </row>
    <row r="134" spans="6:18">
      <c r="F134" t="s">
        <v>1898</v>
      </c>
      <c r="G134" s="312"/>
      <c r="H134" s="312">
        <v>253.72</v>
      </c>
      <c r="I134" s="312">
        <v>14.26</v>
      </c>
      <c r="J134" s="312">
        <v>209.79</v>
      </c>
      <c r="K134" s="312">
        <v>108.64</v>
      </c>
      <c r="M134" t="s">
        <v>1898</v>
      </c>
      <c r="N134" s="312"/>
      <c r="O134" s="312">
        <v>118231.59000000001</v>
      </c>
      <c r="P134" s="312">
        <v>1338.19</v>
      </c>
      <c r="Q134" s="312">
        <v>100535.33</v>
      </c>
      <c r="R134" s="312">
        <v>26434.68</v>
      </c>
    </row>
    <row r="135" spans="6:18">
      <c r="F135" t="s">
        <v>1899</v>
      </c>
      <c r="G135" s="312"/>
      <c r="H135" s="312">
        <v>195.39000000000001</v>
      </c>
      <c r="I135" s="312">
        <v>11.54</v>
      </c>
      <c r="J135" s="312">
        <v>254.35000000000002</v>
      </c>
      <c r="K135" s="312">
        <v>60</v>
      </c>
      <c r="M135" t="s">
        <v>1899</v>
      </c>
      <c r="N135" s="312"/>
      <c r="O135" s="312">
        <v>86903.579999999987</v>
      </c>
      <c r="P135" s="312">
        <v>9751.57</v>
      </c>
      <c r="Q135" s="312">
        <v>105076.18000000001</v>
      </c>
      <c r="R135" s="312">
        <v>18458.75</v>
      </c>
    </row>
    <row r="136" spans="6:18">
      <c r="F136" t="s">
        <v>1900</v>
      </c>
      <c r="G136" s="312"/>
      <c r="H136" s="312">
        <v>109.34</v>
      </c>
      <c r="I136" s="312">
        <v>8.4600000000000009</v>
      </c>
      <c r="J136" s="312">
        <v>145.41</v>
      </c>
      <c r="K136" s="312">
        <v>86.31</v>
      </c>
      <c r="M136" t="s">
        <v>1900</v>
      </c>
      <c r="N136" s="312"/>
      <c r="O136" s="312">
        <v>69448.459999999992</v>
      </c>
      <c r="P136" s="312">
        <v>5829.57</v>
      </c>
      <c r="Q136" s="312">
        <v>77182.17</v>
      </c>
      <c r="R136" s="312">
        <v>35740.339999999997</v>
      </c>
    </row>
    <row r="137" spans="6:18">
      <c r="F137" t="s">
        <v>1901</v>
      </c>
      <c r="G137" s="312"/>
      <c r="H137" s="312">
        <v>155.19999999999999</v>
      </c>
      <c r="I137" s="312">
        <v>0.79</v>
      </c>
      <c r="J137" s="312">
        <v>104.92</v>
      </c>
      <c r="K137" s="312">
        <v>41.980000000000004</v>
      </c>
      <c r="M137" t="s">
        <v>1901</v>
      </c>
      <c r="N137" s="312"/>
      <c r="O137" s="312">
        <v>73040.149999999994</v>
      </c>
      <c r="P137" s="312">
        <v>754.6</v>
      </c>
      <c r="Q137" s="312">
        <v>59007.59</v>
      </c>
      <c r="R137" s="312">
        <v>12629.849999999999</v>
      </c>
    </row>
    <row r="138" spans="6:18">
      <c r="F138" t="s">
        <v>1902</v>
      </c>
      <c r="G138" s="312"/>
      <c r="H138" s="312">
        <v>176.19</v>
      </c>
      <c r="I138" s="312">
        <v>25.64</v>
      </c>
      <c r="J138" s="312">
        <v>250.02999999999997</v>
      </c>
      <c r="K138" s="312">
        <v>98.66</v>
      </c>
      <c r="M138" t="s">
        <v>1902</v>
      </c>
      <c r="N138" s="312"/>
      <c r="O138" s="312">
        <v>93074.89</v>
      </c>
      <c r="P138" s="312">
        <v>25748.92</v>
      </c>
      <c r="Q138" s="312">
        <v>85591.34</v>
      </c>
      <c r="R138" s="312">
        <v>32205.14</v>
      </c>
    </row>
    <row r="139" spans="6:18">
      <c r="F139" t="s">
        <v>1903</v>
      </c>
      <c r="G139" s="312"/>
      <c r="H139" s="312">
        <v>268.34000000000003</v>
      </c>
      <c r="I139" s="312">
        <v>12.059999999999999</v>
      </c>
      <c r="J139" s="312">
        <v>321.93</v>
      </c>
      <c r="K139" s="312">
        <v>75.900000000000006</v>
      </c>
      <c r="M139" t="s">
        <v>1903</v>
      </c>
      <c r="N139" s="312"/>
      <c r="O139" s="312">
        <v>155818.28999999998</v>
      </c>
      <c r="P139" s="312">
        <v>2912.36</v>
      </c>
      <c r="Q139" s="312">
        <v>166843.49</v>
      </c>
      <c r="R139" s="312">
        <v>26397.510000000002</v>
      </c>
    </row>
    <row r="140" spans="6:18">
      <c r="F140" t="s">
        <v>1904</v>
      </c>
      <c r="G140" s="312"/>
      <c r="H140" s="312">
        <v>302.26</v>
      </c>
      <c r="I140" s="312">
        <v>27.59</v>
      </c>
      <c r="J140" s="312">
        <v>201.34</v>
      </c>
      <c r="K140" s="312">
        <v>58</v>
      </c>
      <c r="M140" t="s">
        <v>1904</v>
      </c>
      <c r="N140" s="312"/>
      <c r="O140" s="312">
        <v>144338.61000000002</v>
      </c>
      <c r="P140" s="312">
        <v>21150.63</v>
      </c>
      <c r="Q140" s="312">
        <v>95335.24</v>
      </c>
      <c r="R140" s="312">
        <v>19776.47</v>
      </c>
    </row>
    <row r="141" spans="6:18">
      <c r="F141" t="s">
        <v>1905</v>
      </c>
      <c r="G141" s="312"/>
      <c r="H141" s="312">
        <v>278.23</v>
      </c>
      <c r="I141" s="312">
        <v>46.69</v>
      </c>
      <c r="J141" s="312">
        <v>288.05</v>
      </c>
      <c r="K141" s="312">
        <v>63.1</v>
      </c>
      <c r="M141" t="s">
        <v>1905</v>
      </c>
      <c r="N141" s="312"/>
      <c r="O141" s="312">
        <v>161396.67000000001</v>
      </c>
      <c r="P141" s="312">
        <v>31164.87</v>
      </c>
      <c r="Q141" s="312">
        <v>147903.35</v>
      </c>
      <c r="R141" s="312">
        <v>15363.93</v>
      </c>
    </row>
    <row r="142" spans="6:18">
      <c r="F142" t="s">
        <v>1906</v>
      </c>
      <c r="G142" s="312"/>
      <c r="H142" s="312">
        <v>252.06</v>
      </c>
      <c r="I142" s="312">
        <v>16.41</v>
      </c>
      <c r="J142" s="312">
        <v>249.42</v>
      </c>
      <c r="K142" s="312">
        <v>48.82</v>
      </c>
      <c r="M142" t="s">
        <v>1906</v>
      </c>
      <c r="N142" s="312"/>
      <c r="O142" s="312">
        <v>106617.81</v>
      </c>
      <c r="P142" s="312">
        <v>12837.93</v>
      </c>
      <c r="Q142" s="312">
        <v>102232.81</v>
      </c>
      <c r="R142" s="312">
        <v>24635.33</v>
      </c>
    </row>
    <row r="143" spans="6:18">
      <c r="F143" t="s">
        <v>1907</v>
      </c>
      <c r="G143" s="312"/>
      <c r="H143" s="312">
        <v>268.61</v>
      </c>
      <c r="I143" s="312">
        <v>17.96</v>
      </c>
      <c r="J143" s="312">
        <v>191.18</v>
      </c>
      <c r="K143" s="312">
        <v>38.68</v>
      </c>
      <c r="M143" t="s">
        <v>1907</v>
      </c>
      <c r="N143" s="312"/>
      <c r="O143" s="312">
        <v>114035.95000000001</v>
      </c>
      <c r="P143" s="312">
        <v>6408.08</v>
      </c>
      <c r="Q143" s="312">
        <v>107559.08</v>
      </c>
      <c r="R143" s="312">
        <v>22328.93</v>
      </c>
    </row>
    <row r="144" spans="6:18">
      <c r="F144" t="s">
        <v>1908</v>
      </c>
      <c r="G144" s="312">
        <v>5.14</v>
      </c>
      <c r="H144" s="312">
        <v>183.10999999999999</v>
      </c>
      <c r="I144" s="312">
        <v>0.81</v>
      </c>
      <c r="J144" s="312">
        <v>112.19</v>
      </c>
      <c r="K144" s="312">
        <v>36.25</v>
      </c>
      <c r="M144" t="s">
        <v>1908</v>
      </c>
      <c r="N144" s="312">
        <v>2481.58</v>
      </c>
      <c r="O144" s="312">
        <v>93223.75</v>
      </c>
      <c r="P144" s="312">
        <v>1170.3599999999999</v>
      </c>
      <c r="Q144" s="312">
        <v>42648.51</v>
      </c>
      <c r="R144" s="312">
        <v>14803.92</v>
      </c>
    </row>
    <row r="145" spans="6:18">
      <c r="F145" t="s">
        <v>1909</v>
      </c>
      <c r="G145" s="312"/>
      <c r="H145" s="312">
        <v>201.31</v>
      </c>
      <c r="I145" s="312">
        <v>0.99</v>
      </c>
      <c r="J145" s="312">
        <v>255</v>
      </c>
      <c r="K145" s="312">
        <v>52.929999999999993</v>
      </c>
      <c r="M145" t="s">
        <v>1909</v>
      </c>
      <c r="N145" s="312"/>
      <c r="O145" s="312">
        <v>99638.17</v>
      </c>
      <c r="P145" s="312">
        <v>1359.69</v>
      </c>
      <c r="Q145" s="312">
        <v>141281.57999999999</v>
      </c>
      <c r="R145" s="312">
        <v>17895.010000000002</v>
      </c>
    </row>
    <row r="146" spans="6:18">
      <c r="F146" t="s">
        <v>1910</v>
      </c>
      <c r="G146" s="312"/>
      <c r="H146" s="312">
        <v>236.66</v>
      </c>
      <c r="I146" s="312">
        <v>41.28</v>
      </c>
      <c r="J146" s="312">
        <v>543.36</v>
      </c>
      <c r="K146" s="312">
        <v>835.13</v>
      </c>
      <c r="M146" t="s">
        <v>1910</v>
      </c>
      <c r="N146" s="312"/>
      <c r="O146" s="312">
        <v>106594.84</v>
      </c>
      <c r="P146" s="312">
        <v>28426.13</v>
      </c>
      <c r="Q146" s="312">
        <v>272175.73</v>
      </c>
      <c r="R146" s="312">
        <v>357504.61</v>
      </c>
    </row>
    <row r="147" spans="6:18">
      <c r="F147" t="s">
        <v>1911</v>
      </c>
      <c r="G147" s="312"/>
      <c r="H147" s="312">
        <v>225.89999999999998</v>
      </c>
      <c r="I147" s="312">
        <v>8.5</v>
      </c>
      <c r="J147" s="312">
        <v>373.57000000000005</v>
      </c>
      <c r="K147" s="312">
        <v>401.08</v>
      </c>
      <c r="M147" t="s">
        <v>1911</v>
      </c>
      <c r="N147" s="312"/>
      <c r="O147" s="312">
        <v>111033.22</v>
      </c>
      <c r="P147" s="312">
        <v>13642.35</v>
      </c>
      <c r="Q147" s="312">
        <v>182299.26</v>
      </c>
      <c r="R147" s="312">
        <v>158148.32</v>
      </c>
    </row>
    <row r="148" spans="6:18">
      <c r="F148" t="s">
        <v>1912</v>
      </c>
      <c r="G148" s="312">
        <v>5.14</v>
      </c>
      <c r="H148" s="312">
        <v>199.64</v>
      </c>
      <c r="I148" s="312">
        <v>27.630000000000003</v>
      </c>
      <c r="J148" s="312">
        <v>528.30999999999995</v>
      </c>
      <c r="K148" s="312">
        <v>222.70000000000002</v>
      </c>
      <c r="M148" t="s">
        <v>1912</v>
      </c>
      <c r="N148" s="312">
        <v>807.44</v>
      </c>
      <c r="O148" s="312">
        <v>96825.37000000001</v>
      </c>
      <c r="P148" s="312">
        <v>10164.84</v>
      </c>
      <c r="Q148" s="312">
        <v>263463.56</v>
      </c>
      <c r="R148" s="312">
        <v>83763.28</v>
      </c>
    </row>
    <row r="149" spans="6:18">
      <c r="F149" t="s">
        <v>1913</v>
      </c>
      <c r="G149" s="312"/>
      <c r="H149" s="312">
        <v>270.2</v>
      </c>
      <c r="I149" s="312">
        <v>24.19</v>
      </c>
      <c r="J149" s="312">
        <v>477.59000000000003</v>
      </c>
      <c r="K149" s="312">
        <v>135.58000000000001</v>
      </c>
      <c r="M149" t="s">
        <v>1913</v>
      </c>
      <c r="N149" s="312"/>
      <c r="O149" s="312">
        <v>186228.02</v>
      </c>
      <c r="P149" s="312">
        <v>14857.25</v>
      </c>
      <c r="Q149" s="312">
        <v>229910.65</v>
      </c>
      <c r="R149" s="312">
        <v>40425.18</v>
      </c>
    </row>
    <row r="150" spans="6:18">
      <c r="F150" t="s">
        <v>1914</v>
      </c>
      <c r="G150" s="312"/>
      <c r="H150" s="312">
        <v>179.10000000000002</v>
      </c>
      <c r="I150" s="312">
        <v>13.84</v>
      </c>
      <c r="J150" s="312">
        <v>376.18</v>
      </c>
      <c r="K150" s="312">
        <v>153.63999999999999</v>
      </c>
      <c r="M150" t="s">
        <v>1914</v>
      </c>
      <c r="N150" s="312"/>
      <c r="O150" s="312">
        <v>118455.26</v>
      </c>
      <c r="P150" s="312">
        <v>11214.44</v>
      </c>
      <c r="Q150" s="312">
        <v>173351.63999999998</v>
      </c>
      <c r="R150" s="312">
        <v>66056.259999999995</v>
      </c>
    </row>
    <row r="151" spans="6:18">
      <c r="F151" t="s">
        <v>1915</v>
      </c>
      <c r="G151" s="312"/>
      <c r="H151" s="312">
        <v>133.07999999999998</v>
      </c>
      <c r="I151" s="312">
        <v>0.79</v>
      </c>
      <c r="J151" s="312">
        <v>330.34</v>
      </c>
      <c r="K151" s="312">
        <v>70.98</v>
      </c>
      <c r="M151" t="s">
        <v>1915</v>
      </c>
      <c r="N151" s="312"/>
      <c r="O151" s="312">
        <v>68491.63</v>
      </c>
      <c r="P151" s="312">
        <v>226.03</v>
      </c>
      <c r="Q151" s="312">
        <v>214610.77000000002</v>
      </c>
      <c r="R151" s="312">
        <v>24298.1</v>
      </c>
    </row>
    <row r="152" spans="6:18">
      <c r="F152" t="s">
        <v>1916</v>
      </c>
      <c r="G152" s="312"/>
      <c r="H152" s="312">
        <v>190.59</v>
      </c>
      <c r="I152" s="312">
        <v>39.629999999999995</v>
      </c>
      <c r="J152" s="312">
        <v>464.25</v>
      </c>
      <c r="K152" s="312">
        <v>357.16</v>
      </c>
      <c r="M152" t="s">
        <v>1916</v>
      </c>
      <c r="N152" s="312"/>
      <c r="O152" s="312">
        <v>83348.81</v>
      </c>
      <c r="P152" s="312">
        <v>25031.829999999998</v>
      </c>
      <c r="Q152" s="312">
        <v>211297.16</v>
      </c>
      <c r="R152" s="312">
        <v>127986.81999999999</v>
      </c>
    </row>
    <row r="153" spans="6:18">
      <c r="F153" t="s">
        <v>1917</v>
      </c>
      <c r="G153" s="312">
        <v>0.99</v>
      </c>
      <c r="H153" s="312">
        <v>153.94</v>
      </c>
      <c r="I153" s="312">
        <v>49.199999999999996</v>
      </c>
      <c r="J153" s="312">
        <v>476.90999999999997</v>
      </c>
      <c r="K153" s="312">
        <v>262.11</v>
      </c>
      <c r="M153" t="s">
        <v>1917</v>
      </c>
      <c r="N153" s="312">
        <v>63.26</v>
      </c>
      <c r="O153" s="312">
        <v>71375.78</v>
      </c>
      <c r="P153" s="312">
        <v>28507.399999999998</v>
      </c>
      <c r="Q153" s="312">
        <v>276552.01</v>
      </c>
      <c r="R153" s="312">
        <v>107544.90000000001</v>
      </c>
    </row>
    <row r="154" spans="6:18">
      <c r="F154" t="s">
        <v>1918</v>
      </c>
      <c r="G154" s="312">
        <v>4.45</v>
      </c>
      <c r="H154" s="312">
        <v>225.49</v>
      </c>
      <c r="I154" s="312">
        <v>36</v>
      </c>
      <c r="J154" s="312">
        <v>425.31</v>
      </c>
      <c r="K154" s="312">
        <v>144.11000000000001</v>
      </c>
      <c r="M154" t="s">
        <v>1918</v>
      </c>
      <c r="N154" s="312">
        <v>1446.19</v>
      </c>
      <c r="O154" s="312">
        <v>117093.62999999999</v>
      </c>
      <c r="P154" s="312">
        <v>32990</v>
      </c>
      <c r="Q154" s="312">
        <v>232590.6</v>
      </c>
      <c r="R154" s="312">
        <v>64401.81</v>
      </c>
    </row>
    <row r="155" spans="6:18">
      <c r="F155" t="s">
        <v>1919</v>
      </c>
      <c r="G155" s="312">
        <v>3.93</v>
      </c>
      <c r="H155" s="312">
        <v>167.83999999999997</v>
      </c>
      <c r="I155" s="312"/>
      <c r="J155" s="312">
        <v>274.62</v>
      </c>
      <c r="K155" s="312">
        <v>188.4</v>
      </c>
      <c r="M155" t="s">
        <v>1919</v>
      </c>
      <c r="N155" s="312">
        <v>1411.16</v>
      </c>
      <c r="O155" s="312">
        <v>81991.48000000001</v>
      </c>
      <c r="P155" s="312"/>
      <c r="Q155" s="312">
        <v>114777.06</v>
      </c>
      <c r="R155" s="312">
        <v>84496.49</v>
      </c>
    </row>
    <row r="156" spans="6:18">
      <c r="F156" t="s">
        <v>1920</v>
      </c>
      <c r="G156" s="312">
        <v>3.93</v>
      </c>
      <c r="H156" s="312">
        <v>204.13</v>
      </c>
      <c r="I156" s="312">
        <v>14.84</v>
      </c>
      <c r="J156" s="312">
        <v>314.24</v>
      </c>
      <c r="K156" s="312">
        <v>166.65</v>
      </c>
      <c r="M156" t="s">
        <v>1920</v>
      </c>
      <c r="N156" s="312">
        <v>1583.92</v>
      </c>
      <c r="O156" s="312">
        <v>104144.56</v>
      </c>
      <c r="P156" s="312">
        <v>6546.3</v>
      </c>
      <c r="Q156" s="312">
        <v>131325.69</v>
      </c>
      <c r="R156" s="312">
        <v>61006.04</v>
      </c>
    </row>
    <row r="157" spans="6:18">
      <c r="F157" t="s">
        <v>1921</v>
      </c>
      <c r="G157" s="312"/>
      <c r="H157" s="312">
        <v>120.67999999999999</v>
      </c>
      <c r="I157" s="312">
        <v>16.080000000000002</v>
      </c>
      <c r="J157" s="312">
        <v>181.97</v>
      </c>
      <c r="K157" s="312">
        <v>81.34</v>
      </c>
      <c r="M157" t="s">
        <v>1921</v>
      </c>
      <c r="N157" s="312"/>
      <c r="O157" s="312">
        <v>68124.740000000005</v>
      </c>
      <c r="P157" s="312">
        <v>5972.97</v>
      </c>
      <c r="Q157" s="312">
        <v>68984.61</v>
      </c>
      <c r="R157" s="312">
        <v>36272.99</v>
      </c>
    </row>
    <row r="158" spans="6:18">
      <c r="F158" t="s">
        <v>1922</v>
      </c>
      <c r="G158" s="312"/>
      <c r="H158" s="312">
        <v>112.28</v>
      </c>
      <c r="I158" s="312"/>
      <c r="J158" s="312">
        <v>106.41999999999999</v>
      </c>
      <c r="K158" s="312">
        <v>149.49</v>
      </c>
      <c r="M158" t="s">
        <v>1922</v>
      </c>
      <c r="N158" s="312"/>
      <c r="O158" s="312">
        <v>51353.04</v>
      </c>
      <c r="P158" s="312"/>
      <c r="Q158" s="312">
        <v>52577.17</v>
      </c>
      <c r="R158" s="312">
        <v>72372.89</v>
      </c>
    </row>
    <row r="159" spans="6:18">
      <c r="F159" t="s">
        <v>1923</v>
      </c>
      <c r="G159" s="312"/>
      <c r="H159" s="312">
        <v>288.76</v>
      </c>
      <c r="I159" s="312">
        <v>33.520000000000003</v>
      </c>
      <c r="J159" s="312">
        <v>233.86</v>
      </c>
      <c r="K159" s="312">
        <v>259.65000000000003</v>
      </c>
      <c r="M159" t="s">
        <v>1923</v>
      </c>
      <c r="N159" s="312"/>
      <c r="O159" s="312">
        <v>175387.15</v>
      </c>
      <c r="P159" s="312">
        <v>23107.559999999998</v>
      </c>
      <c r="Q159" s="312">
        <v>105268.18</v>
      </c>
      <c r="R159" s="312">
        <v>91043.48</v>
      </c>
    </row>
    <row r="160" spans="6:18">
      <c r="F160" t="s">
        <v>1924</v>
      </c>
      <c r="G160" s="312"/>
      <c r="H160" s="312">
        <v>206.23</v>
      </c>
      <c r="I160" s="312">
        <v>20.41</v>
      </c>
      <c r="J160" s="312">
        <v>399.53</v>
      </c>
      <c r="K160" s="312">
        <v>229.32</v>
      </c>
      <c r="M160" t="s">
        <v>1924</v>
      </c>
      <c r="N160" s="312"/>
      <c r="O160" s="312">
        <v>85563.53</v>
      </c>
      <c r="P160" s="312">
        <v>15223.26</v>
      </c>
      <c r="Q160" s="312">
        <v>179489.98</v>
      </c>
      <c r="R160" s="312">
        <v>91528.28</v>
      </c>
    </row>
    <row r="161" spans="6:18">
      <c r="F161" t="s">
        <v>1925</v>
      </c>
      <c r="G161" s="312">
        <v>0.88</v>
      </c>
      <c r="H161" s="312">
        <v>161.36000000000001</v>
      </c>
      <c r="I161" s="312">
        <v>20.77</v>
      </c>
      <c r="J161" s="312">
        <v>419.89</v>
      </c>
      <c r="K161" s="312">
        <v>206.07999999999998</v>
      </c>
      <c r="M161" t="s">
        <v>1925</v>
      </c>
      <c r="N161" s="312">
        <v>729.34</v>
      </c>
      <c r="O161" s="312">
        <v>73775.53</v>
      </c>
      <c r="P161" s="312">
        <v>12284.859999999999</v>
      </c>
      <c r="Q161" s="312">
        <v>177419.1</v>
      </c>
      <c r="R161" s="312">
        <v>71205.97</v>
      </c>
    </row>
    <row r="162" spans="6:18">
      <c r="F162" t="s">
        <v>1926</v>
      </c>
      <c r="G162" s="312"/>
      <c r="H162" s="312">
        <v>264.48</v>
      </c>
      <c r="I162" s="312">
        <v>21.64</v>
      </c>
      <c r="J162" s="312">
        <v>450.99</v>
      </c>
      <c r="K162" s="312">
        <v>186.65</v>
      </c>
      <c r="M162" t="s">
        <v>1926</v>
      </c>
      <c r="N162" s="312"/>
      <c r="O162" s="312">
        <v>121856.3</v>
      </c>
      <c r="P162" s="312">
        <v>13606.19</v>
      </c>
      <c r="Q162" s="312">
        <v>239420.26</v>
      </c>
      <c r="R162" s="312">
        <v>78638.509999999995</v>
      </c>
    </row>
    <row r="163" spans="6:18">
      <c r="F163" t="s">
        <v>1927</v>
      </c>
      <c r="G163" s="312"/>
      <c r="H163" s="312">
        <v>253.88</v>
      </c>
      <c r="I163" s="312">
        <v>25.259999999999998</v>
      </c>
      <c r="J163" s="312">
        <v>350.27</v>
      </c>
      <c r="K163" s="312">
        <v>178.93</v>
      </c>
      <c r="M163" t="s">
        <v>1927</v>
      </c>
      <c r="N163" s="312"/>
      <c r="O163" s="312">
        <v>152483.86000000002</v>
      </c>
      <c r="P163" s="312">
        <v>33373.729999999996</v>
      </c>
      <c r="Q163" s="312">
        <v>130844.60999999999</v>
      </c>
      <c r="R163" s="312">
        <v>66984.05</v>
      </c>
    </row>
    <row r="164" spans="6:18">
      <c r="F164" t="s">
        <v>1928</v>
      </c>
      <c r="G164" s="312"/>
      <c r="H164" s="312">
        <v>162.68</v>
      </c>
      <c r="I164" s="312">
        <v>22.939999999999998</v>
      </c>
      <c r="J164" s="312">
        <v>197.69</v>
      </c>
      <c r="K164" s="312">
        <v>100.83000000000001</v>
      </c>
      <c r="M164" t="s">
        <v>1928</v>
      </c>
      <c r="N164" s="312"/>
      <c r="O164" s="312">
        <v>74213.45</v>
      </c>
      <c r="P164" s="312">
        <v>14579.57</v>
      </c>
      <c r="Q164" s="312">
        <v>100349.09999999999</v>
      </c>
      <c r="R164" s="312">
        <v>36150.699999999997</v>
      </c>
    </row>
    <row r="165" spans="6:18">
      <c r="F165" t="s">
        <v>1929</v>
      </c>
      <c r="G165" s="312"/>
      <c r="H165" s="312">
        <v>124.72</v>
      </c>
      <c r="I165" s="312">
        <v>9.6999999999999993</v>
      </c>
      <c r="J165" s="312">
        <v>159.83000000000001</v>
      </c>
      <c r="K165" s="312">
        <v>109.07</v>
      </c>
      <c r="M165" t="s">
        <v>1929</v>
      </c>
      <c r="N165" s="312"/>
      <c r="O165" s="312">
        <v>71127.39</v>
      </c>
      <c r="P165" s="312">
        <v>1685.44</v>
      </c>
      <c r="Q165" s="312">
        <v>90586.19</v>
      </c>
      <c r="R165" s="312">
        <v>50521.159999999996</v>
      </c>
    </row>
    <row r="166" spans="6:18">
      <c r="F166" t="s">
        <v>1930</v>
      </c>
      <c r="G166" s="312"/>
      <c r="H166" s="312">
        <v>185.85</v>
      </c>
      <c r="I166" s="312">
        <v>2.77</v>
      </c>
      <c r="J166" s="312">
        <v>415.34000000000003</v>
      </c>
      <c r="K166" s="312">
        <v>280.55</v>
      </c>
      <c r="M166" t="s">
        <v>1930</v>
      </c>
      <c r="N166" s="312"/>
      <c r="O166" s="312">
        <v>80593.89</v>
      </c>
      <c r="P166" s="312">
        <v>1836.48</v>
      </c>
      <c r="Q166" s="312">
        <v>161821.25999999998</v>
      </c>
      <c r="R166" s="312">
        <v>112258.85999999999</v>
      </c>
    </row>
    <row r="167" spans="6:18">
      <c r="F167" t="s">
        <v>1931</v>
      </c>
      <c r="G167" s="312">
        <v>0.79</v>
      </c>
      <c r="H167" s="312">
        <v>210</v>
      </c>
      <c r="I167" s="312">
        <v>20.560000000000002</v>
      </c>
      <c r="J167" s="312">
        <v>224.79</v>
      </c>
      <c r="K167" s="312">
        <v>258.37</v>
      </c>
      <c r="M167" t="s">
        <v>1931</v>
      </c>
      <c r="N167" s="312">
        <v>310.17</v>
      </c>
      <c r="O167" s="312">
        <v>92198.51</v>
      </c>
      <c r="P167" s="312">
        <v>10950.01</v>
      </c>
      <c r="Q167" s="312">
        <v>96730.73000000001</v>
      </c>
      <c r="R167" s="312">
        <v>92564.19</v>
      </c>
    </row>
    <row r="168" spans="6:18">
      <c r="F168" t="s">
        <v>1932</v>
      </c>
      <c r="G168" s="312"/>
      <c r="H168" s="312">
        <v>244.63</v>
      </c>
      <c r="I168" s="312">
        <v>11.24</v>
      </c>
      <c r="J168" s="312">
        <v>323.78000000000003</v>
      </c>
      <c r="K168" s="312">
        <v>230.48000000000002</v>
      </c>
      <c r="M168" t="s">
        <v>1932</v>
      </c>
      <c r="N168" s="312"/>
      <c r="O168" s="312">
        <v>100749.45999999999</v>
      </c>
      <c r="P168" s="312">
        <v>6745.79</v>
      </c>
      <c r="Q168" s="312">
        <v>165073.04999999999</v>
      </c>
      <c r="R168" s="312">
        <v>115832.20000000001</v>
      </c>
    </row>
    <row r="169" spans="6:18">
      <c r="F169" t="s">
        <v>1933</v>
      </c>
      <c r="G169" s="312">
        <v>0.79</v>
      </c>
      <c r="H169" s="312">
        <v>211.23</v>
      </c>
      <c r="I169" s="312">
        <v>15.29</v>
      </c>
      <c r="J169" s="312">
        <v>372.98</v>
      </c>
      <c r="K169" s="312">
        <v>174.92000000000002</v>
      </c>
      <c r="M169" t="s">
        <v>1933</v>
      </c>
      <c r="N169" s="312">
        <v>208.15</v>
      </c>
      <c r="O169" s="312">
        <v>118158.06</v>
      </c>
      <c r="P169" s="312">
        <v>6475.1399999999994</v>
      </c>
      <c r="Q169" s="312">
        <v>124411.13</v>
      </c>
      <c r="R169" s="312">
        <v>70274.25</v>
      </c>
    </row>
    <row r="170" spans="6:18">
      <c r="F170" t="s">
        <v>1934</v>
      </c>
      <c r="G170" s="312">
        <v>0.69</v>
      </c>
      <c r="H170" s="312">
        <v>261.35000000000002</v>
      </c>
      <c r="I170" s="312">
        <v>16.170000000000002</v>
      </c>
      <c r="J170" s="312">
        <v>360.82</v>
      </c>
      <c r="K170" s="312">
        <v>156.92000000000002</v>
      </c>
      <c r="M170" t="s">
        <v>1934</v>
      </c>
      <c r="N170" s="312">
        <v>76.599999999999994</v>
      </c>
      <c r="O170" s="312">
        <v>176463.06</v>
      </c>
      <c r="P170" s="312">
        <v>8809.0400000000009</v>
      </c>
      <c r="Q170" s="312">
        <v>183534.9</v>
      </c>
      <c r="R170" s="312">
        <v>79356.84</v>
      </c>
    </row>
    <row r="171" spans="6:18">
      <c r="F171" t="s">
        <v>1935</v>
      </c>
      <c r="G171" s="312"/>
      <c r="H171" s="312">
        <v>154.84</v>
      </c>
      <c r="I171" s="312">
        <v>9.48</v>
      </c>
      <c r="J171" s="312">
        <v>306.7</v>
      </c>
      <c r="K171" s="312">
        <v>118.88</v>
      </c>
      <c r="M171" t="s">
        <v>1935</v>
      </c>
      <c r="N171" s="312"/>
      <c r="O171" s="312">
        <v>74706.02</v>
      </c>
      <c r="P171" s="312">
        <v>2616.37</v>
      </c>
      <c r="Q171" s="312">
        <v>160650.68</v>
      </c>
      <c r="R171" s="312">
        <v>45741.17</v>
      </c>
    </row>
    <row r="172" spans="6:18">
      <c r="F172" t="s">
        <v>1936</v>
      </c>
      <c r="G172" s="312"/>
      <c r="H172" s="312">
        <v>122.88</v>
      </c>
      <c r="I172" s="312">
        <v>5.59</v>
      </c>
      <c r="J172" s="312">
        <v>157.99</v>
      </c>
      <c r="K172" s="312">
        <v>122.64000000000001</v>
      </c>
      <c r="M172" t="s">
        <v>1936</v>
      </c>
      <c r="N172" s="312"/>
      <c r="O172" s="312">
        <v>66057.08</v>
      </c>
      <c r="P172" s="312">
        <v>2650.38</v>
      </c>
      <c r="Q172" s="312">
        <v>58343.090000000004</v>
      </c>
      <c r="R172" s="312">
        <v>54158.720000000001</v>
      </c>
    </row>
    <row r="173" spans="6:18">
      <c r="F173" t="s">
        <v>1937</v>
      </c>
      <c r="G173" s="312"/>
      <c r="H173" s="312">
        <v>160.56</v>
      </c>
      <c r="I173" s="312">
        <v>3.43</v>
      </c>
      <c r="J173" s="312">
        <v>285.48</v>
      </c>
      <c r="K173" s="312">
        <v>380.44</v>
      </c>
      <c r="M173" t="s">
        <v>1937</v>
      </c>
      <c r="N173" s="312"/>
      <c r="O173" s="312">
        <v>95107.69</v>
      </c>
      <c r="P173" s="312">
        <v>477.55</v>
      </c>
      <c r="Q173" s="312">
        <v>135707.19</v>
      </c>
      <c r="R173" s="312">
        <v>136968.94</v>
      </c>
    </row>
    <row r="174" spans="6:18">
      <c r="F174" t="s">
        <v>1938</v>
      </c>
      <c r="G174" s="312"/>
      <c r="H174" s="312">
        <v>190.98000000000002</v>
      </c>
      <c r="I174" s="312">
        <v>16.36</v>
      </c>
      <c r="J174" s="312">
        <v>425.5</v>
      </c>
      <c r="K174" s="312">
        <v>389.89</v>
      </c>
      <c r="M174" t="s">
        <v>1938</v>
      </c>
      <c r="N174" s="312"/>
      <c r="O174" s="312">
        <v>81528.600000000006</v>
      </c>
      <c r="P174" s="312">
        <v>15910.52</v>
      </c>
      <c r="Q174" s="312">
        <v>172275.81</v>
      </c>
      <c r="R174" s="312">
        <v>118740.07999999999</v>
      </c>
    </row>
    <row r="175" spans="6:18">
      <c r="F175" t="s">
        <v>1939</v>
      </c>
      <c r="G175" s="312">
        <v>3.94</v>
      </c>
      <c r="H175" s="312">
        <v>267.76</v>
      </c>
      <c r="I175" s="312">
        <v>21.57</v>
      </c>
      <c r="J175" s="312">
        <v>401.67</v>
      </c>
      <c r="K175" s="312">
        <v>318.27999999999997</v>
      </c>
      <c r="M175" t="s">
        <v>1939</v>
      </c>
      <c r="N175" s="312">
        <v>877.92</v>
      </c>
      <c r="O175" s="312">
        <v>106948.05</v>
      </c>
      <c r="P175" s="312">
        <v>8253.33</v>
      </c>
      <c r="Q175" s="312">
        <v>162713.06</v>
      </c>
      <c r="R175" s="312">
        <v>135606.70000000001</v>
      </c>
    </row>
    <row r="176" spans="6:18">
      <c r="F176" t="s">
        <v>1940</v>
      </c>
      <c r="G176" s="312">
        <v>0.81</v>
      </c>
      <c r="H176" s="312">
        <v>200.45</v>
      </c>
      <c r="I176" s="312">
        <v>10.809999999999999</v>
      </c>
      <c r="J176" s="312">
        <v>341.58</v>
      </c>
      <c r="K176" s="312">
        <v>238.49</v>
      </c>
      <c r="M176" t="s">
        <v>1940</v>
      </c>
      <c r="N176" s="312">
        <v>228.71</v>
      </c>
      <c r="O176" s="312">
        <v>114664.20999999999</v>
      </c>
      <c r="P176" s="312">
        <v>3275.2</v>
      </c>
      <c r="Q176" s="312">
        <v>108420.3</v>
      </c>
      <c r="R176" s="312">
        <v>74082.040000000008</v>
      </c>
    </row>
    <row r="177" spans="6:18">
      <c r="F177" t="s">
        <v>1941</v>
      </c>
      <c r="G177" s="312"/>
      <c r="H177" s="312">
        <v>199.88</v>
      </c>
      <c r="I177" s="312">
        <v>18.340000000000003</v>
      </c>
      <c r="J177" s="312">
        <v>274.7</v>
      </c>
      <c r="K177" s="312">
        <v>173.85000000000002</v>
      </c>
      <c r="M177" t="s">
        <v>1941</v>
      </c>
      <c r="N177" s="312"/>
      <c r="O177" s="312">
        <v>108852.53</v>
      </c>
      <c r="P177" s="312">
        <v>4737.3900000000003</v>
      </c>
      <c r="Q177" s="312">
        <v>103360.64</v>
      </c>
      <c r="R177" s="312">
        <v>52922.36</v>
      </c>
    </row>
    <row r="178" spans="6:18">
      <c r="F178" t="s">
        <v>1942</v>
      </c>
      <c r="G178" s="312"/>
      <c r="H178" s="312">
        <v>137.9</v>
      </c>
      <c r="I178" s="312">
        <v>6.02</v>
      </c>
      <c r="J178" s="312">
        <v>177.18</v>
      </c>
      <c r="K178" s="312">
        <v>152.22</v>
      </c>
      <c r="M178" t="s">
        <v>1942</v>
      </c>
      <c r="N178" s="312"/>
      <c r="O178" s="312">
        <v>74338.05</v>
      </c>
      <c r="P178" s="312">
        <v>1956.9299999999998</v>
      </c>
      <c r="Q178" s="312">
        <v>64439.3</v>
      </c>
      <c r="R178" s="312">
        <v>58585.34</v>
      </c>
    </row>
    <row r="179" spans="6:18">
      <c r="F179" t="s">
        <v>1943</v>
      </c>
      <c r="G179" s="312"/>
      <c r="H179" s="312">
        <v>138.22</v>
      </c>
      <c r="I179" s="312">
        <v>6</v>
      </c>
      <c r="J179" s="312">
        <v>181.54000000000002</v>
      </c>
      <c r="K179" s="312">
        <v>123.24000000000001</v>
      </c>
      <c r="M179" t="s">
        <v>1943</v>
      </c>
      <c r="N179" s="312"/>
      <c r="O179" s="312">
        <v>61932.19</v>
      </c>
      <c r="P179" s="312">
        <v>1220.01</v>
      </c>
      <c r="Q179" s="312">
        <v>93311.37999999999</v>
      </c>
      <c r="R179" s="312">
        <v>44763.07</v>
      </c>
    </row>
    <row r="180" spans="6:18">
      <c r="F180" t="s">
        <v>1944</v>
      </c>
      <c r="G180" s="312"/>
      <c r="H180" s="312">
        <v>144.38</v>
      </c>
      <c r="I180" s="312">
        <v>3.39</v>
      </c>
      <c r="J180" s="312">
        <v>248.87</v>
      </c>
      <c r="K180" s="312">
        <v>110.53</v>
      </c>
      <c r="M180" t="s">
        <v>1944</v>
      </c>
      <c r="N180" s="312"/>
      <c r="O180" s="312">
        <v>85687.99</v>
      </c>
      <c r="P180" s="312">
        <v>374.95</v>
      </c>
      <c r="Q180" s="312">
        <v>113640.49</v>
      </c>
      <c r="R180" s="312">
        <v>36209.629999999997</v>
      </c>
    </row>
    <row r="181" spans="6:18">
      <c r="F181" t="s">
        <v>1945</v>
      </c>
      <c r="G181" s="312"/>
      <c r="H181" s="312">
        <v>188.33</v>
      </c>
      <c r="I181" s="312">
        <v>16.45</v>
      </c>
      <c r="J181" s="312">
        <v>364.21000000000004</v>
      </c>
      <c r="K181" s="312">
        <v>363.65</v>
      </c>
      <c r="M181" t="s">
        <v>1945</v>
      </c>
      <c r="N181" s="312"/>
      <c r="O181" s="312">
        <v>108263.29</v>
      </c>
      <c r="P181" s="312">
        <v>8777.32</v>
      </c>
      <c r="Q181" s="312">
        <v>162728.82999999999</v>
      </c>
      <c r="R181" s="312">
        <v>104113.95000000001</v>
      </c>
    </row>
    <row r="182" spans="6:18">
      <c r="F182" t="s">
        <v>1946</v>
      </c>
      <c r="G182" s="312"/>
      <c r="H182" s="312">
        <v>199.78</v>
      </c>
      <c r="I182" s="312">
        <v>14.64</v>
      </c>
      <c r="J182" s="312">
        <v>304.32</v>
      </c>
      <c r="K182" s="312">
        <v>371.08000000000004</v>
      </c>
      <c r="M182" t="s">
        <v>1946</v>
      </c>
      <c r="N182" s="312"/>
      <c r="O182" s="312">
        <v>83402.19</v>
      </c>
      <c r="P182" s="312">
        <v>14030.01</v>
      </c>
      <c r="Q182" s="312">
        <v>126054.05</v>
      </c>
      <c r="R182" s="312">
        <v>131319.57</v>
      </c>
    </row>
    <row r="183" spans="6:18">
      <c r="F183" t="s">
        <v>1947</v>
      </c>
      <c r="G183" s="312"/>
      <c r="H183" s="312">
        <v>134.76</v>
      </c>
      <c r="I183" s="312">
        <v>4.42</v>
      </c>
      <c r="J183" s="312">
        <v>409.64</v>
      </c>
      <c r="K183" s="312">
        <v>328.63</v>
      </c>
      <c r="M183" t="s">
        <v>1947</v>
      </c>
      <c r="N183" s="312"/>
      <c r="O183" s="312">
        <v>55343.319999999992</v>
      </c>
      <c r="P183" s="312">
        <v>1393.26</v>
      </c>
      <c r="Q183" s="312">
        <v>210330.4</v>
      </c>
      <c r="R183" s="312">
        <v>98534.47</v>
      </c>
    </row>
    <row r="184" spans="6:18">
      <c r="F184" t="s">
        <v>1948</v>
      </c>
      <c r="G184" s="312">
        <v>2.77</v>
      </c>
      <c r="H184" s="312">
        <v>161.57999999999998</v>
      </c>
      <c r="I184" s="312">
        <v>6.37</v>
      </c>
      <c r="J184" s="312">
        <v>384.54999999999995</v>
      </c>
      <c r="K184" s="312">
        <v>264.79000000000002</v>
      </c>
      <c r="M184" t="s">
        <v>1948</v>
      </c>
      <c r="N184" s="312">
        <v>395.02</v>
      </c>
      <c r="O184" s="312">
        <v>87702.739999999991</v>
      </c>
      <c r="P184" s="312">
        <v>1519.03</v>
      </c>
      <c r="Q184" s="312">
        <v>108945.33</v>
      </c>
      <c r="R184" s="312">
        <v>63872.020000000004</v>
      </c>
    </row>
    <row r="185" spans="6:18">
      <c r="F185" t="s">
        <v>1949</v>
      </c>
      <c r="G185" s="312"/>
      <c r="H185" s="312">
        <v>112.45</v>
      </c>
      <c r="I185" s="312">
        <v>15.419999999999998</v>
      </c>
      <c r="J185" s="312">
        <v>273.52999999999997</v>
      </c>
      <c r="K185" s="312">
        <v>109.71000000000001</v>
      </c>
      <c r="M185" t="s">
        <v>1949</v>
      </c>
      <c r="N185" s="312"/>
      <c r="O185" s="312">
        <v>73623.81</v>
      </c>
      <c r="P185" s="312">
        <v>7262.88</v>
      </c>
      <c r="Q185" s="312">
        <v>140494.88</v>
      </c>
      <c r="R185" s="312">
        <v>28219.059999999998</v>
      </c>
    </row>
    <row r="186" spans="6:18">
      <c r="F186" t="s">
        <v>1950</v>
      </c>
      <c r="G186" s="312"/>
      <c r="H186" s="312">
        <v>120.38000000000001</v>
      </c>
      <c r="I186" s="312">
        <v>1.77</v>
      </c>
      <c r="J186" s="312">
        <v>135.51</v>
      </c>
      <c r="K186" s="312">
        <v>127.5</v>
      </c>
      <c r="M186" t="s">
        <v>1950</v>
      </c>
      <c r="N186" s="312"/>
      <c r="O186" s="312">
        <v>48179.42</v>
      </c>
      <c r="P186" s="312">
        <v>207.21</v>
      </c>
      <c r="Q186" s="312">
        <v>51086.21</v>
      </c>
      <c r="R186" s="312">
        <v>46458</v>
      </c>
    </row>
    <row r="187" spans="6:18">
      <c r="F187" t="s">
        <v>1951</v>
      </c>
      <c r="G187" s="312"/>
      <c r="H187" s="312">
        <v>226.97</v>
      </c>
      <c r="I187" s="312">
        <v>14.370000000000001</v>
      </c>
      <c r="J187" s="312">
        <v>323.86</v>
      </c>
      <c r="K187" s="312">
        <v>130.48000000000002</v>
      </c>
      <c r="M187" t="s">
        <v>1951</v>
      </c>
      <c r="N187" s="312"/>
      <c r="O187" s="312">
        <v>122593.76000000001</v>
      </c>
      <c r="P187" s="312">
        <v>10003.130000000001</v>
      </c>
      <c r="Q187" s="312">
        <v>162919.99</v>
      </c>
      <c r="R187" s="312">
        <v>39676.119999999995</v>
      </c>
    </row>
    <row r="188" spans="6:18">
      <c r="F188" t="s">
        <v>1952</v>
      </c>
      <c r="G188" s="312">
        <v>5.15</v>
      </c>
      <c r="H188" s="312">
        <v>166.33999999999997</v>
      </c>
      <c r="I188" s="312">
        <v>0.69</v>
      </c>
      <c r="J188" s="312">
        <v>370.12</v>
      </c>
      <c r="K188" s="312">
        <v>358.26</v>
      </c>
      <c r="M188" t="s">
        <v>1952</v>
      </c>
      <c r="N188" s="312">
        <v>1052.83</v>
      </c>
      <c r="O188" s="312">
        <v>89913.59</v>
      </c>
      <c r="P188" s="312">
        <v>396.17</v>
      </c>
      <c r="Q188" s="312">
        <v>136414.95000000001</v>
      </c>
      <c r="R188" s="312">
        <v>91045.72</v>
      </c>
    </row>
    <row r="189" spans="6:18">
      <c r="F189" t="s">
        <v>1953</v>
      </c>
      <c r="G189" s="312"/>
      <c r="H189" s="312">
        <v>165.97</v>
      </c>
      <c r="I189" s="312">
        <v>15.51</v>
      </c>
      <c r="J189" s="312">
        <v>257.77</v>
      </c>
      <c r="K189" s="312">
        <v>294.43</v>
      </c>
      <c r="M189" t="s">
        <v>1953</v>
      </c>
      <c r="N189" s="312"/>
      <c r="O189" s="312">
        <v>91216.51</v>
      </c>
      <c r="P189" s="312">
        <v>4863.24</v>
      </c>
      <c r="Q189" s="312">
        <v>74043.56</v>
      </c>
      <c r="R189" s="312">
        <v>105291.98999999999</v>
      </c>
    </row>
    <row r="190" spans="6:18">
      <c r="F190" t="s">
        <v>1954</v>
      </c>
      <c r="G190" s="312"/>
      <c r="H190" s="312">
        <v>174.57</v>
      </c>
      <c r="I190" s="312">
        <v>26</v>
      </c>
      <c r="J190" s="312">
        <v>225.26</v>
      </c>
      <c r="K190" s="312">
        <v>279.17</v>
      </c>
      <c r="M190" t="s">
        <v>1954</v>
      </c>
      <c r="N190" s="312"/>
      <c r="O190" s="312">
        <v>76429.56</v>
      </c>
      <c r="P190" s="312">
        <v>20056.37</v>
      </c>
      <c r="Q190" s="312">
        <v>64773.8</v>
      </c>
      <c r="R190" s="312">
        <v>87534.080000000002</v>
      </c>
    </row>
    <row r="191" spans="6:18">
      <c r="F191" t="s">
        <v>1955</v>
      </c>
      <c r="G191" s="312"/>
      <c r="H191" s="312">
        <v>183.14</v>
      </c>
      <c r="I191" s="312">
        <v>28.9</v>
      </c>
      <c r="J191" s="312">
        <v>278.75</v>
      </c>
      <c r="K191" s="312">
        <v>213.21999999999997</v>
      </c>
      <c r="M191" t="s">
        <v>1955</v>
      </c>
      <c r="N191" s="312"/>
      <c r="O191" s="312">
        <v>72867.16</v>
      </c>
      <c r="P191" s="312">
        <v>14772.21</v>
      </c>
      <c r="Q191" s="312">
        <v>73330.06</v>
      </c>
      <c r="R191" s="312">
        <v>59967.56</v>
      </c>
    </row>
    <row r="192" spans="6:18">
      <c r="F192" t="s">
        <v>1956</v>
      </c>
      <c r="G192" s="312"/>
      <c r="H192" s="312">
        <v>115.69999999999999</v>
      </c>
      <c r="I192" s="312">
        <v>18.759999999999998</v>
      </c>
      <c r="J192" s="312">
        <v>247.25</v>
      </c>
      <c r="K192" s="312">
        <v>151.93</v>
      </c>
      <c r="M192" t="s">
        <v>1956</v>
      </c>
      <c r="N192" s="312"/>
      <c r="O192" s="312">
        <v>77993.89</v>
      </c>
      <c r="P192" s="312">
        <v>16447.57</v>
      </c>
      <c r="Q192" s="312">
        <v>90726.01</v>
      </c>
      <c r="R192" s="312">
        <v>40548.6</v>
      </c>
    </row>
    <row r="193" spans="6:18">
      <c r="F193" t="s">
        <v>1957</v>
      </c>
      <c r="G193" s="312"/>
      <c r="H193" s="312">
        <v>119.44000000000001</v>
      </c>
      <c r="I193" s="312">
        <v>3.39</v>
      </c>
      <c r="J193" s="312">
        <v>145.99</v>
      </c>
      <c r="K193" s="312">
        <v>162.88</v>
      </c>
      <c r="M193" t="s">
        <v>1957</v>
      </c>
      <c r="N193" s="312"/>
      <c r="O193" s="312">
        <v>82604.75</v>
      </c>
      <c r="P193" s="312">
        <v>731.15</v>
      </c>
      <c r="Q193" s="312">
        <v>98569.44</v>
      </c>
      <c r="R193" s="312">
        <v>52683.17</v>
      </c>
    </row>
    <row r="194" spans="6:18">
      <c r="F194" t="s">
        <v>1958</v>
      </c>
      <c r="G194" s="312"/>
      <c r="H194" s="312">
        <v>277.39999999999998</v>
      </c>
      <c r="I194" s="312">
        <v>25.09</v>
      </c>
      <c r="J194" s="312">
        <v>296.76</v>
      </c>
      <c r="K194" s="312">
        <v>328.15999999999997</v>
      </c>
      <c r="M194" t="s">
        <v>1958</v>
      </c>
      <c r="N194" s="312"/>
      <c r="O194" s="312">
        <v>116411.39000000001</v>
      </c>
      <c r="P194" s="312">
        <v>15421.29</v>
      </c>
      <c r="Q194" s="312">
        <v>87485.57</v>
      </c>
      <c r="R194" s="312">
        <v>77430.64</v>
      </c>
    </row>
    <row r="195" spans="6:18">
      <c r="F195" t="s">
        <v>1959</v>
      </c>
      <c r="G195" s="312"/>
      <c r="H195" s="312">
        <v>332.66</v>
      </c>
      <c r="I195" s="312">
        <v>16.41</v>
      </c>
      <c r="J195" s="312">
        <v>378.55</v>
      </c>
      <c r="K195" s="312">
        <v>357.83000000000004</v>
      </c>
      <c r="M195" t="s">
        <v>1959</v>
      </c>
      <c r="N195" s="312"/>
      <c r="O195" s="312">
        <v>156980.63</v>
      </c>
      <c r="P195" s="312">
        <v>10759.25</v>
      </c>
      <c r="Q195" s="312">
        <v>122104.84</v>
      </c>
      <c r="R195" s="312">
        <v>112763.97</v>
      </c>
    </row>
    <row r="196" spans="6:18">
      <c r="F196" t="s">
        <v>1960</v>
      </c>
      <c r="G196" s="312">
        <v>4.6500000000000004</v>
      </c>
      <c r="H196" s="312">
        <v>330.99</v>
      </c>
      <c r="I196" s="312">
        <v>33.82</v>
      </c>
      <c r="J196" s="312">
        <v>460.96999999999997</v>
      </c>
      <c r="K196" s="312">
        <v>310.67</v>
      </c>
      <c r="M196" t="s">
        <v>1960</v>
      </c>
      <c r="N196" s="312">
        <v>1181.44</v>
      </c>
      <c r="O196" s="312">
        <v>149984.16</v>
      </c>
      <c r="P196" s="312">
        <v>16148.94</v>
      </c>
      <c r="Q196" s="312">
        <v>138052.41</v>
      </c>
      <c r="R196" s="312">
        <v>78268.84</v>
      </c>
    </row>
    <row r="197" spans="6:18">
      <c r="F197" t="s">
        <v>1961</v>
      </c>
      <c r="G197" s="312"/>
      <c r="H197" s="312">
        <v>245.18</v>
      </c>
      <c r="I197" s="312">
        <v>25.63</v>
      </c>
      <c r="J197" s="312">
        <v>317.51</v>
      </c>
      <c r="K197" s="312">
        <v>273.23</v>
      </c>
      <c r="M197" t="s">
        <v>1961</v>
      </c>
      <c r="N197" s="312"/>
      <c r="O197" s="312">
        <v>80881.919999999998</v>
      </c>
      <c r="P197" s="312">
        <v>11999.54</v>
      </c>
      <c r="Q197" s="312">
        <v>143584.31</v>
      </c>
      <c r="R197" s="312">
        <v>69065.39</v>
      </c>
    </row>
    <row r="198" spans="6:18">
      <c r="F198" t="s">
        <v>1962</v>
      </c>
      <c r="G198" s="312"/>
      <c r="H198" s="312">
        <v>264.38</v>
      </c>
      <c r="I198" s="312">
        <v>11.129999999999999</v>
      </c>
      <c r="J198" s="312">
        <v>386.15</v>
      </c>
      <c r="K198" s="312">
        <v>207.36</v>
      </c>
      <c r="M198" t="s">
        <v>1962</v>
      </c>
      <c r="N198" s="312"/>
      <c r="O198" s="312">
        <v>109433.14</v>
      </c>
      <c r="P198" s="312">
        <v>4657.9799999999996</v>
      </c>
      <c r="Q198" s="312">
        <v>203018.48</v>
      </c>
      <c r="R198" s="312">
        <v>58205.13</v>
      </c>
    </row>
    <row r="199" spans="6:18">
      <c r="F199" t="s">
        <v>1963</v>
      </c>
      <c r="G199" s="312"/>
      <c r="H199" s="312">
        <v>159.29</v>
      </c>
      <c r="I199" s="312">
        <v>26.13</v>
      </c>
      <c r="J199" s="312">
        <v>242.28</v>
      </c>
      <c r="K199" s="312">
        <v>77.459999999999994</v>
      </c>
      <c r="M199" t="s">
        <v>1963</v>
      </c>
      <c r="N199" s="312"/>
      <c r="O199" s="312">
        <v>79076.08</v>
      </c>
      <c r="P199" s="312">
        <v>9091.8000000000011</v>
      </c>
      <c r="Q199" s="312">
        <v>111606.73</v>
      </c>
      <c r="R199" s="312">
        <v>22102.9</v>
      </c>
    </row>
    <row r="200" spans="6:18">
      <c r="F200" t="s">
        <v>1964</v>
      </c>
      <c r="G200" s="312"/>
      <c r="H200" s="312">
        <v>120.1</v>
      </c>
      <c r="I200" s="312"/>
      <c r="J200" s="312">
        <v>184.34</v>
      </c>
      <c r="K200" s="312">
        <v>76.67</v>
      </c>
      <c r="M200" t="s">
        <v>1964</v>
      </c>
      <c r="N200" s="312"/>
      <c r="O200" s="312">
        <v>46090.79</v>
      </c>
      <c r="P200" s="312"/>
      <c r="Q200" s="312">
        <v>73405.3</v>
      </c>
      <c r="R200" s="312">
        <v>19515.400000000001</v>
      </c>
    </row>
    <row r="201" spans="6:18">
      <c r="F201" t="s">
        <v>1965</v>
      </c>
      <c r="G201" s="312"/>
      <c r="H201" s="312">
        <v>159.78</v>
      </c>
      <c r="I201" s="312">
        <v>1.5</v>
      </c>
      <c r="J201" s="312">
        <v>222.69</v>
      </c>
      <c r="K201" s="312">
        <v>370.76</v>
      </c>
      <c r="M201" t="s">
        <v>1965</v>
      </c>
      <c r="N201" s="312"/>
      <c r="O201" s="312">
        <v>106567.15</v>
      </c>
      <c r="P201" s="312">
        <v>101.7</v>
      </c>
      <c r="Q201" s="312">
        <v>65331.83</v>
      </c>
      <c r="R201" s="312">
        <v>109130.04999999999</v>
      </c>
    </row>
    <row r="202" spans="6:18">
      <c r="F202" t="s">
        <v>1966</v>
      </c>
      <c r="G202" s="312"/>
      <c r="H202" s="312">
        <v>143.55000000000001</v>
      </c>
      <c r="I202" s="312">
        <v>50.36</v>
      </c>
      <c r="J202" s="312">
        <v>316.66000000000003</v>
      </c>
      <c r="K202" s="312">
        <v>261.54000000000002</v>
      </c>
      <c r="M202" t="s">
        <v>1966</v>
      </c>
      <c r="N202" s="312"/>
      <c r="O202" s="312">
        <v>42828.68</v>
      </c>
      <c r="P202" s="312">
        <v>30630.149999999998</v>
      </c>
      <c r="Q202" s="312">
        <v>159682.24000000002</v>
      </c>
      <c r="R202" s="312">
        <v>106521.48000000001</v>
      </c>
    </row>
    <row r="203" spans="6:18">
      <c r="F203" t="s">
        <v>1967</v>
      </c>
      <c r="G203" s="312"/>
      <c r="H203" s="312">
        <v>128.37</v>
      </c>
      <c r="I203" s="312">
        <v>20.45</v>
      </c>
      <c r="J203" s="312">
        <v>337.81</v>
      </c>
      <c r="K203" s="312">
        <v>255.76</v>
      </c>
      <c r="M203" t="s">
        <v>1967</v>
      </c>
      <c r="N203" s="312"/>
      <c r="O203" s="312">
        <v>102416.01</v>
      </c>
      <c r="P203" s="312">
        <v>21932.49</v>
      </c>
      <c r="Q203" s="312">
        <v>127920.40000000001</v>
      </c>
      <c r="R203" s="312">
        <v>63589.67</v>
      </c>
    </row>
    <row r="204" spans="6:18">
      <c r="F204" t="s">
        <v>1968</v>
      </c>
      <c r="G204" s="312"/>
      <c r="H204" s="312">
        <v>185.55</v>
      </c>
      <c r="I204" s="312">
        <v>17.649999999999999</v>
      </c>
      <c r="J204" s="312">
        <v>290.84000000000003</v>
      </c>
      <c r="K204" s="312">
        <v>151</v>
      </c>
      <c r="M204" t="s">
        <v>1968</v>
      </c>
      <c r="N204" s="312"/>
      <c r="O204" s="312">
        <v>93275.709999999992</v>
      </c>
      <c r="P204" s="312">
        <v>8393.4600000000009</v>
      </c>
      <c r="Q204" s="312">
        <v>73223.75</v>
      </c>
      <c r="R204" s="312">
        <v>32521.16</v>
      </c>
    </row>
    <row r="205" spans="6:18">
      <c r="F205" t="s">
        <v>1969</v>
      </c>
      <c r="G205" s="312"/>
      <c r="H205" s="312">
        <v>276.54000000000002</v>
      </c>
      <c r="I205" s="312">
        <v>15.979999999999999</v>
      </c>
      <c r="J205" s="312">
        <v>297.99</v>
      </c>
      <c r="K205" s="312">
        <v>97.22</v>
      </c>
      <c r="M205" t="s">
        <v>1969</v>
      </c>
      <c r="N205" s="312"/>
      <c r="O205" s="312">
        <v>82392.399999999994</v>
      </c>
      <c r="P205" s="312">
        <v>4113.3599999999997</v>
      </c>
      <c r="Q205" s="312">
        <v>69856.81</v>
      </c>
      <c r="R205" s="312">
        <v>39144.89</v>
      </c>
    </row>
    <row r="206" spans="6:18">
      <c r="F206" t="s">
        <v>1970</v>
      </c>
      <c r="G206" s="312">
        <v>0.81</v>
      </c>
      <c r="H206" s="312">
        <v>121.21</v>
      </c>
      <c r="I206" s="312">
        <v>17.310000000000002</v>
      </c>
      <c r="J206" s="312">
        <v>165.88</v>
      </c>
      <c r="K206" s="312">
        <v>15.870000000000001</v>
      </c>
      <c r="M206" t="s">
        <v>1970</v>
      </c>
      <c r="N206" s="312">
        <v>155.04</v>
      </c>
      <c r="O206" s="312">
        <v>58827.69</v>
      </c>
      <c r="P206" s="312">
        <v>10597.31</v>
      </c>
      <c r="Q206" s="312">
        <v>68635.48000000001</v>
      </c>
      <c r="R206" s="312">
        <v>2354.08</v>
      </c>
    </row>
    <row r="207" spans="6:18">
      <c r="F207" t="s">
        <v>1971</v>
      </c>
      <c r="G207" s="312"/>
      <c r="H207" s="312">
        <v>95.97999999999999</v>
      </c>
      <c r="I207" s="312">
        <v>0.88</v>
      </c>
      <c r="J207" s="312">
        <v>183.45</v>
      </c>
      <c r="K207" s="312">
        <v>18.48</v>
      </c>
      <c r="M207" t="s">
        <v>1971</v>
      </c>
      <c r="N207" s="312"/>
      <c r="O207" s="312">
        <v>55979.77</v>
      </c>
      <c r="P207" s="312">
        <v>383.46</v>
      </c>
      <c r="Q207" s="312">
        <v>75491.360000000001</v>
      </c>
      <c r="R207" s="312">
        <v>4193.28</v>
      </c>
    </row>
    <row r="208" spans="6:18">
      <c r="F208" t="s">
        <v>1972</v>
      </c>
      <c r="G208" s="312"/>
      <c r="H208" s="312">
        <v>143.49</v>
      </c>
      <c r="I208" s="312">
        <v>31.03</v>
      </c>
      <c r="J208" s="312">
        <v>277.75</v>
      </c>
      <c r="K208" s="312">
        <v>43.89</v>
      </c>
      <c r="M208" t="s">
        <v>1972</v>
      </c>
      <c r="N208" s="312"/>
      <c r="O208" s="312">
        <v>78341.460000000006</v>
      </c>
      <c r="P208" s="312">
        <v>19112.11</v>
      </c>
      <c r="Q208" s="312">
        <v>156728.41</v>
      </c>
      <c r="R208" s="312">
        <v>11764.330000000002</v>
      </c>
    </row>
    <row r="209" spans="6:18">
      <c r="F209" t="s">
        <v>1973</v>
      </c>
      <c r="G209" s="312"/>
      <c r="H209" s="312">
        <v>258.65000000000003</v>
      </c>
      <c r="I209" s="312">
        <v>26.67</v>
      </c>
      <c r="J209" s="312">
        <v>299.82</v>
      </c>
      <c r="K209" s="312">
        <v>77.63</v>
      </c>
      <c r="M209" t="s">
        <v>1973</v>
      </c>
      <c r="N209" s="312"/>
      <c r="O209" s="312">
        <v>112226.84</v>
      </c>
      <c r="P209" s="312">
        <v>15624.95</v>
      </c>
      <c r="Q209" s="312">
        <v>121222.37</v>
      </c>
      <c r="R209" s="312">
        <v>21563.18</v>
      </c>
    </row>
    <row r="210" spans="6:18">
      <c r="F210" t="s">
        <v>1974</v>
      </c>
      <c r="G210" s="312"/>
      <c r="H210" s="312">
        <v>212.47</v>
      </c>
      <c r="I210" s="312">
        <v>11.01</v>
      </c>
      <c r="J210" s="312">
        <v>310.44</v>
      </c>
      <c r="K210" s="312">
        <v>69.259999999999991</v>
      </c>
      <c r="M210" t="s">
        <v>1974</v>
      </c>
      <c r="N210" s="312"/>
      <c r="O210" s="312">
        <v>85250.989999999991</v>
      </c>
      <c r="P210" s="312">
        <v>9969.94</v>
      </c>
      <c r="Q210" s="312">
        <v>116349.64</v>
      </c>
      <c r="R210" s="312">
        <v>20502.34</v>
      </c>
    </row>
    <row r="211" spans="6:18">
      <c r="F211" t="s">
        <v>1975</v>
      </c>
      <c r="G211" s="312"/>
      <c r="H211" s="312">
        <v>201.32</v>
      </c>
      <c r="I211" s="312">
        <v>11.84</v>
      </c>
      <c r="J211" s="312">
        <v>318.08</v>
      </c>
      <c r="K211" s="312">
        <v>54.31</v>
      </c>
      <c r="M211" t="s">
        <v>1975</v>
      </c>
      <c r="N211" s="312"/>
      <c r="O211" s="312">
        <v>81207.13</v>
      </c>
      <c r="P211" s="312">
        <v>5713.99</v>
      </c>
      <c r="Q211" s="312">
        <v>117403.69</v>
      </c>
      <c r="R211" s="312">
        <v>16543.93</v>
      </c>
    </row>
    <row r="212" spans="6:18">
      <c r="F212" t="s">
        <v>1976</v>
      </c>
      <c r="G212" s="312"/>
      <c r="H212" s="312">
        <v>213.04</v>
      </c>
      <c r="I212" s="312">
        <v>9.44</v>
      </c>
      <c r="J212" s="312">
        <v>294.86</v>
      </c>
      <c r="K212" s="312">
        <v>83.59</v>
      </c>
      <c r="M212" t="s">
        <v>1976</v>
      </c>
      <c r="N212" s="312"/>
      <c r="O212" s="312">
        <v>102166.86</v>
      </c>
      <c r="P212" s="312">
        <v>3813.1</v>
      </c>
      <c r="Q212" s="312">
        <v>113874.15</v>
      </c>
      <c r="R212" s="312">
        <v>24955.35</v>
      </c>
    </row>
    <row r="213" spans="6:18">
      <c r="F213" t="s">
        <v>1977</v>
      </c>
      <c r="G213" s="312"/>
      <c r="H213" s="312">
        <v>81.88</v>
      </c>
      <c r="I213" s="312">
        <v>10.469999999999999</v>
      </c>
      <c r="J213" s="312">
        <v>164.21</v>
      </c>
      <c r="K213" s="312">
        <v>22.669999999999998</v>
      </c>
      <c r="M213" t="s">
        <v>1977</v>
      </c>
      <c r="N213" s="312"/>
      <c r="O213" s="312">
        <v>31568.949999999997</v>
      </c>
      <c r="P213" s="312">
        <v>5355.38</v>
      </c>
      <c r="Q213" s="312">
        <v>69310.59</v>
      </c>
      <c r="R213" s="312">
        <v>6553.82</v>
      </c>
    </row>
    <row r="214" spans="6:18">
      <c r="F214" t="s">
        <v>1978</v>
      </c>
      <c r="G214" s="312"/>
      <c r="H214" s="312">
        <v>81.72</v>
      </c>
      <c r="I214" s="312">
        <v>1.49</v>
      </c>
      <c r="J214" s="312">
        <v>142.38999999999999</v>
      </c>
      <c r="K214" s="312">
        <v>19.21</v>
      </c>
      <c r="M214" t="s">
        <v>1978</v>
      </c>
      <c r="N214" s="312"/>
      <c r="O214" s="312">
        <v>42807.539999999994</v>
      </c>
      <c r="P214" s="312">
        <v>347.41</v>
      </c>
      <c r="Q214" s="312">
        <v>51263.11</v>
      </c>
      <c r="R214" s="312">
        <v>7242.84</v>
      </c>
    </row>
    <row r="215" spans="6:18">
      <c r="F215" t="s">
        <v>1979</v>
      </c>
      <c r="G215" s="312"/>
      <c r="H215" s="312">
        <v>175.07</v>
      </c>
      <c r="I215" s="312">
        <v>17.45</v>
      </c>
      <c r="J215" s="312">
        <v>262.76</v>
      </c>
      <c r="K215" s="312">
        <v>80.42</v>
      </c>
      <c r="M215" t="s">
        <v>1979</v>
      </c>
      <c r="N215" s="312"/>
      <c r="O215" s="312">
        <v>106685.77</v>
      </c>
      <c r="P215" s="312">
        <v>13820.12</v>
      </c>
      <c r="Q215" s="312">
        <v>89371.37</v>
      </c>
      <c r="R215" s="312">
        <v>22500.089999999997</v>
      </c>
    </row>
    <row r="216" spans="6:18">
      <c r="F216" t="s">
        <v>1980</v>
      </c>
      <c r="G216" s="312"/>
      <c r="H216" s="312">
        <v>182.93</v>
      </c>
      <c r="I216" s="312">
        <v>29.08</v>
      </c>
      <c r="J216" s="312">
        <v>378.87</v>
      </c>
      <c r="K216" s="312">
        <v>53.9</v>
      </c>
      <c r="M216" t="s">
        <v>1980</v>
      </c>
      <c r="N216" s="312"/>
      <c r="O216" s="312">
        <v>84920.510000000009</v>
      </c>
      <c r="P216" s="312">
        <v>16495.939999999999</v>
      </c>
      <c r="Q216" s="312">
        <v>217843.79</v>
      </c>
      <c r="R216" s="312">
        <v>14043.3</v>
      </c>
    </row>
    <row r="217" spans="6:18">
      <c r="F217" t="s">
        <v>1981</v>
      </c>
      <c r="G217" s="312"/>
      <c r="H217" s="312">
        <v>207</v>
      </c>
      <c r="I217" s="312">
        <v>4.87</v>
      </c>
      <c r="J217" s="312">
        <v>320.5</v>
      </c>
      <c r="K217" s="312">
        <v>88.3</v>
      </c>
      <c r="M217" t="s">
        <v>1981</v>
      </c>
      <c r="N217" s="312"/>
      <c r="O217" s="312">
        <v>110064.67000000001</v>
      </c>
      <c r="P217" s="312">
        <v>1849.24</v>
      </c>
      <c r="Q217" s="312">
        <v>95943.48000000001</v>
      </c>
      <c r="R217" s="312">
        <v>23788.71</v>
      </c>
    </row>
    <row r="218" spans="6:18">
      <c r="F218" t="s">
        <v>1982</v>
      </c>
      <c r="G218" s="312"/>
      <c r="H218" s="312">
        <v>167.33</v>
      </c>
      <c r="I218" s="312">
        <v>13.48</v>
      </c>
      <c r="J218" s="312">
        <v>272.29999999999995</v>
      </c>
      <c r="K218" s="312">
        <v>37.409999999999997</v>
      </c>
      <c r="M218" t="s">
        <v>1982</v>
      </c>
      <c r="N218" s="312"/>
      <c r="O218" s="312">
        <v>69441.66</v>
      </c>
      <c r="P218" s="312">
        <v>8625.91</v>
      </c>
      <c r="Q218" s="312">
        <v>125914.53</v>
      </c>
      <c r="R218" s="312">
        <v>17285.64</v>
      </c>
    </row>
    <row r="219" spans="6:18">
      <c r="F219" t="s">
        <v>1983</v>
      </c>
      <c r="G219" s="312"/>
      <c r="H219" s="312">
        <v>157.12</v>
      </c>
      <c r="I219" s="312">
        <v>6.48</v>
      </c>
      <c r="J219" s="312">
        <v>290.18</v>
      </c>
      <c r="K219" s="312">
        <v>63.97</v>
      </c>
      <c r="M219" t="s">
        <v>1983</v>
      </c>
      <c r="N219" s="312"/>
      <c r="O219" s="312">
        <v>63821.85</v>
      </c>
      <c r="P219" s="312">
        <v>1802.4</v>
      </c>
      <c r="Q219" s="312">
        <v>131064.91</v>
      </c>
      <c r="R219" s="312">
        <v>18630.61</v>
      </c>
    </row>
    <row r="220" spans="6:18">
      <c r="F220" t="s">
        <v>1984</v>
      </c>
      <c r="G220" s="312"/>
      <c r="H220" s="312">
        <v>98.6</v>
      </c>
      <c r="I220" s="312">
        <v>23.689999999999998</v>
      </c>
      <c r="J220" s="312">
        <v>111.60000000000001</v>
      </c>
      <c r="K220" s="312">
        <v>27.36</v>
      </c>
      <c r="M220" t="s">
        <v>1984</v>
      </c>
      <c r="N220" s="312"/>
      <c r="O220" s="312">
        <v>40161.01</v>
      </c>
      <c r="P220" s="312">
        <v>4209.04</v>
      </c>
      <c r="Q220" s="312">
        <v>37186.990000000005</v>
      </c>
      <c r="R220" s="312">
        <v>9655.9800000000014</v>
      </c>
    </row>
    <row r="221" spans="6:18">
      <c r="F221" t="s">
        <v>1985</v>
      </c>
      <c r="G221" s="312"/>
      <c r="H221" s="312">
        <v>100.76</v>
      </c>
      <c r="I221" s="312">
        <v>14.72</v>
      </c>
      <c r="J221" s="312">
        <v>194.16</v>
      </c>
      <c r="K221" s="312">
        <v>16.73</v>
      </c>
      <c r="M221" t="s">
        <v>1985</v>
      </c>
      <c r="N221" s="312"/>
      <c r="O221" s="312">
        <v>48380.549999999996</v>
      </c>
      <c r="P221" s="312">
        <v>6857.61</v>
      </c>
      <c r="Q221" s="312">
        <v>93845.8</v>
      </c>
      <c r="R221" s="312">
        <v>8947.82</v>
      </c>
    </row>
    <row r="222" spans="6:18">
      <c r="F222" t="s">
        <v>1986</v>
      </c>
      <c r="G222" s="312"/>
      <c r="H222" s="312">
        <v>160.47</v>
      </c>
      <c r="I222" s="312">
        <v>28.44</v>
      </c>
      <c r="J222" s="312">
        <v>180.72000000000003</v>
      </c>
      <c r="K222" s="312">
        <v>78.27000000000001</v>
      </c>
      <c r="M222" t="s">
        <v>1986</v>
      </c>
      <c r="N222" s="312"/>
      <c r="O222" s="312">
        <v>72207.42</v>
      </c>
      <c r="P222" s="312">
        <v>15248.62</v>
      </c>
      <c r="Q222" s="312">
        <v>60178.210000000006</v>
      </c>
      <c r="R222" s="312">
        <v>15570.529999999999</v>
      </c>
    </row>
    <row r="223" spans="6:18">
      <c r="F223" t="s">
        <v>1987</v>
      </c>
      <c r="G223" s="312"/>
      <c r="H223" s="312">
        <v>165.24</v>
      </c>
      <c r="I223" s="312">
        <v>6.2</v>
      </c>
      <c r="J223" s="312">
        <v>262.2</v>
      </c>
      <c r="K223" s="312">
        <v>46.77</v>
      </c>
      <c r="M223" t="s">
        <v>1987</v>
      </c>
      <c r="N223" s="312"/>
      <c r="O223" s="312">
        <v>60069.25</v>
      </c>
      <c r="P223" s="312">
        <v>1957.14</v>
      </c>
      <c r="Q223" s="312">
        <v>133190.54999999999</v>
      </c>
      <c r="R223" s="312">
        <v>16008.369999999999</v>
      </c>
    </row>
    <row r="224" spans="6:18">
      <c r="F224" t="s">
        <v>1988</v>
      </c>
      <c r="G224" s="312"/>
      <c r="H224" s="312">
        <v>158.32999999999998</v>
      </c>
      <c r="I224" s="312">
        <v>10.87</v>
      </c>
      <c r="J224" s="312">
        <v>274</v>
      </c>
      <c r="K224" s="312">
        <v>79.959999999999994</v>
      </c>
      <c r="M224" t="s">
        <v>1988</v>
      </c>
      <c r="N224" s="312"/>
      <c r="O224" s="312">
        <v>69656.429999999993</v>
      </c>
      <c r="P224" s="312">
        <v>1250.5</v>
      </c>
      <c r="Q224" s="312">
        <v>177941.14</v>
      </c>
      <c r="R224" s="312">
        <v>31511.43</v>
      </c>
    </row>
    <row r="225" spans="6:18">
      <c r="F225" t="s">
        <v>1989</v>
      </c>
      <c r="G225" s="312"/>
      <c r="H225" s="312">
        <v>101.27</v>
      </c>
      <c r="I225" s="312">
        <v>33.17</v>
      </c>
      <c r="J225" s="312">
        <v>245.35</v>
      </c>
      <c r="K225" s="312">
        <v>55.03</v>
      </c>
      <c r="M225" t="s">
        <v>1989</v>
      </c>
      <c r="N225" s="312"/>
      <c r="O225" s="312">
        <v>56739.76</v>
      </c>
      <c r="P225" s="312">
        <v>14741.43</v>
      </c>
      <c r="Q225" s="312">
        <v>100805.87</v>
      </c>
      <c r="R225" s="312">
        <v>7502.67</v>
      </c>
    </row>
    <row r="226" spans="6:18">
      <c r="F226" t="s">
        <v>1990</v>
      </c>
      <c r="G226" s="312"/>
      <c r="H226" s="312">
        <v>117.85</v>
      </c>
      <c r="I226" s="312">
        <v>7.5400000000000009</v>
      </c>
      <c r="J226" s="312">
        <v>272.33000000000004</v>
      </c>
      <c r="K226" s="312">
        <v>73.13</v>
      </c>
      <c r="M226" t="s">
        <v>1990</v>
      </c>
      <c r="N226" s="312"/>
      <c r="O226" s="312">
        <v>48433.59</v>
      </c>
      <c r="P226" s="312">
        <v>3058.62</v>
      </c>
      <c r="Q226" s="312">
        <v>66788.86</v>
      </c>
      <c r="R226" s="312">
        <v>19632.93</v>
      </c>
    </row>
    <row r="227" spans="6:18">
      <c r="F227" t="s">
        <v>1991</v>
      </c>
      <c r="G227" s="312"/>
      <c r="H227" s="312">
        <v>140.26999999999998</v>
      </c>
      <c r="I227" s="312">
        <v>22.36</v>
      </c>
      <c r="J227" s="312">
        <v>204.26999999999998</v>
      </c>
      <c r="K227" s="312">
        <v>28.49</v>
      </c>
      <c r="M227" t="s">
        <v>1991</v>
      </c>
      <c r="N227" s="312"/>
      <c r="O227" s="312">
        <v>63535.31</v>
      </c>
      <c r="P227" s="312">
        <v>9363.77</v>
      </c>
      <c r="Q227" s="312">
        <v>85843.88</v>
      </c>
      <c r="R227" s="312">
        <v>7890.1100000000006</v>
      </c>
    </row>
    <row r="228" spans="6:18">
      <c r="F228" t="s">
        <v>1992</v>
      </c>
      <c r="G228" s="312"/>
      <c r="H228" s="312">
        <v>73.8</v>
      </c>
      <c r="I228" s="312">
        <v>6.3699999999999992</v>
      </c>
      <c r="J228" s="312">
        <v>149.72</v>
      </c>
      <c r="K228" s="312">
        <v>30.96</v>
      </c>
      <c r="M228" t="s">
        <v>1992</v>
      </c>
      <c r="N228" s="312"/>
      <c r="O228" s="312">
        <v>27969.129999999997</v>
      </c>
      <c r="P228" s="312">
        <v>5997.83</v>
      </c>
      <c r="Q228" s="312">
        <v>53590.78</v>
      </c>
      <c r="R228" s="312">
        <v>9675.91</v>
      </c>
    </row>
    <row r="229" spans="6:18">
      <c r="F229" t="s">
        <v>1993</v>
      </c>
      <c r="G229" s="312"/>
      <c r="H229" s="312">
        <v>127.09</v>
      </c>
      <c r="I229" s="312">
        <v>16.07</v>
      </c>
      <c r="J229" s="312">
        <v>265.97000000000003</v>
      </c>
      <c r="K229" s="312">
        <v>51.33</v>
      </c>
      <c r="M229" t="s">
        <v>1993</v>
      </c>
      <c r="N229" s="312"/>
      <c r="O229" s="312">
        <v>77496.03</v>
      </c>
      <c r="P229" s="312">
        <v>8141.43</v>
      </c>
      <c r="Q229" s="312">
        <v>144757.01999999999</v>
      </c>
      <c r="R229" s="312">
        <v>15591.7</v>
      </c>
    </row>
    <row r="230" spans="6:18">
      <c r="F230" t="s">
        <v>1994</v>
      </c>
      <c r="G230" s="312"/>
      <c r="H230" s="312">
        <v>168.32999999999998</v>
      </c>
      <c r="I230" s="312">
        <v>9.84</v>
      </c>
      <c r="J230" s="312">
        <v>359.98</v>
      </c>
      <c r="K230" s="312">
        <v>68.92</v>
      </c>
      <c r="M230" t="s">
        <v>1994</v>
      </c>
      <c r="N230" s="312"/>
      <c r="O230" s="312">
        <v>93892.5</v>
      </c>
      <c r="P230" s="312">
        <v>4142.9799999999996</v>
      </c>
      <c r="Q230" s="312">
        <v>196542.23</v>
      </c>
      <c r="R230" s="312">
        <v>20981.15</v>
      </c>
    </row>
    <row r="231" spans="6:18">
      <c r="F231" t="s">
        <v>1995</v>
      </c>
      <c r="G231" s="312"/>
      <c r="H231" s="312">
        <v>114.44</v>
      </c>
      <c r="I231" s="312">
        <v>7.25</v>
      </c>
      <c r="J231" s="312">
        <v>284.95</v>
      </c>
      <c r="K231" s="312">
        <v>26.159999999999997</v>
      </c>
      <c r="M231" t="s">
        <v>1995</v>
      </c>
      <c r="N231" s="312"/>
      <c r="O231" s="312">
        <v>68910.38</v>
      </c>
      <c r="P231" s="312">
        <v>4882.95</v>
      </c>
      <c r="Q231" s="312">
        <v>144554.61000000002</v>
      </c>
      <c r="R231" s="312">
        <v>5765.16</v>
      </c>
    </row>
    <row r="232" spans="6:18">
      <c r="F232" t="s">
        <v>1996</v>
      </c>
      <c r="G232" s="312"/>
      <c r="H232" s="312">
        <v>135.47</v>
      </c>
      <c r="I232" s="312">
        <v>23.509999999999998</v>
      </c>
      <c r="J232" s="312">
        <v>267.45</v>
      </c>
      <c r="K232" s="312">
        <v>28.78</v>
      </c>
      <c r="M232" t="s">
        <v>1996</v>
      </c>
      <c r="N232" s="312"/>
      <c r="O232" s="312">
        <v>75286.239999999991</v>
      </c>
      <c r="P232" s="312">
        <v>9975.58</v>
      </c>
      <c r="Q232" s="312">
        <v>149706.70000000001</v>
      </c>
      <c r="R232" s="312">
        <v>10823.939999999999</v>
      </c>
    </row>
    <row r="233" spans="6:18">
      <c r="F233" t="s">
        <v>1997</v>
      </c>
      <c r="G233" s="312">
        <v>4.4400000000000004</v>
      </c>
      <c r="H233" s="312">
        <v>205.48000000000002</v>
      </c>
      <c r="I233" s="312">
        <v>1.68</v>
      </c>
      <c r="J233" s="312">
        <v>313.14999999999998</v>
      </c>
      <c r="K233" s="312">
        <v>38.11</v>
      </c>
      <c r="M233" t="s">
        <v>1997</v>
      </c>
      <c r="N233" s="312">
        <v>4823.8900000000003</v>
      </c>
      <c r="O233" s="312">
        <v>120550.79999999999</v>
      </c>
      <c r="P233" s="312">
        <v>1144.5</v>
      </c>
      <c r="Q233" s="312">
        <v>107842.62999999999</v>
      </c>
      <c r="R233" s="312">
        <v>27308.93</v>
      </c>
    </row>
    <row r="234" spans="6:18">
      <c r="F234" t="s">
        <v>1998</v>
      </c>
      <c r="G234" s="312"/>
      <c r="H234" s="312">
        <v>122.66</v>
      </c>
      <c r="I234" s="312">
        <v>19.86</v>
      </c>
      <c r="J234" s="312">
        <v>119.33</v>
      </c>
      <c r="K234" s="312">
        <v>11.370000000000001</v>
      </c>
      <c r="M234" t="s">
        <v>1998</v>
      </c>
      <c r="N234" s="312"/>
      <c r="O234" s="312">
        <v>59738.62</v>
      </c>
      <c r="P234" s="312">
        <v>14377.48</v>
      </c>
      <c r="Q234" s="312">
        <v>87033.84</v>
      </c>
      <c r="R234" s="312">
        <v>3093.8399999999997</v>
      </c>
    </row>
    <row r="235" spans="6:18">
      <c r="F235" t="s">
        <v>1999</v>
      </c>
      <c r="G235" s="312"/>
      <c r="H235" s="312">
        <v>109.98</v>
      </c>
      <c r="I235" s="312">
        <v>4.29</v>
      </c>
      <c r="J235" s="312">
        <v>125.57000000000001</v>
      </c>
      <c r="K235" s="312">
        <v>56.71</v>
      </c>
      <c r="M235" t="s">
        <v>1999</v>
      </c>
      <c r="N235" s="312"/>
      <c r="O235" s="312">
        <v>44422.06</v>
      </c>
      <c r="P235" s="312">
        <v>4620.84</v>
      </c>
      <c r="Q235" s="312">
        <v>107096.35</v>
      </c>
      <c r="R235" s="312">
        <v>13792.66</v>
      </c>
    </row>
    <row r="236" spans="6:18">
      <c r="F236" t="s">
        <v>2000</v>
      </c>
      <c r="G236" s="312"/>
      <c r="H236" s="312">
        <v>219.05</v>
      </c>
      <c r="I236" s="312">
        <v>21.049999999999997</v>
      </c>
      <c r="J236" s="312">
        <v>227.75</v>
      </c>
      <c r="K236" s="312">
        <v>72.28</v>
      </c>
      <c r="M236" t="s">
        <v>2000</v>
      </c>
      <c r="N236" s="312"/>
      <c r="O236" s="312">
        <v>130902.62</v>
      </c>
      <c r="P236" s="312">
        <v>12563.279999999999</v>
      </c>
      <c r="Q236" s="312">
        <v>79552.33</v>
      </c>
      <c r="R236" s="312">
        <v>23344.129999999997</v>
      </c>
    </row>
    <row r="237" spans="6:18">
      <c r="F237" t="s">
        <v>2001</v>
      </c>
      <c r="G237" s="312"/>
      <c r="H237" s="312">
        <v>184.95999999999998</v>
      </c>
      <c r="I237" s="312">
        <v>9.84</v>
      </c>
      <c r="J237" s="312">
        <v>167.68</v>
      </c>
      <c r="K237" s="312">
        <v>56.34</v>
      </c>
      <c r="M237" t="s">
        <v>2001</v>
      </c>
      <c r="N237" s="312"/>
      <c r="O237" s="312">
        <v>81850.990000000005</v>
      </c>
      <c r="P237" s="312">
        <v>5136.17</v>
      </c>
      <c r="Q237" s="312">
        <v>58912.539999999994</v>
      </c>
      <c r="R237" s="312">
        <v>15278.510000000002</v>
      </c>
    </row>
    <row r="238" spans="6:18">
      <c r="F238" t="s">
        <v>2002</v>
      </c>
      <c r="G238" s="312"/>
      <c r="H238" s="312">
        <v>162.37</v>
      </c>
      <c r="I238" s="312"/>
      <c r="J238" s="312">
        <v>144.08000000000001</v>
      </c>
      <c r="K238" s="312">
        <v>64.199999999999989</v>
      </c>
      <c r="M238" t="s">
        <v>2002</v>
      </c>
      <c r="N238" s="312"/>
      <c r="O238" s="312">
        <v>84955.37</v>
      </c>
      <c r="P238" s="312"/>
      <c r="Q238" s="312">
        <v>53874.75</v>
      </c>
      <c r="R238" s="312">
        <v>23423.119999999999</v>
      </c>
    </row>
    <row r="239" spans="6:18">
      <c r="F239" t="s">
        <v>2003</v>
      </c>
      <c r="G239" s="312"/>
      <c r="H239" s="312">
        <v>191.66</v>
      </c>
      <c r="I239" s="312">
        <v>11.92</v>
      </c>
      <c r="J239" s="312">
        <v>147.57</v>
      </c>
      <c r="K239" s="312">
        <v>59.18</v>
      </c>
      <c r="M239" t="s">
        <v>2003</v>
      </c>
      <c r="N239" s="312"/>
      <c r="O239" s="312">
        <v>95976.11</v>
      </c>
      <c r="P239" s="312">
        <v>4027.4</v>
      </c>
      <c r="Q239" s="312">
        <v>73330.36</v>
      </c>
      <c r="R239" s="312">
        <v>13726.31</v>
      </c>
    </row>
    <row r="240" spans="6:18">
      <c r="F240" t="s">
        <v>2004</v>
      </c>
      <c r="G240" s="312"/>
      <c r="H240" s="312">
        <v>145.63999999999999</v>
      </c>
      <c r="I240" s="312">
        <v>2.81</v>
      </c>
      <c r="J240" s="312">
        <v>217.57</v>
      </c>
      <c r="K240" s="312">
        <v>89.990000000000009</v>
      </c>
      <c r="M240" t="s">
        <v>2004</v>
      </c>
      <c r="N240" s="312"/>
      <c r="O240" s="312">
        <v>70161.070000000007</v>
      </c>
      <c r="P240" s="312">
        <v>580.49</v>
      </c>
      <c r="Q240" s="312">
        <v>157764.41</v>
      </c>
      <c r="R240" s="312">
        <v>15723.94</v>
      </c>
    </row>
    <row r="241" spans="6:18">
      <c r="F241" t="s">
        <v>2005</v>
      </c>
      <c r="G241" s="312"/>
      <c r="H241" s="312">
        <v>68.86</v>
      </c>
      <c r="I241" s="312">
        <v>9.07</v>
      </c>
      <c r="J241" s="312">
        <v>99.73</v>
      </c>
      <c r="K241" s="312">
        <v>33.5</v>
      </c>
      <c r="M241" t="s">
        <v>2005</v>
      </c>
      <c r="N241" s="312"/>
      <c r="O241" s="312">
        <v>72098.209999999992</v>
      </c>
      <c r="P241" s="312">
        <v>8425.8700000000008</v>
      </c>
      <c r="Q241" s="312">
        <v>52067.25</v>
      </c>
      <c r="R241" s="312">
        <v>8473</v>
      </c>
    </row>
    <row r="242" spans="6:18">
      <c r="F242" t="s">
        <v>2006</v>
      </c>
      <c r="G242" s="312"/>
      <c r="H242" s="312">
        <v>78.830000000000013</v>
      </c>
      <c r="I242" s="312">
        <v>4.2</v>
      </c>
      <c r="J242" s="312">
        <v>104.96</v>
      </c>
      <c r="K242" s="312">
        <v>19.990000000000002</v>
      </c>
      <c r="M242" t="s">
        <v>2006</v>
      </c>
      <c r="N242" s="312"/>
      <c r="O242" s="312">
        <v>41802.769999999997</v>
      </c>
      <c r="P242" s="312">
        <v>1242.56</v>
      </c>
      <c r="Q242" s="312">
        <v>89541.31</v>
      </c>
      <c r="R242" s="312">
        <v>5033.59</v>
      </c>
    </row>
    <row r="243" spans="6:18">
      <c r="F243" t="s">
        <v>2007</v>
      </c>
      <c r="G243" s="312"/>
      <c r="H243" s="312">
        <v>211.51000000000002</v>
      </c>
      <c r="I243" s="312">
        <v>8.5</v>
      </c>
      <c r="J243" s="312">
        <v>188.42000000000002</v>
      </c>
      <c r="K243" s="312">
        <v>69.290000000000006</v>
      </c>
      <c r="M243" t="s">
        <v>2007</v>
      </c>
      <c r="N243" s="312"/>
      <c r="O243" s="312">
        <v>88936.16</v>
      </c>
      <c r="P243" s="312">
        <v>9824.7999999999993</v>
      </c>
      <c r="Q243" s="312">
        <v>87932</v>
      </c>
      <c r="R243" s="312">
        <v>13757.650000000001</v>
      </c>
    </row>
    <row r="244" spans="6:18">
      <c r="F244" t="s">
        <v>2008</v>
      </c>
      <c r="G244" s="312"/>
      <c r="H244" s="312">
        <v>162.56</v>
      </c>
      <c r="I244" s="312">
        <v>11.27</v>
      </c>
      <c r="J244" s="312">
        <v>246.61</v>
      </c>
      <c r="K244" s="312">
        <v>51.599999999999994</v>
      </c>
      <c r="M244" t="s">
        <v>2008</v>
      </c>
      <c r="N244" s="312"/>
      <c r="O244" s="312">
        <v>75710.679999999993</v>
      </c>
      <c r="P244" s="312">
        <v>5134.33</v>
      </c>
      <c r="Q244" s="312">
        <v>168553.41</v>
      </c>
      <c r="R244" s="312">
        <v>13899.19</v>
      </c>
    </row>
    <row r="245" spans="6:18">
      <c r="F245" t="s">
        <v>2009</v>
      </c>
      <c r="G245" s="312"/>
      <c r="H245" s="312">
        <v>171.24</v>
      </c>
      <c r="I245" s="312">
        <v>21.91</v>
      </c>
      <c r="J245" s="312">
        <v>132.74</v>
      </c>
      <c r="K245" s="312">
        <v>52.61</v>
      </c>
      <c r="M245" t="s">
        <v>2009</v>
      </c>
      <c r="N245" s="312"/>
      <c r="O245" s="312">
        <v>80310.48</v>
      </c>
      <c r="P245" s="312">
        <v>30383.21</v>
      </c>
      <c r="Q245" s="312">
        <v>68329.83</v>
      </c>
      <c r="R245" s="312">
        <v>17958.21</v>
      </c>
    </row>
    <row r="246" spans="6:18">
      <c r="F246" t="s">
        <v>2010</v>
      </c>
      <c r="G246" s="312"/>
      <c r="H246" s="312">
        <v>196.56</v>
      </c>
      <c r="I246" s="312">
        <v>8.59</v>
      </c>
      <c r="J246" s="312">
        <v>225.01999999999998</v>
      </c>
      <c r="K246" s="312">
        <v>29.92</v>
      </c>
      <c r="M246" t="s">
        <v>2010</v>
      </c>
      <c r="N246" s="312"/>
      <c r="O246" s="312">
        <v>99500.209999999992</v>
      </c>
      <c r="P246" s="312">
        <v>6945</v>
      </c>
      <c r="Q246" s="312">
        <v>153898.09</v>
      </c>
      <c r="R246" s="312">
        <v>7492.47</v>
      </c>
    </row>
    <row r="247" spans="6:18">
      <c r="F247" t="s">
        <v>2011</v>
      </c>
      <c r="G247" s="312"/>
      <c r="H247" s="312">
        <v>164.31</v>
      </c>
      <c r="I247" s="312">
        <v>0.8</v>
      </c>
      <c r="J247" s="312">
        <v>199.66</v>
      </c>
      <c r="K247" s="312">
        <v>54.44</v>
      </c>
      <c r="M247" t="s">
        <v>2011</v>
      </c>
      <c r="N247" s="312"/>
      <c r="O247" s="312">
        <v>99687.31</v>
      </c>
      <c r="P247" s="312">
        <v>1705.81</v>
      </c>
      <c r="Q247" s="312">
        <v>78437.579999999987</v>
      </c>
      <c r="R247" s="312">
        <v>18818.670000000002</v>
      </c>
    </row>
    <row r="248" spans="6:18">
      <c r="F248" t="s">
        <v>2012</v>
      </c>
      <c r="G248" s="312"/>
      <c r="H248" s="312">
        <v>89.36</v>
      </c>
      <c r="I248" s="312">
        <v>5.41</v>
      </c>
      <c r="J248" s="312">
        <v>97.53</v>
      </c>
      <c r="K248" s="312">
        <v>58.34</v>
      </c>
      <c r="M248" t="s">
        <v>2012</v>
      </c>
      <c r="N248" s="312"/>
      <c r="O248" s="312">
        <v>37671.14</v>
      </c>
      <c r="P248" s="312">
        <v>5153.42</v>
      </c>
      <c r="Q248" s="312">
        <v>78314.399999999994</v>
      </c>
      <c r="R248" s="312">
        <v>19753.169999999998</v>
      </c>
    </row>
    <row r="249" spans="6:18">
      <c r="F249" t="s">
        <v>2013</v>
      </c>
      <c r="G249" s="312"/>
      <c r="H249" s="312">
        <v>83.15</v>
      </c>
      <c r="I249" s="312">
        <v>0.78</v>
      </c>
      <c r="J249" s="312">
        <v>64.33</v>
      </c>
      <c r="K249" s="312">
        <v>28.229999999999997</v>
      </c>
      <c r="M249" t="s">
        <v>2013</v>
      </c>
      <c r="N249" s="312"/>
      <c r="O249" s="312">
        <v>58453.61</v>
      </c>
      <c r="P249" s="312">
        <v>22.87</v>
      </c>
      <c r="Q249" s="312">
        <v>59961.17</v>
      </c>
      <c r="R249" s="312">
        <v>12319.17</v>
      </c>
    </row>
    <row r="250" spans="6:18">
      <c r="F250" t="s">
        <v>2014</v>
      </c>
      <c r="G250" s="312">
        <v>11.26</v>
      </c>
      <c r="H250" s="312">
        <v>253.70000000000002</v>
      </c>
      <c r="I250" s="312">
        <v>10.26</v>
      </c>
      <c r="J250" s="312">
        <v>143.10999999999999</v>
      </c>
      <c r="K250" s="312">
        <v>31.549999999999997</v>
      </c>
      <c r="M250" t="s">
        <v>2014</v>
      </c>
      <c r="N250" s="312">
        <v>11358.27</v>
      </c>
      <c r="O250" s="312">
        <v>84461.32</v>
      </c>
      <c r="P250" s="312">
        <v>12749.23</v>
      </c>
      <c r="Q250" s="312">
        <v>89650.69</v>
      </c>
      <c r="R250" s="312">
        <v>9818.39</v>
      </c>
    </row>
    <row r="251" spans="6:18">
      <c r="F251" t="s">
        <v>2015</v>
      </c>
      <c r="G251" s="312"/>
      <c r="H251" s="312">
        <v>249</v>
      </c>
      <c r="I251" s="312">
        <v>9.58</v>
      </c>
      <c r="J251" s="312">
        <v>182.75</v>
      </c>
      <c r="K251" s="312">
        <v>68.83</v>
      </c>
      <c r="M251" t="s">
        <v>2015</v>
      </c>
      <c r="N251" s="312"/>
      <c r="O251" s="312">
        <v>107585.48999999999</v>
      </c>
      <c r="P251" s="312">
        <v>8071.68</v>
      </c>
      <c r="Q251" s="312">
        <v>112766.63</v>
      </c>
      <c r="R251" s="312">
        <v>26720.11</v>
      </c>
    </row>
    <row r="252" spans="6:18">
      <c r="F252" t="s">
        <v>2016</v>
      </c>
      <c r="G252" s="312"/>
      <c r="H252" s="312">
        <v>252.2</v>
      </c>
      <c r="I252" s="312">
        <v>7.77</v>
      </c>
      <c r="J252" s="312">
        <v>170.19</v>
      </c>
      <c r="K252" s="312">
        <v>110.94</v>
      </c>
      <c r="M252" t="s">
        <v>2016</v>
      </c>
      <c r="N252" s="312"/>
      <c r="O252" s="312">
        <v>118972.63</v>
      </c>
      <c r="P252" s="312">
        <v>6827.74</v>
      </c>
      <c r="Q252" s="312">
        <v>57337.31</v>
      </c>
      <c r="R252" s="312">
        <v>19841.91</v>
      </c>
    </row>
    <row r="253" spans="6:18">
      <c r="F253" t="s">
        <v>2017</v>
      </c>
      <c r="G253" s="312"/>
      <c r="H253" s="312">
        <v>161.44</v>
      </c>
      <c r="I253" s="312">
        <v>8.99</v>
      </c>
      <c r="J253" s="312">
        <v>238.06</v>
      </c>
      <c r="K253" s="312">
        <v>124.36999999999999</v>
      </c>
      <c r="M253" t="s">
        <v>2017</v>
      </c>
      <c r="N253" s="312"/>
      <c r="O253" s="312">
        <v>82428.399999999994</v>
      </c>
      <c r="P253" s="312">
        <v>1064.4000000000001</v>
      </c>
      <c r="Q253" s="312">
        <v>149586.72</v>
      </c>
      <c r="R253" s="312">
        <v>42993.18</v>
      </c>
    </row>
    <row r="254" spans="6:18">
      <c r="F254" t="s">
        <v>2018</v>
      </c>
      <c r="G254" s="312"/>
      <c r="H254" s="312">
        <v>257.74</v>
      </c>
      <c r="I254" s="312">
        <v>16.86</v>
      </c>
      <c r="J254" s="312">
        <v>236.01</v>
      </c>
      <c r="K254" s="312">
        <v>72.78</v>
      </c>
      <c r="M254" t="s">
        <v>2018</v>
      </c>
      <c r="N254" s="312"/>
      <c r="O254" s="312">
        <v>109432.39</v>
      </c>
      <c r="P254" s="312">
        <v>10355.810000000001</v>
      </c>
      <c r="Q254" s="312">
        <v>99000.81</v>
      </c>
      <c r="R254" s="312">
        <v>31221.89</v>
      </c>
    </row>
    <row r="255" spans="6:18">
      <c r="F255" t="s">
        <v>2019</v>
      </c>
      <c r="G255" s="312"/>
      <c r="H255" s="312">
        <v>133.13999999999999</v>
      </c>
      <c r="I255" s="312">
        <v>6.23</v>
      </c>
      <c r="J255" s="312">
        <v>87.11</v>
      </c>
      <c r="K255" s="312">
        <v>40.29</v>
      </c>
      <c r="M255" t="s">
        <v>2019</v>
      </c>
      <c r="N255" s="312"/>
      <c r="O255" s="312">
        <v>78260.09</v>
      </c>
      <c r="P255" s="312">
        <v>2023.49</v>
      </c>
      <c r="Q255" s="312">
        <v>55469.340000000004</v>
      </c>
      <c r="R255" s="312">
        <v>11409.150000000001</v>
      </c>
    </row>
    <row r="256" spans="6:18">
      <c r="F256" t="s">
        <v>2020</v>
      </c>
      <c r="G256" s="312"/>
      <c r="H256" s="312">
        <v>68.78</v>
      </c>
      <c r="I256" s="312"/>
      <c r="J256" s="312">
        <v>109.25</v>
      </c>
      <c r="K256" s="312">
        <v>40.629999999999995</v>
      </c>
      <c r="M256" t="s">
        <v>2020</v>
      </c>
      <c r="N256" s="312"/>
      <c r="O256" s="312">
        <v>57099.45</v>
      </c>
      <c r="P256" s="312"/>
      <c r="Q256" s="312">
        <v>80202</v>
      </c>
      <c r="R256" s="312">
        <v>9267.35</v>
      </c>
    </row>
    <row r="257" spans="6:18">
      <c r="F257" t="s">
        <v>2021</v>
      </c>
      <c r="G257" s="312"/>
      <c r="H257" s="312">
        <v>144.25</v>
      </c>
      <c r="I257" s="312">
        <v>6.87</v>
      </c>
      <c r="J257" s="312">
        <v>196.57</v>
      </c>
      <c r="K257" s="312">
        <v>61.36</v>
      </c>
      <c r="M257" t="s">
        <v>2021</v>
      </c>
      <c r="N257" s="312"/>
      <c r="O257" s="312">
        <v>51322.450000000004</v>
      </c>
      <c r="P257" s="312">
        <v>2763.1</v>
      </c>
      <c r="Q257" s="312">
        <v>105598.5</v>
      </c>
      <c r="R257" s="312">
        <v>35229.760000000002</v>
      </c>
    </row>
    <row r="258" spans="6:18">
      <c r="F258" t="s">
        <v>2022</v>
      </c>
      <c r="G258" s="312"/>
      <c r="H258" s="312">
        <v>200.09</v>
      </c>
      <c r="I258" s="312">
        <v>10.119999999999999</v>
      </c>
      <c r="J258" s="312">
        <v>234.76</v>
      </c>
      <c r="K258" s="312">
        <v>64.509999999999991</v>
      </c>
      <c r="M258" t="s">
        <v>2022</v>
      </c>
      <c r="N258" s="312"/>
      <c r="O258" s="312">
        <v>87592.61</v>
      </c>
      <c r="P258" s="312">
        <v>4212.33</v>
      </c>
      <c r="Q258" s="312">
        <v>223448.01</v>
      </c>
      <c r="R258" s="312">
        <v>23053.239999999998</v>
      </c>
    </row>
    <row r="259" spans="6:18">
      <c r="F259" t="s">
        <v>2023</v>
      </c>
      <c r="G259" s="312"/>
      <c r="H259" s="312">
        <v>125.55</v>
      </c>
      <c r="I259" s="312">
        <v>10.92</v>
      </c>
      <c r="J259" s="312">
        <v>170.68</v>
      </c>
      <c r="K259" s="312">
        <v>52.5</v>
      </c>
      <c r="M259" t="s">
        <v>2023</v>
      </c>
      <c r="N259" s="312"/>
      <c r="O259" s="312">
        <v>86942.04</v>
      </c>
      <c r="P259" s="312">
        <v>13576.42</v>
      </c>
      <c r="Q259" s="312">
        <v>98590.59</v>
      </c>
      <c r="R259" s="312">
        <v>14058.580000000002</v>
      </c>
    </row>
    <row r="260" spans="6:18">
      <c r="F260" t="s">
        <v>2024</v>
      </c>
      <c r="G260" s="312"/>
      <c r="H260" s="312">
        <v>163.05000000000001</v>
      </c>
      <c r="I260" s="312">
        <v>2.2599999999999998</v>
      </c>
      <c r="J260" s="312">
        <v>203.76999999999998</v>
      </c>
      <c r="K260" s="312">
        <v>59.88</v>
      </c>
      <c r="M260" t="s">
        <v>2024</v>
      </c>
      <c r="N260" s="312"/>
      <c r="O260" s="312">
        <v>58074.17</v>
      </c>
      <c r="P260" s="312">
        <v>1829.81</v>
      </c>
      <c r="Q260" s="312">
        <v>99483.709999999992</v>
      </c>
      <c r="R260" s="312">
        <v>14703.800000000001</v>
      </c>
    </row>
    <row r="261" spans="6:18">
      <c r="F261" t="s">
        <v>2025</v>
      </c>
      <c r="G261" s="312"/>
      <c r="H261" s="312">
        <v>195.92</v>
      </c>
      <c r="I261" s="312">
        <v>5.43</v>
      </c>
      <c r="J261" s="312">
        <v>203.83</v>
      </c>
      <c r="K261" s="312">
        <v>53.53</v>
      </c>
      <c r="M261" t="s">
        <v>2025</v>
      </c>
      <c r="N261" s="312"/>
      <c r="O261" s="312">
        <v>87814.349999999991</v>
      </c>
      <c r="P261" s="312">
        <v>5332.57</v>
      </c>
      <c r="Q261" s="312">
        <v>125032.72</v>
      </c>
      <c r="R261" s="312">
        <v>28606.86</v>
      </c>
    </row>
    <row r="262" spans="6:18">
      <c r="F262" t="s">
        <v>2026</v>
      </c>
      <c r="G262" s="312"/>
      <c r="H262" s="312">
        <v>81.87</v>
      </c>
      <c r="I262" s="312">
        <v>32.4</v>
      </c>
      <c r="J262" s="312">
        <v>109.16</v>
      </c>
      <c r="K262" s="312">
        <v>77.61</v>
      </c>
      <c r="M262" t="s">
        <v>2026</v>
      </c>
      <c r="N262" s="312"/>
      <c r="O262" s="312">
        <v>38116.29</v>
      </c>
      <c r="P262" s="312">
        <v>34294.79</v>
      </c>
      <c r="Q262" s="312">
        <v>100947.88</v>
      </c>
      <c r="R262" s="312">
        <v>21570.93</v>
      </c>
    </row>
    <row r="263" spans="6:18">
      <c r="F263" t="s">
        <v>2027</v>
      </c>
      <c r="G263" s="312"/>
      <c r="H263" s="312">
        <v>90.4</v>
      </c>
      <c r="I263" s="312">
        <v>1.48</v>
      </c>
      <c r="J263" s="312">
        <v>91.78</v>
      </c>
      <c r="K263" s="312">
        <v>41.91</v>
      </c>
      <c r="M263" t="s">
        <v>2027</v>
      </c>
      <c r="N263" s="312"/>
      <c r="O263" s="312">
        <v>35662.71</v>
      </c>
      <c r="P263" s="312">
        <v>1173.02</v>
      </c>
      <c r="Q263" s="312">
        <v>62041.61</v>
      </c>
      <c r="R263" s="312">
        <v>10593.55</v>
      </c>
    </row>
    <row r="264" spans="6:18">
      <c r="F264" t="s">
        <v>2028</v>
      </c>
      <c r="G264" s="312"/>
      <c r="H264" s="312">
        <v>189.21999999999997</v>
      </c>
      <c r="I264" s="312">
        <v>1.66</v>
      </c>
      <c r="J264" s="312">
        <v>166.88</v>
      </c>
      <c r="K264" s="312">
        <v>53.56</v>
      </c>
      <c r="M264" t="s">
        <v>2028</v>
      </c>
      <c r="N264" s="312"/>
      <c r="O264" s="312">
        <v>87597.900000000009</v>
      </c>
      <c r="P264" s="312">
        <v>500.9</v>
      </c>
      <c r="Q264" s="312">
        <v>149395.55000000002</v>
      </c>
      <c r="R264" s="312">
        <v>16843.489999999998</v>
      </c>
    </row>
    <row r="265" spans="6:18">
      <c r="F265" t="s">
        <v>2029</v>
      </c>
      <c r="G265" s="312"/>
      <c r="H265" s="312">
        <v>124.15</v>
      </c>
      <c r="I265" s="312">
        <v>13.92</v>
      </c>
      <c r="J265" s="312">
        <v>125.44</v>
      </c>
      <c r="K265" s="312">
        <v>44.22</v>
      </c>
      <c r="M265" t="s">
        <v>2029</v>
      </c>
      <c r="N265" s="312"/>
      <c r="O265" s="312">
        <v>77485.31</v>
      </c>
      <c r="P265" s="312">
        <v>2570.4700000000003</v>
      </c>
      <c r="Q265" s="312">
        <v>79475.87</v>
      </c>
      <c r="R265" s="312">
        <v>15560.24</v>
      </c>
    </row>
    <row r="266" spans="6:18">
      <c r="F266" t="s">
        <v>2030</v>
      </c>
      <c r="G266" s="312"/>
      <c r="H266" s="312">
        <v>114.57</v>
      </c>
      <c r="I266" s="312">
        <v>15.38</v>
      </c>
      <c r="J266" s="312">
        <v>241.17</v>
      </c>
      <c r="K266" s="312">
        <v>92.03</v>
      </c>
      <c r="M266" t="s">
        <v>2030</v>
      </c>
      <c r="N266" s="312"/>
      <c r="O266" s="312">
        <v>92948.86</v>
      </c>
      <c r="P266" s="312">
        <v>21705.4</v>
      </c>
      <c r="Q266" s="312">
        <v>143650.60999999999</v>
      </c>
      <c r="R266" s="312">
        <v>25168.22</v>
      </c>
    </row>
    <row r="267" spans="6:18">
      <c r="F267" t="s">
        <v>2031</v>
      </c>
      <c r="G267" s="312"/>
      <c r="H267" s="312">
        <v>145.27000000000001</v>
      </c>
      <c r="I267" s="312">
        <v>17</v>
      </c>
      <c r="J267" s="312">
        <v>181.45999999999998</v>
      </c>
      <c r="K267" s="312">
        <v>55.58</v>
      </c>
      <c r="M267" t="s">
        <v>2031</v>
      </c>
      <c r="N267" s="312"/>
      <c r="O267" s="312">
        <v>74589.119999999995</v>
      </c>
      <c r="P267" s="312">
        <v>7524.2000000000007</v>
      </c>
      <c r="Q267" s="312">
        <v>126942.26</v>
      </c>
      <c r="R267" s="312">
        <v>15326.42</v>
      </c>
    </row>
    <row r="268" spans="6:18">
      <c r="F268" t="s">
        <v>2032</v>
      </c>
      <c r="G268" s="312"/>
      <c r="H268" s="312">
        <v>114.37</v>
      </c>
      <c r="I268" s="312">
        <v>10.46</v>
      </c>
      <c r="J268" s="312">
        <v>260.54000000000002</v>
      </c>
      <c r="K268" s="312">
        <v>46.6</v>
      </c>
      <c r="M268" t="s">
        <v>2032</v>
      </c>
      <c r="N268" s="312"/>
      <c r="O268" s="312">
        <v>88218.5</v>
      </c>
      <c r="P268" s="312">
        <v>4803.18</v>
      </c>
      <c r="Q268" s="312">
        <v>128996.13</v>
      </c>
      <c r="R268" s="312">
        <v>21577.43</v>
      </c>
    </row>
    <row r="269" spans="6:18">
      <c r="F269" t="s">
        <v>2033</v>
      </c>
      <c r="G269" s="312"/>
      <c r="H269" s="312">
        <v>89.31</v>
      </c>
      <c r="I269" s="312">
        <v>1.78</v>
      </c>
      <c r="J269" s="312">
        <v>96.070000000000007</v>
      </c>
      <c r="K269" s="312">
        <v>34.4</v>
      </c>
      <c r="M269" t="s">
        <v>2033</v>
      </c>
      <c r="N269" s="312"/>
      <c r="O269" s="312">
        <v>66648.42</v>
      </c>
      <c r="P269" s="312">
        <v>1136.8399999999999</v>
      </c>
      <c r="Q269" s="312">
        <v>72722.430000000008</v>
      </c>
      <c r="R269" s="312">
        <v>18538.95</v>
      </c>
    </row>
    <row r="270" spans="6:18">
      <c r="F270" t="s">
        <v>2034</v>
      </c>
      <c r="G270" s="312"/>
      <c r="H270" s="312">
        <v>100.65</v>
      </c>
      <c r="I270" s="312"/>
      <c r="J270" s="312">
        <v>117.21</v>
      </c>
      <c r="K270" s="312">
        <v>21.060000000000002</v>
      </c>
      <c r="M270" t="s">
        <v>2034</v>
      </c>
      <c r="N270" s="312"/>
      <c r="O270" s="312">
        <v>44719.18</v>
      </c>
      <c r="P270" s="312"/>
      <c r="Q270" s="312">
        <v>64783.259999999995</v>
      </c>
      <c r="R270" s="312">
        <v>8596.6299999999992</v>
      </c>
    </row>
    <row r="271" spans="6:18">
      <c r="F271" t="s">
        <v>2035</v>
      </c>
      <c r="G271" s="312"/>
      <c r="H271" s="312">
        <v>83.320000000000007</v>
      </c>
      <c r="I271" s="312">
        <v>4.63</v>
      </c>
      <c r="J271" s="312">
        <v>131.91999999999999</v>
      </c>
      <c r="K271" s="312">
        <v>60.64</v>
      </c>
      <c r="M271" t="s">
        <v>2035</v>
      </c>
      <c r="N271" s="312"/>
      <c r="O271" s="312">
        <v>40526.54</v>
      </c>
      <c r="P271" s="312">
        <v>8712.7099999999991</v>
      </c>
      <c r="Q271" s="312">
        <v>49699.67</v>
      </c>
      <c r="R271" s="312">
        <v>13931.62</v>
      </c>
    </row>
    <row r="272" spans="6:18">
      <c r="F272" t="s">
        <v>2036</v>
      </c>
      <c r="G272" s="312"/>
      <c r="H272" s="312">
        <v>89.53</v>
      </c>
      <c r="I272" s="312">
        <v>9.2899999999999991</v>
      </c>
      <c r="J272" s="312">
        <v>157.04000000000002</v>
      </c>
      <c r="K272" s="312">
        <v>77.55</v>
      </c>
      <c r="M272" t="s">
        <v>2036</v>
      </c>
      <c r="N272" s="312"/>
      <c r="O272" s="312">
        <v>49450.880000000005</v>
      </c>
      <c r="P272" s="312">
        <v>6215.5300000000007</v>
      </c>
      <c r="Q272" s="312">
        <v>87354.23000000001</v>
      </c>
      <c r="R272" s="312">
        <v>29481.38</v>
      </c>
    </row>
    <row r="273" spans="6:18">
      <c r="F273" t="s">
        <v>2037</v>
      </c>
      <c r="G273" s="312">
        <v>1.45</v>
      </c>
      <c r="H273" s="312">
        <v>82.18</v>
      </c>
      <c r="I273" s="312">
        <v>23.01</v>
      </c>
      <c r="J273" s="312">
        <v>193.60999999999999</v>
      </c>
      <c r="K273" s="312">
        <v>45.72</v>
      </c>
      <c r="M273" t="s">
        <v>2037</v>
      </c>
      <c r="N273" s="312">
        <v>972.82</v>
      </c>
      <c r="O273" s="312">
        <v>40767.050000000003</v>
      </c>
      <c r="P273" s="312">
        <v>9984.61</v>
      </c>
      <c r="Q273" s="312">
        <v>146523.83000000002</v>
      </c>
      <c r="R273" s="312">
        <v>12104.96</v>
      </c>
    </row>
    <row r="274" spans="6:18">
      <c r="F274" t="s">
        <v>2038</v>
      </c>
      <c r="G274" s="312">
        <v>2.73</v>
      </c>
      <c r="H274" s="312">
        <v>114.53999999999999</v>
      </c>
      <c r="I274" s="312">
        <v>32.93</v>
      </c>
      <c r="J274" s="312">
        <v>163.38999999999999</v>
      </c>
      <c r="K274" s="312">
        <v>25.409999999999997</v>
      </c>
      <c r="M274" t="s">
        <v>2038</v>
      </c>
      <c r="N274" s="312">
        <v>761.07</v>
      </c>
      <c r="O274" s="312">
        <v>55324.67</v>
      </c>
      <c r="P274" s="312">
        <v>36896.42</v>
      </c>
      <c r="Q274" s="312">
        <v>66525.429999999993</v>
      </c>
      <c r="R274" s="312">
        <v>9491.26</v>
      </c>
    </row>
    <row r="275" spans="6:18">
      <c r="F275" t="s">
        <v>2039</v>
      </c>
      <c r="G275" s="312"/>
      <c r="H275" s="312">
        <v>132.82</v>
      </c>
      <c r="I275" s="312">
        <v>26.009999999999998</v>
      </c>
      <c r="J275" s="312">
        <v>252.59</v>
      </c>
      <c r="K275" s="312">
        <v>31.93</v>
      </c>
      <c r="M275" t="s">
        <v>2039</v>
      </c>
      <c r="N275" s="312"/>
      <c r="O275" s="312">
        <v>65866.13</v>
      </c>
      <c r="P275" s="312">
        <v>29726.489999999998</v>
      </c>
      <c r="Q275" s="312">
        <v>108247.87999999999</v>
      </c>
      <c r="R275" s="312">
        <v>12337.77</v>
      </c>
    </row>
    <row r="276" spans="6:18">
      <c r="F276" t="s">
        <v>2040</v>
      </c>
      <c r="G276" s="312"/>
      <c r="H276" s="312">
        <v>98.210000000000008</v>
      </c>
      <c r="I276" s="312">
        <v>7.25</v>
      </c>
      <c r="J276" s="312">
        <v>140.07</v>
      </c>
      <c r="K276" s="312">
        <v>35.39</v>
      </c>
      <c r="M276" t="s">
        <v>2040</v>
      </c>
      <c r="N276" s="312"/>
      <c r="O276" s="312">
        <v>47857.259999999995</v>
      </c>
      <c r="P276" s="312">
        <v>6322.38</v>
      </c>
      <c r="Q276" s="312">
        <v>101649.04</v>
      </c>
      <c r="R276" s="312">
        <v>15630.15</v>
      </c>
    </row>
    <row r="277" spans="6:18">
      <c r="F277" t="s">
        <v>2041</v>
      </c>
      <c r="G277" s="312"/>
      <c r="H277" s="312">
        <v>110.78</v>
      </c>
      <c r="I277" s="312">
        <v>2.16</v>
      </c>
      <c r="J277" s="312">
        <v>93.05</v>
      </c>
      <c r="K277" s="312">
        <v>32.6</v>
      </c>
      <c r="M277" t="s">
        <v>2041</v>
      </c>
      <c r="N277" s="312"/>
      <c r="O277" s="312">
        <v>46309.789999999994</v>
      </c>
      <c r="P277" s="312">
        <v>1328.77</v>
      </c>
      <c r="Q277" s="312">
        <v>62229.66</v>
      </c>
      <c r="R277" s="312">
        <v>8483.81</v>
      </c>
    </row>
    <row r="278" spans="6:18">
      <c r="F278" t="s">
        <v>2042</v>
      </c>
      <c r="G278" s="312"/>
      <c r="H278" s="312">
        <v>142.26</v>
      </c>
      <c r="I278" s="312">
        <v>12.709999999999999</v>
      </c>
      <c r="J278" s="312">
        <v>159.44</v>
      </c>
      <c r="K278" s="312">
        <v>73.72</v>
      </c>
      <c r="M278" t="s">
        <v>2042</v>
      </c>
      <c r="N278" s="312"/>
      <c r="O278" s="312">
        <v>104594.09</v>
      </c>
      <c r="P278" s="312">
        <v>13164.61</v>
      </c>
      <c r="Q278" s="312">
        <v>67808.92</v>
      </c>
      <c r="R278" s="312">
        <v>23223.510000000002</v>
      </c>
    </row>
    <row r="279" spans="6:18">
      <c r="F279" t="s">
        <v>2043</v>
      </c>
      <c r="G279" s="312"/>
      <c r="H279" s="312">
        <v>157.08000000000001</v>
      </c>
      <c r="I279" s="312">
        <v>29.919999999999998</v>
      </c>
      <c r="J279" s="312">
        <v>265.24</v>
      </c>
      <c r="K279" s="312">
        <v>56.25</v>
      </c>
      <c r="M279" t="s">
        <v>2043</v>
      </c>
      <c r="N279" s="312"/>
      <c r="O279" s="312">
        <v>100133.60999999999</v>
      </c>
      <c r="P279" s="312">
        <v>18823.330000000002</v>
      </c>
      <c r="Q279" s="312">
        <v>225585.9</v>
      </c>
      <c r="R279" s="312">
        <v>14159.36</v>
      </c>
    </row>
    <row r="280" spans="6:18">
      <c r="F280" t="s">
        <v>2044</v>
      </c>
      <c r="G280" s="312"/>
      <c r="H280" s="312">
        <v>96.11</v>
      </c>
      <c r="I280" s="312">
        <v>12.51</v>
      </c>
      <c r="J280" s="312">
        <v>258.57</v>
      </c>
      <c r="K280" s="312">
        <v>62.09</v>
      </c>
      <c r="M280" t="s">
        <v>2044</v>
      </c>
      <c r="N280" s="312"/>
      <c r="O280" s="312">
        <v>60189.909999999996</v>
      </c>
      <c r="P280" s="312">
        <v>5205.8499999999995</v>
      </c>
      <c r="Q280" s="312">
        <v>179202.42</v>
      </c>
      <c r="R280" s="312">
        <v>11604.7</v>
      </c>
    </row>
    <row r="281" spans="6:18">
      <c r="F281" t="s">
        <v>2045</v>
      </c>
      <c r="G281" s="312"/>
      <c r="H281" s="312">
        <v>114.9</v>
      </c>
      <c r="I281" s="312">
        <v>16.170000000000002</v>
      </c>
      <c r="J281" s="312">
        <v>240.94</v>
      </c>
      <c r="K281" s="312">
        <v>49.66</v>
      </c>
      <c r="M281" t="s">
        <v>2045</v>
      </c>
      <c r="N281" s="312"/>
      <c r="O281" s="312">
        <v>97703.35</v>
      </c>
      <c r="P281" s="312">
        <v>7037.33</v>
      </c>
      <c r="Q281" s="312">
        <v>232597.23</v>
      </c>
      <c r="R281" s="312">
        <v>14731.55</v>
      </c>
    </row>
    <row r="282" spans="6:18">
      <c r="F282" t="s">
        <v>2046</v>
      </c>
      <c r="G282" s="312">
        <v>4.18</v>
      </c>
      <c r="H282" s="312">
        <v>71.61</v>
      </c>
      <c r="I282" s="312">
        <v>4.21</v>
      </c>
      <c r="J282" s="312">
        <v>235.11</v>
      </c>
      <c r="K282" s="312">
        <v>70.09</v>
      </c>
      <c r="M282" t="s">
        <v>2046</v>
      </c>
      <c r="N282" s="312">
        <v>586.64</v>
      </c>
      <c r="O282" s="312">
        <v>28006.29</v>
      </c>
      <c r="P282" s="312">
        <v>7010.6799999999994</v>
      </c>
      <c r="Q282" s="312">
        <v>189292.13</v>
      </c>
      <c r="R282" s="312">
        <v>16773.05</v>
      </c>
    </row>
    <row r="283" spans="6:18">
      <c r="F283" t="s">
        <v>2047</v>
      </c>
      <c r="G283" s="312"/>
      <c r="H283" s="312">
        <v>118.75999999999999</v>
      </c>
      <c r="I283" s="312">
        <v>12.709999999999999</v>
      </c>
      <c r="J283" s="312">
        <v>134.71</v>
      </c>
      <c r="K283" s="312">
        <v>48.28</v>
      </c>
      <c r="M283" t="s">
        <v>2047</v>
      </c>
      <c r="N283" s="312"/>
      <c r="O283" s="312">
        <v>68541.64</v>
      </c>
      <c r="P283" s="312">
        <v>15163.92</v>
      </c>
      <c r="Q283" s="312">
        <v>82628.31</v>
      </c>
      <c r="R283" s="312">
        <v>12709.619999999999</v>
      </c>
    </row>
    <row r="284" spans="6:18">
      <c r="F284" t="s">
        <v>2048</v>
      </c>
      <c r="G284" s="312"/>
      <c r="H284" s="312">
        <v>129.77000000000001</v>
      </c>
      <c r="I284" s="312">
        <v>6.1300000000000008</v>
      </c>
      <c r="J284" s="312">
        <v>109.61</v>
      </c>
      <c r="K284" s="312">
        <v>27.32</v>
      </c>
      <c r="M284" t="s">
        <v>2048</v>
      </c>
      <c r="N284" s="312"/>
      <c r="O284" s="312">
        <v>82656.28</v>
      </c>
      <c r="P284" s="312">
        <v>4210.96</v>
      </c>
      <c r="Q284" s="312">
        <v>40752.990000000005</v>
      </c>
      <c r="R284" s="312">
        <v>8723.1400000000012</v>
      </c>
    </row>
    <row r="285" spans="6:18">
      <c r="F285" t="s">
        <v>2049</v>
      </c>
      <c r="G285" s="312"/>
      <c r="H285" s="312">
        <v>167.68</v>
      </c>
      <c r="I285" s="312">
        <v>7.59</v>
      </c>
      <c r="J285" s="312">
        <v>169.1</v>
      </c>
      <c r="K285" s="312">
        <v>42.48</v>
      </c>
      <c r="M285" t="s">
        <v>2049</v>
      </c>
      <c r="N285" s="312"/>
      <c r="O285" s="312">
        <v>74623.28</v>
      </c>
      <c r="P285" s="312">
        <v>3720.09</v>
      </c>
      <c r="Q285" s="312">
        <v>132921.72</v>
      </c>
      <c r="R285" s="312">
        <v>11455.84</v>
      </c>
    </row>
    <row r="286" spans="6:18">
      <c r="F286" t="s">
        <v>2050</v>
      </c>
      <c r="G286" s="312"/>
      <c r="H286" s="312">
        <v>174.01000000000002</v>
      </c>
      <c r="I286" s="312">
        <v>13.79</v>
      </c>
      <c r="J286" s="312">
        <v>249.54</v>
      </c>
      <c r="K286" s="312">
        <v>65.960000000000008</v>
      </c>
      <c r="M286" t="s">
        <v>2050</v>
      </c>
      <c r="N286" s="312"/>
      <c r="O286" s="312">
        <v>104812.13</v>
      </c>
      <c r="P286" s="312">
        <v>14755.119999999999</v>
      </c>
      <c r="Q286" s="312">
        <v>164109.40000000002</v>
      </c>
      <c r="R286" s="312">
        <v>20711.16</v>
      </c>
    </row>
    <row r="287" spans="6:18">
      <c r="F287" t="s">
        <v>2051</v>
      </c>
      <c r="G287" s="312"/>
      <c r="H287" s="312">
        <v>245.38</v>
      </c>
      <c r="I287" s="312">
        <v>10.57</v>
      </c>
      <c r="J287" s="312">
        <v>166.89</v>
      </c>
      <c r="K287" s="312">
        <v>81.05</v>
      </c>
      <c r="M287" t="s">
        <v>2051</v>
      </c>
      <c r="N287" s="312"/>
      <c r="O287" s="312">
        <v>163037.35</v>
      </c>
      <c r="P287" s="312">
        <v>5861.84</v>
      </c>
      <c r="Q287" s="312">
        <v>79102.53</v>
      </c>
      <c r="R287" s="312">
        <v>16290.92</v>
      </c>
    </row>
    <row r="288" spans="6:18">
      <c r="F288" t="s">
        <v>2052</v>
      </c>
      <c r="G288" s="312"/>
      <c r="H288" s="312">
        <v>217.3</v>
      </c>
      <c r="I288" s="312">
        <v>7.5600000000000005</v>
      </c>
      <c r="J288" s="312">
        <v>217.81</v>
      </c>
      <c r="K288" s="312">
        <v>97.460000000000008</v>
      </c>
      <c r="M288" t="s">
        <v>2052</v>
      </c>
      <c r="N288" s="312"/>
      <c r="O288" s="312">
        <v>102681.65</v>
      </c>
      <c r="P288" s="312">
        <v>7767.21</v>
      </c>
      <c r="Q288" s="312">
        <v>172945.91</v>
      </c>
      <c r="R288" s="312">
        <v>24137.22</v>
      </c>
    </row>
    <row r="289" spans="6:18">
      <c r="F289" t="s">
        <v>2053</v>
      </c>
      <c r="G289" s="312"/>
      <c r="H289" s="312">
        <v>251.69</v>
      </c>
      <c r="I289" s="312">
        <v>7.4399999999999995</v>
      </c>
      <c r="J289" s="312">
        <v>231.62</v>
      </c>
      <c r="K289" s="312">
        <v>28.04</v>
      </c>
      <c r="M289" t="s">
        <v>2053</v>
      </c>
      <c r="N289" s="312"/>
      <c r="O289" s="312">
        <v>176495.52</v>
      </c>
      <c r="P289" s="312">
        <v>6788.66</v>
      </c>
      <c r="Q289" s="312">
        <v>174657.38</v>
      </c>
      <c r="R289" s="312">
        <v>11253.25</v>
      </c>
    </row>
    <row r="290" spans="6:18">
      <c r="F290" t="s">
        <v>2054</v>
      </c>
      <c r="G290" s="312"/>
      <c r="H290" s="312">
        <v>195.02</v>
      </c>
      <c r="I290" s="312">
        <v>7.83</v>
      </c>
      <c r="J290" s="312">
        <v>110.26</v>
      </c>
      <c r="K290" s="312">
        <v>43.18</v>
      </c>
      <c r="M290" t="s">
        <v>2054</v>
      </c>
      <c r="N290" s="312"/>
      <c r="O290" s="312">
        <v>110719.17</v>
      </c>
      <c r="P290" s="312">
        <v>2494.69</v>
      </c>
      <c r="Q290" s="312">
        <v>113371.66</v>
      </c>
      <c r="R290" s="312">
        <v>7950.1500000000005</v>
      </c>
    </row>
    <row r="291" spans="6:18">
      <c r="F291" t="s">
        <v>2055</v>
      </c>
      <c r="G291" s="312"/>
      <c r="H291" s="312">
        <v>102.77000000000001</v>
      </c>
      <c r="I291" s="312">
        <v>1.54</v>
      </c>
      <c r="J291" s="312">
        <v>135.32999999999998</v>
      </c>
      <c r="K291" s="312">
        <v>15.81</v>
      </c>
      <c r="M291" t="s">
        <v>2055</v>
      </c>
      <c r="N291" s="312"/>
      <c r="O291" s="312">
        <v>47706.09</v>
      </c>
      <c r="P291" s="312">
        <v>998.57</v>
      </c>
      <c r="Q291" s="312">
        <v>71223.39</v>
      </c>
      <c r="R291" s="312">
        <v>5349.85</v>
      </c>
    </row>
    <row r="292" spans="6:18">
      <c r="F292" t="s">
        <v>2056</v>
      </c>
      <c r="G292" s="312"/>
      <c r="H292" s="312">
        <v>160.88999999999999</v>
      </c>
      <c r="I292" s="312">
        <v>14.92</v>
      </c>
      <c r="J292" s="312">
        <v>217.79999999999998</v>
      </c>
      <c r="K292" s="312">
        <v>56.33</v>
      </c>
      <c r="M292" t="s">
        <v>2056</v>
      </c>
      <c r="N292" s="312"/>
      <c r="O292" s="312">
        <v>78579.16</v>
      </c>
      <c r="P292" s="312">
        <v>9497.2000000000007</v>
      </c>
      <c r="Q292" s="312">
        <v>143409.45000000001</v>
      </c>
      <c r="R292" s="312">
        <v>18931.34</v>
      </c>
    </row>
    <row r="293" spans="6:18">
      <c r="F293" t="s">
        <v>2057</v>
      </c>
      <c r="G293" s="312"/>
      <c r="H293" s="312">
        <v>216.38</v>
      </c>
      <c r="I293" s="312">
        <v>27.74</v>
      </c>
      <c r="J293" s="312">
        <v>169.67000000000002</v>
      </c>
      <c r="K293" s="312">
        <v>57.629999999999995</v>
      </c>
      <c r="M293" t="s">
        <v>2057</v>
      </c>
      <c r="N293" s="312"/>
      <c r="O293" s="312">
        <v>164279.53999999998</v>
      </c>
      <c r="P293" s="312">
        <v>30068.899999999998</v>
      </c>
      <c r="Q293" s="312">
        <v>116988.44</v>
      </c>
      <c r="R293" s="312">
        <v>22784.18</v>
      </c>
    </row>
    <row r="294" spans="6:18">
      <c r="F294" t="s">
        <v>2058</v>
      </c>
      <c r="G294" s="312"/>
      <c r="H294" s="312">
        <v>178.65</v>
      </c>
      <c r="I294" s="312">
        <v>27.41</v>
      </c>
      <c r="J294" s="312">
        <v>170.15</v>
      </c>
      <c r="K294" s="312">
        <v>52.459999999999994</v>
      </c>
      <c r="M294" t="s">
        <v>2058</v>
      </c>
      <c r="N294" s="312"/>
      <c r="O294" s="312">
        <v>114747.55</v>
      </c>
      <c r="P294" s="312">
        <v>14530.27</v>
      </c>
      <c r="Q294" s="312">
        <v>151193.34999999998</v>
      </c>
      <c r="R294" s="312">
        <v>13486.630000000001</v>
      </c>
    </row>
    <row r="295" spans="6:18">
      <c r="F295" t="s">
        <v>2059</v>
      </c>
      <c r="G295" s="312"/>
      <c r="H295" s="312">
        <v>227.77</v>
      </c>
      <c r="I295" s="312">
        <v>22.07</v>
      </c>
      <c r="J295" s="312">
        <v>190.46</v>
      </c>
      <c r="K295" s="312">
        <v>37.03</v>
      </c>
      <c r="M295" t="s">
        <v>2059</v>
      </c>
      <c r="N295" s="312"/>
      <c r="O295" s="312">
        <v>140118.25</v>
      </c>
      <c r="P295" s="312">
        <v>9077.09</v>
      </c>
      <c r="Q295" s="312">
        <v>105653.69</v>
      </c>
      <c r="R295" s="312">
        <v>11342.98</v>
      </c>
    </row>
    <row r="296" spans="6:18">
      <c r="F296" t="s">
        <v>2060</v>
      </c>
      <c r="G296" s="312"/>
      <c r="H296" s="312">
        <v>205.57</v>
      </c>
      <c r="I296" s="312"/>
      <c r="J296" s="312">
        <v>190.16</v>
      </c>
      <c r="K296" s="312">
        <v>38.58</v>
      </c>
      <c r="M296" t="s">
        <v>2060</v>
      </c>
      <c r="N296" s="312"/>
      <c r="O296" s="312">
        <v>157003.82999999999</v>
      </c>
      <c r="P296" s="312"/>
      <c r="Q296" s="312">
        <v>91481.05</v>
      </c>
      <c r="R296" s="312">
        <v>12388.03</v>
      </c>
    </row>
    <row r="297" spans="6:18">
      <c r="F297" t="s">
        <v>2061</v>
      </c>
      <c r="G297" s="312"/>
      <c r="H297" s="312">
        <v>117.41</v>
      </c>
      <c r="I297" s="312">
        <v>9.49</v>
      </c>
      <c r="J297" s="312">
        <v>151.13</v>
      </c>
      <c r="K297" s="312">
        <v>39.519999999999996</v>
      </c>
      <c r="M297" t="s">
        <v>2061</v>
      </c>
      <c r="N297" s="312"/>
      <c r="O297" s="312">
        <v>54795.05</v>
      </c>
      <c r="P297" s="312">
        <v>16984.32</v>
      </c>
      <c r="Q297" s="312">
        <v>110245.44</v>
      </c>
      <c r="R297" s="312">
        <v>17977.05</v>
      </c>
    </row>
    <row r="298" spans="6:18">
      <c r="F298" t="s">
        <v>2062</v>
      </c>
      <c r="G298" s="312">
        <v>16.329999999999998</v>
      </c>
      <c r="H298" s="312">
        <v>120.16</v>
      </c>
      <c r="I298" s="312">
        <v>4.25</v>
      </c>
      <c r="J298" s="312">
        <v>156.18</v>
      </c>
      <c r="K298" s="312">
        <v>28.47</v>
      </c>
      <c r="M298" t="s">
        <v>2062</v>
      </c>
      <c r="N298" s="312">
        <v>5069.53</v>
      </c>
      <c r="O298" s="312">
        <v>72297.11</v>
      </c>
      <c r="P298" s="312">
        <v>3477.15</v>
      </c>
      <c r="Q298" s="312">
        <v>125922.36</v>
      </c>
      <c r="R298" s="312">
        <v>17988.28</v>
      </c>
    </row>
    <row r="299" spans="6:18">
      <c r="F299" t="s">
        <v>2063</v>
      </c>
      <c r="G299" s="312"/>
      <c r="H299" s="312">
        <v>173.95</v>
      </c>
      <c r="I299" s="312">
        <v>17.119999999999997</v>
      </c>
      <c r="J299" s="312">
        <v>185.89999999999998</v>
      </c>
      <c r="K299" s="312">
        <v>77.63</v>
      </c>
      <c r="M299" t="s">
        <v>2063</v>
      </c>
      <c r="N299" s="312"/>
      <c r="O299" s="312">
        <v>92415.59</v>
      </c>
      <c r="P299" s="312">
        <v>15735.35</v>
      </c>
      <c r="Q299" s="312">
        <v>107459.42000000001</v>
      </c>
      <c r="R299" s="312">
        <v>24267.5</v>
      </c>
    </row>
    <row r="300" spans="6:18">
      <c r="F300" t="s">
        <v>2064</v>
      </c>
      <c r="G300" s="312"/>
      <c r="H300" s="312">
        <v>234.1</v>
      </c>
      <c r="I300" s="312">
        <v>12.26</v>
      </c>
      <c r="J300" s="312">
        <v>171.6</v>
      </c>
      <c r="K300" s="312">
        <v>70.42</v>
      </c>
      <c r="M300" t="s">
        <v>2064</v>
      </c>
      <c r="N300" s="312"/>
      <c r="O300" s="312">
        <v>108770.54000000001</v>
      </c>
      <c r="P300" s="312">
        <v>2505.8000000000002</v>
      </c>
      <c r="Q300" s="312">
        <v>99470.23</v>
      </c>
      <c r="R300" s="312">
        <v>12452.2</v>
      </c>
    </row>
    <row r="301" spans="6:18">
      <c r="F301" t="s">
        <v>2065</v>
      </c>
      <c r="G301" s="312"/>
      <c r="H301" s="312">
        <v>217.47000000000003</v>
      </c>
      <c r="I301" s="312">
        <v>7.67</v>
      </c>
      <c r="J301" s="312">
        <v>142.41</v>
      </c>
      <c r="K301" s="312">
        <v>61.44</v>
      </c>
      <c r="M301" t="s">
        <v>2065</v>
      </c>
      <c r="N301" s="312"/>
      <c r="O301" s="312">
        <v>97680.85</v>
      </c>
      <c r="P301" s="312">
        <v>4119.68</v>
      </c>
      <c r="Q301" s="312">
        <v>108895.98999999999</v>
      </c>
      <c r="R301" s="312">
        <v>26928.300000000003</v>
      </c>
    </row>
    <row r="302" spans="6:18">
      <c r="F302" t="s">
        <v>2066</v>
      </c>
      <c r="G302" s="312">
        <v>15.13</v>
      </c>
      <c r="H302" s="312">
        <v>224.87</v>
      </c>
      <c r="I302" s="312">
        <v>15.17</v>
      </c>
      <c r="J302" s="312">
        <v>146.82</v>
      </c>
      <c r="K302" s="312">
        <v>63.72</v>
      </c>
      <c r="M302" t="s">
        <v>2066</v>
      </c>
      <c r="N302" s="312">
        <v>5093.1000000000004</v>
      </c>
      <c r="O302" s="312">
        <v>124784.76999999999</v>
      </c>
      <c r="P302" s="312">
        <v>6877.33</v>
      </c>
      <c r="Q302" s="312">
        <v>52973.41</v>
      </c>
      <c r="R302" s="312">
        <v>57627.649999999994</v>
      </c>
    </row>
    <row r="303" spans="6:18">
      <c r="F303" t="s">
        <v>2067</v>
      </c>
      <c r="G303" s="312"/>
      <c r="H303" s="312">
        <v>289.32</v>
      </c>
      <c r="I303" s="312">
        <v>11.030000000000001</v>
      </c>
      <c r="J303" s="312">
        <v>227.27</v>
      </c>
      <c r="K303" s="312">
        <v>79.710000000000008</v>
      </c>
      <c r="M303" t="s">
        <v>2067</v>
      </c>
      <c r="N303" s="312"/>
      <c r="O303" s="312">
        <v>181553.12</v>
      </c>
      <c r="P303" s="312">
        <v>9193.91</v>
      </c>
      <c r="Q303" s="312">
        <v>183506.63</v>
      </c>
      <c r="R303" s="312">
        <v>34169.919999999998</v>
      </c>
    </row>
    <row r="304" spans="6:18">
      <c r="F304" t="s">
        <v>2068</v>
      </c>
      <c r="G304" s="312"/>
      <c r="H304" s="312">
        <v>180.44</v>
      </c>
      <c r="I304" s="312">
        <v>11.91</v>
      </c>
      <c r="J304" s="312">
        <v>97.6</v>
      </c>
      <c r="K304" s="312">
        <v>93.23</v>
      </c>
      <c r="M304" t="s">
        <v>2068</v>
      </c>
      <c r="N304" s="312"/>
      <c r="O304" s="312">
        <v>95317.94</v>
      </c>
      <c r="P304" s="312">
        <v>5534.72</v>
      </c>
      <c r="Q304" s="312">
        <v>67680.98</v>
      </c>
      <c r="R304" s="312">
        <v>31098.100000000002</v>
      </c>
    </row>
    <row r="305" spans="6:18">
      <c r="F305" t="s">
        <v>2069</v>
      </c>
      <c r="G305" s="312">
        <v>0.82</v>
      </c>
      <c r="H305" s="312">
        <v>131.01</v>
      </c>
      <c r="I305" s="312">
        <v>5.14</v>
      </c>
      <c r="J305" s="312">
        <v>66.13</v>
      </c>
      <c r="K305" s="312">
        <v>21.2</v>
      </c>
      <c r="M305" t="s">
        <v>2069</v>
      </c>
      <c r="N305" s="312">
        <v>320.3</v>
      </c>
      <c r="O305" s="312">
        <v>55015.62</v>
      </c>
      <c r="P305" s="312">
        <v>4806.24</v>
      </c>
      <c r="Q305" s="312">
        <v>42607.630000000005</v>
      </c>
      <c r="R305" s="312">
        <v>8400.1299999999992</v>
      </c>
    </row>
    <row r="306" spans="6:18">
      <c r="F306" t="s">
        <v>2070</v>
      </c>
      <c r="G306" s="312"/>
      <c r="H306" s="312">
        <v>260.99</v>
      </c>
      <c r="I306" s="312">
        <v>24.09</v>
      </c>
      <c r="J306" s="312">
        <v>241.53000000000003</v>
      </c>
      <c r="K306" s="312">
        <v>61.430000000000007</v>
      </c>
      <c r="M306" t="s">
        <v>2070</v>
      </c>
      <c r="N306" s="312"/>
      <c r="O306" s="312">
        <v>145208.22</v>
      </c>
      <c r="P306" s="312">
        <v>20886.759999999998</v>
      </c>
      <c r="Q306" s="312">
        <v>150703.96000000002</v>
      </c>
      <c r="R306" s="312">
        <v>26550.920000000002</v>
      </c>
    </row>
    <row r="307" spans="6:18">
      <c r="F307" t="s">
        <v>2071</v>
      </c>
      <c r="G307" s="312"/>
      <c r="H307" s="312">
        <v>141.84</v>
      </c>
      <c r="I307" s="312">
        <v>8.4</v>
      </c>
      <c r="J307" s="312">
        <v>261.75</v>
      </c>
      <c r="K307" s="312">
        <v>85.570000000000007</v>
      </c>
      <c r="M307" t="s">
        <v>2071</v>
      </c>
      <c r="N307" s="312"/>
      <c r="O307" s="312">
        <v>81035.61</v>
      </c>
      <c r="P307" s="312">
        <v>6384.48</v>
      </c>
      <c r="Q307" s="312">
        <v>137042.51999999999</v>
      </c>
      <c r="R307" s="312">
        <v>22658.510000000002</v>
      </c>
    </row>
    <row r="308" spans="6:18">
      <c r="F308" t="s">
        <v>2072</v>
      </c>
      <c r="G308" s="312"/>
      <c r="H308" s="312">
        <v>161.47</v>
      </c>
      <c r="I308" s="312">
        <v>16.809999999999999</v>
      </c>
      <c r="J308" s="312">
        <v>218.66</v>
      </c>
      <c r="K308" s="312">
        <v>76.099999999999994</v>
      </c>
      <c r="M308" t="s">
        <v>2072</v>
      </c>
      <c r="N308" s="312"/>
      <c r="O308" s="312">
        <v>73993.570000000007</v>
      </c>
      <c r="P308" s="312">
        <v>18215.37</v>
      </c>
      <c r="Q308" s="312">
        <v>126498.01999999999</v>
      </c>
      <c r="R308" s="312">
        <v>37548.410000000003</v>
      </c>
    </row>
    <row r="309" spans="6:18">
      <c r="F309" t="s">
        <v>2073</v>
      </c>
      <c r="G309" s="312"/>
      <c r="H309" s="312">
        <v>96.539999999999992</v>
      </c>
      <c r="I309" s="312">
        <v>12.44</v>
      </c>
      <c r="J309" s="312">
        <v>201.14</v>
      </c>
      <c r="K309" s="312">
        <v>72.239999999999995</v>
      </c>
      <c r="M309" t="s">
        <v>2073</v>
      </c>
      <c r="N309" s="312"/>
      <c r="O309" s="312">
        <v>33311.869999999995</v>
      </c>
      <c r="P309" s="312">
        <v>3481.94</v>
      </c>
      <c r="Q309" s="312">
        <v>145963.67000000001</v>
      </c>
      <c r="R309" s="312">
        <v>41394.21</v>
      </c>
    </row>
    <row r="310" spans="6:18">
      <c r="F310" t="s">
        <v>2074</v>
      </c>
      <c r="G310" s="312"/>
      <c r="H310" s="312">
        <v>281.60000000000002</v>
      </c>
      <c r="I310" s="312">
        <v>6.81</v>
      </c>
      <c r="J310" s="312">
        <v>236.73000000000002</v>
      </c>
      <c r="K310" s="312">
        <v>56.58</v>
      </c>
      <c r="M310" t="s">
        <v>2074</v>
      </c>
      <c r="N310" s="312"/>
      <c r="O310" s="312">
        <v>138799.02000000002</v>
      </c>
      <c r="P310" s="312">
        <v>2109.0100000000002</v>
      </c>
      <c r="Q310" s="312">
        <v>133179.1</v>
      </c>
      <c r="R310" s="312">
        <v>30461.34</v>
      </c>
    </row>
    <row r="311" spans="6:18">
      <c r="F311" t="s">
        <v>2075</v>
      </c>
      <c r="G311" s="312"/>
      <c r="H311" s="312">
        <v>97.1</v>
      </c>
      <c r="I311" s="312">
        <v>5.1100000000000003</v>
      </c>
      <c r="J311" s="312">
        <v>176.6</v>
      </c>
      <c r="K311" s="312">
        <v>52.65</v>
      </c>
      <c r="M311" t="s">
        <v>2075</v>
      </c>
      <c r="N311" s="312"/>
      <c r="O311" s="312">
        <v>59079.1</v>
      </c>
      <c r="P311" s="312">
        <v>6181.72</v>
      </c>
      <c r="Q311" s="312">
        <v>115695.03</v>
      </c>
      <c r="R311" s="312">
        <v>30854.14</v>
      </c>
    </row>
    <row r="312" spans="6:18">
      <c r="F312" t="s">
        <v>2076</v>
      </c>
      <c r="G312" s="312"/>
      <c r="H312" s="312">
        <v>89.3</v>
      </c>
      <c r="I312" s="312">
        <v>0.77</v>
      </c>
      <c r="J312" s="312">
        <v>112.86</v>
      </c>
      <c r="K312" s="312">
        <v>153.94</v>
      </c>
      <c r="M312" t="s">
        <v>2076</v>
      </c>
      <c r="N312" s="312"/>
      <c r="O312" s="312">
        <v>68336.26999999999</v>
      </c>
      <c r="P312" s="312">
        <v>336.79</v>
      </c>
      <c r="Q312" s="312">
        <v>51785.070000000007</v>
      </c>
      <c r="R312" s="312">
        <v>46220.36</v>
      </c>
    </row>
    <row r="313" spans="6:18">
      <c r="F313" t="s">
        <v>2077</v>
      </c>
      <c r="G313" s="312"/>
      <c r="H313" s="312">
        <v>206.71</v>
      </c>
      <c r="I313" s="312">
        <v>21.78</v>
      </c>
      <c r="J313" s="312">
        <v>176.2</v>
      </c>
      <c r="K313" s="312">
        <v>99.66</v>
      </c>
      <c r="M313" t="s">
        <v>2077</v>
      </c>
      <c r="N313" s="312"/>
      <c r="O313" s="312">
        <v>129287.4</v>
      </c>
      <c r="P313" s="312">
        <v>17036.22</v>
      </c>
      <c r="Q313" s="312">
        <v>64742.81</v>
      </c>
      <c r="R313" s="312">
        <v>37548.870000000003</v>
      </c>
    </row>
    <row r="314" spans="6:18">
      <c r="F314" t="s">
        <v>2078</v>
      </c>
      <c r="G314" s="312"/>
      <c r="H314" s="312">
        <v>349.42</v>
      </c>
      <c r="I314" s="312">
        <v>12.08</v>
      </c>
      <c r="J314" s="312">
        <v>202.83</v>
      </c>
      <c r="K314" s="312">
        <v>102.63999999999999</v>
      </c>
      <c r="M314" t="s">
        <v>2078</v>
      </c>
      <c r="N314" s="312"/>
      <c r="O314" s="312">
        <v>272600.53000000003</v>
      </c>
      <c r="P314" s="312">
        <v>4405.09</v>
      </c>
      <c r="Q314" s="312">
        <v>115503.02</v>
      </c>
      <c r="R314" s="312">
        <v>36487.22</v>
      </c>
    </row>
    <row r="315" spans="6:18">
      <c r="F315" t="s">
        <v>2079</v>
      </c>
      <c r="G315" s="312">
        <v>3.41</v>
      </c>
      <c r="H315" s="312">
        <v>243.63</v>
      </c>
      <c r="I315" s="312">
        <v>10.32</v>
      </c>
      <c r="J315" s="312">
        <v>195.39</v>
      </c>
      <c r="K315" s="312">
        <v>51.57</v>
      </c>
      <c r="M315" t="s">
        <v>2079</v>
      </c>
      <c r="N315" s="312">
        <v>2156.14</v>
      </c>
      <c r="O315" s="312">
        <v>187524.66999999998</v>
      </c>
      <c r="P315" s="312">
        <v>5865.67</v>
      </c>
      <c r="Q315" s="312">
        <v>115601.73000000001</v>
      </c>
      <c r="R315" s="312">
        <v>21674.52</v>
      </c>
    </row>
    <row r="316" spans="6:18">
      <c r="F316" t="s">
        <v>2080</v>
      </c>
      <c r="G316" s="312"/>
      <c r="H316" s="312">
        <v>234.93</v>
      </c>
      <c r="I316" s="312">
        <v>18.579999999999998</v>
      </c>
      <c r="J316" s="312">
        <v>193.71</v>
      </c>
      <c r="K316" s="312">
        <v>56.39</v>
      </c>
      <c r="M316" t="s">
        <v>2080</v>
      </c>
      <c r="N316" s="312"/>
      <c r="O316" s="312">
        <v>163995.37</v>
      </c>
      <c r="P316" s="312">
        <v>21304.13</v>
      </c>
      <c r="Q316" s="312">
        <v>82130.14</v>
      </c>
      <c r="R316" s="312">
        <v>21954.04</v>
      </c>
    </row>
    <row r="317" spans="6:18">
      <c r="F317" t="s">
        <v>2081</v>
      </c>
      <c r="G317" s="312"/>
      <c r="H317" s="312">
        <v>251.51000000000002</v>
      </c>
      <c r="I317" s="312">
        <v>29.8</v>
      </c>
      <c r="J317" s="312">
        <v>191.07999999999998</v>
      </c>
      <c r="K317" s="312">
        <v>119.77</v>
      </c>
      <c r="M317" t="s">
        <v>2081</v>
      </c>
      <c r="N317" s="312"/>
      <c r="O317" s="312">
        <v>192147.75</v>
      </c>
      <c r="P317" s="312">
        <v>34304.980000000003</v>
      </c>
      <c r="Q317" s="312">
        <v>101342.86</v>
      </c>
      <c r="R317" s="312">
        <v>60729.310000000005</v>
      </c>
    </row>
    <row r="318" spans="6:18">
      <c r="F318" t="s">
        <v>2082</v>
      </c>
      <c r="G318" s="312"/>
      <c r="H318" s="312">
        <v>151.29</v>
      </c>
      <c r="I318" s="312">
        <v>10.72</v>
      </c>
      <c r="J318" s="312">
        <v>115.28</v>
      </c>
      <c r="K318" s="312">
        <v>45.96</v>
      </c>
      <c r="M318" t="s">
        <v>2082</v>
      </c>
      <c r="N318" s="312"/>
      <c r="O318" s="312">
        <v>109264.67</v>
      </c>
      <c r="P318" s="312">
        <v>8137.38</v>
      </c>
      <c r="Q318" s="312">
        <v>67326.73</v>
      </c>
      <c r="R318" s="312">
        <v>17980.75</v>
      </c>
    </row>
    <row r="319" spans="6:18">
      <c r="F319" t="s">
        <v>2083</v>
      </c>
      <c r="G319" s="312">
        <v>2.7</v>
      </c>
      <c r="H319" s="312">
        <v>138.41999999999999</v>
      </c>
      <c r="I319" s="312">
        <v>1.66</v>
      </c>
      <c r="J319" s="312">
        <v>122.1</v>
      </c>
      <c r="K319" s="312">
        <v>27.07</v>
      </c>
      <c r="M319" t="s">
        <v>2083</v>
      </c>
      <c r="N319" s="312">
        <v>1224.02</v>
      </c>
      <c r="O319" s="312">
        <v>84478.25</v>
      </c>
      <c r="P319" s="312">
        <v>3325.66</v>
      </c>
      <c r="Q319" s="312">
        <v>97958.13</v>
      </c>
      <c r="R319" s="312">
        <v>11937.560000000001</v>
      </c>
    </row>
    <row r="320" spans="6:18">
      <c r="F320" t="s">
        <v>2084</v>
      </c>
      <c r="G320" s="312">
        <v>1.61</v>
      </c>
      <c r="H320" s="312">
        <v>250.79</v>
      </c>
      <c r="I320" s="312">
        <v>30.23</v>
      </c>
      <c r="J320" s="312">
        <v>174.87</v>
      </c>
      <c r="K320" s="312">
        <v>123.5</v>
      </c>
      <c r="M320" t="s">
        <v>2084</v>
      </c>
      <c r="N320" s="312">
        <v>749.01</v>
      </c>
      <c r="O320" s="312">
        <v>169861.55</v>
      </c>
      <c r="P320" s="312">
        <v>24617</v>
      </c>
      <c r="Q320" s="312">
        <v>108725.25</v>
      </c>
      <c r="R320" s="312">
        <v>40239.19</v>
      </c>
    </row>
    <row r="321" spans="6:18">
      <c r="F321" t="s">
        <v>2085</v>
      </c>
      <c r="G321" s="312">
        <v>0.97</v>
      </c>
      <c r="H321" s="312">
        <v>356.34999999999997</v>
      </c>
      <c r="I321" s="312">
        <v>6.79</v>
      </c>
      <c r="J321" s="312">
        <v>189.58</v>
      </c>
      <c r="K321" s="312">
        <v>79.03</v>
      </c>
      <c r="M321" t="s">
        <v>2085</v>
      </c>
      <c r="N321" s="312">
        <v>874.52</v>
      </c>
      <c r="O321" s="312">
        <v>223974.51</v>
      </c>
      <c r="P321" s="312">
        <v>10318.379999999999</v>
      </c>
      <c r="Q321" s="312">
        <v>143243.35999999999</v>
      </c>
      <c r="R321" s="312">
        <v>21328.7</v>
      </c>
    </row>
    <row r="322" spans="6:18">
      <c r="F322" t="s">
        <v>2086</v>
      </c>
      <c r="G322" s="312"/>
      <c r="H322" s="312">
        <v>257.2</v>
      </c>
      <c r="I322" s="312">
        <v>34.619999999999997</v>
      </c>
      <c r="J322" s="312">
        <v>275.10000000000002</v>
      </c>
      <c r="K322" s="312">
        <v>64.52</v>
      </c>
      <c r="M322" t="s">
        <v>2086</v>
      </c>
      <c r="N322" s="312"/>
      <c r="O322" s="312">
        <v>142263.03</v>
      </c>
      <c r="P322" s="312">
        <v>32379.25</v>
      </c>
      <c r="Q322" s="312">
        <v>310286.21000000002</v>
      </c>
      <c r="R322" s="312">
        <v>13512.99</v>
      </c>
    </row>
    <row r="323" spans="6:18">
      <c r="F323" t="s">
        <v>2087</v>
      </c>
      <c r="G323" s="312"/>
      <c r="H323" s="312">
        <v>388.24</v>
      </c>
      <c r="I323" s="312">
        <v>13.45</v>
      </c>
      <c r="J323" s="312">
        <v>229.14999999999998</v>
      </c>
      <c r="K323" s="312">
        <v>77.8</v>
      </c>
      <c r="M323" t="s">
        <v>2087</v>
      </c>
      <c r="N323" s="312"/>
      <c r="O323" s="312">
        <v>245220.01</v>
      </c>
      <c r="P323" s="312">
        <v>8287.6200000000008</v>
      </c>
      <c r="Q323" s="312">
        <v>156950.97</v>
      </c>
      <c r="R323" s="312">
        <v>25959.89</v>
      </c>
    </row>
    <row r="324" spans="6:18">
      <c r="F324" t="s">
        <v>2088</v>
      </c>
      <c r="G324" s="312"/>
      <c r="H324" s="312">
        <v>280.45</v>
      </c>
      <c r="I324" s="312">
        <v>21.520000000000003</v>
      </c>
      <c r="J324" s="312">
        <v>150.30000000000001</v>
      </c>
      <c r="K324" s="312">
        <v>64.709999999999994</v>
      </c>
      <c r="M324" t="s">
        <v>2088</v>
      </c>
      <c r="N324" s="312"/>
      <c r="O324" s="312">
        <v>177227.30000000002</v>
      </c>
      <c r="P324" s="312">
        <v>33045.21</v>
      </c>
      <c r="Q324" s="312">
        <v>89911.4</v>
      </c>
      <c r="R324" s="312">
        <v>18309.580000000002</v>
      </c>
    </row>
    <row r="325" spans="6:18">
      <c r="F325" t="s">
        <v>2089</v>
      </c>
      <c r="G325" s="312"/>
      <c r="H325" s="312">
        <v>215.04999999999998</v>
      </c>
      <c r="I325" s="312">
        <v>8.370000000000001</v>
      </c>
      <c r="J325" s="312">
        <v>161.51</v>
      </c>
      <c r="K325" s="312">
        <v>18.060000000000002</v>
      </c>
      <c r="M325" t="s">
        <v>2089</v>
      </c>
      <c r="N325" s="312"/>
      <c r="O325" s="312">
        <v>115406.05</v>
      </c>
      <c r="P325" s="312">
        <v>5877.15</v>
      </c>
      <c r="Q325" s="312">
        <v>137494.67000000001</v>
      </c>
      <c r="R325" s="312">
        <v>4535.84</v>
      </c>
    </row>
    <row r="326" spans="6:18">
      <c r="F326" t="s">
        <v>2090</v>
      </c>
      <c r="G326" s="312"/>
      <c r="H326" s="312">
        <v>160.93</v>
      </c>
      <c r="I326" s="312">
        <v>10.210000000000001</v>
      </c>
      <c r="J326" s="312">
        <v>92.73</v>
      </c>
      <c r="K326" s="312">
        <v>34.74</v>
      </c>
      <c r="M326" t="s">
        <v>2090</v>
      </c>
      <c r="N326" s="312"/>
      <c r="O326" s="312">
        <v>86854.57</v>
      </c>
      <c r="P326" s="312">
        <v>7820.1</v>
      </c>
      <c r="Q326" s="312">
        <v>62474.45</v>
      </c>
      <c r="R326" s="312">
        <v>14200.91</v>
      </c>
    </row>
    <row r="327" spans="6:18">
      <c r="F327" t="s">
        <v>2091</v>
      </c>
      <c r="G327" s="312">
        <v>2.7</v>
      </c>
      <c r="H327" s="312">
        <v>361.12</v>
      </c>
      <c r="I327" s="312">
        <v>41.18</v>
      </c>
      <c r="J327" s="312">
        <v>481.42</v>
      </c>
      <c r="K327" s="312">
        <v>870.23</v>
      </c>
      <c r="M327" t="s">
        <v>2091</v>
      </c>
      <c r="N327" s="312">
        <v>1572.79</v>
      </c>
      <c r="O327" s="312">
        <v>181641.98</v>
      </c>
      <c r="P327" s="312">
        <v>38379.869999999995</v>
      </c>
      <c r="Q327" s="312">
        <v>232793.87</v>
      </c>
      <c r="R327" s="312">
        <v>372282.08999999997</v>
      </c>
    </row>
    <row r="328" spans="6:18">
      <c r="F328" t="s">
        <v>2092</v>
      </c>
      <c r="G328" s="312"/>
      <c r="H328" s="312">
        <v>398.97999999999996</v>
      </c>
      <c r="I328" s="312">
        <v>36.17</v>
      </c>
      <c r="J328" s="312">
        <v>463.35</v>
      </c>
      <c r="K328" s="312">
        <v>701.42000000000007</v>
      </c>
      <c r="M328" t="s">
        <v>2092</v>
      </c>
      <c r="N328" s="312"/>
      <c r="O328" s="312">
        <v>230842.83</v>
      </c>
      <c r="P328" s="312">
        <v>30199.83</v>
      </c>
      <c r="Q328" s="312">
        <v>292084.04000000004</v>
      </c>
      <c r="R328" s="312">
        <v>282126.86</v>
      </c>
    </row>
    <row r="329" spans="6:18">
      <c r="F329" t="s">
        <v>2093</v>
      </c>
      <c r="G329" s="312">
        <v>3.41</v>
      </c>
      <c r="H329" s="312">
        <v>307.61</v>
      </c>
      <c r="I329" s="312">
        <v>18.54</v>
      </c>
      <c r="J329" s="312">
        <v>356.67</v>
      </c>
      <c r="K329" s="312">
        <v>456.45000000000005</v>
      </c>
      <c r="M329" t="s">
        <v>2093</v>
      </c>
      <c r="N329" s="312">
        <v>1350.27</v>
      </c>
      <c r="O329" s="312">
        <v>196075.47999999998</v>
      </c>
      <c r="P329" s="312">
        <v>13608.369999999999</v>
      </c>
      <c r="Q329" s="312">
        <v>166103.90999999997</v>
      </c>
      <c r="R329" s="312">
        <v>192466.08</v>
      </c>
    </row>
    <row r="330" spans="6:18">
      <c r="F330" t="s">
        <v>2094</v>
      </c>
      <c r="G330" s="312">
        <v>2.7</v>
      </c>
      <c r="H330" s="312">
        <v>652.29</v>
      </c>
      <c r="I330" s="312">
        <v>25.619999999999997</v>
      </c>
      <c r="J330" s="312">
        <v>220.67000000000002</v>
      </c>
      <c r="K330" s="312">
        <v>422.95</v>
      </c>
      <c r="M330" t="s">
        <v>2094</v>
      </c>
      <c r="N330" s="312">
        <v>3704.09</v>
      </c>
      <c r="O330" s="312">
        <v>387422.63</v>
      </c>
      <c r="P330" s="312">
        <v>17320.580000000002</v>
      </c>
      <c r="Q330" s="312">
        <v>106802.63</v>
      </c>
      <c r="R330" s="312">
        <v>155896.04</v>
      </c>
    </row>
    <row r="331" spans="6:18">
      <c r="F331" t="s">
        <v>2095</v>
      </c>
      <c r="G331" s="312">
        <v>0.86</v>
      </c>
      <c r="H331" s="312">
        <v>953.89</v>
      </c>
      <c r="I331" s="312">
        <v>32.64</v>
      </c>
      <c r="J331" s="312">
        <v>438.13</v>
      </c>
      <c r="K331" s="312">
        <v>756.52</v>
      </c>
      <c r="M331" t="s">
        <v>2095</v>
      </c>
      <c r="N331" s="312">
        <v>254.34</v>
      </c>
      <c r="O331" s="312">
        <v>492056.05</v>
      </c>
      <c r="P331" s="312">
        <v>48642.05</v>
      </c>
      <c r="Q331" s="312">
        <v>154802.03</v>
      </c>
      <c r="R331" s="312">
        <v>274585.45999999996</v>
      </c>
    </row>
    <row r="332" spans="6:18">
      <c r="F332" t="s">
        <v>2096</v>
      </c>
      <c r="G332" s="312">
        <v>14.350000000000001</v>
      </c>
      <c r="H332" s="312">
        <v>776.06</v>
      </c>
      <c r="I332" s="312">
        <v>23.1</v>
      </c>
      <c r="J332" s="312">
        <v>508.01</v>
      </c>
      <c r="K332" s="312">
        <v>549.37</v>
      </c>
      <c r="M332" t="s">
        <v>2096</v>
      </c>
      <c r="N332" s="312">
        <v>5573.3099999999995</v>
      </c>
      <c r="O332" s="312">
        <v>394029.55</v>
      </c>
      <c r="P332" s="312">
        <v>24462.19</v>
      </c>
      <c r="Q332" s="312">
        <v>284603.48</v>
      </c>
      <c r="R332" s="312">
        <v>239920.55000000002</v>
      </c>
    </row>
    <row r="333" spans="6:18">
      <c r="F333" t="s">
        <v>2097</v>
      </c>
      <c r="G333" s="312">
        <v>5.71</v>
      </c>
      <c r="H333" s="312">
        <v>462.41999999999996</v>
      </c>
      <c r="I333" s="312"/>
      <c r="J333" s="312">
        <v>401.14000000000004</v>
      </c>
      <c r="K333" s="312">
        <v>436.05</v>
      </c>
      <c r="M333" t="s">
        <v>2097</v>
      </c>
      <c r="N333" s="312">
        <v>1607.62</v>
      </c>
      <c r="O333" s="312">
        <v>213903.86000000002</v>
      </c>
      <c r="P333" s="312"/>
      <c r="Q333" s="312">
        <v>229387.66999999998</v>
      </c>
      <c r="R333" s="312">
        <v>164895.72999999998</v>
      </c>
    </row>
    <row r="334" spans="6:18">
      <c r="F334" t="s">
        <v>2098</v>
      </c>
      <c r="G334" s="312">
        <v>5.51</v>
      </c>
      <c r="H334" s="312">
        <v>690.51</v>
      </c>
      <c r="I334" s="312">
        <v>40.299999999999997</v>
      </c>
      <c r="J334" s="312">
        <v>486.87</v>
      </c>
      <c r="K334" s="312">
        <v>530.88</v>
      </c>
      <c r="M334" t="s">
        <v>2098</v>
      </c>
      <c r="N334" s="312">
        <v>3281.89</v>
      </c>
      <c r="O334" s="312">
        <v>274079.69</v>
      </c>
      <c r="P334" s="312">
        <v>28943.86</v>
      </c>
      <c r="Q334" s="312">
        <v>212901.78</v>
      </c>
      <c r="R334" s="312">
        <v>182677.84</v>
      </c>
    </row>
    <row r="335" spans="6:18">
      <c r="F335" t="s">
        <v>2099</v>
      </c>
      <c r="G335" s="312">
        <v>3.46</v>
      </c>
      <c r="H335" s="312">
        <v>480.68</v>
      </c>
      <c r="I335" s="312">
        <v>40.950000000000003</v>
      </c>
      <c r="J335" s="312">
        <v>455.3</v>
      </c>
      <c r="K335" s="312">
        <v>490.11</v>
      </c>
      <c r="M335" t="s">
        <v>2099</v>
      </c>
      <c r="N335" s="312">
        <v>1555.73</v>
      </c>
      <c r="O335" s="312">
        <v>170731.59</v>
      </c>
      <c r="P335" s="312">
        <v>19821.469999999998</v>
      </c>
      <c r="Q335" s="312">
        <v>210158.58000000002</v>
      </c>
      <c r="R335" s="312">
        <v>175757.49</v>
      </c>
    </row>
    <row r="336" spans="6:18">
      <c r="F336" t="s">
        <v>2100</v>
      </c>
      <c r="G336" s="312"/>
      <c r="H336" s="312">
        <v>370.23</v>
      </c>
      <c r="I336" s="312">
        <v>22.12</v>
      </c>
      <c r="J336" s="312">
        <v>329.53999999999996</v>
      </c>
      <c r="K336" s="312">
        <v>293.44</v>
      </c>
      <c r="M336" t="s">
        <v>2100</v>
      </c>
      <c r="N336" s="312"/>
      <c r="O336" s="312">
        <v>192185.92</v>
      </c>
      <c r="P336" s="312">
        <v>16024.74</v>
      </c>
      <c r="Q336" s="312">
        <v>149219</v>
      </c>
      <c r="R336" s="312">
        <v>101068.62999999999</v>
      </c>
    </row>
    <row r="337" spans="6:18">
      <c r="F337" t="s">
        <v>2101</v>
      </c>
      <c r="G337" s="312">
        <v>11.01</v>
      </c>
      <c r="H337" s="312">
        <v>366.51</v>
      </c>
      <c r="I337" s="312">
        <v>53.68</v>
      </c>
      <c r="J337" s="312">
        <v>300.28999999999996</v>
      </c>
      <c r="K337" s="312">
        <v>318.28999999999996</v>
      </c>
      <c r="M337" t="s">
        <v>2101</v>
      </c>
      <c r="N337" s="312">
        <v>5292.24</v>
      </c>
      <c r="O337" s="312">
        <v>192971.07</v>
      </c>
      <c r="P337" s="312">
        <v>40860.9</v>
      </c>
      <c r="Q337" s="312">
        <v>132477.32</v>
      </c>
      <c r="R337" s="312">
        <v>135872.55000000002</v>
      </c>
    </row>
    <row r="338" spans="6:18">
      <c r="F338" t="s">
        <v>2102</v>
      </c>
      <c r="G338" s="312"/>
      <c r="H338" s="312">
        <v>401.56</v>
      </c>
      <c r="I338" s="312">
        <v>51.58</v>
      </c>
      <c r="J338" s="312">
        <v>347.2</v>
      </c>
      <c r="K338" s="312">
        <v>323.64</v>
      </c>
      <c r="M338" t="s">
        <v>2102</v>
      </c>
      <c r="N338" s="312"/>
      <c r="O338" s="312">
        <v>183494.2</v>
      </c>
      <c r="P338" s="312">
        <v>39903.31</v>
      </c>
      <c r="Q338" s="312">
        <v>184437.74</v>
      </c>
      <c r="R338" s="312">
        <v>105074.9</v>
      </c>
    </row>
    <row r="339" spans="6:18">
      <c r="F339" t="s">
        <v>2103</v>
      </c>
      <c r="G339" s="312">
        <v>6.77</v>
      </c>
      <c r="H339" s="312">
        <v>250.63</v>
      </c>
      <c r="I339" s="312">
        <v>10.26</v>
      </c>
      <c r="J339" s="312">
        <v>281.08</v>
      </c>
      <c r="K339" s="312">
        <v>164.55</v>
      </c>
      <c r="M339" t="s">
        <v>2103</v>
      </c>
      <c r="N339" s="312">
        <v>182.63</v>
      </c>
      <c r="O339" s="312">
        <v>104521.70999999999</v>
      </c>
      <c r="P339" s="312">
        <v>11084.7</v>
      </c>
      <c r="Q339" s="312">
        <v>102262.92000000001</v>
      </c>
      <c r="R339" s="312">
        <v>65660.45</v>
      </c>
    </row>
    <row r="340" spans="6:18">
      <c r="F340" t="s">
        <v>2104</v>
      </c>
      <c r="G340" s="312"/>
      <c r="H340" s="312">
        <v>144.82999999999998</v>
      </c>
      <c r="I340" s="312">
        <v>5.99</v>
      </c>
      <c r="J340" s="312">
        <v>297.69</v>
      </c>
      <c r="K340" s="312">
        <v>155.17000000000002</v>
      </c>
      <c r="M340" t="s">
        <v>2104</v>
      </c>
      <c r="N340" s="312"/>
      <c r="O340" s="312">
        <v>54806.319999999992</v>
      </c>
      <c r="P340" s="312">
        <v>3247.94</v>
      </c>
      <c r="Q340" s="312">
        <v>172300.01</v>
      </c>
      <c r="R340" s="312">
        <v>68932.56</v>
      </c>
    </row>
    <row r="341" spans="6:18">
      <c r="F341" t="s">
        <v>2105</v>
      </c>
      <c r="G341" s="312"/>
      <c r="H341" s="312">
        <v>404.47</v>
      </c>
      <c r="I341" s="312">
        <v>9.1900000000000013</v>
      </c>
      <c r="J341" s="312">
        <v>287.2</v>
      </c>
      <c r="K341" s="312">
        <v>314.36</v>
      </c>
      <c r="M341" t="s">
        <v>2105</v>
      </c>
      <c r="N341" s="312"/>
      <c r="O341" s="312">
        <v>197318.72999999998</v>
      </c>
      <c r="P341" s="312">
        <v>2962.5</v>
      </c>
      <c r="Q341" s="312">
        <v>98212.7</v>
      </c>
      <c r="R341" s="312">
        <v>112534.16</v>
      </c>
    </row>
    <row r="342" spans="6:18">
      <c r="F342" t="s">
        <v>2106</v>
      </c>
      <c r="G342" s="312"/>
      <c r="H342" s="312">
        <v>380.1</v>
      </c>
      <c r="I342" s="312">
        <v>41.339999999999996</v>
      </c>
      <c r="J342" s="312">
        <v>402.26</v>
      </c>
      <c r="K342" s="312">
        <v>407.5</v>
      </c>
      <c r="M342" t="s">
        <v>2106</v>
      </c>
      <c r="N342" s="312"/>
      <c r="O342" s="312">
        <v>189553.79</v>
      </c>
      <c r="P342" s="312">
        <v>33359.96</v>
      </c>
      <c r="Q342" s="312">
        <v>204107.13</v>
      </c>
      <c r="R342" s="312">
        <v>155216.06</v>
      </c>
    </row>
    <row r="343" spans="6:18">
      <c r="F343" t="s">
        <v>2107</v>
      </c>
      <c r="G343" s="312">
        <v>14.62</v>
      </c>
      <c r="H343" s="312">
        <v>372.83000000000004</v>
      </c>
      <c r="I343" s="312">
        <v>17.82</v>
      </c>
      <c r="J343" s="312">
        <v>373.95000000000005</v>
      </c>
      <c r="K343" s="312">
        <v>356.6</v>
      </c>
      <c r="M343" t="s">
        <v>2107</v>
      </c>
      <c r="N343" s="312">
        <v>5866.44</v>
      </c>
      <c r="O343" s="312">
        <v>165209.87000000002</v>
      </c>
      <c r="P343" s="312">
        <v>12885.83</v>
      </c>
      <c r="Q343" s="312">
        <v>134696.38</v>
      </c>
      <c r="R343" s="312">
        <v>114805.26000000001</v>
      </c>
    </row>
    <row r="344" spans="6:18">
      <c r="F344" t="s">
        <v>2108</v>
      </c>
      <c r="G344" s="312">
        <v>0.76</v>
      </c>
      <c r="H344" s="312">
        <v>404.46000000000004</v>
      </c>
      <c r="I344" s="312">
        <v>42.73</v>
      </c>
      <c r="J344" s="312">
        <v>306.33000000000004</v>
      </c>
      <c r="K344" s="312">
        <v>281.13</v>
      </c>
      <c r="M344" t="s">
        <v>2108</v>
      </c>
      <c r="N344" s="312">
        <v>546.17999999999995</v>
      </c>
      <c r="O344" s="312">
        <v>167778.56</v>
      </c>
      <c r="P344" s="312">
        <v>31288.04</v>
      </c>
      <c r="Q344" s="312">
        <v>212174.44</v>
      </c>
      <c r="R344" s="312">
        <v>110764.09</v>
      </c>
    </row>
    <row r="345" spans="6:18">
      <c r="F345" t="s">
        <v>2109</v>
      </c>
      <c r="G345" s="312">
        <v>0.76</v>
      </c>
      <c r="H345" s="312">
        <v>309.13</v>
      </c>
      <c r="I345" s="312">
        <v>14.37</v>
      </c>
      <c r="J345" s="312">
        <v>274.31</v>
      </c>
      <c r="K345" s="312">
        <v>335.21</v>
      </c>
      <c r="M345" t="s">
        <v>2109</v>
      </c>
      <c r="N345" s="312">
        <v>138.58000000000001</v>
      </c>
      <c r="O345" s="312">
        <v>139682.66</v>
      </c>
      <c r="P345" s="312">
        <v>7935.7699999999995</v>
      </c>
      <c r="Q345" s="312">
        <v>98487.75</v>
      </c>
      <c r="R345" s="312">
        <v>131464.69</v>
      </c>
    </row>
    <row r="346" spans="6:18">
      <c r="F346" t="s">
        <v>2110</v>
      </c>
      <c r="G346" s="312">
        <v>1.65</v>
      </c>
      <c r="H346" s="312">
        <v>219.54000000000002</v>
      </c>
      <c r="I346" s="312">
        <v>26.85</v>
      </c>
      <c r="J346" s="312">
        <v>261.93</v>
      </c>
      <c r="K346" s="312">
        <v>192.82</v>
      </c>
      <c r="M346" t="s">
        <v>2110</v>
      </c>
      <c r="N346" s="312">
        <v>324.02999999999997</v>
      </c>
      <c r="O346" s="312">
        <v>141983.4</v>
      </c>
      <c r="P346" s="312">
        <v>28776.95</v>
      </c>
      <c r="Q346" s="312">
        <v>113543.90999999999</v>
      </c>
      <c r="R346" s="312">
        <v>92463.340000000011</v>
      </c>
    </row>
    <row r="347" spans="6:18">
      <c r="F347" t="s">
        <v>2111</v>
      </c>
      <c r="G347" s="312"/>
      <c r="H347" s="312">
        <v>172.45999999999998</v>
      </c>
      <c r="I347" s="312"/>
      <c r="J347" s="312">
        <v>244.81</v>
      </c>
      <c r="K347" s="312">
        <v>165.15</v>
      </c>
      <c r="M347" t="s">
        <v>2111</v>
      </c>
      <c r="N347" s="312"/>
      <c r="O347" s="312">
        <v>97499.790000000008</v>
      </c>
      <c r="P347" s="312"/>
      <c r="Q347" s="312">
        <v>111361.48999999999</v>
      </c>
      <c r="R347" s="312">
        <v>47585.850000000006</v>
      </c>
    </row>
    <row r="348" spans="6:18">
      <c r="F348" t="s">
        <v>2112</v>
      </c>
      <c r="G348" s="312">
        <v>11.21</v>
      </c>
      <c r="H348" s="312">
        <v>285.67</v>
      </c>
      <c r="I348" s="312">
        <v>27.35</v>
      </c>
      <c r="J348" s="312">
        <v>341.26</v>
      </c>
      <c r="K348" s="312">
        <v>467.63</v>
      </c>
      <c r="M348" t="s">
        <v>2112</v>
      </c>
      <c r="N348" s="312">
        <v>5241.75</v>
      </c>
      <c r="O348" s="312">
        <v>115715.12000000001</v>
      </c>
      <c r="P348" s="312">
        <v>14185.939999999999</v>
      </c>
      <c r="Q348" s="312">
        <v>166766.56</v>
      </c>
      <c r="R348" s="312">
        <v>141746.1</v>
      </c>
    </row>
    <row r="349" spans="6:18">
      <c r="F349" t="s">
        <v>2113</v>
      </c>
      <c r="G349" s="312"/>
      <c r="H349" s="312">
        <v>463.54</v>
      </c>
      <c r="I349" s="312">
        <v>35.549999999999997</v>
      </c>
      <c r="J349" s="312">
        <v>440.33000000000004</v>
      </c>
      <c r="K349" s="312">
        <v>415.98</v>
      </c>
      <c r="M349" t="s">
        <v>2113</v>
      </c>
      <c r="N349" s="312"/>
      <c r="O349" s="312">
        <v>218179.76</v>
      </c>
      <c r="P349" s="312">
        <v>21428.260000000002</v>
      </c>
      <c r="Q349" s="312">
        <v>262378.53000000003</v>
      </c>
      <c r="R349" s="312">
        <v>164141.41999999998</v>
      </c>
    </row>
    <row r="350" spans="6:18">
      <c r="F350" t="s">
        <v>2114</v>
      </c>
      <c r="G350" s="312"/>
      <c r="H350" s="312">
        <v>503.18999999999994</v>
      </c>
      <c r="I350" s="312">
        <v>16.260000000000002</v>
      </c>
      <c r="J350" s="312">
        <v>500.69</v>
      </c>
      <c r="K350" s="312">
        <v>415.62</v>
      </c>
      <c r="M350" t="s">
        <v>2114</v>
      </c>
      <c r="N350" s="312"/>
      <c r="O350" s="312">
        <v>203101.79</v>
      </c>
      <c r="P350" s="312">
        <v>7645.87</v>
      </c>
      <c r="Q350" s="312">
        <v>299736.67</v>
      </c>
      <c r="R350" s="312">
        <v>178484.17</v>
      </c>
    </row>
    <row r="351" spans="6:18">
      <c r="F351" t="s">
        <v>2115</v>
      </c>
      <c r="G351" s="312">
        <v>0.76</v>
      </c>
      <c r="H351" s="312">
        <v>355.46999999999997</v>
      </c>
      <c r="I351" s="312">
        <v>13.149999999999999</v>
      </c>
      <c r="J351" s="312">
        <v>474.43</v>
      </c>
      <c r="K351" s="312">
        <v>419.92</v>
      </c>
      <c r="M351" t="s">
        <v>2115</v>
      </c>
      <c r="N351" s="312">
        <v>252.23</v>
      </c>
      <c r="O351" s="312">
        <v>141599.63</v>
      </c>
      <c r="P351" s="312">
        <v>8888.85</v>
      </c>
      <c r="Q351" s="312">
        <v>223057.19</v>
      </c>
      <c r="R351" s="312">
        <v>157657.18</v>
      </c>
    </row>
    <row r="352" spans="6:18">
      <c r="F352" t="s">
        <v>2116</v>
      </c>
      <c r="G352" s="312"/>
      <c r="H352" s="312">
        <v>468.58000000000004</v>
      </c>
      <c r="I352" s="312">
        <v>21.61</v>
      </c>
      <c r="J352" s="312">
        <v>283.73</v>
      </c>
      <c r="K352" s="312">
        <v>400.99</v>
      </c>
      <c r="M352" t="s">
        <v>2116</v>
      </c>
      <c r="N352" s="312"/>
      <c r="O352" s="312">
        <v>204649.19</v>
      </c>
      <c r="P352" s="312">
        <v>16576.240000000002</v>
      </c>
      <c r="Q352" s="312">
        <v>94687.82</v>
      </c>
      <c r="R352" s="312">
        <v>175764.44999999998</v>
      </c>
    </row>
    <row r="353" spans="6:18">
      <c r="F353" t="s">
        <v>2117</v>
      </c>
      <c r="G353" s="312"/>
      <c r="H353" s="312">
        <v>304.49</v>
      </c>
      <c r="I353" s="312">
        <v>25.520000000000003</v>
      </c>
      <c r="J353" s="312">
        <v>406.22</v>
      </c>
      <c r="K353" s="312">
        <v>225.15</v>
      </c>
      <c r="M353" t="s">
        <v>2117</v>
      </c>
      <c r="N353" s="312"/>
      <c r="O353" s="312">
        <v>144960.75</v>
      </c>
      <c r="P353" s="312">
        <v>30823.77</v>
      </c>
      <c r="Q353" s="312">
        <v>213769.24</v>
      </c>
      <c r="R353" s="312">
        <v>74454.570000000007</v>
      </c>
    </row>
    <row r="354" spans="6:18">
      <c r="F354" t="s">
        <v>2118</v>
      </c>
      <c r="G354" s="312"/>
      <c r="H354" s="312">
        <v>285.73</v>
      </c>
      <c r="I354" s="312">
        <v>11.66</v>
      </c>
      <c r="J354" s="312">
        <v>312.78000000000003</v>
      </c>
      <c r="K354" s="312">
        <v>256.44</v>
      </c>
      <c r="M354" t="s">
        <v>2118</v>
      </c>
      <c r="N354" s="312"/>
      <c r="O354" s="312">
        <v>128425.29000000001</v>
      </c>
      <c r="P354" s="312">
        <v>16099.4</v>
      </c>
      <c r="Q354" s="312">
        <v>153056.97</v>
      </c>
      <c r="R354" s="312">
        <v>87098.91</v>
      </c>
    </row>
    <row r="355" spans="6:18">
      <c r="F355" t="s">
        <v>2119</v>
      </c>
      <c r="G355" s="312">
        <v>0.81</v>
      </c>
      <c r="H355" s="312">
        <v>265.40999999999997</v>
      </c>
      <c r="I355" s="312">
        <v>23.25</v>
      </c>
      <c r="J355" s="312">
        <v>300.16999999999996</v>
      </c>
      <c r="K355" s="312">
        <v>795.67000000000007</v>
      </c>
      <c r="M355" t="s">
        <v>2119</v>
      </c>
      <c r="N355" s="312">
        <v>201.67</v>
      </c>
      <c r="O355" s="312">
        <v>152414.38</v>
      </c>
      <c r="P355" s="312">
        <v>8979.41</v>
      </c>
      <c r="Q355" s="312">
        <v>102035.16</v>
      </c>
      <c r="R355" s="312">
        <v>253825.56</v>
      </c>
    </row>
    <row r="356" spans="6:18">
      <c r="F356" t="s">
        <v>2120</v>
      </c>
      <c r="G356" s="312">
        <v>5.1100000000000003</v>
      </c>
      <c r="H356" s="312">
        <v>352.65000000000003</v>
      </c>
      <c r="I356" s="312">
        <v>20.41</v>
      </c>
      <c r="J356" s="312">
        <v>533.4</v>
      </c>
      <c r="K356" s="312">
        <v>706.08999999999992</v>
      </c>
      <c r="M356" t="s">
        <v>2120</v>
      </c>
      <c r="N356" s="312">
        <v>941.03</v>
      </c>
      <c r="O356" s="312">
        <v>159463.52000000002</v>
      </c>
      <c r="P356" s="312">
        <v>10670.51</v>
      </c>
      <c r="Q356" s="312">
        <v>256877.15</v>
      </c>
      <c r="R356" s="312">
        <v>236686.03999999998</v>
      </c>
    </row>
    <row r="357" spans="6:18">
      <c r="F357" t="s">
        <v>2121</v>
      </c>
      <c r="G357" s="312"/>
      <c r="H357" s="312">
        <v>311.16999999999996</v>
      </c>
      <c r="I357" s="312">
        <v>41.34</v>
      </c>
      <c r="J357" s="312">
        <v>398.73</v>
      </c>
      <c r="K357" s="312">
        <v>553</v>
      </c>
      <c r="M357" t="s">
        <v>2121</v>
      </c>
      <c r="N357" s="312"/>
      <c r="O357" s="312">
        <v>150375.9</v>
      </c>
      <c r="P357" s="312">
        <v>24337.719999999998</v>
      </c>
      <c r="Q357" s="312">
        <v>155241.64000000001</v>
      </c>
      <c r="R357" s="312">
        <v>173115.61</v>
      </c>
    </row>
    <row r="358" spans="6:18">
      <c r="F358" t="s">
        <v>2122</v>
      </c>
      <c r="G358" s="312"/>
      <c r="H358" s="312">
        <v>308.21000000000004</v>
      </c>
      <c r="I358" s="312">
        <v>29.15</v>
      </c>
      <c r="J358" s="312">
        <v>344.75</v>
      </c>
      <c r="K358" s="312">
        <v>487.65999999999997</v>
      </c>
      <c r="M358" t="s">
        <v>2122</v>
      </c>
      <c r="N358" s="312"/>
      <c r="O358" s="312">
        <v>161080.1</v>
      </c>
      <c r="P358" s="312">
        <v>13984.990000000002</v>
      </c>
      <c r="Q358" s="312">
        <v>206236.25</v>
      </c>
      <c r="R358" s="312">
        <v>187295</v>
      </c>
    </row>
    <row r="359" spans="6:18">
      <c r="F359" t="s">
        <v>2123</v>
      </c>
      <c r="G359" s="312">
        <v>0.79</v>
      </c>
      <c r="H359" s="312">
        <v>299.66000000000003</v>
      </c>
      <c r="I359" s="312">
        <v>9.2799999999999994</v>
      </c>
      <c r="J359" s="312">
        <v>373.15</v>
      </c>
      <c r="K359" s="312">
        <v>371.27</v>
      </c>
      <c r="M359" t="s">
        <v>2123</v>
      </c>
      <c r="N359" s="312">
        <v>134.77000000000001</v>
      </c>
      <c r="O359" s="312">
        <v>122689.20000000001</v>
      </c>
      <c r="P359" s="312">
        <v>9293.2099999999991</v>
      </c>
      <c r="Q359" s="312">
        <v>214781.28999999998</v>
      </c>
      <c r="R359" s="312">
        <v>114523.26000000001</v>
      </c>
    </row>
    <row r="360" spans="6:18">
      <c r="F360" t="s">
        <v>2124</v>
      </c>
      <c r="G360" s="312"/>
      <c r="H360" s="312">
        <v>146.75</v>
      </c>
      <c r="I360" s="312">
        <v>28.8</v>
      </c>
      <c r="J360" s="312">
        <v>223.02</v>
      </c>
      <c r="K360" s="312">
        <v>298.61</v>
      </c>
      <c r="M360" t="s">
        <v>2124</v>
      </c>
      <c r="N360" s="312"/>
      <c r="O360" s="312">
        <v>88330.17</v>
      </c>
      <c r="P360" s="312">
        <v>27505.260000000002</v>
      </c>
      <c r="Q360" s="312">
        <v>96227.760000000009</v>
      </c>
      <c r="R360" s="312">
        <v>123156.29</v>
      </c>
    </row>
    <row r="361" spans="6:18">
      <c r="F361" t="s">
        <v>2125</v>
      </c>
      <c r="G361" s="312"/>
      <c r="H361" s="312">
        <v>101.47999999999999</v>
      </c>
      <c r="I361" s="312"/>
      <c r="J361" s="312">
        <v>146.77000000000001</v>
      </c>
      <c r="K361" s="312">
        <v>249.23000000000002</v>
      </c>
      <c r="M361" t="s">
        <v>2125</v>
      </c>
      <c r="N361" s="312"/>
      <c r="O361" s="312">
        <v>61998.53</v>
      </c>
      <c r="P361" s="312"/>
      <c r="Q361" s="312">
        <v>56541.54</v>
      </c>
      <c r="R361" s="312">
        <v>70103.02</v>
      </c>
    </row>
    <row r="362" spans="6:18">
      <c r="F362" t="s">
        <v>2126</v>
      </c>
      <c r="G362" s="312"/>
      <c r="H362" s="312">
        <v>128.80000000000001</v>
      </c>
      <c r="I362" s="312">
        <v>14.62</v>
      </c>
      <c r="J362" s="312">
        <v>182.29000000000002</v>
      </c>
      <c r="K362" s="312">
        <v>537.04999999999995</v>
      </c>
      <c r="M362" t="s">
        <v>2126</v>
      </c>
      <c r="N362" s="312"/>
      <c r="O362" s="312">
        <v>44056.1</v>
      </c>
      <c r="P362" s="312">
        <v>12131.61</v>
      </c>
      <c r="Q362" s="312">
        <v>113997.31</v>
      </c>
      <c r="R362" s="312">
        <v>156998.51</v>
      </c>
    </row>
    <row r="363" spans="6:18">
      <c r="F363" t="s">
        <v>2127</v>
      </c>
      <c r="G363" s="312"/>
      <c r="H363" s="312">
        <v>108.38</v>
      </c>
      <c r="I363" s="312">
        <v>3.41</v>
      </c>
      <c r="J363" s="312">
        <v>60.510000000000005</v>
      </c>
      <c r="K363" s="312">
        <v>389.15</v>
      </c>
      <c r="M363" t="s">
        <v>2127</v>
      </c>
      <c r="N363" s="312"/>
      <c r="O363" s="312">
        <v>55469.85</v>
      </c>
      <c r="P363" s="312">
        <v>1458.37</v>
      </c>
      <c r="Q363" s="312">
        <v>17873.190000000002</v>
      </c>
      <c r="R363" s="312">
        <v>110185.07</v>
      </c>
    </row>
    <row r="364" spans="6:18">
      <c r="F364" t="s">
        <v>2128</v>
      </c>
      <c r="G364" s="312">
        <v>5.1100000000000003</v>
      </c>
      <c r="H364" s="312">
        <v>232.16</v>
      </c>
      <c r="I364" s="312">
        <v>6.37</v>
      </c>
      <c r="J364" s="312">
        <v>269.62</v>
      </c>
      <c r="K364" s="312">
        <v>423.7</v>
      </c>
      <c r="M364" t="s">
        <v>2128</v>
      </c>
      <c r="N364" s="312">
        <v>4213.8900000000003</v>
      </c>
      <c r="O364" s="312">
        <v>130383.21</v>
      </c>
      <c r="P364" s="312">
        <v>3667.46</v>
      </c>
      <c r="Q364" s="312">
        <v>122703.19</v>
      </c>
      <c r="R364" s="312">
        <v>135466.13999999998</v>
      </c>
    </row>
    <row r="365" spans="6:18">
      <c r="F365" t="s">
        <v>2129</v>
      </c>
      <c r="G365" s="312">
        <v>0.79</v>
      </c>
      <c r="H365" s="312">
        <v>194.89</v>
      </c>
      <c r="I365" s="312">
        <v>19.630000000000003</v>
      </c>
      <c r="J365" s="312">
        <v>286.24</v>
      </c>
      <c r="K365" s="312">
        <v>392.47</v>
      </c>
      <c r="M365" t="s">
        <v>2129</v>
      </c>
      <c r="N365" s="312">
        <v>426.75</v>
      </c>
      <c r="O365" s="312">
        <v>82543.87</v>
      </c>
      <c r="P365" s="312">
        <v>8093.57</v>
      </c>
      <c r="Q365" s="312">
        <v>117302.26999999999</v>
      </c>
      <c r="R365" s="312">
        <v>121755.86</v>
      </c>
    </row>
    <row r="366" spans="6:18">
      <c r="F366" t="s">
        <v>2130</v>
      </c>
      <c r="G366" s="312"/>
      <c r="H366" s="312">
        <v>223.16</v>
      </c>
      <c r="I366" s="312">
        <v>26.669999999999998</v>
      </c>
      <c r="J366" s="312">
        <v>298.02999999999997</v>
      </c>
      <c r="K366" s="312">
        <v>346</v>
      </c>
      <c r="M366" t="s">
        <v>2130</v>
      </c>
      <c r="N366" s="312"/>
      <c r="O366" s="312">
        <v>124552.14</v>
      </c>
      <c r="P366" s="312">
        <v>16118.710000000001</v>
      </c>
      <c r="Q366" s="312">
        <v>84962.53</v>
      </c>
      <c r="R366" s="312">
        <v>108972.56999999999</v>
      </c>
    </row>
    <row r="367" spans="6:18">
      <c r="F367" t="s">
        <v>2131</v>
      </c>
      <c r="G367" s="312">
        <v>10.220000000000001</v>
      </c>
      <c r="H367" s="312">
        <v>105.68</v>
      </c>
      <c r="I367" s="312">
        <v>6.65</v>
      </c>
      <c r="J367" s="312">
        <v>219.67</v>
      </c>
      <c r="K367" s="312">
        <v>255.38</v>
      </c>
      <c r="M367" t="s">
        <v>2131</v>
      </c>
      <c r="N367" s="312">
        <v>9960.92</v>
      </c>
      <c r="O367" s="312">
        <v>47460.09</v>
      </c>
      <c r="P367" s="312">
        <v>3902.15</v>
      </c>
      <c r="Q367" s="312">
        <v>126407.7</v>
      </c>
      <c r="R367" s="312">
        <v>90092.63</v>
      </c>
    </row>
    <row r="368" spans="6:18">
      <c r="F368" t="s">
        <v>2132</v>
      </c>
      <c r="G368" s="312"/>
      <c r="H368" s="312">
        <v>116.08</v>
      </c>
      <c r="I368" s="312">
        <v>3.16</v>
      </c>
      <c r="J368" s="312">
        <v>176.45</v>
      </c>
      <c r="K368" s="312">
        <v>203.74</v>
      </c>
      <c r="M368" t="s">
        <v>2132</v>
      </c>
      <c r="N368" s="312"/>
      <c r="O368" s="312">
        <v>51836.67</v>
      </c>
      <c r="P368" s="312">
        <v>1603.38</v>
      </c>
      <c r="Q368" s="312">
        <v>98740.13</v>
      </c>
      <c r="R368" s="312">
        <v>59064.12</v>
      </c>
    </row>
    <row r="369" spans="6:18">
      <c r="F369" t="s">
        <v>2133</v>
      </c>
      <c r="G369" s="312">
        <v>4.17</v>
      </c>
      <c r="H369" s="312">
        <v>146.41</v>
      </c>
      <c r="I369" s="312">
        <v>18.95</v>
      </c>
      <c r="J369" s="312">
        <v>221.08999999999997</v>
      </c>
      <c r="K369" s="312">
        <v>332.49</v>
      </c>
      <c r="M369" t="s">
        <v>2133</v>
      </c>
      <c r="N369" s="312">
        <v>2695.8</v>
      </c>
      <c r="O369" s="312">
        <v>87641.9</v>
      </c>
      <c r="P369" s="312">
        <v>11788.89</v>
      </c>
      <c r="Q369" s="312">
        <v>101307.2</v>
      </c>
      <c r="R369" s="312">
        <v>95744.409999999989</v>
      </c>
    </row>
    <row r="370" spans="6:18">
      <c r="F370" t="s">
        <v>2134</v>
      </c>
      <c r="G370" s="312"/>
      <c r="H370" s="312">
        <v>78.83</v>
      </c>
      <c r="I370" s="312">
        <v>10.41</v>
      </c>
      <c r="J370" s="312">
        <v>187.86</v>
      </c>
      <c r="K370" s="312">
        <v>204.93</v>
      </c>
      <c r="M370" t="s">
        <v>2134</v>
      </c>
      <c r="N370" s="312"/>
      <c r="O370" s="312">
        <v>43140.119999999995</v>
      </c>
      <c r="P370" s="312">
        <v>5268.11</v>
      </c>
      <c r="Q370" s="312">
        <v>86783.790000000008</v>
      </c>
      <c r="R370" s="312">
        <v>56712.56</v>
      </c>
    </row>
    <row r="371" spans="6:18">
      <c r="F371" t="s">
        <v>2135</v>
      </c>
      <c r="G371" s="312">
        <v>5.1100000000000003</v>
      </c>
      <c r="H371" s="312">
        <v>188.51999999999998</v>
      </c>
      <c r="I371" s="312">
        <v>3.21</v>
      </c>
      <c r="J371" s="312">
        <v>266.76</v>
      </c>
      <c r="K371" s="312">
        <v>294.23</v>
      </c>
      <c r="M371" t="s">
        <v>2135</v>
      </c>
      <c r="N371" s="312">
        <v>4215.7</v>
      </c>
      <c r="O371" s="312">
        <v>74309.09</v>
      </c>
      <c r="P371" s="312">
        <v>612.09</v>
      </c>
      <c r="Q371" s="312">
        <v>107194.70999999999</v>
      </c>
      <c r="R371" s="312">
        <v>75102.399999999994</v>
      </c>
    </row>
    <row r="372" spans="6:18">
      <c r="F372" t="s">
        <v>2136</v>
      </c>
      <c r="G372" s="312">
        <v>3.36</v>
      </c>
      <c r="H372" s="312">
        <v>180.68</v>
      </c>
      <c r="I372" s="312">
        <v>10.870000000000001</v>
      </c>
      <c r="J372" s="312">
        <v>193.53</v>
      </c>
      <c r="K372" s="312">
        <v>356.65000000000003</v>
      </c>
      <c r="M372" t="s">
        <v>2136</v>
      </c>
      <c r="N372" s="312">
        <v>268.66000000000003</v>
      </c>
      <c r="O372" s="312">
        <v>100079.33</v>
      </c>
      <c r="P372" s="312">
        <v>5504.29</v>
      </c>
      <c r="Q372" s="312">
        <v>87713.549999999988</v>
      </c>
      <c r="R372" s="312">
        <v>95331.48000000001</v>
      </c>
    </row>
    <row r="373" spans="6:18">
      <c r="F373" t="s">
        <v>2137</v>
      </c>
      <c r="G373" s="312"/>
      <c r="H373" s="312">
        <v>228.56</v>
      </c>
      <c r="I373" s="312">
        <v>8.629999999999999</v>
      </c>
      <c r="J373" s="312">
        <v>305.52</v>
      </c>
      <c r="K373" s="312">
        <v>314.95</v>
      </c>
      <c r="M373" t="s">
        <v>2137</v>
      </c>
      <c r="N373" s="312"/>
      <c r="O373" s="312">
        <v>97137.459999999992</v>
      </c>
      <c r="P373" s="312">
        <v>2006.4599999999998</v>
      </c>
      <c r="Q373" s="312">
        <v>137844.88</v>
      </c>
      <c r="R373" s="312">
        <v>102030.59</v>
      </c>
    </row>
    <row r="374" spans="6:18">
      <c r="F374" t="s">
        <v>2138</v>
      </c>
      <c r="G374" s="312"/>
      <c r="H374" s="312">
        <v>135.11000000000001</v>
      </c>
      <c r="I374" s="312">
        <v>1.89</v>
      </c>
      <c r="J374" s="312">
        <v>232.37</v>
      </c>
      <c r="K374" s="312">
        <v>181.22000000000003</v>
      </c>
      <c r="M374" t="s">
        <v>2138</v>
      </c>
      <c r="N374" s="312"/>
      <c r="O374" s="312">
        <v>61176.26</v>
      </c>
      <c r="P374" s="312">
        <v>1061.3499999999999</v>
      </c>
      <c r="Q374" s="312">
        <v>164430.84</v>
      </c>
      <c r="R374" s="312">
        <v>50529.81</v>
      </c>
    </row>
    <row r="375" spans="6:18">
      <c r="F375" t="s">
        <v>2139</v>
      </c>
      <c r="G375" s="312"/>
      <c r="H375" s="312">
        <v>150.63999999999999</v>
      </c>
      <c r="I375" s="312">
        <v>5.91</v>
      </c>
      <c r="J375" s="312">
        <v>138.72</v>
      </c>
      <c r="K375" s="312">
        <v>136.27000000000001</v>
      </c>
      <c r="M375" t="s">
        <v>2139</v>
      </c>
      <c r="N375" s="312"/>
      <c r="O375" s="312">
        <v>64708.83</v>
      </c>
      <c r="P375" s="312">
        <v>3409.55</v>
      </c>
      <c r="Q375" s="312">
        <v>62109.509999999995</v>
      </c>
      <c r="R375" s="312">
        <v>38799.520000000004</v>
      </c>
    </row>
    <row r="376" spans="6:18">
      <c r="F376" t="s">
        <v>2140</v>
      </c>
      <c r="G376" s="312"/>
      <c r="H376" s="312">
        <v>258.41000000000003</v>
      </c>
      <c r="I376" s="312">
        <v>15.39</v>
      </c>
      <c r="J376" s="312">
        <v>338.04</v>
      </c>
      <c r="K376" s="312">
        <v>332.06</v>
      </c>
      <c r="M376" t="s">
        <v>2140</v>
      </c>
      <c r="N376" s="312"/>
      <c r="O376" s="312">
        <v>132150.08000000002</v>
      </c>
      <c r="P376" s="312">
        <v>18950.66</v>
      </c>
      <c r="Q376" s="312">
        <v>145408.6</v>
      </c>
      <c r="R376" s="312">
        <v>158174.01</v>
      </c>
    </row>
    <row r="377" spans="6:18">
      <c r="F377" t="s">
        <v>2141</v>
      </c>
      <c r="G377" s="312">
        <v>0.76</v>
      </c>
      <c r="H377" s="312">
        <v>258.28999999999996</v>
      </c>
      <c r="I377" s="312">
        <v>7.4600000000000009</v>
      </c>
      <c r="J377" s="312">
        <v>347.39</v>
      </c>
      <c r="K377" s="312">
        <v>291.58999999999997</v>
      </c>
      <c r="M377" t="s">
        <v>2141</v>
      </c>
      <c r="N377" s="312">
        <v>363.97</v>
      </c>
      <c r="O377" s="312">
        <v>149442.51999999999</v>
      </c>
      <c r="P377" s="312">
        <v>7232.7300000000005</v>
      </c>
      <c r="Q377" s="312">
        <v>153982.21</v>
      </c>
      <c r="R377" s="312">
        <v>99997.62</v>
      </c>
    </row>
    <row r="378" spans="6:18">
      <c r="F378" t="s">
        <v>2142</v>
      </c>
      <c r="G378" s="312">
        <v>1.1299999999999999</v>
      </c>
      <c r="H378" s="312">
        <v>193.19</v>
      </c>
      <c r="I378" s="312">
        <v>14.63</v>
      </c>
      <c r="J378" s="312">
        <v>394.44000000000005</v>
      </c>
      <c r="K378" s="312">
        <v>307.89999999999998</v>
      </c>
      <c r="M378" t="s">
        <v>2142</v>
      </c>
      <c r="N378" s="312">
        <v>402.91</v>
      </c>
      <c r="O378" s="312">
        <v>91955.43</v>
      </c>
      <c r="P378" s="312">
        <v>9218.06</v>
      </c>
      <c r="Q378" s="312">
        <v>199265.7</v>
      </c>
      <c r="R378" s="312">
        <v>114487.37</v>
      </c>
    </row>
    <row r="379" spans="6:18">
      <c r="F379" t="s">
        <v>2143</v>
      </c>
      <c r="G379" s="312">
        <v>1.59</v>
      </c>
      <c r="H379" s="312">
        <v>247.85999999999999</v>
      </c>
      <c r="I379" s="312">
        <v>24.06</v>
      </c>
      <c r="J379" s="312">
        <v>398.92</v>
      </c>
      <c r="K379" s="312">
        <v>180.31</v>
      </c>
      <c r="M379" t="s">
        <v>2143</v>
      </c>
      <c r="N379" s="312">
        <v>1150.97</v>
      </c>
      <c r="O379" s="312">
        <v>112967.93000000001</v>
      </c>
      <c r="P379" s="312">
        <v>27138.38</v>
      </c>
      <c r="Q379" s="312">
        <v>166045.95000000001</v>
      </c>
      <c r="R379" s="312">
        <v>53859.41</v>
      </c>
    </row>
    <row r="380" spans="6:18">
      <c r="F380" t="s">
        <v>2144</v>
      </c>
      <c r="G380" s="312"/>
      <c r="H380" s="312">
        <v>260.96000000000004</v>
      </c>
      <c r="I380" s="312">
        <v>7.58</v>
      </c>
      <c r="J380" s="312">
        <v>352.46000000000004</v>
      </c>
      <c r="K380" s="312">
        <v>162.20999999999998</v>
      </c>
      <c r="M380" t="s">
        <v>2144</v>
      </c>
      <c r="N380" s="312"/>
      <c r="O380" s="312">
        <v>124363.4</v>
      </c>
      <c r="P380" s="312">
        <v>7610.74</v>
      </c>
      <c r="Q380" s="312">
        <v>133424.1</v>
      </c>
      <c r="R380" s="312">
        <v>60928.1</v>
      </c>
    </row>
    <row r="381" spans="6:18">
      <c r="F381" t="s">
        <v>2145</v>
      </c>
      <c r="G381" s="312"/>
      <c r="H381" s="312">
        <v>202.77</v>
      </c>
      <c r="I381" s="312">
        <v>27.53</v>
      </c>
      <c r="J381" s="312">
        <v>242.58999999999997</v>
      </c>
      <c r="K381" s="312">
        <v>43.64</v>
      </c>
      <c r="M381" t="s">
        <v>2145</v>
      </c>
      <c r="N381" s="312"/>
      <c r="O381" s="312">
        <v>133359.76999999999</v>
      </c>
      <c r="P381" s="312">
        <v>27634.83</v>
      </c>
      <c r="Q381" s="312">
        <v>108406.97</v>
      </c>
      <c r="R381" s="312">
        <v>20655.78</v>
      </c>
    </row>
    <row r="382" spans="6:18">
      <c r="F382" t="s">
        <v>2146</v>
      </c>
      <c r="G382" s="312"/>
      <c r="H382" s="312">
        <v>138.81</v>
      </c>
      <c r="I382" s="312"/>
      <c r="J382" s="312">
        <v>212.58</v>
      </c>
      <c r="K382" s="312">
        <v>27.89</v>
      </c>
      <c r="M382" t="s">
        <v>2146</v>
      </c>
      <c r="N382" s="312"/>
      <c r="O382" s="312">
        <v>71910.010000000009</v>
      </c>
      <c r="P382" s="312"/>
      <c r="Q382" s="312">
        <v>80591.81</v>
      </c>
      <c r="R382" s="312">
        <v>5567.3</v>
      </c>
    </row>
    <row r="383" spans="6:18">
      <c r="F383" t="s">
        <v>2147</v>
      </c>
      <c r="G383" s="312">
        <v>0.76</v>
      </c>
      <c r="H383" s="312">
        <v>163.30000000000001</v>
      </c>
      <c r="I383" s="312">
        <v>14.4</v>
      </c>
      <c r="J383" s="312">
        <v>277.89999999999998</v>
      </c>
      <c r="K383" s="312">
        <v>86.17</v>
      </c>
      <c r="M383" t="s">
        <v>2147</v>
      </c>
      <c r="N383" s="312">
        <v>261.10000000000002</v>
      </c>
      <c r="O383" s="312">
        <v>68115.88</v>
      </c>
      <c r="P383" s="312">
        <v>8651.5400000000009</v>
      </c>
      <c r="Q383" s="312">
        <v>171630.36</v>
      </c>
      <c r="R383" s="312">
        <v>24515.65</v>
      </c>
    </row>
    <row r="384" spans="6:18">
      <c r="F384" t="s">
        <v>2148</v>
      </c>
      <c r="G384" s="312"/>
      <c r="H384" s="312">
        <v>166.49</v>
      </c>
      <c r="I384" s="312">
        <v>4.21</v>
      </c>
      <c r="J384" s="312">
        <v>355.92</v>
      </c>
      <c r="K384" s="312">
        <v>133.19999999999999</v>
      </c>
      <c r="M384" t="s">
        <v>2148</v>
      </c>
      <c r="N384" s="312"/>
      <c r="O384" s="312">
        <v>89155.799999999988</v>
      </c>
      <c r="P384" s="312">
        <v>2485.25</v>
      </c>
      <c r="Q384" s="312">
        <v>149707.77000000002</v>
      </c>
      <c r="R384" s="312">
        <v>46511.869999999995</v>
      </c>
    </row>
    <row r="385" spans="6:18">
      <c r="F385" t="s">
        <v>2149</v>
      </c>
      <c r="G385" s="312"/>
      <c r="H385" s="312">
        <v>140.1</v>
      </c>
      <c r="I385" s="312">
        <v>4.3600000000000003</v>
      </c>
      <c r="J385" s="312">
        <v>277.78999999999996</v>
      </c>
      <c r="K385" s="312">
        <v>96.54</v>
      </c>
      <c r="M385" t="s">
        <v>2149</v>
      </c>
      <c r="N385" s="312"/>
      <c r="O385" s="312">
        <v>85690.53</v>
      </c>
      <c r="P385" s="312">
        <v>1796.1999999999998</v>
      </c>
      <c r="Q385" s="312">
        <v>135182.51999999999</v>
      </c>
      <c r="R385" s="312">
        <v>28731.120000000003</v>
      </c>
    </row>
    <row r="386" spans="6:18">
      <c r="F386" t="s">
        <v>2150</v>
      </c>
      <c r="G386" s="312"/>
      <c r="H386" s="312">
        <v>234.54</v>
      </c>
      <c r="I386" s="312">
        <v>14.739999999999998</v>
      </c>
      <c r="J386" s="312">
        <v>406.74</v>
      </c>
      <c r="K386" s="312">
        <v>129.55000000000001</v>
      </c>
      <c r="M386" t="s">
        <v>2150</v>
      </c>
      <c r="N386" s="312"/>
      <c r="O386" s="312">
        <v>131140.27000000002</v>
      </c>
      <c r="P386" s="312">
        <v>10023.35</v>
      </c>
      <c r="Q386" s="312">
        <v>187907.64</v>
      </c>
      <c r="R386" s="312">
        <v>32059.33</v>
      </c>
    </row>
    <row r="387" spans="6:18">
      <c r="F387" t="s">
        <v>2151</v>
      </c>
      <c r="G387" s="312"/>
      <c r="H387" s="312">
        <v>160.16</v>
      </c>
      <c r="I387" s="312">
        <v>24.44</v>
      </c>
      <c r="J387" s="312">
        <v>464.39</v>
      </c>
      <c r="K387" s="312">
        <v>113.94</v>
      </c>
      <c r="M387" t="s">
        <v>2151</v>
      </c>
      <c r="N387" s="312"/>
      <c r="O387" s="312">
        <v>64815.3</v>
      </c>
      <c r="P387" s="312">
        <v>12815.51</v>
      </c>
      <c r="Q387" s="312">
        <v>210416.94</v>
      </c>
      <c r="R387" s="312">
        <v>54176.17</v>
      </c>
    </row>
    <row r="388" spans="6:18">
      <c r="F388" t="s">
        <v>2152</v>
      </c>
      <c r="G388" s="312"/>
      <c r="H388" s="312">
        <v>192.5</v>
      </c>
      <c r="I388" s="312">
        <v>5.93</v>
      </c>
      <c r="J388" s="312">
        <v>215.71</v>
      </c>
      <c r="K388" s="312">
        <v>43.120000000000005</v>
      </c>
      <c r="M388" t="s">
        <v>2152</v>
      </c>
      <c r="N388" s="312"/>
      <c r="O388" s="312">
        <v>88775.670000000013</v>
      </c>
      <c r="P388" s="312">
        <v>2067.4</v>
      </c>
      <c r="Q388" s="312">
        <v>98264.670000000013</v>
      </c>
      <c r="R388" s="312">
        <v>16395</v>
      </c>
    </row>
    <row r="389" spans="6:18">
      <c r="F389" t="s">
        <v>2153</v>
      </c>
      <c r="G389" s="312"/>
      <c r="H389" s="312">
        <v>167.47</v>
      </c>
      <c r="I389" s="312">
        <v>8.51</v>
      </c>
      <c r="J389" s="312">
        <v>212.15</v>
      </c>
      <c r="K389" s="312">
        <v>40.29</v>
      </c>
      <c r="M389" t="s">
        <v>2153</v>
      </c>
      <c r="N389" s="312"/>
      <c r="O389" s="312">
        <v>93149.360000000015</v>
      </c>
      <c r="P389" s="312">
        <v>4300.07</v>
      </c>
      <c r="Q389" s="312">
        <v>74473.75</v>
      </c>
      <c r="R389" s="312">
        <v>10150.76</v>
      </c>
    </row>
    <row r="390" spans="6:18">
      <c r="F390" t="s">
        <v>2154</v>
      </c>
      <c r="G390" s="312"/>
      <c r="H390" s="312">
        <v>364.55</v>
      </c>
      <c r="I390" s="312">
        <v>28.74</v>
      </c>
      <c r="J390" s="312">
        <v>415.85</v>
      </c>
      <c r="K390" s="312">
        <v>75.81</v>
      </c>
      <c r="M390" t="s">
        <v>2154</v>
      </c>
      <c r="N390" s="312"/>
      <c r="O390" s="312">
        <v>168025.47999999998</v>
      </c>
      <c r="P390" s="312">
        <v>19643.5</v>
      </c>
      <c r="Q390" s="312">
        <v>184365.99</v>
      </c>
      <c r="R390" s="312">
        <v>31927.14</v>
      </c>
    </row>
    <row r="391" spans="6:18">
      <c r="F391" t="s">
        <v>2155</v>
      </c>
      <c r="G391" s="312"/>
      <c r="H391" s="312">
        <v>357.07</v>
      </c>
      <c r="I391" s="312">
        <v>42.89</v>
      </c>
      <c r="J391" s="312">
        <v>444.81</v>
      </c>
      <c r="K391" s="312">
        <v>92.37</v>
      </c>
      <c r="M391" t="s">
        <v>2155</v>
      </c>
      <c r="N391" s="312"/>
      <c r="O391" s="312">
        <v>157778.53999999998</v>
      </c>
      <c r="P391" s="312">
        <v>35118</v>
      </c>
      <c r="Q391" s="312">
        <v>192769.26</v>
      </c>
      <c r="R391" s="312">
        <v>27253.47</v>
      </c>
    </row>
    <row r="392" spans="6:18">
      <c r="F392" t="s">
        <v>2156</v>
      </c>
      <c r="G392" s="312">
        <v>6.67</v>
      </c>
      <c r="H392" s="312">
        <v>299.56</v>
      </c>
      <c r="I392" s="312">
        <v>16.21</v>
      </c>
      <c r="J392" s="312">
        <v>373.91</v>
      </c>
      <c r="K392" s="312">
        <v>71.490000000000009</v>
      </c>
      <c r="M392" t="s">
        <v>2156</v>
      </c>
      <c r="N392" s="312">
        <v>2525.0700000000002</v>
      </c>
      <c r="O392" s="312">
        <v>128861.98</v>
      </c>
      <c r="P392" s="312">
        <v>17932.32</v>
      </c>
      <c r="Q392" s="312">
        <v>182295.46000000002</v>
      </c>
      <c r="R392" s="312">
        <v>29600.83</v>
      </c>
    </row>
    <row r="393" spans="6:18">
      <c r="F393" t="s">
        <v>2157</v>
      </c>
      <c r="G393" s="312">
        <v>0.67</v>
      </c>
      <c r="H393" s="312">
        <v>309.39999999999998</v>
      </c>
      <c r="I393" s="312">
        <v>12.24</v>
      </c>
      <c r="J393" s="312">
        <v>385.9</v>
      </c>
      <c r="K393" s="312">
        <v>80.17</v>
      </c>
      <c r="M393" t="s">
        <v>2157</v>
      </c>
      <c r="N393" s="312">
        <v>243.18</v>
      </c>
      <c r="O393" s="312">
        <v>140196.46</v>
      </c>
      <c r="P393" s="312">
        <v>7827.55</v>
      </c>
      <c r="Q393" s="312">
        <v>129518.02</v>
      </c>
      <c r="R393" s="312">
        <v>27162.309999999998</v>
      </c>
    </row>
    <row r="394" spans="6:18">
      <c r="F394" t="s">
        <v>2158</v>
      </c>
      <c r="G394" s="312"/>
      <c r="H394" s="312">
        <v>326.52</v>
      </c>
      <c r="I394" s="312">
        <v>16.350000000000001</v>
      </c>
      <c r="J394" s="312">
        <v>324.79000000000002</v>
      </c>
      <c r="K394" s="312">
        <v>42.06</v>
      </c>
      <c r="M394" t="s">
        <v>2158</v>
      </c>
      <c r="N394" s="312"/>
      <c r="O394" s="312">
        <v>160211.28999999998</v>
      </c>
      <c r="P394" s="312">
        <v>14020.98</v>
      </c>
      <c r="Q394" s="312">
        <v>177889.47999999998</v>
      </c>
      <c r="R394" s="312">
        <v>43766.07</v>
      </c>
    </row>
    <row r="395" spans="6:18">
      <c r="F395" t="s">
        <v>2159</v>
      </c>
      <c r="G395" s="312"/>
      <c r="H395" s="312">
        <v>302.27999999999997</v>
      </c>
      <c r="I395" s="312">
        <v>5.77</v>
      </c>
      <c r="J395" s="312">
        <v>261.39</v>
      </c>
      <c r="K395" s="312">
        <v>57.11</v>
      </c>
      <c r="M395" t="s">
        <v>2159</v>
      </c>
      <c r="N395" s="312"/>
      <c r="O395" s="312">
        <v>131953.62</v>
      </c>
      <c r="P395" s="312">
        <v>4462.28</v>
      </c>
      <c r="Q395" s="312">
        <v>120561.08</v>
      </c>
      <c r="R395" s="312">
        <v>16667.21</v>
      </c>
    </row>
    <row r="396" spans="6:18">
      <c r="F396" t="s">
        <v>2160</v>
      </c>
      <c r="G396" s="312">
        <v>3.45</v>
      </c>
      <c r="H396" s="312">
        <v>233.21</v>
      </c>
      <c r="I396" s="312">
        <v>6.82</v>
      </c>
      <c r="J396" s="312">
        <v>229.66</v>
      </c>
      <c r="K396" s="312">
        <v>44.31</v>
      </c>
      <c r="M396" t="s">
        <v>2160</v>
      </c>
      <c r="N396" s="312">
        <v>3950.32</v>
      </c>
      <c r="O396" s="312">
        <v>126597.3</v>
      </c>
      <c r="P396" s="312">
        <v>4120.76</v>
      </c>
      <c r="Q396" s="312">
        <v>96934.37</v>
      </c>
      <c r="R396" s="312">
        <v>11604.77</v>
      </c>
    </row>
    <row r="397" spans="6:18">
      <c r="F397" t="s">
        <v>2161</v>
      </c>
      <c r="G397" s="312"/>
      <c r="H397" s="312">
        <v>250.08999999999997</v>
      </c>
      <c r="I397" s="312">
        <v>33.65</v>
      </c>
      <c r="J397" s="312">
        <v>242.47000000000003</v>
      </c>
      <c r="K397" s="312">
        <v>60.37</v>
      </c>
      <c r="M397" t="s">
        <v>2161</v>
      </c>
      <c r="N397" s="312"/>
      <c r="O397" s="312">
        <v>115284.68</v>
      </c>
      <c r="P397" s="312">
        <v>31262.6</v>
      </c>
      <c r="Q397" s="312">
        <v>66672.14</v>
      </c>
      <c r="R397" s="312">
        <v>38459.329999999994</v>
      </c>
    </row>
    <row r="398" spans="6:18">
      <c r="F398" t="s">
        <v>2162</v>
      </c>
      <c r="G398" s="312">
        <v>9.5500000000000007</v>
      </c>
      <c r="H398" s="312">
        <v>175.67000000000002</v>
      </c>
      <c r="I398" s="312">
        <v>58.9</v>
      </c>
      <c r="J398" s="312">
        <v>256.25</v>
      </c>
      <c r="K398" s="312">
        <v>89.460000000000008</v>
      </c>
      <c r="M398" t="s">
        <v>2162</v>
      </c>
      <c r="N398" s="312">
        <v>16777.12</v>
      </c>
      <c r="O398" s="312">
        <v>105227.36</v>
      </c>
      <c r="P398" s="312">
        <v>31045.55</v>
      </c>
      <c r="Q398" s="312">
        <v>89988.89</v>
      </c>
      <c r="R398" s="312">
        <v>27267.5</v>
      </c>
    </row>
    <row r="399" spans="6:18">
      <c r="F399" t="s">
        <v>2163</v>
      </c>
      <c r="G399" s="312">
        <v>0.76</v>
      </c>
      <c r="H399" s="312">
        <v>303.48</v>
      </c>
      <c r="I399" s="312">
        <v>42.430000000000007</v>
      </c>
      <c r="J399" s="312">
        <v>350.12</v>
      </c>
      <c r="K399" s="312">
        <v>108.91999999999999</v>
      </c>
      <c r="M399" t="s">
        <v>2163</v>
      </c>
      <c r="N399" s="312">
        <v>209.61</v>
      </c>
      <c r="O399" s="312">
        <v>145242.43</v>
      </c>
      <c r="P399" s="312">
        <v>33122.47</v>
      </c>
      <c r="Q399" s="312">
        <v>164440.12</v>
      </c>
      <c r="R399" s="312">
        <v>59113.64</v>
      </c>
    </row>
    <row r="400" spans="6:18">
      <c r="F400" t="s">
        <v>2164</v>
      </c>
      <c r="G400" s="312"/>
      <c r="H400" s="312">
        <v>195.88</v>
      </c>
      <c r="I400" s="312">
        <v>40.800000000000004</v>
      </c>
      <c r="J400" s="312">
        <v>282.36</v>
      </c>
      <c r="K400" s="312">
        <v>67.77</v>
      </c>
      <c r="M400" t="s">
        <v>2164</v>
      </c>
      <c r="N400" s="312"/>
      <c r="O400" s="312">
        <v>96960.09</v>
      </c>
      <c r="P400" s="312">
        <v>33722.18</v>
      </c>
      <c r="Q400" s="312">
        <v>136454.39999999999</v>
      </c>
      <c r="R400" s="312">
        <v>20552.989999999998</v>
      </c>
    </row>
    <row r="401" spans="6:18">
      <c r="F401" t="s">
        <v>2165</v>
      </c>
      <c r="G401" s="312">
        <v>2.66</v>
      </c>
      <c r="H401" s="312">
        <v>235.47000000000003</v>
      </c>
      <c r="I401" s="312">
        <v>23.75</v>
      </c>
      <c r="J401" s="312">
        <v>255.60000000000002</v>
      </c>
      <c r="K401" s="312">
        <v>51.97</v>
      </c>
      <c r="M401" t="s">
        <v>2165</v>
      </c>
      <c r="N401" s="312">
        <v>1330.51</v>
      </c>
      <c r="O401" s="312">
        <v>120853.15</v>
      </c>
      <c r="P401" s="312">
        <v>17882.48</v>
      </c>
      <c r="Q401" s="312">
        <v>87503.61</v>
      </c>
      <c r="R401" s="312">
        <v>11324.619999999999</v>
      </c>
    </row>
    <row r="402" spans="6:18">
      <c r="F402" t="s">
        <v>2166</v>
      </c>
      <c r="G402" s="312"/>
      <c r="H402" s="312">
        <v>116.2</v>
      </c>
      <c r="I402" s="312">
        <v>6.82</v>
      </c>
      <c r="J402" s="312">
        <v>165.44</v>
      </c>
      <c r="K402" s="312">
        <v>72.62</v>
      </c>
      <c r="M402" t="s">
        <v>2166</v>
      </c>
      <c r="N402" s="312"/>
      <c r="O402" s="312">
        <v>66897.789999999994</v>
      </c>
      <c r="P402" s="312">
        <v>7630.36</v>
      </c>
      <c r="Q402" s="312">
        <v>84717.88</v>
      </c>
      <c r="R402" s="312">
        <v>18438.849999999999</v>
      </c>
    </row>
    <row r="403" spans="6:18">
      <c r="F403" t="s">
        <v>2167</v>
      </c>
      <c r="G403" s="312"/>
      <c r="H403" s="312">
        <v>134.35</v>
      </c>
      <c r="I403" s="312"/>
      <c r="J403" s="312">
        <v>214.89999999999998</v>
      </c>
      <c r="K403" s="312">
        <v>77.13</v>
      </c>
      <c r="M403" t="s">
        <v>2167</v>
      </c>
      <c r="N403" s="312"/>
      <c r="O403" s="312">
        <v>56868.92</v>
      </c>
      <c r="P403" s="312"/>
      <c r="Q403" s="312">
        <v>90054.28</v>
      </c>
      <c r="R403" s="312">
        <v>38428.519999999997</v>
      </c>
    </row>
    <row r="404" spans="6:18">
      <c r="F404" t="s">
        <v>2168</v>
      </c>
      <c r="G404" s="312">
        <v>1.1200000000000001</v>
      </c>
      <c r="H404" s="312">
        <v>204.18</v>
      </c>
      <c r="I404" s="312">
        <v>67.31</v>
      </c>
      <c r="J404" s="312">
        <v>333.55999999999995</v>
      </c>
      <c r="K404" s="312">
        <v>90.33</v>
      </c>
      <c r="M404" t="s">
        <v>2168</v>
      </c>
      <c r="N404" s="312">
        <v>286.72000000000003</v>
      </c>
      <c r="O404" s="312">
        <v>96756.75</v>
      </c>
      <c r="P404" s="312">
        <v>36899.67</v>
      </c>
      <c r="Q404" s="312">
        <v>136568.51999999999</v>
      </c>
      <c r="R404" s="312">
        <v>22285.47</v>
      </c>
    </row>
    <row r="405" spans="6:18">
      <c r="F405" t="s">
        <v>2169</v>
      </c>
      <c r="G405" s="312"/>
      <c r="H405" s="312">
        <v>237.81</v>
      </c>
      <c r="I405" s="312">
        <v>43.58</v>
      </c>
      <c r="J405" s="312">
        <v>242.45</v>
      </c>
      <c r="K405" s="312">
        <v>72.31</v>
      </c>
      <c r="M405" t="s">
        <v>2169</v>
      </c>
      <c r="N405" s="312"/>
      <c r="O405" s="312">
        <v>116608.66</v>
      </c>
      <c r="P405" s="312">
        <v>22175.68</v>
      </c>
      <c r="Q405" s="312">
        <v>116975.99</v>
      </c>
      <c r="R405" s="312">
        <v>18022.96</v>
      </c>
    </row>
    <row r="406" spans="6:18">
      <c r="F406" t="s">
        <v>2170</v>
      </c>
      <c r="G406" s="312"/>
      <c r="H406" s="312">
        <v>208.79</v>
      </c>
      <c r="I406" s="312">
        <v>44.96</v>
      </c>
      <c r="J406" s="312">
        <v>283.95</v>
      </c>
      <c r="K406" s="312">
        <v>46.58</v>
      </c>
      <c r="M406" t="s">
        <v>2170</v>
      </c>
      <c r="N406" s="312"/>
      <c r="O406" s="312">
        <v>106562.95</v>
      </c>
      <c r="P406" s="312">
        <v>30794.600000000002</v>
      </c>
      <c r="Q406" s="312">
        <v>112136.73</v>
      </c>
      <c r="R406" s="312">
        <v>10425.73</v>
      </c>
    </row>
    <row r="407" spans="6:18">
      <c r="F407" t="s">
        <v>2171</v>
      </c>
      <c r="G407" s="312"/>
      <c r="H407" s="312">
        <v>244.44</v>
      </c>
      <c r="I407" s="312">
        <v>20.090000000000003</v>
      </c>
      <c r="J407" s="312">
        <v>241.01</v>
      </c>
      <c r="K407" s="312">
        <v>75.539999999999992</v>
      </c>
      <c r="M407" t="s">
        <v>2171</v>
      </c>
      <c r="N407" s="312"/>
      <c r="O407" s="312">
        <v>138306.52000000002</v>
      </c>
      <c r="P407" s="312">
        <v>11826.949999999999</v>
      </c>
      <c r="Q407" s="312">
        <v>96609.47</v>
      </c>
      <c r="R407" s="312">
        <v>21660.47</v>
      </c>
    </row>
    <row r="408" spans="6:18">
      <c r="F408" t="s">
        <v>2172</v>
      </c>
      <c r="G408" s="312">
        <v>0.75</v>
      </c>
      <c r="H408" s="312">
        <v>197.79</v>
      </c>
      <c r="I408" s="312">
        <v>43.2</v>
      </c>
      <c r="J408" s="312">
        <v>310.24</v>
      </c>
      <c r="K408" s="312">
        <v>97.72</v>
      </c>
      <c r="M408" t="s">
        <v>2172</v>
      </c>
      <c r="N408" s="312">
        <v>325.92</v>
      </c>
      <c r="O408" s="312">
        <v>106929.78</v>
      </c>
      <c r="P408" s="312">
        <v>21735.039999999997</v>
      </c>
      <c r="Q408" s="312">
        <v>134492.51</v>
      </c>
      <c r="R408" s="312">
        <v>23205.91</v>
      </c>
    </row>
    <row r="409" spans="6:18">
      <c r="F409" t="s">
        <v>2173</v>
      </c>
      <c r="G409" s="312">
        <v>1.58</v>
      </c>
      <c r="H409" s="312">
        <v>151.65</v>
      </c>
      <c r="I409" s="312">
        <v>11.719999999999999</v>
      </c>
      <c r="J409" s="312">
        <v>248.01</v>
      </c>
      <c r="K409" s="312">
        <v>30.98</v>
      </c>
      <c r="M409" t="s">
        <v>2173</v>
      </c>
      <c r="N409" s="312">
        <v>279.89999999999998</v>
      </c>
      <c r="O409" s="312">
        <v>70380.260000000009</v>
      </c>
      <c r="P409" s="312">
        <v>14753.34</v>
      </c>
      <c r="Q409" s="312">
        <v>119326.49</v>
      </c>
      <c r="R409" s="312">
        <v>7679.86</v>
      </c>
    </row>
    <row r="410" spans="6:18">
      <c r="F410" t="s">
        <v>2174</v>
      </c>
      <c r="G410" s="312"/>
      <c r="H410" s="312">
        <v>137.16</v>
      </c>
      <c r="I410" s="312">
        <v>3.16</v>
      </c>
      <c r="J410" s="312">
        <v>266.09000000000003</v>
      </c>
      <c r="K410" s="312">
        <v>62.31</v>
      </c>
      <c r="M410" t="s">
        <v>2174</v>
      </c>
      <c r="N410" s="312"/>
      <c r="O410" s="312">
        <v>77159.28</v>
      </c>
      <c r="P410" s="312">
        <v>1834.25</v>
      </c>
      <c r="Q410" s="312">
        <v>101476.06</v>
      </c>
      <c r="R410" s="312">
        <v>23864.84</v>
      </c>
    </row>
    <row r="411" spans="6:18">
      <c r="F411" t="s">
        <v>2175</v>
      </c>
      <c r="G411" s="312"/>
      <c r="H411" s="312">
        <v>259.64999999999998</v>
      </c>
      <c r="I411" s="312">
        <v>37.07</v>
      </c>
      <c r="J411" s="312">
        <v>229.73000000000002</v>
      </c>
      <c r="K411" s="312">
        <v>109.11999999999999</v>
      </c>
      <c r="M411" t="s">
        <v>2175</v>
      </c>
      <c r="N411" s="312"/>
      <c r="O411" s="312">
        <v>122119.41</v>
      </c>
      <c r="P411" s="312">
        <v>23183.22</v>
      </c>
      <c r="Q411" s="312">
        <v>116951.21</v>
      </c>
      <c r="R411" s="312">
        <v>46899.3</v>
      </c>
    </row>
    <row r="412" spans="6:18">
      <c r="F412" t="s">
        <v>2176</v>
      </c>
      <c r="G412" s="312">
        <v>0.77</v>
      </c>
      <c r="H412" s="312">
        <v>222.99</v>
      </c>
      <c r="I412" s="312">
        <v>14.55</v>
      </c>
      <c r="J412" s="312">
        <v>160.07</v>
      </c>
      <c r="K412" s="312">
        <v>114.58</v>
      </c>
      <c r="M412" t="s">
        <v>2176</v>
      </c>
      <c r="N412" s="312">
        <v>37.68</v>
      </c>
      <c r="O412" s="312">
        <v>133279.47</v>
      </c>
      <c r="P412" s="312">
        <v>11629.26</v>
      </c>
      <c r="Q412" s="312">
        <v>83929</v>
      </c>
      <c r="R412" s="312">
        <v>21999.059999999998</v>
      </c>
    </row>
    <row r="413" spans="6:18">
      <c r="F413" t="s">
        <v>2177</v>
      </c>
      <c r="G413" s="312"/>
      <c r="H413" s="312">
        <v>262.98</v>
      </c>
      <c r="I413" s="312">
        <v>42.18</v>
      </c>
      <c r="J413" s="312">
        <v>346.70000000000005</v>
      </c>
      <c r="K413" s="312">
        <v>56.86</v>
      </c>
      <c r="M413" t="s">
        <v>2177</v>
      </c>
      <c r="N413" s="312"/>
      <c r="O413" s="312">
        <v>111388.40000000001</v>
      </c>
      <c r="P413" s="312">
        <v>34130.43</v>
      </c>
      <c r="Q413" s="312">
        <v>125553.73999999999</v>
      </c>
      <c r="R413" s="312">
        <v>15728.080000000002</v>
      </c>
    </row>
    <row r="414" spans="6:18">
      <c r="F414" t="s">
        <v>2178</v>
      </c>
      <c r="G414" s="312">
        <v>0.77</v>
      </c>
      <c r="H414" s="312">
        <v>214.6</v>
      </c>
      <c r="I414" s="312">
        <v>4.9400000000000004</v>
      </c>
      <c r="J414" s="312">
        <v>403.62</v>
      </c>
      <c r="K414" s="312">
        <v>63.260000000000005</v>
      </c>
      <c r="M414" t="s">
        <v>2178</v>
      </c>
      <c r="N414" s="312">
        <v>281.62</v>
      </c>
      <c r="O414" s="312">
        <v>136434.59</v>
      </c>
      <c r="P414" s="312">
        <v>7206.4</v>
      </c>
      <c r="Q414" s="312">
        <v>187197.13</v>
      </c>
      <c r="R414" s="312">
        <v>22016.639999999999</v>
      </c>
    </row>
    <row r="415" spans="6:18">
      <c r="F415" t="s">
        <v>2179</v>
      </c>
      <c r="G415" s="312">
        <v>1.61</v>
      </c>
      <c r="H415" s="312">
        <v>217.56</v>
      </c>
      <c r="I415" s="312">
        <v>13.69</v>
      </c>
      <c r="J415" s="312">
        <v>350.91</v>
      </c>
      <c r="K415" s="312">
        <v>38.11</v>
      </c>
      <c r="M415" t="s">
        <v>2179</v>
      </c>
      <c r="N415" s="312">
        <v>104.35</v>
      </c>
      <c r="O415" s="312">
        <v>121724.85</v>
      </c>
      <c r="P415" s="312">
        <v>6640.34</v>
      </c>
      <c r="Q415" s="312">
        <v>216756.89</v>
      </c>
      <c r="R415" s="312">
        <v>21710.81</v>
      </c>
    </row>
    <row r="416" spans="6:18">
      <c r="F416" t="s">
        <v>2180</v>
      </c>
      <c r="G416" s="312">
        <v>3.41</v>
      </c>
      <c r="H416" s="312">
        <v>171.95</v>
      </c>
      <c r="I416" s="312">
        <v>17.96</v>
      </c>
      <c r="J416" s="312">
        <v>203.38</v>
      </c>
      <c r="K416" s="312">
        <v>19.880000000000003</v>
      </c>
      <c r="M416" t="s">
        <v>2180</v>
      </c>
      <c r="N416" s="312">
        <v>4782.8</v>
      </c>
      <c r="O416" s="312">
        <v>67715.100000000006</v>
      </c>
      <c r="P416" s="312">
        <v>17952.46</v>
      </c>
      <c r="Q416" s="312">
        <v>109363.45</v>
      </c>
      <c r="R416" s="312">
        <v>4522.82</v>
      </c>
    </row>
    <row r="417" spans="6:18">
      <c r="F417" t="s">
        <v>2181</v>
      </c>
      <c r="G417" s="312">
        <v>1.73</v>
      </c>
      <c r="H417" s="312">
        <v>107.59</v>
      </c>
      <c r="I417" s="312">
        <v>3.41</v>
      </c>
      <c r="J417" s="312">
        <v>191.54</v>
      </c>
      <c r="K417" s="312">
        <v>50.97</v>
      </c>
      <c r="M417" t="s">
        <v>2181</v>
      </c>
      <c r="N417" s="312">
        <v>1100.92</v>
      </c>
      <c r="O417" s="312">
        <v>54167.46</v>
      </c>
      <c r="P417" s="312">
        <v>2662.03</v>
      </c>
      <c r="Q417" s="312">
        <v>79427.150000000009</v>
      </c>
      <c r="R417" s="312">
        <v>20542.62</v>
      </c>
    </row>
    <row r="418" spans="6:18">
      <c r="F418" t="s">
        <v>2182</v>
      </c>
      <c r="G418" s="312"/>
      <c r="H418" s="312">
        <v>219.44</v>
      </c>
      <c r="I418" s="312">
        <v>1.82</v>
      </c>
      <c r="J418" s="312">
        <v>252.26</v>
      </c>
      <c r="K418" s="312">
        <v>107.34</v>
      </c>
      <c r="M418" t="s">
        <v>2182</v>
      </c>
      <c r="N418" s="312"/>
      <c r="O418" s="312">
        <v>135484.63</v>
      </c>
      <c r="P418" s="312">
        <v>605.80999999999995</v>
      </c>
      <c r="Q418" s="312">
        <v>136047.94</v>
      </c>
      <c r="R418" s="312">
        <v>39227.360000000001</v>
      </c>
    </row>
    <row r="419" spans="6:18">
      <c r="F419" t="s">
        <v>2183</v>
      </c>
      <c r="G419" s="312"/>
      <c r="H419" s="312">
        <v>317.39</v>
      </c>
      <c r="I419" s="312">
        <v>15.71</v>
      </c>
      <c r="J419" s="312">
        <v>262.07</v>
      </c>
      <c r="K419" s="312">
        <v>88.31</v>
      </c>
      <c r="M419" t="s">
        <v>2183</v>
      </c>
      <c r="N419" s="312"/>
      <c r="O419" s="312">
        <v>144131.98000000001</v>
      </c>
      <c r="P419" s="312">
        <v>10325</v>
      </c>
      <c r="Q419" s="312">
        <v>178838.08</v>
      </c>
      <c r="R419" s="312">
        <v>25995.45</v>
      </c>
    </row>
    <row r="420" spans="6:18">
      <c r="F420" t="s">
        <v>2184</v>
      </c>
      <c r="G420" s="312">
        <v>0.75</v>
      </c>
      <c r="H420" s="312">
        <v>271.2</v>
      </c>
      <c r="I420" s="312">
        <v>9.85</v>
      </c>
      <c r="J420" s="312">
        <v>190.46</v>
      </c>
      <c r="K420" s="312">
        <v>92.410000000000011</v>
      </c>
      <c r="M420" t="s">
        <v>2184</v>
      </c>
      <c r="N420" s="312">
        <v>131.13999999999999</v>
      </c>
      <c r="O420" s="312">
        <v>123766.84999999999</v>
      </c>
      <c r="P420" s="312">
        <v>9484.98</v>
      </c>
      <c r="Q420" s="312">
        <v>106467.1</v>
      </c>
      <c r="R420" s="312">
        <v>29830.519999999997</v>
      </c>
    </row>
    <row r="421" spans="6:18">
      <c r="F421" t="s">
        <v>2185</v>
      </c>
      <c r="G421" s="312"/>
      <c r="H421" s="312">
        <v>276.88</v>
      </c>
      <c r="I421" s="312">
        <v>1.33</v>
      </c>
      <c r="J421" s="312">
        <v>281.53999999999996</v>
      </c>
      <c r="K421" s="312">
        <v>81.08</v>
      </c>
      <c r="M421" t="s">
        <v>2185</v>
      </c>
      <c r="N421" s="312"/>
      <c r="O421" s="312">
        <v>148152.33000000002</v>
      </c>
      <c r="P421" s="312">
        <v>386.11</v>
      </c>
      <c r="Q421" s="312">
        <v>117132.41</v>
      </c>
      <c r="R421" s="312">
        <v>36777.33</v>
      </c>
    </row>
    <row r="422" spans="6:18">
      <c r="F422" t="s">
        <v>2186</v>
      </c>
      <c r="G422" s="312"/>
      <c r="H422" s="312">
        <v>244.98</v>
      </c>
      <c r="I422" s="312">
        <v>14.46</v>
      </c>
      <c r="J422" s="312">
        <v>218.20999999999998</v>
      </c>
      <c r="K422" s="312">
        <v>59.59</v>
      </c>
      <c r="M422" t="s">
        <v>2186</v>
      </c>
      <c r="N422" s="312"/>
      <c r="O422" s="312">
        <v>126819.61</v>
      </c>
      <c r="P422" s="312">
        <v>22092.91</v>
      </c>
      <c r="Q422" s="312">
        <v>93191.62</v>
      </c>
      <c r="R422" s="312">
        <v>17776.27</v>
      </c>
    </row>
    <row r="423" spans="6:18">
      <c r="F423" t="s">
        <v>2187</v>
      </c>
      <c r="G423" s="312">
        <v>0.78</v>
      </c>
      <c r="H423" s="312">
        <v>209.51000000000002</v>
      </c>
      <c r="I423" s="312">
        <v>27.950000000000003</v>
      </c>
      <c r="J423" s="312">
        <v>214.54</v>
      </c>
      <c r="K423" s="312">
        <v>77.849999999999994</v>
      </c>
      <c r="M423" t="s">
        <v>2187</v>
      </c>
      <c r="N423" s="312">
        <v>224.05</v>
      </c>
      <c r="O423" s="312">
        <v>117831.48</v>
      </c>
      <c r="P423" s="312">
        <v>11914.04</v>
      </c>
      <c r="Q423" s="312">
        <v>127872.56</v>
      </c>
      <c r="R423" s="312">
        <v>15426.36</v>
      </c>
    </row>
    <row r="424" spans="6:18">
      <c r="F424" t="s">
        <v>2188</v>
      </c>
      <c r="G424" s="312">
        <v>4.04</v>
      </c>
      <c r="H424" s="312">
        <v>150.78</v>
      </c>
      <c r="I424" s="312">
        <v>6.0600000000000005</v>
      </c>
      <c r="J424" s="312">
        <v>134.34</v>
      </c>
      <c r="K424" s="312">
        <v>54.93</v>
      </c>
      <c r="M424" t="s">
        <v>2188</v>
      </c>
      <c r="N424" s="312">
        <v>2062.6</v>
      </c>
      <c r="O424" s="312">
        <v>80002.13</v>
      </c>
      <c r="P424" s="312">
        <v>4814.38</v>
      </c>
      <c r="Q424" s="312">
        <v>83499.989999999991</v>
      </c>
      <c r="R424" s="312">
        <v>34491.1</v>
      </c>
    </row>
    <row r="425" spans="6:18">
      <c r="F425" t="s">
        <v>2189</v>
      </c>
      <c r="G425" s="312"/>
      <c r="H425" s="312">
        <v>268.95</v>
      </c>
      <c r="I425" s="312">
        <v>9.18</v>
      </c>
      <c r="J425" s="312">
        <v>192.70999999999998</v>
      </c>
      <c r="K425" s="312">
        <v>86.24</v>
      </c>
      <c r="M425" t="s">
        <v>2189</v>
      </c>
      <c r="N425" s="312"/>
      <c r="O425" s="312">
        <v>161388.83000000002</v>
      </c>
      <c r="P425" s="312">
        <v>12824.83</v>
      </c>
      <c r="Q425" s="312">
        <v>96744.7</v>
      </c>
      <c r="R425" s="312">
        <v>28270.22</v>
      </c>
    </row>
    <row r="426" spans="6:18">
      <c r="F426" t="s">
        <v>2190</v>
      </c>
      <c r="G426" s="312"/>
      <c r="H426" s="312">
        <v>235.12</v>
      </c>
      <c r="I426" s="312">
        <v>26.85</v>
      </c>
      <c r="J426" s="312">
        <v>208.89</v>
      </c>
      <c r="K426" s="312">
        <v>99.47</v>
      </c>
      <c r="M426" t="s">
        <v>2190</v>
      </c>
      <c r="N426" s="312"/>
      <c r="O426" s="312">
        <v>112180.28</v>
      </c>
      <c r="P426" s="312">
        <v>12998.58</v>
      </c>
      <c r="Q426" s="312">
        <v>123245.81</v>
      </c>
      <c r="R426" s="312">
        <v>32848.94</v>
      </c>
    </row>
    <row r="427" spans="6:18">
      <c r="F427" t="s">
        <v>2191</v>
      </c>
      <c r="G427" s="312"/>
      <c r="H427" s="312">
        <v>150.5</v>
      </c>
      <c r="I427" s="312"/>
      <c r="J427" s="312">
        <v>202.52</v>
      </c>
      <c r="K427" s="312">
        <v>110</v>
      </c>
      <c r="M427" t="s">
        <v>2191</v>
      </c>
      <c r="N427" s="312"/>
      <c r="O427" s="312">
        <v>68989.429999999993</v>
      </c>
      <c r="P427" s="312"/>
      <c r="Q427" s="312">
        <v>120217.61</v>
      </c>
      <c r="R427" s="312">
        <v>38256.199999999997</v>
      </c>
    </row>
    <row r="428" spans="6:18">
      <c r="F428" t="s">
        <v>2192</v>
      </c>
      <c r="G428" s="312">
        <v>0.75</v>
      </c>
      <c r="H428" s="312">
        <v>239.29999999999998</v>
      </c>
      <c r="I428" s="312">
        <v>28.08</v>
      </c>
      <c r="J428" s="312">
        <v>207.11</v>
      </c>
      <c r="K428" s="312">
        <v>114.1</v>
      </c>
      <c r="M428" t="s">
        <v>2192</v>
      </c>
      <c r="N428" s="312">
        <v>360.57</v>
      </c>
      <c r="O428" s="312">
        <v>121487.76000000001</v>
      </c>
      <c r="P428" s="312">
        <v>13779.43</v>
      </c>
      <c r="Q428" s="312">
        <v>105317.48000000001</v>
      </c>
      <c r="R428" s="312">
        <v>42900.009999999995</v>
      </c>
    </row>
    <row r="429" spans="6:18">
      <c r="F429" t="s">
        <v>2193</v>
      </c>
      <c r="G429" s="312"/>
      <c r="H429" s="312">
        <v>197.71</v>
      </c>
      <c r="I429" s="312">
        <v>21.34</v>
      </c>
      <c r="J429" s="312">
        <v>216.83999999999997</v>
      </c>
      <c r="K429" s="312">
        <v>78.94</v>
      </c>
      <c r="M429" t="s">
        <v>2193</v>
      </c>
      <c r="N429" s="312"/>
      <c r="O429" s="312">
        <v>78739.38</v>
      </c>
      <c r="P429" s="312">
        <v>18050.79</v>
      </c>
      <c r="Q429" s="312">
        <v>105684.53</v>
      </c>
      <c r="R429" s="312">
        <v>26666.989999999998</v>
      </c>
    </row>
    <row r="430" spans="6:18">
      <c r="F430" t="s">
        <v>2194</v>
      </c>
      <c r="G430" s="312"/>
      <c r="H430" s="312">
        <v>165.78</v>
      </c>
      <c r="I430" s="312">
        <v>16.350000000000001</v>
      </c>
      <c r="J430" s="312">
        <v>164.23000000000002</v>
      </c>
      <c r="K430" s="312">
        <v>20.67</v>
      </c>
      <c r="M430" t="s">
        <v>2194</v>
      </c>
      <c r="N430" s="312"/>
      <c r="O430" s="312">
        <v>103460.08</v>
      </c>
      <c r="P430" s="312">
        <v>9988.68</v>
      </c>
      <c r="Q430" s="312">
        <v>91221.89</v>
      </c>
      <c r="R430" s="312">
        <v>9621.17</v>
      </c>
    </row>
    <row r="431" spans="6:18">
      <c r="F431" t="s">
        <v>2195</v>
      </c>
      <c r="G431" s="312"/>
      <c r="H431" s="312">
        <v>182.63</v>
      </c>
      <c r="I431" s="312">
        <v>3.42</v>
      </c>
      <c r="J431" s="312">
        <v>116.9</v>
      </c>
      <c r="K431" s="312">
        <v>50.42</v>
      </c>
      <c r="M431" t="s">
        <v>2195</v>
      </c>
      <c r="N431" s="312"/>
      <c r="O431" s="312">
        <v>97523.950000000012</v>
      </c>
      <c r="P431" s="312">
        <v>1220.49</v>
      </c>
      <c r="Q431" s="312">
        <v>72341.39</v>
      </c>
      <c r="R431" s="312">
        <v>17921</v>
      </c>
    </row>
    <row r="432" spans="6:18">
      <c r="F432" t="s">
        <v>2196</v>
      </c>
      <c r="G432" s="312"/>
      <c r="H432" s="312">
        <v>262.49</v>
      </c>
      <c r="I432" s="312">
        <v>17.55</v>
      </c>
      <c r="J432" s="312">
        <v>152.76</v>
      </c>
      <c r="K432" s="312">
        <v>82.83</v>
      </c>
      <c r="M432" t="s">
        <v>2196</v>
      </c>
      <c r="N432" s="312"/>
      <c r="O432" s="312">
        <v>108401.06</v>
      </c>
      <c r="P432" s="312">
        <v>10886.7</v>
      </c>
      <c r="Q432" s="312">
        <v>68757.75</v>
      </c>
      <c r="R432" s="312">
        <v>34307.300000000003</v>
      </c>
    </row>
    <row r="433" spans="6:18">
      <c r="F433" t="s">
        <v>2197</v>
      </c>
      <c r="G433" s="312"/>
      <c r="H433" s="312">
        <v>217.97</v>
      </c>
      <c r="I433" s="312">
        <v>17.510000000000002</v>
      </c>
      <c r="J433" s="312">
        <v>319</v>
      </c>
      <c r="K433" s="312">
        <v>108.5</v>
      </c>
      <c r="M433" t="s">
        <v>2197</v>
      </c>
      <c r="N433" s="312"/>
      <c r="O433" s="312">
        <v>136238.04</v>
      </c>
      <c r="P433" s="312">
        <v>14931.48</v>
      </c>
      <c r="Q433" s="312">
        <v>206240.77</v>
      </c>
      <c r="R433" s="312">
        <v>33998.300000000003</v>
      </c>
    </row>
    <row r="434" spans="6:18">
      <c r="F434" t="s">
        <v>2198</v>
      </c>
      <c r="G434" s="312">
        <v>2.35</v>
      </c>
      <c r="H434" s="312">
        <v>227.54000000000002</v>
      </c>
      <c r="I434" s="312">
        <v>15.52</v>
      </c>
      <c r="J434" s="312">
        <v>215.37</v>
      </c>
      <c r="K434" s="312">
        <v>129.88999999999999</v>
      </c>
      <c r="M434" t="s">
        <v>2198</v>
      </c>
      <c r="N434" s="312">
        <v>700.89</v>
      </c>
      <c r="O434" s="312">
        <v>87864.14</v>
      </c>
      <c r="P434" s="312">
        <v>11420.57</v>
      </c>
      <c r="Q434" s="312">
        <v>99783.360000000015</v>
      </c>
      <c r="R434" s="312">
        <v>51839.9</v>
      </c>
    </row>
    <row r="435" spans="6:18">
      <c r="F435" t="s">
        <v>2199</v>
      </c>
      <c r="G435" s="312">
        <v>0.75</v>
      </c>
      <c r="H435" s="312">
        <v>259.97000000000003</v>
      </c>
      <c r="I435" s="312">
        <v>27.130000000000003</v>
      </c>
      <c r="J435" s="312">
        <v>261.05</v>
      </c>
      <c r="K435" s="312">
        <v>70.95</v>
      </c>
      <c r="M435" t="s">
        <v>2199</v>
      </c>
      <c r="N435" s="312">
        <v>2465.38</v>
      </c>
      <c r="O435" s="312">
        <v>114323.75</v>
      </c>
      <c r="P435" s="312">
        <v>11763.25</v>
      </c>
      <c r="Q435" s="312">
        <v>172465.5</v>
      </c>
      <c r="R435" s="312">
        <v>21050.47</v>
      </c>
    </row>
    <row r="436" spans="6:18">
      <c r="F436" t="s">
        <v>2200</v>
      </c>
      <c r="G436" s="312">
        <v>1.06</v>
      </c>
      <c r="H436" s="312">
        <v>375.09000000000003</v>
      </c>
      <c r="I436" s="312">
        <v>21.82</v>
      </c>
      <c r="J436" s="312">
        <v>209.78</v>
      </c>
      <c r="K436" s="312">
        <v>95.14</v>
      </c>
      <c r="M436" t="s">
        <v>2200</v>
      </c>
      <c r="N436" s="312">
        <v>246.2</v>
      </c>
      <c r="O436" s="312">
        <v>221851.15</v>
      </c>
      <c r="P436" s="312">
        <v>18036.96</v>
      </c>
      <c r="Q436" s="312">
        <v>99144.59</v>
      </c>
      <c r="R436" s="312">
        <v>22739.83</v>
      </c>
    </row>
    <row r="437" spans="6:18">
      <c r="F437" t="s">
        <v>2201</v>
      </c>
      <c r="G437" s="312">
        <v>1.52</v>
      </c>
      <c r="H437" s="312">
        <v>248</v>
      </c>
      <c r="I437" s="312">
        <v>9.68</v>
      </c>
      <c r="J437" s="312">
        <v>208.54</v>
      </c>
      <c r="K437" s="312">
        <v>121.23</v>
      </c>
      <c r="M437" t="s">
        <v>2201</v>
      </c>
      <c r="N437" s="312">
        <v>715.73</v>
      </c>
      <c r="O437" s="312">
        <v>152085.39000000001</v>
      </c>
      <c r="P437" s="312">
        <v>5413.5099999999993</v>
      </c>
      <c r="Q437" s="312">
        <v>148065.28</v>
      </c>
      <c r="R437" s="312">
        <v>39304.660000000003</v>
      </c>
    </row>
    <row r="438" spans="6:18">
      <c r="F438" t="s">
        <v>2202</v>
      </c>
      <c r="G438" s="312">
        <v>0.94</v>
      </c>
      <c r="H438" s="312">
        <v>219.9</v>
      </c>
      <c r="I438" s="312">
        <v>4.91</v>
      </c>
      <c r="J438" s="312">
        <v>94.34</v>
      </c>
      <c r="K438" s="312">
        <v>92.56</v>
      </c>
      <c r="M438" t="s">
        <v>2202</v>
      </c>
      <c r="N438" s="312">
        <v>329.51</v>
      </c>
      <c r="O438" s="312">
        <v>159544.81</v>
      </c>
      <c r="P438" s="312">
        <v>2701.24</v>
      </c>
      <c r="Q438" s="312">
        <v>51342.97</v>
      </c>
      <c r="R438" s="312">
        <v>44841.270000000004</v>
      </c>
    </row>
    <row r="439" spans="6:18">
      <c r="F439" t="s">
        <v>2203</v>
      </c>
      <c r="G439" s="312"/>
      <c r="H439" s="312">
        <v>247.79</v>
      </c>
      <c r="I439" s="312">
        <v>34.17</v>
      </c>
      <c r="J439" s="312">
        <v>232.54</v>
      </c>
      <c r="K439" s="312">
        <v>90.94</v>
      </c>
      <c r="M439" t="s">
        <v>2203</v>
      </c>
      <c r="N439" s="312"/>
      <c r="O439" s="312">
        <v>120646.89</v>
      </c>
      <c r="P439" s="312">
        <v>15692.16</v>
      </c>
      <c r="Q439" s="312">
        <v>111818.45000000001</v>
      </c>
      <c r="R439" s="312">
        <v>33898.5</v>
      </c>
    </row>
    <row r="440" spans="6:18">
      <c r="F440" t="s">
        <v>2204</v>
      </c>
      <c r="G440" s="312">
        <v>1.34</v>
      </c>
      <c r="H440" s="312">
        <v>280.14999999999998</v>
      </c>
      <c r="I440" s="312">
        <v>40.220000000000006</v>
      </c>
      <c r="J440" s="312">
        <v>169.70999999999998</v>
      </c>
      <c r="K440" s="312">
        <v>71.53</v>
      </c>
      <c r="M440" t="s">
        <v>2204</v>
      </c>
      <c r="N440" s="312">
        <v>637.05999999999995</v>
      </c>
      <c r="O440" s="312">
        <v>125756.4</v>
      </c>
      <c r="P440" s="312">
        <v>22840.080000000002</v>
      </c>
      <c r="Q440" s="312">
        <v>71228.800000000003</v>
      </c>
      <c r="R440" s="312">
        <v>35708.25</v>
      </c>
    </row>
    <row r="441" spans="6:18">
      <c r="F441" t="s">
        <v>2205</v>
      </c>
      <c r="G441" s="312">
        <v>4.16</v>
      </c>
      <c r="H441" s="312">
        <v>233.1</v>
      </c>
      <c r="I441" s="312">
        <v>21.89</v>
      </c>
      <c r="J441" s="312">
        <v>185.51</v>
      </c>
      <c r="K441" s="312">
        <v>99.919999999999987</v>
      </c>
      <c r="M441" t="s">
        <v>2205</v>
      </c>
      <c r="N441" s="312">
        <v>1118.1100000000001</v>
      </c>
      <c r="O441" s="312">
        <v>97834.44</v>
      </c>
      <c r="P441" s="312">
        <v>14425.78</v>
      </c>
      <c r="Q441" s="312">
        <v>80268.63</v>
      </c>
      <c r="R441" s="312">
        <v>33039.380000000005</v>
      </c>
    </row>
    <row r="442" spans="6:18">
      <c r="F442" t="s">
        <v>2206</v>
      </c>
      <c r="G442" s="312"/>
      <c r="H442" s="312">
        <v>171.3</v>
      </c>
      <c r="I442" s="312">
        <v>12.71</v>
      </c>
      <c r="J442" s="312">
        <v>278.63</v>
      </c>
      <c r="K442" s="312">
        <v>62.230000000000004</v>
      </c>
      <c r="M442" t="s">
        <v>2206</v>
      </c>
      <c r="N442" s="312"/>
      <c r="O442" s="312">
        <v>87813.709999999992</v>
      </c>
      <c r="P442" s="312">
        <v>3884.25</v>
      </c>
      <c r="Q442" s="312">
        <v>166830.27000000002</v>
      </c>
      <c r="R442" s="312">
        <v>11523.39</v>
      </c>
    </row>
    <row r="443" spans="6:18">
      <c r="F443" t="s">
        <v>2207</v>
      </c>
      <c r="G443" s="312"/>
      <c r="H443" s="312">
        <v>295.42</v>
      </c>
      <c r="I443" s="312">
        <v>40.5</v>
      </c>
      <c r="J443" s="312">
        <v>193.13</v>
      </c>
      <c r="K443" s="312">
        <v>73.17</v>
      </c>
      <c r="M443" t="s">
        <v>2207</v>
      </c>
      <c r="N443" s="312"/>
      <c r="O443" s="312">
        <v>144872.85</v>
      </c>
      <c r="P443" s="312">
        <v>24528.54</v>
      </c>
      <c r="Q443" s="312">
        <v>90812.22</v>
      </c>
      <c r="R443" s="312">
        <v>30718.53</v>
      </c>
    </row>
    <row r="444" spans="6:18">
      <c r="F444" t="s">
        <v>2208</v>
      </c>
      <c r="G444" s="312"/>
      <c r="H444" s="312">
        <v>145.39000000000001</v>
      </c>
      <c r="I444" s="312">
        <v>36.370000000000005</v>
      </c>
      <c r="J444" s="312">
        <v>163.95999999999998</v>
      </c>
      <c r="K444" s="312">
        <v>34.659999999999997</v>
      </c>
      <c r="M444" t="s">
        <v>2208</v>
      </c>
      <c r="N444" s="312"/>
      <c r="O444" s="312">
        <v>55196.63</v>
      </c>
      <c r="P444" s="312">
        <v>28080.18</v>
      </c>
      <c r="Q444" s="312">
        <v>139624.16</v>
      </c>
      <c r="R444" s="312">
        <v>6361.67</v>
      </c>
    </row>
    <row r="445" spans="6:18">
      <c r="F445" t="s">
        <v>2209</v>
      </c>
      <c r="G445" s="312">
        <v>11.97</v>
      </c>
      <c r="H445" s="312">
        <v>169.32999999999998</v>
      </c>
      <c r="I445" s="312">
        <v>11.370000000000001</v>
      </c>
      <c r="J445" s="312">
        <v>117.69</v>
      </c>
      <c r="K445" s="312">
        <v>58.85</v>
      </c>
      <c r="M445" t="s">
        <v>2209</v>
      </c>
      <c r="N445" s="312">
        <v>9354.9700000000012</v>
      </c>
      <c r="O445" s="312">
        <v>70227.75</v>
      </c>
      <c r="P445" s="312">
        <v>7314.27</v>
      </c>
      <c r="Q445" s="312">
        <v>71573.22</v>
      </c>
      <c r="R445" s="312">
        <v>13852.99</v>
      </c>
    </row>
    <row r="446" spans="6:18">
      <c r="F446" t="s">
        <v>2210</v>
      </c>
      <c r="G446" s="312">
        <v>0.77</v>
      </c>
      <c r="H446" s="312">
        <v>277.57</v>
      </c>
      <c r="I446" s="312">
        <v>24.81</v>
      </c>
      <c r="J446" s="312">
        <v>193.88</v>
      </c>
      <c r="K446" s="312">
        <v>163.13999999999999</v>
      </c>
      <c r="M446" t="s">
        <v>2210</v>
      </c>
      <c r="N446" s="312">
        <v>859.18</v>
      </c>
      <c r="O446" s="312">
        <v>152240.04999999999</v>
      </c>
      <c r="P446" s="312">
        <v>14355.6</v>
      </c>
      <c r="Q446" s="312">
        <v>88100.200000000012</v>
      </c>
      <c r="R446" s="312">
        <v>52964.340000000004</v>
      </c>
    </row>
    <row r="447" spans="6:18">
      <c r="F447" t="s">
        <v>2211</v>
      </c>
      <c r="G447" s="312">
        <v>0.94</v>
      </c>
      <c r="H447" s="312">
        <v>234.53</v>
      </c>
      <c r="I447" s="312">
        <v>10.67</v>
      </c>
      <c r="J447" s="312">
        <v>332.61</v>
      </c>
      <c r="K447" s="312">
        <v>95.81</v>
      </c>
      <c r="M447" t="s">
        <v>2211</v>
      </c>
      <c r="N447" s="312">
        <v>1677.59</v>
      </c>
      <c r="O447" s="312">
        <v>169090.29</v>
      </c>
      <c r="P447" s="312">
        <v>5680.55</v>
      </c>
      <c r="Q447" s="312">
        <v>217242.16</v>
      </c>
      <c r="R447" s="312">
        <v>34125.86</v>
      </c>
    </row>
    <row r="448" spans="6:18">
      <c r="F448" t="s">
        <v>2212</v>
      </c>
      <c r="G448" s="312"/>
      <c r="H448" s="312">
        <v>254.08</v>
      </c>
      <c r="I448" s="312">
        <v>26.67</v>
      </c>
      <c r="J448" s="312">
        <v>289.98</v>
      </c>
      <c r="K448" s="312">
        <v>98.96</v>
      </c>
      <c r="M448" t="s">
        <v>2212</v>
      </c>
      <c r="N448" s="312"/>
      <c r="O448" s="312">
        <v>236181.16999999998</v>
      </c>
      <c r="P448" s="312">
        <v>13288.289999999999</v>
      </c>
      <c r="Q448" s="312">
        <v>147827.57999999999</v>
      </c>
      <c r="R448" s="312">
        <v>26452.78</v>
      </c>
    </row>
    <row r="449" spans="6:18">
      <c r="F449" t="s">
        <v>2213</v>
      </c>
      <c r="G449" s="312"/>
      <c r="H449" s="312">
        <v>280.90999999999997</v>
      </c>
      <c r="I449" s="312">
        <v>44.93</v>
      </c>
      <c r="J449" s="312">
        <v>310.7</v>
      </c>
      <c r="K449" s="312">
        <v>134.71</v>
      </c>
      <c r="M449" t="s">
        <v>2213</v>
      </c>
      <c r="N449" s="312"/>
      <c r="O449" s="312">
        <v>104052.25</v>
      </c>
      <c r="P449" s="312">
        <v>23717.97</v>
      </c>
      <c r="Q449" s="312">
        <v>148343.47999999998</v>
      </c>
      <c r="R449" s="312">
        <v>46444.65</v>
      </c>
    </row>
    <row r="450" spans="6:18">
      <c r="F450" t="s">
        <v>2214</v>
      </c>
      <c r="G450" s="312"/>
      <c r="H450" s="312">
        <v>183.93</v>
      </c>
      <c r="I450" s="312">
        <v>31.59</v>
      </c>
      <c r="J450" s="312">
        <v>317.82</v>
      </c>
      <c r="K450" s="312">
        <v>66.06</v>
      </c>
      <c r="M450" t="s">
        <v>2214</v>
      </c>
      <c r="N450" s="312"/>
      <c r="O450" s="312">
        <v>94655.84</v>
      </c>
      <c r="P450" s="312">
        <v>20626.07</v>
      </c>
      <c r="Q450" s="312">
        <v>356007.60000000003</v>
      </c>
      <c r="R450" s="312">
        <v>20976.66</v>
      </c>
    </row>
    <row r="451" spans="6:18">
      <c r="F451" t="s">
        <v>2215</v>
      </c>
      <c r="G451" s="312"/>
      <c r="H451" s="312">
        <v>193.19</v>
      </c>
      <c r="I451" s="312">
        <v>8.3800000000000008</v>
      </c>
      <c r="J451" s="312">
        <v>230.10999999999999</v>
      </c>
      <c r="K451" s="312">
        <v>76.679999999999993</v>
      </c>
      <c r="M451" t="s">
        <v>2215</v>
      </c>
      <c r="N451" s="312"/>
      <c r="O451" s="312">
        <v>99078.069999999992</v>
      </c>
      <c r="P451" s="312">
        <v>6456.97</v>
      </c>
      <c r="Q451" s="312">
        <v>126486.5</v>
      </c>
      <c r="R451" s="312">
        <v>29544.550000000003</v>
      </c>
    </row>
    <row r="452" spans="6:18">
      <c r="F452" t="s">
        <v>2216</v>
      </c>
      <c r="G452" s="312">
        <v>6.92</v>
      </c>
      <c r="H452" s="312">
        <v>145.93</v>
      </c>
      <c r="I452" s="312">
        <v>4.3499999999999996</v>
      </c>
      <c r="J452" s="312">
        <v>163.47999999999999</v>
      </c>
      <c r="K452" s="312">
        <v>45.260000000000005</v>
      </c>
      <c r="M452" t="s">
        <v>2216</v>
      </c>
      <c r="N452" s="312">
        <v>2931.07</v>
      </c>
      <c r="O452" s="312">
        <v>59509.740000000005</v>
      </c>
      <c r="P452" s="312">
        <v>3809.63</v>
      </c>
      <c r="Q452" s="312">
        <v>70572.070000000007</v>
      </c>
      <c r="R452" s="312">
        <v>13515.27</v>
      </c>
    </row>
    <row r="453" spans="6:18">
      <c r="F453" t="s">
        <v>2217</v>
      </c>
      <c r="G453" s="312"/>
      <c r="H453" s="312">
        <v>245.68</v>
      </c>
      <c r="I453" s="312">
        <v>20.6</v>
      </c>
      <c r="J453" s="312">
        <v>299.06</v>
      </c>
      <c r="K453" s="312">
        <v>86.57</v>
      </c>
      <c r="M453" t="s">
        <v>2217</v>
      </c>
      <c r="N453" s="312"/>
      <c r="O453" s="312">
        <v>141069.15</v>
      </c>
      <c r="P453" s="312">
        <v>12028.44</v>
      </c>
      <c r="Q453" s="312">
        <v>153238.62</v>
      </c>
      <c r="R453" s="312">
        <v>45394.69</v>
      </c>
    </row>
    <row r="454" spans="6:18">
      <c r="F454" t="s">
        <v>2218</v>
      </c>
      <c r="G454" s="312">
        <v>6.7700000000000005</v>
      </c>
      <c r="H454" s="312">
        <v>284.48</v>
      </c>
      <c r="I454" s="312">
        <v>55.11</v>
      </c>
      <c r="J454" s="312">
        <v>300.26</v>
      </c>
      <c r="K454" s="312">
        <v>74.58</v>
      </c>
      <c r="M454" t="s">
        <v>2218</v>
      </c>
      <c r="N454" s="312">
        <v>3361.25</v>
      </c>
      <c r="O454" s="312">
        <v>139998.54</v>
      </c>
      <c r="P454" s="312">
        <v>63876.32</v>
      </c>
      <c r="Q454" s="312">
        <v>206358.1</v>
      </c>
      <c r="R454" s="312">
        <v>18438.18</v>
      </c>
    </row>
    <row r="455" spans="6:18">
      <c r="F455" t="s">
        <v>2219</v>
      </c>
      <c r="G455" s="312">
        <v>4.9499999999999993</v>
      </c>
      <c r="H455" s="312">
        <v>230.24</v>
      </c>
      <c r="I455" s="312">
        <v>36.690000000000005</v>
      </c>
      <c r="J455" s="312">
        <v>283.58999999999997</v>
      </c>
      <c r="K455" s="312">
        <v>113.08</v>
      </c>
      <c r="M455" t="s">
        <v>2219</v>
      </c>
      <c r="N455" s="312">
        <v>4923.01</v>
      </c>
      <c r="O455" s="312">
        <v>115520.07</v>
      </c>
      <c r="P455" s="312">
        <v>22504.100000000002</v>
      </c>
      <c r="Q455" s="312">
        <v>113752.25</v>
      </c>
      <c r="R455" s="312">
        <v>33296.11</v>
      </c>
    </row>
    <row r="456" spans="6:18">
      <c r="F456" t="s">
        <v>2220</v>
      </c>
      <c r="G456" s="312"/>
      <c r="H456" s="312">
        <v>209.94</v>
      </c>
      <c r="I456" s="312">
        <v>42.78</v>
      </c>
      <c r="J456" s="312">
        <v>210.98</v>
      </c>
      <c r="K456" s="312">
        <v>76.680000000000007</v>
      </c>
      <c r="M456" t="s">
        <v>2220</v>
      </c>
      <c r="N456" s="312"/>
      <c r="O456" s="312">
        <v>80530.95</v>
      </c>
      <c r="P456" s="312">
        <v>21311.23</v>
      </c>
      <c r="Q456" s="312">
        <v>142470.31</v>
      </c>
      <c r="R456" s="312">
        <v>19764.740000000002</v>
      </c>
    </row>
    <row r="457" spans="6:18">
      <c r="F457" t="s">
        <v>2221</v>
      </c>
      <c r="G457" s="312"/>
      <c r="H457" s="312">
        <v>241.37</v>
      </c>
      <c r="I457" s="312">
        <v>33.57</v>
      </c>
      <c r="J457" s="312">
        <v>372.22</v>
      </c>
      <c r="K457" s="312">
        <v>91.84</v>
      </c>
      <c r="M457" t="s">
        <v>2221</v>
      </c>
      <c r="N457" s="312"/>
      <c r="O457" s="312">
        <v>145574.91999999998</v>
      </c>
      <c r="P457" s="312">
        <v>20964.830000000002</v>
      </c>
      <c r="Q457" s="312">
        <v>150664.87</v>
      </c>
      <c r="R457" s="312">
        <v>31246.629999999997</v>
      </c>
    </row>
    <row r="458" spans="6:18">
      <c r="F458" t="s">
        <v>2222</v>
      </c>
      <c r="G458" s="312">
        <v>2.4300000000000002</v>
      </c>
      <c r="H458" s="312">
        <v>145.38999999999999</v>
      </c>
      <c r="I458" s="312">
        <v>35.83</v>
      </c>
      <c r="J458" s="312">
        <v>212.70999999999998</v>
      </c>
      <c r="K458" s="312">
        <v>73.510000000000005</v>
      </c>
      <c r="M458" t="s">
        <v>2222</v>
      </c>
      <c r="N458" s="312">
        <v>1968.62</v>
      </c>
      <c r="O458" s="312">
        <v>136744.85</v>
      </c>
      <c r="P458" s="312">
        <v>15312.62</v>
      </c>
      <c r="Q458" s="312">
        <v>116919.12999999999</v>
      </c>
      <c r="R458" s="312">
        <v>40758.379999999997</v>
      </c>
    </row>
    <row r="459" spans="6:18">
      <c r="F459" t="s">
        <v>2223</v>
      </c>
      <c r="G459" s="312">
        <v>4.4400000000000004</v>
      </c>
      <c r="H459" s="312">
        <v>119.64000000000001</v>
      </c>
      <c r="I459" s="312">
        <v>1.4</v>
      </c>
      <c r="J459" s="312">
        <v>260.46000000000004</v>
      </c>
      <c r="K459" s="312">
        <v>69.87</v>
      </c>
      <c r="M459" t="s">
        <v>2223</v>
      </c>
      <c r="N459" s="312">
        <v>964.89</v>
      </c>
      <c r="O459" s="312">
        <v>68051.259999999995</v>
      </c>
      <c r="P459" s="312">
        <v>674.63</v>
      </c>
      <c r="Q459" s="312">
        <v>139725.26</v>
      </c>
      <c r="R459" s="312">
        <v>29262.73</v>
      </c>
    </row>
    <row r="460" spans="6:18">
      <c r="F460" t="s">
        <v>2224</v>
      </c>
      <c r="G460" s="312"/>
      <c r="H460" s="312">
        <v>259.33</v>
      </c>
      <c r="I460" s="312">
        <v>25.19</v>
      </c>
      <c r="J460" s="312">
        <v>256.59000000000003</v>
      </c>
      <c r="K460" s="312">
        <v>97.94</v>
      </c>
      <c r="M460" t="s">
        <v>2224</v>
      </c>
      <c r="N460" s="312"/>
      <c r="O460" s="312">
        <v>134935.35</v>
      </c>
      <c r="P460" s="312">
        <v>12993.18</v>
      </c>
      <c r="Q460" s="312">
        <v>114343.02</v>
      </c>
      <c r="R460" s="312">
        <v>24320.25</v>
      </c>
    </row>
    <row r="461" spans="6:18">
      <c r="F461" t="s">
        <v>2225</v>
      </c>
      <c r="G461" s="312"/>
      <c r="H461" s="312">
        <v>257.55</v>
      </c>
      <c r="I461" s="312">
        <v>45.92</v>
      </c>
      <c r="J461" s="312">
        <v>234.56</v>
      </c>
      <c r="K461" s="312">
        <v>113.05</v>
      </c>
      <c r="M461" t="s">
        <v>2225</v>
      </c>
      <c r="N461" s="312"/>
      <c r="O461" s="312">
        <v>109028.63999999998</v>
      </c>
      <c r="P461" s="312">
        <v>30965.5</v>
      </c>
      <c r="Q461" s="312">
        <v>133629.51999999999</v>
      </c>
      <c r="R461" s="312">
        <v>30600.959999999999</v>
      </c>
    </row>
    <row r="462" spans="6:18">
      <c r="F462" t="s">
        <v>2226</v>
      </c>
      <c r="G462" s="312"/>
      <c r="H462" s="312">
        <v>230.72</v>
      </c>
      <c r="I462" s="312">
        <v>29.14</v>
      </c>
      <c r="J462" s="312">
        <v>216.76000000000002</v>
      </c>
      <c r="K462" s="312">
        <v>170.88</v>
      </c>
      <c r="M462" t="s">
        <v>2226</v>
      </c>
      <c r="N462" s="312"/>
      <c r="O462" s="312">
        <v>134115.29999999999</v>
      </c>
      <c r="P462" s="312">
        <v>12319.320000000002</v>
      </c>
      <c r="Q462" s="312">
        <v>103754.40999999999</v>
      </c>
      <c r="R462" s="312">
        <v>67392.160000000003</v>
      </c>
    </row>
    <row r="463" spans="6:18">
      <c r="F463" t="s">
        <v>2227</v>
      </c>
      <c r="G463" s="312"/>
      <c r="H463" s="312">
        <v>256.85000000000002</v>
      </c>
      <c r="I463" s="312">
        <v>19.059999999999999</v>
      </c>
      <c r="J463" s="312">
        <v>294.27</v>
      </c>
      <c r="K463" s="312">
        <v>96.65</v>
      </c>
      <c r="M463" t="s">
        <v>2227</v>
      </c>
      <c r="N463" s="312"/>
      <c r="O463" s="312">
        <v>89927.38</v>
      </c>
      <c r="P463" s="312">
        <v>16667.43</v>
      </c>
      <c r="Q463" s="312">
        <v>218150.82</v>
      </c>
      <c r="R463" s="312">
        <v>33751.97</v>
      </c>
    </row>
    <row r="464" spans="6:18">
      <c r="F464" t="s">
        <v>2228</v>
      </c>
      <c r="G464" s="312"/>
      <c r="H464" s="312">
        <v>201.89</v>
      </c>
      <c r="I464" s="312">
        <v>22.87</v>
      </c>
      <c r="J464" s="312">
        <v>186.25</v>
      </c>
      <c r="K464" s="312">
        <v>103.97</v>
      </c>
      <c r="M464" t="s">
        <v>2228</v>
      </c>
      <c r="N464" s="312"/>
      <c r="O464" s="312">
        <v>91700.82</v>
      </c>
      <c r="P464" s="312">
        <v>19043</v>
      </c>
      <c r="Q464" s="312">
        <v>69445.72</v>
      </c>
      <c r="R464" s="312">
        <v>27729.84</v>
      </c>
    </row>
    <row r="465" spans="6:18">
      <c r="F465" t="s">
        <v>2229</v>
      </c>
      <c r="G465" s="312"/>
      <c r="H465" s="312">
        <v>126.05000000000001</v>
      </c>
      <c r="I465" s="312">
        <v>23.22</v>
      </c>
      <c r="J465" s="312">
        <v>161.37</v>
      </c>
      <c r="K465" s="312">
        <v>51.25</v>
      </c>
      <c r="M465" t="s">
        <v>2229</v>
      </c>
      <c r="N465" s="312"/>
      <c r="O465" s="312">
        <v>47924.560000000005</v>
      </c>
      <c r="P465" s="312">
        <v>15819.82</v>
      </c>
      <c r="Q465" s="312">
        <v>90717.75</v>
      </c>
      <c r="R465" s="312">
        <v>25384.840000000004</v>
      </c>
    </row>
    <row r="466" spans="6:18">
      <c r="F466" t="s">
        <v>2230</v>
      </c>
      <c r="G466" s="312">
        <v>8.0399999999999991</v>
      </c>
      <c r="H466" s="312">
        <v>128.18</v>
      </c>
      <c r="I466" s="312"/>
      <c r="J466" s="312">
        <v>140.44</v>
      </c>
      <c r="K466" s="312">
        <v>73.2</v>
      </c>
      <c r="M466" t="s">
        <v>2230</v>
      </c>
      <c r="N466" s="312">
        <v>3434.79</v>
      </c>
      <c r="O466" s="312">
        <v>48742.36</v>
      </c>
      <c r="P466" s="312"/>
      <c r="Q466" s="312">
        <v>70454.559999999998</v>
      </c>
      <c r="R466" s="312">
        <v>25135.29</v>
      </c>
    </row>
    <row r="467" spans="6:18">
      <c r="F467" t="s">
        <v>2231</v>
      </c>
      <c r="G467" s="312"/>
      <c r="H467" s="312">
        <v>175.20999999999998</v>
      </c>
      <c r="I467" s="312">
        <v>27.8</v>
      </c>
      <c r="J467" s="312">
        <v>241.69</v>
      </c>
      <c r="K467" s="312">
        <v>73.86</v>
      </c>
      <c r="M467" t="s">
        <v>2231</v>
      </c>
      <c r="N467" s="312"/>
      <c r="O467" s="312">
        <v>73911.12</v>
      </c>
      <c r="P467" s="312">
        <v>21755.43</v>
      </c>
      <c r="Q467" s="312">
        <v>101112.91</v>
      </c>
      <c r="R467" s="312">
        <v>20995.83</v>
      </c>
    </row>
    <row r="468" spans="6:18">
      <c r="F468" t="s">
        <v>2232</v>
      </c>
      <c r="G468" s="312">
        <v>0.93</v>
      </c>
      <c r="H468" s="312">
        <v>218.51999999999998</v>
      </c>
      <c r="I468" s="312">
        <v>40.269999999999996</v>
      </c>
      <c r="J468" s="312">
        <v>237.91</v>
      </c>
      <c r="K468" s="312">
        <v>91.88</v>
      </c>
      <c r="M468" t="s">
        <v>2232</v>
      </c>
      <c r="N468" s="312">
        <v>413.42</v>
      </c>
      <c r="O468" s="312">
        <v>163714.96</v>
      </c>
      <c r="P468" s="312">
        <v>19546.269999999997</v>
      </c>
      <c r="Q468" s="312">
        <v>122304.67000000001</v>
      </c>
      <c r="R468" s="312">
        <v>35567.21</v>
      </c>
    </row>
    <row r="469" spans="6:18">
      <c r="F469" t="s">
        <v>2233</v>
      </c>
      <c r="G469" s="312"/>
      <c r="H469" s="312">
        <v>221.56</v>
      </c>
      <c r="I469" s="312">
        <v>25.56</v>
      </c>
      <c r="J469" s="312">
        <v>245.8</v>
      </c>
      <c r="K469" s="312">
        <v>93.97</v>
      </c>
      <c r="M469" t="s">
        <v>2233</v>
      </c>
      <c r="N469" s="312"/>
      <c r="O469" s="312">
        <v>131582.34</v>
      </c>
      <c r="P469" s="312">
        <v>9037.5499999999993</v>
      </c>
      <c r="Q469" s="312">
        <v>160499.72000000003</v>
      </c>
      <c r="R469" s="312">
        <v>28317.8</v>
      </c>
    </row>
    <row r="470" spans="6:18">
      <c r="F470" t="s">
        <v>2234</v>
      </c>
      <c r="G470" s="312">
        <v>7.71</v>
      </c>
      <c r="H470" s="312">
        <v>198.57</v>
      </c>
      <c r="I470" s="312">
        <v>54.85</v>
      </c>
      <c r="J470" s="312">
        <v>196.57000000000002</v>
      </c>
      <c r="K470" s="312">
        <v>88.37</v>
      </c>
      <c r="M470" t="s">
        <v>2234</v>
      </c>
      <c r="N470" s="312">
        <v>3078.51</v>
      </c>
      <c r="O470" s="312">
        <v>88160.94</v>
      </c>
      <c r="P470" s="312">
        <v>37707.78</v>
      </c>
      <c r="Q470" s="312">
        <v>85376.010000000009</v>
      </c>
      <c r="R470" s="312">
        <v>39213.040000000001</v>
      </c>
    </row>
    <row r="471" spans="6:18">
      <c r="F471" t="s">
        <v>2235</v>
      </c>
      <c r="G471" s="312"/>
      <c r="H471" s="312">
        <v>208.43</v>
      </c>
      <c r="I471" s="312">
        <v>6.42</v>
      </c>
      <c r="J471" s="312">
        <v>235.85</v>
      </c>
      <c r="K471" s="312">
        <v>100.42</v>
      </c>
      <c r="M471" t="s">
        <v>2235</v>
      </c>
      <c r="N471" s="312"/>
      <c r="O471" s="312">
        <v>98810.52</v>
      </c>
      <c r="P471" s="312">
        <v>3784.13</v>
      </c>
      <c r="Q471" s="312">
        <v>115807.89</v>
      </c>
      <c r="R471" s="312">
        <v>25703.15</v>
      </c>
    </row>
    <row r="472" spans="6:18">
      <c r="F472" t="s">
        <v>2236</v>
      </c>
      <c r="G472" s="312">
        <v>0.74</v>
      </c>
      <c r="H472" s="312">
        <v>133.65</v>
      </c>
      <c r="I472" s="312">
        <v>14.709999999999999</v>
      </c>
      <c r="J472" s="312">
        <v>142.16</v>
      </c>
      <c r="K472" s="312">
        <v>56.32</v>
      </c>
      <c r="M472" t="s">
        <v>2236</v>
      </c>
      <c r="N472" s="312">
        <v>193.28</v>
      </c>
      <c r="O472" s="312">
        <v>67477.459999999992</v>
      </c>
      <c r="P472" s="312">
        <v>7077.93</v>
      </c>
      <c r="Q472" s="312">
        <v>68808.239999999991</v>
      </c>
      <c r="R472" s="312">
        <v>25320.27</v>
      </c>
    </row>
    <row r="473" spans="6:18">
      <c r="F473" t="s">
        <v>2237</v>
      </c>
      <c r="G473" s="312"/>
      <c r="H473" s="312">
        <v>114.00999999999999</v>
      </c>
      <c r="I473" s="312">
        <v>2.9</v>
      </c>
      <c r="J473" s="312">
        <v>170.67000000000002</v>
      </c>
      <c r="K473" s="312">
        <v>35.92</v>
      </c>
      <c r="M473" t="s">
        <v>2237</v>
      </c>
      <c r="N473" s="312"/>
      <c r="O473" s="312">
        <v>46584.979999999996</v>
      </c>
      <c r="P473" s="312">
        <v>1165.3900000000001</v>
      </c>
      <c r="Q473" s="312">
        <v>108186.31000000001</v>
      </c>
      <c r="R473" s="312">
        <v>12818.96</v>
      </c>
    </row>
    <row r="474" spans="6:18">
      <c r="F474" t="s">
        <v>2238</v>
      </c>
      <c r="G474" s="312"/>
      <c r="H474" s="312">
        <v>221.36</v>
      </c>
      <c r="I474" s="312">
        <v>14.83</v>
      </c>
      <c r="J474" s="312">
        <v>225.87</v>
      </c>
      <c r="K474" s="312">
        <v>103.08</v>
      </c>
      <c r="M474" t="s">
        <v>2238</v>
      </c>
      <c r="N474" s="312"/>
      <c r="O474" s="312">
        <v>93755.12</v>
      </c>
      <c r="P474" s="312">
        <v>8932.0400000000009</v>
      </c>
      <c r="Q474" s="312">
        <v>141194.66</v>
      </c>
      <c r="R474" s="312">
        <v>39954.33</v>
      </c>
    </row>
    <row r="475" spans="6:18">
      <c r="F475" t="s">
        <v>2239</v>
      </c>
      <c r="G475" s="312">
        <v>0.93</v>
      </c>
      <c r="H475" s="312">
        <v>180.54000000000002</v>
      </c>
      <c r="I475" s="312">
        <v>10.969999999999999</v>
      </c>
      <c r="J475" s="312">
        <v>205.37</v>
      </c>
      <c r="K475" s="312">
        <v>140.87</v>
      </c>
      <c r="M475" t="s">
        <v>2239</v>
      </c>
      <c r="N475" s="312">
        <v>482.78</v>
      </c>
      <c r="O475" s="312">
        <v>78222.540000000008</v>
      </c>
      <c r="P475" s="312">
        <v>16726.719999999998</v>
      </c>
      <c r="Q475" s="312">
        <v>100563.34</v>
      </c>
      <c r="R475" s="312">
        <v>35893.42</v>
      </c>
    </row>
    <row r="476" spans="6:18">
      <c r="F476" t="s">
        <v>2240</v>
      </c>
      <c r="G476" s="312">
        <v>3.41</v>
      </c>
      <c r="H476" s="312">
        <v>276.36</v>
      </c>
      <c r="I476" s="312">
        <v>22.490000000000002</v>
      </c>
      <c r="J476" s="312">
        <v>254.06</v>
      </c>
      <c r="K476" s="312">
        <v>123.83</v>
      </c>
      <c r="M476" t="s">
        <v>2240</v>
      </c>
      <c r="N476" s="312">
        <v>1014.24</v>
      </c>
      <c r="O476" s="312">
        <v>145730.66999999998</v>
      </c>
      <c r="P476" s="312">
        <v>13629.94</v>
      </c>
      <c r="Q476" s="312">
        <v>135990.72999999998</v>
      </c>
      <c r="R476" s="312">
        <v>55277.64</v>
      </c>
    </row>
    <row r="477" spans="6:18">
      <c r="F477" t="s">
        <v>2241</v>
      </c>
      <c r="G477" s="312">
        <v>4.1500000000000004</v>
      </c>
      <c r="H477" s="312">
        <v>318.7</v>
      </c>
      <c r="I477" s="312">
        <v>5.7700000000000005</v>
      </c>
      <c r="J477" s="312">
        <v>232.15</v>
      </c>
      <c r="K477" s="312">
        <v>158.92000000000002</v>
      </c>
      <c r="M477" t="s">
        <v>2241</v>
      </c>
      <c r="N477" s="312">
        <v>1509.36</v>
      </c>
      <c r="O477" s="312">
        <v>147406.27000000002</v>
      </c>
      <c r="P477" s="312">
        <v>3271.75</v>
      </c>
      <c r="Q477" s="312">
        <v>128830.33</v>
      </c>
      <c r="R477" s="312">
        <v>55601.63</v>
      </c>
    </row>
    <row r="478" spans="6:18">
      <c r="F478" t="s">
        <v>2242</v>
      </c>
      <c r="G478" s="312">
        <v>11.05</v>
      </c>
      <c r="H478" s="312">
        <v>273.37</v>
      </c>
      <c r="I478" s="312">
        <v>3.45</v>
      </c>
      <c r="J478" s="312">
        <v>213.75</v>
      </c>
      <c r="K478" s="312">
        <v>69.930000000000007</v>
      </c>
      <c r="M478" t="s">
        <v>2242</v>
      </c>
      <c r="N478" s="312">
        <v>2993.58</v>
      </c>
      <c r="O478" s="312">
        <v>168857.86</v>
      </c>
      <c r="P478" s="312">
        <v>268.61</v>
      </c>
      <c r="Q478" s="312">
        <v>106520.35</v>
      </c>
      <c r="R478" s="312">
        <v>19985.440000000002</v>
      </c>
    </row>
    <row r="479" spans="6:18">
      <c r="F479" t="s">
        <v>2243</v>
      </c>
      <c r="G479" s="312">
        <v>6.14</v>
      </c>
      <c r="H479" s="312">
        <v>160.48000000000002</v>
      </c>
      <c r="I479" s="312">
        <v>16.119999999999997</v>
      </c>
      <c r="J479" s="312">
        <v>169.97</v>
      </c>
      <c r="K479" s="312">
        <v>78.77</v>
      </c>
      <c r="M479" t="s">
        <v>2243</v>
      </c>
      <c r="N479" s="312">
        <v>1906.14</v>
      </c>
      <c r="O479" s="312">
        <v>175136.21</v>
      </c>
      <c r="P479" s="312">
        <v>8309.11</v>
      </c>
      <c r="Q479" s="312">
        <v>114195.73</v>
      </c>
      <c r="R479" s="312">
        <v>24284.54</v>
      </c>
    </row>
    <row r="480" spans="6:18">
      <c r="F480" t="s">
        <v>2244</v>
      </c>
      <c r="G480" s="312">
        <v>4.47</v>
      </c>
      <c r="H480" s="312">
        <v>132.59</v>
      </c>
      <c r="I480" s="312">
        <v>3.37</v>
      </c>
      <c r="J480" s="312">
        <v>107.24000000000001</v>
      </c>
      <c r="K480" s="312">
        <v>71.36</v>
      </c>
      <c r="M480" t="s">
        <v>2244</v>
      </c>
      <c r="N480" s="312">
        <v>1955.46</v>
      </c>
      <c r="O480" s="312">
        <v>63186.149999999994</v>
      </c>
      <c r="P480" s="312">
        <v>1140.01</v>
      </c>
      <c r="Q480" s="312">
        <v>55388.82</v>
      </c>
      <c r="R480" s="312">
        <v>17361.419999999998</v>
      </c>
    </row>
    <row r="481" spans="6:18">
      <c r="F481" t="s">
        <v>2245</v>
      </c>
      <c r="G481" s="312">
        <v>4.8099999999999996</v>
      </c>
      <c r="H481" s="312">
        <v>179.71</v>
      </c>
      <c r="I481" s="312">
        <v>9.2799999999999994</v>
      </c>
      <c r="J481" s="312">
        <v>253.51000000000002</v>
      </c>
      <c r="K481" s="312">
        <v>130.55000000000001</v>
      </c>
      <c r="M481" t="s">
        <v>2245</v>
      </c>
      <c r="N481" s="312">
        <v>1904.46</v>
      </c>
      <c r="O481" s="312">
        <v>79395.7</v>
      </c>
      <c r="P481" s="312">
        <v>14545.48</v>
      </c>
      <c r="Q481" s="312">
        <v>139831.54</v>
      </c>
      <c r="R481" s="312">
        <v>32122.219999999998</v>
      </c>
    </row>
    <row r="482" spans="6:18">
      <c r="F482" t="s">
        <v>2246</v>
      </c>
      <c r="G482" s="312">
        <v>3.42</v>
      </c>
      <c r="H482" s="312">
        <v>184.18</v>
      </c>
      <c r="I482" s="312">
        <v>29.049999999999997</v>
      </c>
      <c r="J482" s="312">
        <v>257.52999999999997</v>
      </c>
      <c r="K482" s="312">
        <v>72.66</v>
      </c>
      <c r="M482" t="s">
        <v>2246</v>
      </c>
      <c r="N482" s="312">
        <v>1630.98</v>
      </c>
      <c r="O482" s="312">
        <v>119291.27</v>
      </c>
      <c r="P482" s="312">
        <v>16521.02</v>
      </c>
      <c r="Q482" s="312">
        <v>182498.03</v>
      </c>
      <c r="R482" s="312">
        <v>18112.25</v>
      </c>
    </row>
    <row r="483" spans="6:18">
      <c r="F483" t="s">
        <v>2247</v>
      </c>
      <c r="G483" s="312">
        <v>1.5</v>
      </c>
      <c r="H483" s="312">
        <v>154.63</v>
      </c>
      <c r="I483" s="312">
        <v>34.58</v>
      </c>
      <c r="J483" s="312">
        <v>240.17000000000002</v>
      </c>
      <c r="K483" s="312">
        <v>83.25</v>
      </c>
      <c r="M483" t="s">
        <v>2247</v>
      </c>
      <c r="N483" s="312">
        <v>467.53</v>
      </c>
      <c r="O483" s="312">
        <v>79918.929999999993</v>
      </c>
      <c r="P483" s="312">
        <v>13803.5</v>
      </c>
      <c r="Q483" s="312">
        <v>118068.81999999999</v>
      </c>
      <c r="R483" s="312">
        <v>26168.370000000003</v>
      </c>
    </row>
    <row r="484" spans="6:18">
      <c r="F484" t="s">
        <v>2248</v>
      </c>
      <c r="G484" s="312"/>
      <c r="H484" s="312">
        <v>107.4</v>
      </c>
      <c r="I484" s="312">
        <v>14.069999999999999</v>
      </c>
      <c r="J484" s="312">
        <v>291.77999999999997</v>
      </c>
      <c r="K484" s="312">
        <v>67.66</v>
      </c>
      <c r="M484" t="s">
        <v>2248</v>
      </c>
      <c r="N484" s="312"/>
      <c r="O484" s="312">
        <v>35501.61</v>
      </c>
      <c r="P484" s="312">
        <v>9108.84</v>
      </c>
      <c r="Q484" s="312">
        <v>128000.39</v>
      </c>
      <c r="R484" s="312">
        <v>27073.61</v>
      </c>
    </row>
    <row r="485" spans="6:18">
      <c r="F485" t="s">
        <v>2249</v>
      </c>
      <c r="G485" s="312">
        <v>3.42</v>
      </c>
      <c r="H485" s="312">
        <v>173.47</v>
      </c>
      <c r="I485" s="312">
        <v>5.76</v>
      </c>
      <c r="J485" s="312">
        <v>203.32</v>
      </c>
      <c r="K485" s="312">
        <v>67.8</v>
      </c>
      <c r="M485" t="s">
        <v>2249</v>
      </c>
      <c r="N485" s="312">
        <v>1874.72</v>
      </c>
      <c r="O485" s="312">
        <v>131774.75</v>
      </c>
      <c r="P485" s="312">
        <v>5161.1899999999996</v>
      </c>
      <c r="Q485" s="312">
        <v>113495.03999999999</v>
      </c>
      <c r="R485" s="312">
        <v>25555.29</v>
      </c>
    </row>
    <row r="486" spans="6:18">
      <c r="F486" t="s">
        <v>2250</v>
      </c>
      <c r="G486" s="312"/>
      <c r="H486" s="312">
        <v>71.289999999999992</v>
      </c>
      <c r="I486" s="312">
        <v>8.42</v>
      </c>
      <c r="J486" s="312">
        <v>121.66</v>
      </c>
      <c r="K486" s="312">
        <v>43.6</v>
      </c>
      <c r="M486" t="s">
        <v>2250</v>
      </c>
      <c r="N486" s="312"/>
      <c r="O486" s="312">
        <v>31443.3</v>
      </c>
      <c r="P486" s="312">
        <v>4917.53</v>
      </c>
      <c r="Q486" s="312">
        <v>45445.48</v>
      </c>
      <c r="R486" s="312">
        <v>12098.3</v>
      </c>
    </row>
    <row r="487" spans="6:18">
      <c r="F487" t="s">
        <v>2251</v>
      </c>
      <c r="G487" s="312">
        <v>1.78</v>
      </c>
      <c r="H487" s="312">
        <v>146.57</v>
      </c>
      <c r="I487" s="312">
        <v>4.16</v>
      </c>
      <c r="J487" s="312">
        <v>127.14</v>
      </c>
      <c r="K487" s="312">
        <v>35.94</v>
      </c>
      <c r="M487" t="s">
        <v>2251</v>
      </c>
      <c r="N487" s="312">
        <v>1767.65</v>
      </c>
      <c r="O487" s="312">
        <v>62167.820000000007</v>
      </c>
      <c r="P487" s="312">
        <v>1433.58</v>
      </c>
      <c r="Q487" s="312">
        <v>79480.94</v>
      </c>
      <c r="R487" s="312">
        <v>13793.99</v>
      </c>
    </row>
    <row r="488" spans="6:18">
      <c r="F488" t="s">
        <v>2252</v>
      </c>
      <c r="G488" s="312"/>
      <c r="H488" s="312">
        <v>266.57</v>
      </c>
      <c r="I488" s="312">
        <v>22.89</v>
      </c>
      <c r="J488" s="312">
        <v>200.32999999999998</v>
      </c>
      <c r="K488" s="312">
        <v>104.97999999999999</v>
      </c>
      <c r="M488" t="s">
        <v>2252</v>
      </c>
      <c r="N488" s="312"/>
      <c r="O488" s="312">
        <v>116941.29999999999</v>
      </c>
      <c r="P488" s="312">
        <v>13517.99</v>
      </c>
      <c r="Q488" s="312">
        <v>103634.62</v>
      </c>
      <c r="R488" s="312">
        <v>30589.439999999999</v>
      </c>
    </row>
    <row r="489" spans="6:18">
      <c r="F489" t="s">
        <v>2253</v>
      </c>
      <c r="G489" s="312">
        <v>6.7799999999999994</v>
      </c>
      <c r="H489" s="312">
        <v>302.69</v>
      </c>
      <c r="I489" s="312">
        <v>15.41</v>
      </c>
      <c r="J489" s="312">
        <v>297.34999999999997</v>
      </c>
      <c r="K489" s="312">
        <v>115.63</v>
      </c>
      <c r="M489" t="s">
        <v>2253</v>
      </c>
      <c r="N489" s="312">
        <v>1477.52</v>
      </c>
      <c r="O489" s="312">
        <v>166675.87</v>
      </c>
      <c r="P489" s="312">
        <v>11069.779999999999</v>
      </c>
      <c r="Q489" s="312">
        <v>233814.06</v>
      </c>
      <c r="R489" s="312">
        <v>55199.130000000005</v>
      </c>
    </row>
    <row r="490" spans="6:18">
      <c r="F490" t="s">
        <v>2254</v>
      </c>
      <c r="G490" s="312">
        <v>3.42</v>
      </c>
      <c r="H490" s="312">
        <v>158.76</v>
      </c>
      <c r="I490" s="312">
        <v>2.0499999999999998</v>
      </c>
      <c r="J490" s="312">
        <v>235.11</v>
      </c>
      <c r="K490" s="312">
        <v>122.24000000000001</v>
      </c>
      <c r="M490" t="s">
        <v>2254</v>
      </c>
      <c r="N490" s="312">
        <v>2300.1799999999998</v>
      </c>
      <c r="O490" s="312">
        <v>126330.58</v>
      </c>
      <c r="P490" s="312">
        <v>476.61</v>
      </c>
      <c r="Q490" s="312">
        <v>160617.97</v>
      </c>
      <c r="R490" s="312">
        <v>39431.81</v>
      </c>
    </row>
    <row r="491" spans="6:18">
      <c r="F491" t="s">
        <v>2255</v>
      </c>
      <c r="G491" s="312">
        <v>6.7799999999999994</v>
      </c>
      <c r="H491" s="312">
        <v>153.82999999999998</v>
      </c>
      <c r="I491" s="312">
        <v>26.4</v>
      </c>
      <c r="J491" s="312">
        <v>460.06</v>
      </c>
      <c r="K491" s="312">
        <v>71.75</v>
      </c>
      <c r="M491" t="s">
        <v>2255</v>
      </c>
      <c r="N491" s="312">
        <v>2746.93</v>
      </c>
      <c r="O491" s="312">
        <v>61821.39</v>
      </c>
      <c r="P491" s="312">
        <v>17326.579999999998</v>
      </c>
      <c r="Q491" s="312">
        <v>336478.86</v>
      </c>
      <c r="R491" s="312">
        <v>27046.21</v>
      </c>
    </row>
    <row r="492" spans="6:18">
      <c r="F492" t="s">
        <v>2256</v>
      </c>
      <c r="G492" s="312">
        <v>4.16</v>
      </c>
      <c r="H492" s="312">
        <v>251.98</v>
      </c>
      <c r="I492" s="312">
        <v>14.42</v>
      </c>
      <c r="J492" s="312">
        <v>381.98</v>
      </c>
      <c r="K492" s="312">
        <v>94.699999999999989</v>
      </c>
      <c r="M492" t="s">
        <v>2256</v>
      </c>
      <c r="N492" s="312">
        <v>3779.84</v>
      </c>
      <c r="O492" s="312">
        <v>150833.15</v>
      </c>
      <c r="P492" s="312">
        <v>7479.4</v>
      </c>
      <c r="Q492" s="312">
        <v>246581.58000000002</v>
      </c>
      <c r="R492" s="312">
        <v>31212.880000000001</v>
      </c>
    </row>
    <row r="493" spans="6:18">
      <c r="F493" t="s">
        <v>2257</v>
      </c>
      <c r="G493" s="312"/>
      <c r="H493" s="312">
        <v>159.39999999999998</v>
      </c>
      <c r="I493" s="312">
        <v>35.800000000000004</v>
      </c>
      <c r="J493" s="312">
        <v>208.15</v>
      </c>
      <c r="K493" s="312">
        <v>32.409999999999997</v>
      </c>
      <c r="M493" t="s">
        <v>2257</v>
      </c>
      <c r="N493" s="312"/>
      <c r="O493" s="312">
        <v>111140.83</v>
      </c>
      <c r="P493" s="312">
        <v>24314.89</v>
      </c>
      <c r="Q493" s="312">
        <v>193106.25</v>
      </c>
      <c r="R493" s="312">
        <v>6825.1100000000006</v>
      </c>
    </row>
    <row r="494" spans="6:18">
      <c r="F494" t="s">
        <v>2258</v>
      </c>
      <c r="G494" s="312">
        <v>2.6</v>
      </c>
      <c r="H494" s="312">
        <v>174.81</v>
      </c>
      <c r="I494" s="312">
        <v>6.52</v>
      </c>
      <c r="J494" s="312">
        <v>236.61</v>
      </c>
      <c r="K494" s="312">
        <v>31.64</v>
      </c>
      <c r="M494" t="s">
        <v>2258</v>
      </c>
      <c r="N494" s="312">
        <v>2274.8200000000002</v>
      </c>
      <c r="O494" s="312">
        <v>124846.26999999999</v>
      </c>
      <c r="P494" s="312">
        <v>2422.9</v>
      </c>
      <c r="Q494" s="312">
        <v>157596.89000000001</v>
      </c>
      <c r="R494" s="312">
        <v>10412.41</v>
      </c>
    </row>
    <row r="495" spans="6:18">
      <c r="F495" t="s">
        <v>2259</v>
      </c>
      <c r="G495" s="312"/>
      <c r="H495" s="312">
        <v>278.72000000000003</v>
      </c>
      <c r="I495" s="312">
        <v>32.369999999999997</v>
      </c>
      <c r="J495" s="312">
        <v>332.86</v>
      </c>
      <c r="K495" s="312">
        <v>320.03999999999996</v>
      </c>
      <c r="M495" t="s">
        <v>2259</v>
      </c>
      <c r="N495" s="312"/>
      <c r="O495" s="312">
        <v>155061.41999999998</v>
      </c>
      <c r="P495" s="312">
        <v>20257.91</v>
      </c>
      <c r="Q495" s="312">
        <v>198027.41</v>
      </c>
      <c r="R495" s="312">
        <v>92769.760000000009</v>
      </c>
    </row>
    <row r="496" spans="6:18">
      <c r="F496" t="s">
        <v>2260</v>
      </c>
      <c r="G496" s="312">
        <v>3.33</v>
      </c>
      <c r="H496" s="312">
        <v>449.86</v>
      </c>
      <c r="I496" s="312">
        <v>26.44</v>
      </c>
      <c r="J496" s="312">
        <v>442.08</v>
      </c>
      <c r="K496" s="312">
        <v>210.38</v>
      </c>
      <c r="M496" t="s">
        <v>2260</v>
      </c>
      <c r="N496" s="312">
        <v>1743.62</v>
      </c>
      <c r="O496" s="312">
        <v>221422.06</v>
      </c>
      <c r="P496" s="312">
        <v>21942.15</v>
      </c>
      <c r="Q496" s="312">
        <v>261179.99</v>
      </c>
      <c r="R496" s="312">
        <v>62021.789999999994</v>
      </c>
    </row>
    <row r="497" spans="6:18">
      <c r="F497" t="s">
        <v>2261</v>
      </c>
      <c r="G497" s="312">
        <v>11.24</v>
      </c>
      <c r="H497" s="312">
        <v>448.16999999999996</v>
      </c>
      <c r="I497" s="312">
        <v>41.09</v>
      </c>
      <c r="J497" s="312">
        <v>402.02</v>
      </c>
      <c r="K497" s="312">
        <v>182.93</v>
      </c>
      <c r="M497" t="s">
        <v>2261</v>
      </c>
      <c r="N497" s="312">
        <v>4684.95</v>
      </c>
      <c r="O497" s="312">
        <v>243715.08</v>
      </c>
      <c r="P497" s="312">
        <v>29169.03</v>
      </c>
      <c r="Q497" s="312">
        <v>152514.47</v>
      </c>
      <c r="R497" s="312">
        <v>61220.82</v>
      </c>
    </row>
    <row r="498" spans="6:18">
      <c r="F498" t="s">
        <v>2262</v>
      </c>
      <c r="G498" s="312">
        <v>7.48</v>
      </c>
      <c r="H498" s="312">
        <v>353.49</v>
      </c>
      <c r="I498" s="312">
        <v>11.690000000000001</v>
      </c>
      <c r="J498" s="312">
        <v>312.32</v>
      </c>
      <c r="K498" s="312">
        <v>139.61000000000001</v>
      </c>
      <c r="M498" t="s">
        <v>2262</v>
      </c>
      <c r="N498" s="312">
        <v>2697.04</v>
      </c>
      <c r="O498" s="312">
        <v>185319.32</v>
      </c>
      <c r="P498" s="312">
        <v>6812.91</v>
      </c>
      <c r="Q498" s="312">
        <v>209590.81</v>
      </c>
      <c r="R498" s="312">
        <v>43760.13</v>
      </c>
    </row>
    <row r="499" spans="6:18">
      <c r="F499" t="s">
        <v>2263</v>
      </c>
      <c r="G499" s="312">
        <v>0.74</v>
      </c>
      <c r="H499" s="312">
        <v>254</v>
      </c>
      <c r="I499" s="312">
        <v>9.33</v>
      </c>
      <c r="J499" s="312">
        <v>232.29999999999998</v>
      </c>
      <c r="K499" s="312">
        <v>147.01999999999998</v>
      </c>
      <c r="M499" t="s">
        <v>2263</v>
      </c>
      <c r="N499" s="312">
        <v>69.599999999999994</v>
      </c>
      <c r="O499" s="312">
        <v>116174.78</v>
      </c>
      <c r="P499" s="312">
        <v>17556.47</v>
      </c>
      <c r="Q499" s="312">
        <v>129401.39000000001</v>
      </c>
      <c r="R499" s="312">
        <v>43313.26</v>
      </c>
    </row>
    <row r="500" spans="6:18">
      <c r="F500" t="s">
        <v>2264</v>
      </c>
      <c r="G500" s="312">
        <v>2.59</v>
      </c>
      <c r="H500" s="312">
        <v>195.83</v>
      </c>
      <c r="I500" s="312">
        <v>16.920000000000002</v>
      </c>
      <c r="J500" s="312">
        <v>276.94</v>
      </c>
      <c r="K500" s="312">
        <v>84.11</v>
      </c>
      <c r="M500" t="s">
        <v>2264</v>
      </c>
      <c r="N500" s="312">
        <v>561.95000000000005</v>
      </c>
      <c r="O500" s="312">
        <v>112473.06</v>
      </c>
      <c r="P500" s="312">
        <v>6000.7</v>
      </c>
      <c r="Q500" s="312">
        <v>275002.16000000003</v>
      </c>
      <c r="R500" s="312">
        <v>30894.379999999997</v>
      </c>
    </row>
    <row r="501" spans="6:18">
      <c r="F501" t="s">
        <v>2265</v>
      </c>
      <c r="G501" s="312">
        <v>0.65</v>
      </c>
      <c r="H501" s="312">
        <v>198.82999999999998</v>
      </c>
      <c r="I501" s="312">
        <v>4.18</v>
      </c>
      <c r="J501" s="312">
        <v>251.16</v>
      </c>
      <c r="K501" s="312">
        <v>104.32</v>
      </c>
      <c r="M501" t="s">
        <v>2265</v>
      </c>
      <c r="N501" s="312">
        <v>744.23</v>
      </c>
      <c r="O501" s="312">
        <v>91991.96</v>
      </c>
      <c r="P501" s="312">
        <v>1516.08</v>
      </c>
      <c r="Q501" s="312">
        <v>210375.5</v>
      </c>
      <c r="R501" s="312">
        <v>43214.3</v>
      </c>
    </row>
    <row r="502" spans="6:18">
      <c r="F502" t="s">
        <v>2266</v>
      </c>
      <c r="G502" s="312"/>
      <c r="H502" s="312">
        <v>218.98000000000002</v>
      </c>
      <c r="I502" s="312">
        <v>32.78</v>
      </c>
      <c r="J502" s="312">
        <v>296.31</v>
      </c>
      <c r="K502" s="312">
        <v>138.54</v>
      </c>
      <c r="M502" t="s">
        <v>2266</v>
      </c>
      <c r="N502" s="312"/>
      <c r="O502" s="312">
        <v>118385.21</v>
      </c>
      <c r="P502" s="312">
        <v>20111.239999999998</v>
      </c>
      <c r="Q502" s="312">
        <v>151326.49</v>
      </c>
      <c r="R502" s="312">
        <v>36015.360000000001</v>
      </c>
    </row>
    <row r="503" spans="6:18">
      <c r="F503" t="s">
        <v>2267</v>
      </c>
      <c r="G503" s="312">
        <v>7.48</v>
      </c>
      <c r="H503" s="312">
        <v>285.96999999999997</v>
      </c>
      <c r="I503" s="312">
        <v>26.189999999999998</v>
      </c>
      <c r="J503" s="312">
        <v>389.96</v>
      </c>
      <c r="K503" s="312">
        <v>140.62</v>
      </c>
      <c r="M503" t="s">
        <v>2267</v>
      </c>
      <c r="N503" s="312">
        <v>2418.61</v>
      </c>
      <c r="O503" s="312">
        <v>160387.72</v>
      </c>
      <c r="P503" s="312">
        <v>16666.600000000002</v>
      </c>
      <c r="Q503" s="312">
        <v>245822.25</v>
      </c>
      <c r="R503" s="312">
        <v>52827.14</v>
      </c>
    </row>
    <row r="504" spans="6:18">
      <c r="F504" t="s">
        <v>2268</v>
      </c>
      <c r="G504" s="312"/>
      <c r="H504" s="312">
        <v>298.28999999999996</v>
      </c>
      <c r="I504" s="312">
        <v>7.67</v>
      </c>
      <c r="J504" s="312">
        <v>287.33000000000004</v>
      </c>
      <c r="K504" s="312">
        <v>177.31</v>
      </c>
      <c r="M504" t="s">
        <v>2268</v>
      </c>
      <c r="N504" s="312"/>
      <c r="O504" s="312">
        <v>143990.04999999999</v>
      </c>
      <c r="P504" s="312">
        <v>9752.83</v>
      </c>
      <c r="Q504" s="312">
        <v>229499.37</v>
      </c>
      <c r="R504" s="312">
        <v>57685.21</v>
      </c>
    </row>
    <row r="505" spans="6:18">
      <c r="F505" t="s">
        <v>2269</v>
      </c>
      <c r="G505" s="312"/>
      <c r="H505" s="312">
        <v>412.13</v>
      </c>
      <c r="I505" s="312">
        <v>14.51</v>
      </c>
      <c r="J505" s="312">
        <v>273.89</v>
      </c>
      <c r="K505" s="312">
        <v>138.73000000000002</v>
      </c>
      <c r="M505" t="s">
        <v>2269</v>
      </c>
      <c r="N505" s="312"/>
      <c r="O505" s="312">
        <v>206623.77</v>
      </c>
      <c r="P505" s="312">
        <v>7073.23</v>
      </c>
      <c r="Q505" s="312">
        <v>166870.39999999999</v>
      </c>
      <c r="R505" s="312">
        <v>39800.06</v>
      </c>
    </row>
    <row r="506" spans="6:18">
      <c r="F506" t="s">
        <v>2270</v>
      </c>
      <c r="G506" s="312">
        <v>26.73</v>
      </c>
      <c r="H506" s="312">
        <v>357.69</v>
      </c>
      <c r="I506" s="312">
        <v>13.760000000000002</v>
      </c>
      <c r="J506" s="312">
        <v>340.15</v>
      </c>
      <c r="K506" s="312">
        <v>103.05000000000001</v>
      </c>
      <c r="M506" t="s">
        <v>2270</v>
      </c>
      <c r="N506" s="312">
        <v>28694.449999999997</v>
      </c>
      <c r="O506" s="312">
        <v>171276.03</v>
      </c>
      <c r="P506" s="312">
        <v>16116.39</v>
      </c>
      <c r="Q506" s="312">
        <v>235446.9</v>
      </c>
      <c r="R506" s="312">
        <v>36765.57</v>
      </c>
    </row>
    <row r="507" spans="6:18">
      <c r="F507" t="s">
        <v>2271</v>
      </c>
      <c r="G507" s="312">
        <v>1.54</v>
      </c>
      <c r="H507" s="312">
        <v>215.4</v>
      </c>
      <c r="I507" s="312">
        <v>23.93</v>
      </c>
      <c r="J507" s="312">
        <v>229.06</v>
      </c>
      <c r="K507" s="312">
        <v>61</v>
      </c>
      <c r="M507" t="s">
        <v>2271</v>
      </c>
      <c r="N507" s="312">
        <v>730.4</v>
      </c>
      <c r="O507" s="312">
        <v>101339.56</v>
      </c>
      <c r="P507" s="312">
        <v>11499.89</v>
      </c>
      <c r="Q507" s="312">
        <v>134924.22</v>
      </c>
      <c r="R507" s="312">
        <v>25047.95</v>
      </c>
    </row>
    <row r="508" spans="6:18">
      <c r="F508" t="s">
        <v>2272</v>
      </c>
      <c r="G508" s="312">
        <v>0.73</v>
      </c>
      <c r="H508" s="312">
        <v>180.06</v>
      </c>
      <c r="I508" s="312">
        <v>4.0999999999999996</v>
      </c>
      <c r="J508" s="312">
        <v>186.26</v>
      </c>
      <c r="K508" s="312">
        <v>44.6</v>
      </c>
      <c r="M508" t="s">
        <v>2272</v>
      </c>
      <c r="N508" s="312">
        <v>340.69</v>
      </c>
      <c r="O508" s="312">
        <v>95543.31</v>
      </c>
      <c r="P508" s="312">
        <v>2706.24</v>
      </c>
      <c r="Q508" s="312">
        <v>110952.08</v>
      </c>
      <c r="R508" s="312">
        <v>33406</v>
      </c>
    </row>
    <row r="509" spans="6:18">
      <c r="F509" t="s">
        <v>2273</v>
      </c>
      <c r="G509" s="312">
        <v>11.25</v>
      </c>
      <c r="H509" s="312">
        <v>195</v>
      </c>
      <c r="I509" s="312">
        <v>14.21</v>
      </c>
      <c r="J509" s="312">
        <v>258.63</v>
      </c>
      <c r="K509" s="312">
        <v>65.45</v>
      </c>
      <c r="M509" t="s">
        <v>2273</v>
      </c>
      <c r="N509" s="312">
        <v>2326.59</v>
      </c>
      <c r="O509" s="312">
        <v>92611.28</v>
      </c>
      <c r="P509" s="312">
        <v>9804.32</v>
      </c>
      <c r="Q509" s="312">
        <v>142121.38999999998</v>
      </c>
      <c r="R509" s="312">
        <v>42696.09</v>
      </c>
    </row>
    <row r="510" spans="6:18">
      <c r="F510" t="s">
        <v>2274</v>
      </c>
      <c r="G510" s="312">
        <v>11.25</v>
      </c>
      <c r="H510" s="312">
        <v>251.70999999999998</v>
      </c>
      <c r="I510" s="312">
        <v>43.14</v>
      </c>
      <c r="J510" s="312">
        <v>520.83999999999992</v>
      </c>
      <c r="K510" s="312">
        <v>914.96</v>
      </c>
      <c r="M510" t="s">
        <v>2274</v>
      </c>
      <c r="N510" s="312">
        <v>3471.43</v>
      </c>
      <c r="O510" s="312">
        <v>147694.79999999999</v>
      </c>
      <c r="P510" s="312">
        <v>42347.54</v>
      </c>
      <c r="Q510" s="312">
        <v>225255.93</v>
      </c>
      <c r="R510" s="312">
        <v>392498.82999999996</v>
      </c>
    </row>
    <row r="511" spans="6:18">
      <c r="F511" t="s">
        <v>2275</v>
      </c>
      <c r="G511" s="312"/>
      <c r="H511" s="312">
        <v>335.72</v>
      </c>
      <c r="I511" s="312">
        <v>34.619999999999997</v>
      </c>
      <c r="J511" s="312">
        <v>528.41999999999996</v>
      </c>
      <c r="K511" s="312">
        <v>616.53</v>
      </c>
      <c r="M511" t="s">
        <v>2275</v>
      </c>
      <c r="N511" s="312"/>
      <c r="O511" s="312">
        <v>153026.23999999999</v>
      </c>
      <c r="P511" s="312">
        <v>34378.769999999997</v>
      </c>
      <c r="Q511" s="312">
        <v>314885.53000000003</v>
      </c>
      <c r="R511" s="312">
        <v>260979.53999999998</v>
      </c>
    </row>
    <row r="512" spans="6:18">
      <c r="F512" t="s">
        <v>2276</v>
      </c>
      <c r="G512" s="312">
        <v>0.75</v>
      </c>
      <c r="H512" s="312">
        <v>359.81</v>
      </c>
      <c r="I512" s="312">
        <v>27.340000000000003</v>
      </c>
      <c r="J512" s="312">
        <v>642.08000000000004</v>
      </c>
      <c r="K512" s="312">
        <v>509.39</v>
      </c>
      <c r="M512" t="s">
        <v>2276</v>
      </c>
      <c r="N512" s="312">
        <v>240.95</v>
      </c>
      <c r="O512" s="312">
        <v>160020.16</v>
      </c>
      <c r="P512" s="312">
        <v>24146.239999999998</v>
      </c>
      <c r="Q512" s="312">
        <v>240397.09</v>
      </c>
      <c r="R512" s="312">
        <v>180328.69999999998</v>
      </c>
    </row>
    <row r="513" spans="6:18">
      <c r="F513" t="s">
        <v>2277</v>
      </c>
      <c r="G513" s="312"/>
      <c r="H513" s="312">
        <v>318.19</v>
      </c>
      <c r="I513" s="312">
        <v>53.160000000000004</v>
      </c>
      <c r="J513" s="312">
        <v>509.39</v>
      </c>
      <c r="K513" s="312">
        <v>346.7</v>
      </c>
      <c r="M513" t="s">
        <v>2277</v>
      </c>
      <c r="N513" s="312"/>
      <c r="O513" s="312">
        <v>147553.32</v>
      </c>
      <c r="P513" s="312">
        <v>59661.279999999999</v>
      </c>
      <c r="Q513" s="312">
        <v>247455.91</v>
      </c>
      <c r="R513" s="312">
        <v>116111.32999999999</v>
      </c>
    </row>
    <row r="514" spans="6:18">
      <c r="F514" t="s">
        <v>2278</v>
      </c>
      <c r="G514" s="312"/>
      <c r="H514" s="312">
        <v>178.98000000000002</v>
      </c>
      <c r="I514" s="312">
        <v>66.63</v>
      </c>
      <c r="J514" s="312">
        <v>425.2</v>
      </c>
      <c r="K514" s="312">
        <v>270.68</v>
      </c>
      <c r="M514" t="s">
        <v>2278</v>
      </c>
      <c r="N514" s="312"/>
      <c r="O514" s="312">
        <v>87130.48</v>
      </c>
      <c r="P514" s="312">
        <v>25580.52</v>
      </c>
      <c r="Q514" s="312">
        <v>208275.38</v>
      </c>
      <c r="R514" s="312">
        <v>93348.25</v>
      </c>
    </row>
    <row r="515" spans="6:18">
      <c r="F515" t="s">
        <v>2279</v>
      </c>
      <c r="G515" s="312"/>
      <c r="H515" s="312">
        <v>203.91</v>
      </c>
      <c r="I515" s="312">
        <v>8.89</v>
      </c>
      <c r="J515" s="312">
        <v>445.22</v>
      </c>
      <c r="K515" s="312">
        <v>276.89</v>
      </c>
      <c r="M515" t="s">
        <v>2279</v>
      </c>
      <c r="N515" s="312"/>
      <c r="O515" s="312">
        <v>122479.22</v>
      </c>
      <c r="P515" s="312">
        <v>4432.4799999999996</v>
      </c>
      <c r="Q515" s="312">
        <v>218687.88</v>
      </c>
      <c r="R515" s="312">
        <v>95541.48</v>
      </c>
    </row>
    <row r="516" spans="6:18">
      <c r="F516" t="s">
        <v>2280</v>
      </c>
      <c r="G516" s="312">
        <v>12.01</v>
      </c>
      <c r="H516" s="312">
        <v>302.76</v>
      </c>
      <c r="I516" s="312">
        <v>46.76</v>
      </c>
      <c r="J516" s="312">
        <v>472.32</v>
      </c>
      <c r="K516" s="312">
        <v>383.86</v>
      </c>
      <c r="M516" t="s">
        <v>2280</v>
      </c>
      <c r="N516" s="312">
        <v>7166.51</v>
      </c>
      <c r="O516" s="312">
        <v>116658.70000000001</v>
      </c>
      <c r="P516" s="312">
        <v>31107.96</v>
      </c>
      <c r="Q516" s="312">
        <v>208953.95</v>
      </c>
      <c r="R516" s="312">
        <v>132393.69</v>
      </c>
    </row>
    <row r="517" spans="6:18">
      <c r="F517" t="s">
        <v>2281</v>
      </c>
      <c r="G517" s="312"/>
      <c r="H517" s="312">
        <v>255.94</v>
      </c>
      <c r="I517" s="312">
        <v>39.36</v>
      </c>
      <c r="J517" s="312">
        <v>502.83000000000004</v>
      </c>
      <c r="K517" s="312">
        <v>356.75</v>
      </c>
      <c r="M517" t="s">
        <v>2281</v>
      </c>
      <c r="N517" s="312"/>
      <c r="O517" s="312">
        <v>106683.02</v>
      </c>
      <c r="P517" s="312">
        <v>23620.18</v>
      </c>
      <c r="Q517" s="312">
        <v>315283.17000000004</v>
      </c>
      <c r="R517" s="312">
        <v>128418.70999999999</v>
      </c>
    </row>
    <row r="518" spans="6:18">
      <c r="F518" t="s">
        <v>2282</v>
      </c>
      <c r="G518" s="312">
        <v>12.8</v>
      </c>
      <c r="H518" s="312">
        <v>315.41999999999996</v>
      </c>
      <c r="I518" s="312">
        <v>25.11</v>
      </c>
      <c r="J518" s="312">
        <v>444.34000000000003</v>
      </c>
      <c r="K518" s="312">
        <v>328.8</v>
      </c>
      <c r="M518" t="s">
        <v>2282</v>
      </c>
      <c r="N518" s="312">
        <v>4120.46</v>
      </c>
      <c r="O518" s="312">
        <v>141956.79</v>
      </c>
      <c r="P518" s="312">
        <v>13206.54</v>
      </c>
      <c r="Q518" s="312">
        <v>219497.97</v>
      </c>
      <c r="R518" s="312">
        <v>128543.41</v>
      </c>
    </row>
    <row r="519" spans="6:18">
      <c r="F519" t="s">
        <v>2283</v>
      </c>
      <c r="G519" s="312">
        <v>6.84</v>
      </c>
      <c r="H519" s="312">
        <v>259.65999999999997</v>
      </c>
      <c r="I519" s="312">
        <v>4.78</v>
      </c>
      <c r="J519" s="312">
        <v>362.03</v>
      </c>
      <c r="K519" s="312">
        <v>269.81</v>
      </c>
      <c r="M519" t="s">
        <v>2283</v>
      </c>
      <c r="N519" s="312">
        <v>3517.82</v>
      </c>
      <c r="O519" s="312">
        <v>124380.32</v>
      </c>
      <c r="P519" s="312">
        <v>2401.11</v>
      </c>
      <c r="Q519" s="312">
        <v>169351.73</v>
      </c>
      <c r="R519" s="312">
        <v>94802.05</v>
      </c>
    </row>
    <row r="520" spans="6:18">
      <c r="F520" t="s">
        <v>2284</v>
      </c>
      <c r="G520" s="312"/>
      <c r="H520" s="312">
        <v>312.58000000000004</v>
      </c>
      <c r="I520" s="312">
        <v>44.55</v>
      </c>
      <c r="J520" s="312">
        <v>405.45000000000005</v>
      </c>
      <c r="K520" s="312">
        <v>429.84999999999997</v>
      </c>
      <c r="M520" t="s">
        <v>2284</v>
      </c>
      <c r="N520" s="312"/>
      <c r="O520" s="312">
        <v>146551.41</v>
      </c>
      <c r="P520" s="312">
        <v>21297.439999999999</v>
      </c>
      <c r="Q520" s="312">
        <v>245280.21</v>
      </c>
      <c r="R520" s="312">
        <v>167346.43</v>
      </c>
    </row>
    <row r="521" spans="6:18">
      <c r="F521" t="s">
        <v>2285</v>
      </c>
      <c r="G521" s="312">
        <v>5.6899999999999995</v>
      </c>
      <c r="H521" s="312">
        <v>190.23000000000002</v>
      </c>
      <c r="I521" s="312">
        <v>34.96</v>
      </c>
      <c r="J521" s="312">
        <v>251.99</v>
      </c>
      <c r="K521" s="312">
        <v>150.13999999999999</v>
      </c>
      <c r="M521" t="s">
        <v>2285</v>
      </c>
      <c r="N521" s="312">
        <v>2691.61</v>
      </c>
      <c r="O521" s="312">
        <v>69981.69</v>
      </c>
      <c r="P521" s="312">
        <v>15272.14</v>
      </c>
      <c r="Q521" s="312">
        <v>93914.77</v>
      </c>
      <c r="R521" s="312">
        <v>53407.199999999997</v>
      </c>
    </row>
    <row r="522" spans="6:18">
      <c r="F522" t="s">
        <v>2286</v>
      </c>
      <c r="G522" s="312"/>
      <c r="H522" s="312">
        <v>205.29</v>
      </c>
      <c r="I522" s="312">
        <v>9.35</v>
      </c>
      <c r="J522" s="312">
        <v>269.18</v>
      </c>
      <c r="K522" s="312">
        <v>170.34</v>
      </c>
      <c r="M522" t="s">
        <v>2286</v>
      </c>
      <c r="N522" s="312"/>
      <c r="O522" s="312">
        <v>103932.9</v>
      </c>
      <c r="P522" s="312">
        <v>9096.380000000001</v>
      </c>
      <c r="Q522" s="312">
        <v>123586.17</v>
      </c>
      <c r="R522" s="312">
        <v>68095.31</v>
      </c>
    </row>
    <row r="523" spans="6:18">
      <c r="F523" t="s">
        <v>2287</v>
      </c>
      <c r="G523" s="312">
        <v>0.73</v>
      </c>
      <c r="H523" s="312">
        <v>293.40000000000003</v>
      </c>
      <c r="I523" s="312">
        <v>32.22</v>
      </c>
      <c r="J523" s="312">
        <v>462.27</v>
      </c>
      <c r="K523" s="312">
        <v>393.95</v>
      </c>
      <c r="M523" t="s">
        <v>2287</v>
      </c>
      <c r="N523" s="312">
        <v>1017.94</v>
      </c>
      <c r="O523" s="312">
        <v>173414.46</v>
      </c>
      <c r="P523" s="312">
        <v>32509</v>
      </c>
      <c r="Q523" s="312">
        <v>250053.6</v>
      </c>
      <c r="R523" s="312">
        <v>159946.79999999999</v>
      </c>
    </row>
    <row r="524" spans="6:18">
      <c r="F524" t="s">
        <v>2288</v>
      </c>
      <c r="G524" s="312"/>
      <c r="H524" s="312">
        <v>373.26</v>
      </c>
      <c r="I524" s="312">
        <v>20.51</v>
      </c>
      <c r="J524" s="312">
        <v>427.1</v>
      </c>
      <c r="K524" s="312">
        <v>385.18</v>
      </c>
      <c r="M524" t="s">
        <v>2288</v>
      </c>
      <c r="N524" s="312"/>
      <c r="O524" s="312">
        <v>173279.41</v>
      </c>
      <c r="P524" s="312">
        <v>11597.27</v>
      </c>
      <c r="Q524" s="312">
        <v>175511.25</v>
      </c>
      <c r="R524" s="312">
        <v>137332.06</v>
      </c>
    </row>
    <row r="525" spans="6:18">
      <c r="F525" t="s">
        <v>2289</v>
      </c>
      <c r="G525" s="312">
        <v>19.07</v>
      </c>
      <c r="H525" s="312">
        <v>250.82</v>
      </c>
      <c r="I525" s="312">
        <v>32.35</v>
      </c>
      <c r="J525" s="312">
        <v>512.75</v>
      </c>
      <c r="K525" s="312">
        <v>377.47</v>
      </c>
      <c r="M525" t="s">
        <v>2289</v>
      </c>
      <c r="N525" s="312">
        <v>3930.44</v>
      </c>
      <c r="O525" s="312">
        <v>101585.24</v>
      </c>
      <c r="P525" s="312">
        <v>22592.57</v>
      </c>
      <c r="Q525" s="312">
        <v>215602.97999999998</v>
      </c>
      <c r="R525" s="312">
        <v>122978.07</v>
      </c>
    </row>
    <row r="526" spans="6:18">
      <c r="F526" t="s">
        <v>2290</v>
      </c>
      <c r="G526" s="312">
        <v>0.73</v>
      </c>
      <c r="H526" s="312">
        <v>362.87</v>
      </c>
      <c r="I526" s="312">
        <v>19.21</v>
      </c>
      <c r="J526" s="312">
        <v>507.73</v>
      </c>
      <c r="K526" s="312">
        <v>394.13</v>
      </c>
      <c r="M526" t="s">
        <v>2290</v>
      </c>
      <c r="N526" s="312">
        <v>61.42</v>
      </c>
      <c r="O526" s="312">
        <v>193427.44999999998</v>
      </c>
      <c r="P526" s="312">
        <v>7031.51</v>
      </c>
      <c r="Q526" s="312">
        <v>291948.11</v>
      </c>
      <c r="R526" s="312">
        <v>165938.96</v>
      </c>
    </row>
    <row r="527" spans="6:18">
      <c r="F527" t="s">
        <v>2291</v>
      </c>
      <c r="G527" s="312">
        <v>4.99</v>
      </c>
      <c r="H527" s="312">
        <v>281.90999999999997</v>
      </c>
      <c r="I527" s="312">
        <v>24.22</v>
      </c>
      <c r="J527" s="312">
        <v>500.9</v>
      </c>
      <c r="K527" s="312">
        <v>286.72000000000003</v>
      </c>
      <c r="M527" t="s">
        <v>2291</v>
      </c>
      <c r="N527" s="312">
        <v>902.54</v>
      </c>
      <c r="O527" s="312">
        <v>142019.76999999999</v>
      </c>
      <c r="P527" s="312">
        <v>17715.8</v>
      </c>
      <c r="Q527" s="312">
        <v>223515.43000000002</v>
      </c>
      <c r="R527" s="312">
        <v>103521.85</v>
      </c>
    </row>
    <row r="528" spans="6:18">
      <c r="F528" t="s">
        <v>2292</v>
      </c>
      <c r="G528" s="312"/>
      <c r="H528" s="312">
        <v>147.25</v>
      </c>
      <c r="I528" s="312">
        <v>24.200000000000003</v>
      </c>
      <c r="J528" s="312">
        <v>335.59999999999997</v>
      </c>
      <c r="K528" s="312">
        <v>134.51</v>
      </c>
      <c r="M528" t="s">
        <v>2292</v>
      </c>
      <c r="N528" s="312"/>
      <c r="O528" s="312">
        <v>70670.66</v>
      </c>
      <c r="P528" s="312">
        <v>15446.36</v>
      </c>
      <c r="Q528" s="312">
        <v>171526.61000000002</v>
      </c>
      <c r="R528" s="312">
        <v>57963.48</v>
      </c>
    </row>
    <row r="529" spans="6:18">
      <c r="F529" t="s">
        <v>2293</v>
      </c>
      <c r="G529" s="312"/>
      <c r="H529" s="312">
        <v>77.319999999999993</v>
      </c>
      <c r="I529" s="312">
        <v>7.24</v>
      </c>
      <c r="J529" s="312">
        <v>246.9</v>
      </c>
      <c r="K529" s="312">
        <v>146.86000000000001</v>
      </c>
      <c r="M529" t="s">
        <v>2293</v>
      </c>
      <c r="N529" s="312"/>
      <c r="O529" s="312">
        <v>35310.82</v>
      </c>
      <c r="P529" s="312">
        <v>4001.12</v>
      </c>
      <c r="Q529" s="312">
        <v>114626.59</v>
      </c>
      <c r="R529" s="312">
        <v>63828.89</v>
      </c>
    </row>
    <row r="530" spans="6:18">
      <c r="F530" t="s">
        <v>2294</v>
      </c>
      <c r="G530" s="312"/>
      <c r="H530" s="312">
        <v>374.82</v>
      </c>
      <c r="I530" s="312">
        <v>10.629999999999999</v>
      </c>
      <c r="J530" s="312">
        <v>302.51</v>
      </c>
      <c r="K530" s="312">
        <v>420.15</v>
      </c>
      <c r="M530" t="s">
        <v>2294</v>
      </c>
      <c r="N530" s="312"/>
      <c r="O530" s="312">
        <v>191245.5</v>
      </c>
      <c r="P530" s="312">
        <v>8517.7999999999993</v>
      </c>
      <c r="Q530" s="312">
        <v>131853.88999999998</v>
      </c>
      <c r="R530" s="312">
        <v>153121.02000000002</v>
      </c>
    </row>
    <row r="531" spans="6:18">
      <c r="F531" t="s">
        <v>2295</v>
      </c>
      <c r="G531" s="312">
        <v>4.1500000000000004</v>
      </c>
      <c r="H531" s="312">
        <v>530.34</v>
      </c>
      <c r="I531" s="312">
        <v>38.989999999999995</v>
      </c>
      <c r="J531" s="312">
        <v>417.88</v>
      </c>
      <c r="K531" s="312">
        <v>343.16</v>
      </c>
      <c r="M531" t="s">
        <v>2295</v>
      </c>
      <c r="N531" s="312">
        <v>5068.9399999999996</v>
      </c>
      <c r="O531" s="312">
        <v>219959.67</v>
      </c>
      <c r="P531" s="312">
        <v>17385.16</v>
      </c>
      <c r="Q531" s="312">
        <v>217321.12</v>
      </c>
      <c r="R531" s="312">
        <v>115376.34</v>
      </c>
    </row>
    <row r="532" spans="6:18">
      <c r="F532" t="s">
        <v>2296</v>
      </c>
      <c r="G532" s="312">
        <v>0.92</v>
      </c>
      <c r="H532" s="312">
        <v>557.95000000000005</v>
      </c>
      <c r="I532" s="312">
        <v>24.41</v>
      </c>
      <c r="J532" s="312">
        <v>357.78</v>
      </c>
      <c r="K532" s="312">
        <v>409.36</v>
      </c>
      <c r="M532" t="s">
        <v>2296</v>
      </c>
      <c r="N532" s="312">
        <v>216.88</v>
      </c>
      <c r="O532" s="312">
        <v>260563.67</v>
      </c>
      <c r="P532" s="312">
        <v>16006.490000000002</v>
      </c>
      <c r="Q532" s="312">
        <v>206197.74</v>
      </c>
      <c r="R532" s="312">
        <v>135442.64000000001</v>
      </c>
    </row>
    <row r="533" spans="6:18">
      <c r="F533" t="s">
        <v>2297</v>
      </c>
      <c r="G533" s="312"/>
      <c r="H533" s="312">
        <v>340.93</v>
      </c>
      <c r="I533" s="312">
        <v>23.8</v>
      </c>
      <c r="J533" s="312">
        <v>482.59000000000003</v>
      </c>
      <c r="K533" s="312">
        <v>377.64000000000004</v>
      </c>
      <c r="M533" t="s">
        <v>2297</v>
      </c>
      <c r="N533" s="312"/>
      <c r="O533" s="312">
        <v>165309.89000000001</v>
      </c>
      <c r="P533" s="312">
        <v>10465.08</v>
      </c>
      <c r="Q533" s="312">
        <v>275281.46000000002</v>
      </c>
      <c r="R533" s="312">
        <v>142259.51999999999</v>
      </c>
    </row>
    <row r="534" spans="6:18">
      <c r="F534" t="s">
        <v>2298</v>
      </c>
      <c r="G534" s="312"/>
      <c r="H534" s="312">
        <v>392.13</v>
      </c>
      <c r="I534" s="312">
        <v>33.15</v>
      </c>
      <c r="J534" s="312">
        <v>409.21000000000004</v>
      </c>
      <c r="K534" s="312">
        <v>431.93</v>
      </c>
      <c r="M534" t="s">
        <v>2298</v>
      </c>
      <c r="N534" s="312"/>
      <c r="O534" s="312">
        <v>150090.63</v>
      </c>
      <c r="P534" s="312">
        <v>12632.57</v>
      </c>
      <c r="Q534" s="312">
        <v>154589.38</v>
      </c>
      <c r="R534" s="312">
        <v>133984.81</v>
      </c>
    </row>
    <row r="535" spans="6:18">
      <c r="F535" t="s">
        <v>2299</v>
      </c>
      <c r="G535" s="312">
        <v>1.53</v>
      </c>
      <c r="H535" s="312">
        <v>135.28</v>
      </c>
      <c r="I535" s="312">
        <v>15.68</v>
      </c>
      <c r="J535" s="312">
        <v>385.51</v>
      </c>
      <c r="K535" s="312">
        <v>193.47000000000003</v>
      </c>
      <c r="M535" t="s">
        <v>2299</v>
      </c>
      <c r="N535" s="312">
        <v>810.39</v>
      </c>
      <c r="O535" s="312">
        <v>54781.32</v>
      </c>
      <c r="P535" s="312">
        <v>16612.48</v>
      </c>
      <c r="Q535" s="312">
        <v>162945.84000000003</v>
      </c>
      <c r="R535" s="312">
        <v>87419</v>
      </c>
    </row>
    <row r="536" spans="6:18">
      <c r="F536" t="s">
        <v>2300</v>
      </c>
      <c r="G536" s="312">
        <v>0.75</v>
      </c>
      <c r="H536" s="312">
        <v>104.53</v>
      </c>
      <c r="I536" s="312">
        <v>2.57</v>
      </c>
      <c r="J536" s="312">
        <v>418.22</v>
      </c>
      <c r="K536" s="312">
        <v>255.04000000000002</v>
      </c>
      <c r="M536" t="s">
        <v>2300</v>
      </c>
      <c r="N536" s="312">
        <v>270.02</v>
      </c>
      <c r="O536" s="312">
        <v>60387.72</v>
      </c>
      <c r="P536" s="312">
        <v>949.99</v>
      </c>
      <c r="Q536" s="312">
        <v>213443.55</v>
      </c>
      <c r="R536" s="312">
        <v>89655.96</v>
      </c>
    </row>
    <row r="537" spans="6:18">
      <c r="F537" t="s">
        <v>2301</v>
      </c>
      <c r="G537" s="312">
        <v>16.739999999999998</v>
      </c>
      <c r="H537" s="312">
        <v>222.23000000000002</v>
      </c>
      <c r="I537" s="312">
        <v>55.08</v>
      </c>
      <c r="J537" s="312">
        <v>409.71000000000004</v>
      </c>
      <c r="K537" s="312">
        <v>498.53999999999996</v>
      </c>
      <c r="M537" t="s">
        <v>2301</v>
      </c>
      <c r="N537" s="312">
        <v>11002.74</v>
      </c>
      <c r="O537" s="312">
        <v>105346.98999999999</v>
      </c>
      <c r="P537" s="312">
        <v>27195.980000000003</v>
      </c>
      <c r="Q537" s="312">
        <v>194648.22</v>
      </c>
      <c r="R537" s="312">
        <v>177983.47999999998</v>
      </c>
    </row>
    <row r="538" spans="6:18">
      <c r="F538" t="s">
        <v>2302</v>
      </c>
      <c r="G538" s="312">
        <v>2.81</v>
      </c>
      <c r="H538" s="312">
        <v>215.77</v>
      </c>
      <c r="I538" s="312">
        <v>55.5</v>
      </c>
      <c r="J538" s="312">
        <v>430.03</v>
      </c>
      <c r="K538" s="312">
        <v>572.69000000000005</v>
      </c>
      <c r="M538" t="s">
        <v>2302</v>
      </c>
      <c r="N538" s="312">
        <v>679.12</v>
      </c>
      <c r="O538" s="312">
        <v>87642.58</v>
      </c>
      <c r="P538" s="312">
        <v>44435.22</v>
      </c>
      <c r="Q538" s="312">
        <v>217115.72</v>
      </c>
      <c r="R538" s="312">
        <v>171144.41999999998</v>
      </c>
    </row>
    <row r="539" spans="6:18">
      <c r="F539" t="s">
        <v>2303</v>
      </c>
      <c r="G539" s="312">
        <v>14.7</v>
      </c>
      <c r="H539" s="312">
        <v>306.31</v>
      </c>
      <c r="I539" s="312">
        <v>28.44</v>
      </c>
      <c r="J539" s="312">
        <v>426.11</v>
      </c>
      <c r="K539" s="312">
        <v>377.6</v>
      </c>
      <c r="M539" t="s">
        <v>2303</v>
      </c>
      <c r="N539" s="312">
        <v>2128.21</v>
      </c>
      <c r="O539" s="312">
        <v>151731.79999999999</v>
      </c>
      <c r="P539" s="312">
        <v>16126.47</v>
      </c>
      <c r="Q539" s="312">
        <v>289002.63</v>
      </c>
      <c r="R539" s="312">
        <v>118585.81999999999</v>
      </c>
    </row>
    <row r="540" spans="6:18">
      <c r="F540" t="s">
        <v>2304</v>
      </c>
      <c r="G540" s="312">
        <v>2.56</v>
      </c>
      <c r="H540" s="312">
        <v>228.6</v>
      </c>
      <c r="I540" s="312">
        <v>14.52</v>
      </c>
      <c r="J540" s="312">
        <v>431.17</v>
      </c>
      <c r="K540" s="312">
        <v>458.77</v>
      </c>
      <c r="M540" t="s">
        <v>2304</v>
      </c>
      <c r="N540" s="312">
        <v>1462.82</v>
      </c>
      <c r="O540" s="312">
        <v>109758.73999999999</v>
      </c>
      <c r="P540" s="312">
        <v>8116.24</v>
      </c>
      <c r="Q540" s="312">
        <v>309798.82</v>
      </c>
      <c r="R540" s="312">
        <v>158027.49</v>
      </c>
    </row>
    <row r="541" spans="6:18">
      <c r="F541" t="s">
        <v>2305</v>
      </c>
      <c r="G541" s="312">
        <v>0.73</v>
      </c>
      <c r="H541" s="312">
        <v>243.29</v>
      </c>
      <c r="I541" s="312">
        <v>40.35</v>
      </c>
      <c r="J541" s="312">
        <v>484.48</v>
      </c>
      <c r="K541" s="312">
        <v>406.56</v>
      </c>
      <c r="M541" t="s">
        <v>2305</v>
      </c>
      <c r="N541" s="312">
        <v>105.73</v>
      </c>
      <c r="O541" s="312">
        <v>101822.49</v>
      </c>
      <c r="P541" s="312">
        <v>17330.240000000002</v>
      </c>
      <c r="Q541" s="312">
        <v>211138.34999999998</v>
      </c>
      <c r="R541" s="312">
        <v>167441.56</v>
      </c>
    </row>
    <row r="542" spans="6:18">
      <c r="F542" t="s">
        <v>2306</v>
      </c>
      <c r="G542" s="312">
        <v>12</v>
      </c>
      <c r="H542" s="312">
        <v>190.54999999999998</v>
      </c>
      <c r="I542" s="312">
        <v>18.13</v>
      </c>
      <c r="J542" s="312">
        <v>367.33</v>
      </c>
      <c r="K542" s="312">
        <v>185.04</v>
      </c>
      <c r="M542" t="s">
        <v>2306</v>
      </c>
      <c r="N542" s="312">
        <v>2059.6499999999996</v>
      </c>
      <c r="O542" s="312">
        <v>84987.51</v>
      </c>
      <c r="P542" s="312">
        <v>8515</v>
      </c>
      <c r="Q542" s="312">
        <v>249426.96</v>
      </c>
      <c r="R542" s="312">
        <v>64045.7</v>
      </c>
    </row>
    <row r="543" spans="6:18">
      <c r="F543" t="s">
        <v>2307</v>
      </c>
      <c r="G543" s="312">
        <v>6.86</v>
      </c>
      <c r="H543" s="312">
        <v>207.02</v>
      </c>
      <c r="I543" s="312">
        <v>6.48</v>
      </c>
      <c r="J543" s="312">
        <v>335.7</v>
      </c>
      <c r="K543" s="312">
        <v>188.81</v>
      </c>
      <c r="M543" t="s">
        <v>2307</v>
      </c>
      <c r="N543" s="312">
        <v>4004.02</v>
      </c>
      <c r="O543" s="312">
        <v>102416.99</v>
      </c>
      <c r="P543" s="312">
        <v>4874.22</v>
      </c>
      <c r="Q543" s="312">
        <v>152233.34</v>
      </c>
      <c r="R543" s="312">
        <v>54641.53</v>
      </c>
    </row>
    <row r="544" spans="6:18">
      <c r="F544" t="s">
        <v>2308</v>
      </c>
      <c r="G544" s="312">
        <v>0.75</v>
      </c>
      <c r="H544" s="312">
        <v>258.91999999999996</v>
      </c>
      <c r="I544" s="312">
        <v>11.47</v>
      </c>
      <c r="J544" s="312">
        <v>560.71</v>
      </c>
      <c r="K544" s="312">
        <v>142.47</v>
      </c>
      <c r="M544" t="s">
        <v>2308</v>
      </c>
      <c r="N544" s="312">
        <v>287.39</v>
      </c>
      <c r="O544" s="312">
        <v>123778.31999999999</v>
      </c>
      <c r="P544" s="312">
        <v>2923.74</v>
      </c>
      <c r="Q544" s="312">
        <v>267249.39</v>
      </c>
      <c r="R544" s="312">
        <v>42338.869999999995</v>
      </c>
    </row>
    <row r="545" spans="6:18">
      <c r="F545" t="s">
        <v>2309</v>
      </c>
      <c r="G545" s="312"/>
      <c r="H545" s="312">
        <v>296.02999999999997</v>
      </c>
      <c r="I545" s="312">
        <v>48.88</v>
      </c>
      <c r="J545" s="312">
        <v>640.01</v>
      </c>
      <c r="K545" s="312">
        <v>668.38</v>
      </c>
      <c r="M545" t="s">
        <v>2309</v>
      </c>
      <c r="N545" s="312"/>
      <c r="O545" s="312">
        <v>136777.66</v>
      </c>
      <c r="P545" s="312">
        <v>30074.32</v>
      </c>
      <c r="Q545" s="312">
        <v>439908.55</v>
      </c>
      <c r="R545" s="312">
        <v>226196.93</v>
      </c>
    </row>
    <row r="546" spans="6:18">
      <c r="F546" t="s">
        <v>2310</v>
      </c>
      <c r="G546" s="312">
        <v>2.2599999999999998</v>
      </c>
      <c r="H546" s="312">
        <v>276.87</v>
      </c>
      <c r="I546" s="312">
        <v>20.87</v>
      </c>
      <c r="J546" s="312">
        <v>721.29000000000008</v>
      </c>
      <c r="K546" s="312">
        <v>432.42999999999995</v>
      </c>
      <c r="M546" t="s">
        <v>2310</v>
      </c>
      <c r="N546" s="312">
        <v>3822.94</v>
      </c>
      <c r="O546" s="312">
        <v>122497.28</v>
      </c>
      <c r="P546" s="312">
        <v>10135.93</v>
      </c>
      <c r="Q546" s="312">
        <v>423818.95999999996</v>
      </c>
      <c r="R546" s="312">
        <v>144510.57999999999</v>
      </c>
    </row>
    <row r="547" spans="6:18">
      <c r="F547" t="s">
        <v>2311</v>
      </c>
      <c r="G547" s="312"/>
      <c r="H547" s="312">
        <v>204.12</v>
      </c>
      <c r="I547" s="312">
        <v>29.22</v>
      </c>
      <c r="J547" s="312">
        <v>649.73</v>
      </c>
      <c r="K547" s="312">
        <v>438.13</v>
      </c>
      <c r="M547" t="s">
        <v>2311</v>
      </c>
      <c r="N547" s="312"/>
      <c r="O547" s="312">
        <v>77021.919999999998</v>
      </c>
      <c r="P547" s="312">
        <v>16768.03</v>
      </c>
      <c r="Q547" s="312">
        <v>280257.7</v>
      </c>
      <c r="R547" s="312">
        <v>139645.87</v>
      </c>
    </row>
    <row r="548" spans="6:18">
      <c r="F548" t="s">
        <v>2312</v>
      </c>
      <c r="G548" s="312"/>
      <c r="H548" s="312">
        <v>202.93</v>
      </c>
      <c r="I548" s="312">
        <v>16.850000000000001</v>
      </c>
      <c r="J548" s="312">
        <v>766.25</v>
      </c>
      <c r="K548" s="312">
        <v>446.08000000000004</v>
      </c>
      <c r="M548" t="s">
        <v>2312</v>
      </c>
      <c r="N548" s="312"/>
      <c r="O548" s="312">
        <v>65041.67</v>
      </c>
      <c r="P548" s="312">
        <v>11703.4</v>
      </c>
      <c r="Q548" s="312">
        <v>520425.46</v>
      </c>
      <c r="R548" s="312">
        <v>148523.89000000001</v>
      </c>
    </row>
    <row r="549" spans="6:18">
      <c r="F549" t="s">
        <v>2313</v>
      </c>
      <c r="G549" s="312">
        <v>0.72</v>
      </c>
      <c r="H549" s="312">
        <v>42.519999999999996</v>
      </c>
      <c r="I549" s="312">
        <v>15.91</v>
      </c>
      <c r="J549" s="312">
        <v>394.48</v>
      </c>
      <c r="K549" s="312">
        <v>162.01</v>
      </c>
      <c r="M549" t="s">
        <v>2313</v>
      </c>
      <c r="N549" s="312">
        <v>248.95</v>
      </c>
      <c r="O549" s="312">
        <v>11738.01</v>
      </c>
      <c r="P549" s="312">
        <v>9004.7900000000009</v>
      </c>
      <c r="Q549" s="312">
        <v>176112.5</v>
      </c>
      <c r="R549" s="312">
        <v>53258.45</v>
      </c>
    </row>
    <row r="550" spans="6:18">
      <c r="F550" t="s">
        <v>2314</v>
      </c>
      <c r="G550" s="312"/>
      <c r="H550" s="312">
        <v>75.39</v>
      </c>
      <c r="I550" s="312">
        <v>11.19</v>
      </c>
      <c r="J550" s="312">
        <v>376.35</v>
      </c>
      <c r="K550" s="312">
        <v>194.69</v>
      </c>
      <c r="M550" t="s">
        <v>2314</v>
      </c>
      <c r="N550" s="312"/>
      <c r="O550" s="312">
        <v>31865.200000000001</v>
      </c>
      <c r="P550" s="312">
        <v>4271.0300000000007</v>
      </c>
      <c r="Q550" s="312">
        <v>249303.32</v>
      </c>
      <c r="R550" s="312">
        <v>58316.11</v>
      </c>
    </row>
    <row r="551" spans="6:18">
      <c r="F551" t="s">
        <v>2315</v>
      </c>
      <c r="G551" s="312"/>
      <c r="H551" s="312">
        <v>165.65</v>
      </c>
      <c r="I551" s="312">
        <v>17.68</v>
      </c>
      <c r="J551" s="312">
        <v>479.20000000000005</v>
      </c>
      <c r="K551" s="312">
        <v>261.2</v>
      </c>
      <c r="M551" t="s">
        <v>2315</v>
      </c>
      <c r="N551" s="312"/>
      <c r="O551" s="312">
        <v>78571.049999999988</v>
      </c>
      <c r="P551" s="312">
        <v>19822.52</v>
      </c>
      <c r="Q551" s="312">
        <v>178000.84</v>
      </c>
      <c r="R551" s="312">
        <v>69029.11</v>
      </c>
    </row>
    <row r="552" spans="6:18">
      <c r="F552" t="s">
        <v>2316</v>
      </c>
      <c r="G552" s="312"/>
      <c r="H552" s="312">
        <v>210.63</v>
      </c>
      <c r="I552" s="312">
        <v>13.29</v>
      </c>
      <c r="J552" s="312">
        <v>565.92999999999995</v>
      </c>
      <c r="K552" s="312">
        <v>340.03</v>
      </c>
      <c r="M552" t="s">
        <v>2316</v>
      </c>
      <c r="N552" s="312"/>
      <c r="O552" s="312">
        <v>84586.819999999992</v>
      </c>
      <c r="P552" s="312">
        <v>7622.56</v>
      </c>
      <c r="Q552" s="312">
        <v>243918.85</v>
      </c>
      <c r="R552" s="312">
        <v>105178.23</v>
      </c>
    </row>
    <row r="553" spans="6:18">
      <c r="F553" t="s">
        <v>2317</v>
      </c>
      <c r="G553" s="312">
        <v>4.95</v>
      </c>
      <c r="H553" s="312">
        <v>210.26</v>
      </c>
      <c r="I553" s="312">
        <v>20.59</v>
      </c>
      <c r="J553" s="312">
        <v>542.86</v>
      </c>
      <c r="K553" s="312">
        <v>318.75</v>
      </c>
      <c r="M553" t="s">
        <v>2317</v>
      </c>
      <c r="N553" s="312">
        <v>1656.75</v>
      </c>
      <c r="O553" s="312">
        <v>94422.930000000008</v>
      </c>
      <c r="P553" s="312">
        <v>11929.28</v>
      </c>
      <c r="Q553" s="312">
        <v>257669.13</v>
      </c>
      <c r="R553" s="312">
        <v>113476.83</v>
      </c>
    </row>
    <row r="554" spans="6:18">
      <c r="F554" t="s">
        <v>2318</v>
      </c>
      <c r="G554" s="312">
        <v>0.75</v>
      </c>
      <c r="H554" s="312">
        <v>186.95</v>
      </c>
      <c r="I554" s="312">
        <v>26.75</v>
      </c>
      <c r="J554" s="312">
        <v>375.11</v>
      </c>
      <c r="K554" s="312">
        <v>327.37</v>
      </c>
      <c r="M554" t="s">
        <v>2318</v>
      </c>
      <c r="N554" s="312">
        <v>254.12</v>
      </c>
      <c r="O554" s="312">
        <v>97571.400000000009</v>
      </c>
      <c r="P554" s="312">
        <v>11887.06</v>
      </c>
      <c r="Q554" s="312">
        <v>181178.84</v>
      </c>
      <c r="R554" s="312">
        <v>115729.34</v>
      </c>
    </row>
    <row r="555" spans="6:18">
      <c r="F555" t="s">
        <v>2319</v>
      </c>
      <c r="G555" s="312">
        <v>0.72</v>
      </c>
      <c r="H555" s="312">
        <v>168.58999999999997</v>
      </c>
      <c r="I555" s="312">
        <v>38.46</v>
      </c>
      <c r="J555" s="312">
        <v>516.70000000000005</v>
      </c>
      <c r="K555" s="312">
        <v>230.75</v>
      </c>
      <c r="M555" t="s">
        <v>2319</v>
      </c>
      <c r="N555" s="312">
        <v>724.03</v>
      </c>
      <c r="O555" s="312">
        <v>55660.2</v>
      </c>
      <c r="P555" s="312">
        <v>15387.37</v>
      </c>
      <c r="Q555" s="312">
        <v>142752.69</v>
      </c>
      <c r="R555" s="312">
        <v>72421.440000000002</v>
      </c>
    </row>
    <row r="556" spans="6:18">
      <c r="F556" t="s">
        <v>2320</v>
      </c>
      <c r="G556" s="312">
        <v>0.72</v>
      </c>
      <c r="H556" s="312">
        <v>150.69</v>
      </c>
      <c r="I556" s="312">
        <v>8.32</v>
      </c>
      <c r="J556" s="312">
        <v>447.34000000000003</v>
      </c>
      <c r="K556" s="312">
        <v>248.10999999999999</v>
      </c>
      <c r="M556" t="s">
        <v>2320</v>
      </c>
      <c r="N556" s="312">
        <v>228.45</v>
      </c>
      <c r="O556" s="312">
        <v>61127.590000000004</v>
      </c>
      <c r="P556" s="312">
        <v>2496.3100000000004</v>
      </c>
      <c r="Q556" s="312">
        <v>206660.7</v>
      </c>
      <c r="R556" s="312">
        <v>98734.12</v>
      </c>
    </row>
    <row r="557" spans="6:18">
      <c r="F557" t="s">
        <v>2321</v>
      </c>
      <c r="G557" s="312">
        <v>4.74</v>
      </c>
      <c r="H557" s="312">
        <v>108.16999999999999</v>
      </c>
      <c r="I557" s="312">
        <v>9.9400000000000013</v>
      </c>
      <c r="J557" s="312">
        <v>260.14</v>
      </c>
      <c r="K557" s="312">
        <v>222.96</v>
      </c>
      <c r="M557" t="s">
        <v>2321</v>
      </c>
      <c r="N557" s="312">
        <v>2006.01</v>
      </c>
      <c r="O557" s="312">
        <v>48661.880000000005</v>
      </c>
      <c r="P557" s="312">
        <v>5839.29</v>
      </c>
      <c r="Q557" s="312">
        <v>88820.29</v>
      </c>
      <c r="R557" s="312">
        <v>93106.18</v>
      </c>
    </row>
    <row r="558" spans="6:18">
      <c r="F558" t="s">
        <v>2322</v>
      </c>
      <c r="G558" s="312">
        <v>1.1299999999999999</v>
      </c>
      <c r="H558" s="312">
        <v>190.96</v>
      </c>
      <c r="I558" s="312">
        <v>54.84</v>
      </c>
      <c r="J558" s="312">
        <v>459.17</v>
      </c>
      <c r="K558" s="312">
        <v>436.29</v>
      </c>
      <c r="M558" t="s">
        <v>2322</v>
      </c>
      <c r="N558" s="312">
        <v>286.19</v>
      </c>
      <c r="O558" s="312">
        <v>71916.7</v>
      </c>
      <c r="P558" s="312">
        <v>47271.020000000004</v>
      </c>
      <c r="Q558" s="312">
        <v>254008.35</v>
      </c>
      <c r="R558" s="312">
        <v>114520.98999999999</v>
      </c>
    </row>
    <row r="559" spans="6:18">
      <c r="F559" t="s">
        <v>2323</v>
      </c>
      <c r="G559" s="312">
        <v>1.49</v>
      </c>
      <c r="H559" s="312">
        <v>266.31</v>
      </c>
      <c r="I559" s="312">
        <v>37.36</v>
      </c>
      <c r="J559" s="312">
        <v>506.46000000000004</v>
      </c>
      <c r="K559" s="312">
        <v>375.81</v>
      </c>
      <c r="M559" t="s">
        <v>2323</v>
      </c>
      <c r="N559" s="312">
        <v>373.51</v>
      </c>
      <c r="O559" s="312">
        <v>89358.59</v>
      </c>
      <c r="P559" s="312">
        <v>19769.810000000001</v>
      </c>
      <c r="Q559" s="312">
        <v>150530.18</v>
      </c>
      <c r="R559" s="312">
        <v>143174.35</v>
      </c>
    </row>
    <row r="560" spans="6:18">
      <c r="F560" t="s">
        <v>2324</v>
      </c>
      <c r="G560" s="312">
        <v>10.43</v>
      </c>
      <c r="H560" s="312">
        <v>159.24</v>
      </c>
      <c r="I560" s="312">
        <v>36.589999999999996</v>
      </c>
      <c r="J560" s="312">
        <v>532.31000000000006</v>
      </c>
      <c r="K560" s="312">
        <v>332.58000000000004</v>
      </c>
      <c r="M560" t="s">
        <v>2324</v>
      </c>
      <c r="N560" s="312">
        <v>3660.96</v>
      </c>
      <c r="O560" s="312">
        <v>108311.87</v>
      </c>
      <c r="P560" s="312">
        <v>18257.72</v>
      </c>
      <c r="Q560" s="312">
        <v>174338.66</v>
      </c>
      <c r="R560" s="312">
        <v>114533.81</v>
      </c>
    </row>
    <row r="561" spans="6:18">
      <c r="F561" t="s">
        <v>2325</v>
      </c>
      <c r="G561" s="312"/>
      <c r="H561" s="312">
        <v>232.68</v>
      </c>
      <c r="I561" s="312">
        <v>22.080000000000002</v>
      </c>
      <c r="J561" s="312">
        <v>618.63</v>
      </c>
      <c r="K561" s="312">
        <v>264.23</v>
      </c>
      <c r="M561" t="s">
        <v>2325</v>
      </c>
      <c r="N561" s="312"/>
      <c r="O561" s="312">
        <v>83691.16</v>
      </c>
      <c r="P561" s="312">
        <v>15774.13</v>
      </c>
      <c r="Q561" s="312">
        <v>507919.69</v>
      </c>
      <c r="R561" s="312">
        <v>76700.989999999991</v>
      </c>
    </row>
    <row r="562" spans="6:18">
      <c r="F562" t="s">
        <v>2326</v>
      </c>
      <c r="G562" s="312"/>
      <c r="H562" s="312">
        <v>245.29000000000002</v>
      </c>
      <c r="I562" s="312">
        <v>18.28</v>
      </c>
      <c r="J562" s="312">
        <v>372.90999999999997</v>
      </c>
      <c r="K562" s="312">
        <v>342.99</v>
      </c>
      <c r="M562" t="s">
        <v>2326</v>
      </c>
      <c r="N562" s="312"/>
      <c r="O562" s="312">
        <v>125750.32</v>
      </c>
      <c r="P562" s="312">
        <v>10675.2</v>
      </c>
      <c r="Q562" s="312">
        <v>129582.76000000001</v>
      </c>
      <c r="R562" s="312">
        <v>105007.23</v>
      </c>
    </row>
    <row r="563" spans="6:18">
      <c r="F563" t="s">
        <v>2327</v>
      </c>
      <c r="G563" s="312">
        <v>0.81</v>
      </c>
      <c r="H563" s="312">
        <v>131.34</v>
      </c>
      <c r="I563" s="312">
        <v>8.3800000000000008</v>
      </c>
      <c r="J563" s="312">
        <v>396.15</v>
      </c>
      <c r="K563" s="312">
        <v>222.88</v>
      </c>
      <c r="M563" t="s">
        <v>2327</v>
      </c>
      <c r="N563" s="312">
        <v>168.35</v>
      </c>
      <c r="O563" s="312">
        <v>49437.549999999996</v>
      </c>
      <c r="P563" s="312">
        <v>3927.9800000000005</v>
      </c>
      <c r="Q563" s="312">
        <v>150764.14000000001</v>
      </c>
      <c r="R563" s="312">
        <v>105248.79000000001</v>
      </c>
    </row>
    <row r="564" spans="6:18">
      <c r="F564" t="s">
        <v>2328</v>
      </c>
      <c r="G564" s="312">
        <v>1.77</v>
      </c>
      <c r="H564" s="312">
        <v>139.02000000000001</v>
      </c>
      <c r="I564" s="312">
        <v>6.16</v>
      </c>
      <c r="J564" s="312">
        <v>239.87</v>
      </c>
      <c r="K564" s="312">
        <v>111.86</v>
      </c>
      <c r="M564" t="s">
        <v>2328</v>
      </c>
      <c r="N564" s="312">
        <v>752.98</v>
      </c>
      <c r="O564" s="312">
        <v>87157.53</v>
      </c>
      <c r="P564" s="312">
        <v>8417.92</v>
      </c>
      <c r="Q564" s="312">
        <v>119620.51</v>
      </c>
      <c r="R564" s="312">
        <v>35914.759999999995</v>
      </c>
    </row>
    <row r="565" spans="6:18">
      <c r="F565" t="s">
        <v>2329</v>
      </c>
      <c r="G565" s="312">
        <v>2.42</v>
      </c>
      <c r="H565" s="312">
        <v>195.44</v>
      </c>
      <c r="I565" s="312">
        <v>8.3000000000000007</v>
      </c>
      <c r="J565" s="312">
        <v>359.64000000000004</v>
      </c>
      <c r="K565" s="312">
        <v>324.92</v>
      </c>
      <c r="M565" t="s">
        <v>2329</v>
      </c>
      <c r="N565" s="312">
        <v>715.88</v>
      </c>
      <c r="O565" s="312">
        <v>78845.919999999998</v>
      </c>
      <c r="P565" s="312">
        <v>5159.41</v>
      </c>
      <c r="Q565" s="312">
        <v>161522.91</v>
      </c>
      <c r="R565" s="312">
        <v>90912.8</v>
      </c>
    </row>
    <row r="566" spans="6:18">
      <c r="F566" t="s">
        <v>2330</v>
      </c>
      <c r="G566" s="312">
        <v>11.29</v>
      </c>
      <c r="H566" s="312">
        <v>210.60999999999999</v>
      </c>
      <c r="I566" s="312">
        <v>25.84</v>
      </c>
      <c r="J566" s="312">
        <v>424.36</v>
      </c>
      <c r="K566" s="312">
        <v>331.44</v>
      </c>
      <c r="M566" t="s">
        <v>2330</v>
      </c>
      <c r="N566" s="312">
        <v>3815.7</v>
      </c>
      <c r="O566" s="312">
        <v>97027.95</v>
      </c>
      <c r="P566" s="312">
        <v>11300.39</v>
      </c>
      <c r="Q566" s="312">
        <v>161759.41999999998</v>
      </c>
      <c r="R566" s="312">
        <v>112426.86</v>
      </c>
    </row>
    <row r="567" spans="6:18">
      <c r="F567" t="s">
        <v>2331</v>
      </c>
      <c r="G567" s="312"/>
      <c r="H567" s="312">
        <v>136.84</v>
      </c>
      <c r="I567" s="312">
        <v>27.3</v>
      </c>
      <c r="J567" s="312">
        <v>401.79</v>
      </c>
      <c r="K567" s="312">
        <v>322.79999999999995</v>
      </c>
      <c r="M567" t="s">
        <v>2331</v>
      </c>
      <c r="N567" s="312"/>
      <c r="O567" s="312">
        <v>60068.509999999995</v>
      </c>
      <c r="P567" s="312">
        <v>15896.22</v>
      </c>
      <c r="Q567" s="312">
        <v>169769.32</v>
      </c>
      <c r="R567" s="312">
        <v>114446.94</v>
      </c>
    </row>
    <row r="568" spans="6:18">
      <c r="F568" t="s">
        <v>2332</v>
      </c>
      <c r="G568" s="312">
        <v>3.43</v>
      </c>
      <c r="H568" s="312">
        <v>157.1</v>
      </c>
      <c r="I568" s="312">
        <v>12.690000000000001</v>
      </c>
      <c r="J568" s="312">
        <v>321.57</v>
      </c>
      <c r="K568" s="312">
        <v>191.12</v>
      </c>
      <c r="M568" t="s">
        <v>2332</v>
      </c>
      <c r="N568" s="312">
        <v>878.65</v>
      </c>
      <c r="O568" s="312">
        <v>46326.69</v>
      </c>
      <c r="P568" s="312">
        <v>9276.5</v>
      </c>
      <c r="Q568" s="312">
        <v>165595.82</v>
      </c>
      <c r="R568" s="312">
        <v>45396.02</v>
      </c>
    </row>
    <row r="569" spans="6:18">
      <c r="F569" t="s">
        <v>2333</v>
      </c>
      <c r="G569" s="312"/>
      <c r="H569" s="312">
        <v>158.30000000000001</v>
      </c>
      <c r="I569" s="312">
        <v>26.95</v>
      </c>
      <c r="J569" s="312">
        <v>491.14</v>
      </c>
      <c r="K569" s="312">
        <v>192.13</v>
      </c>
      <c r="M569" t="s">
        <v>2333</v>
      </c>
      <c r="N569" s="312"/>
      <c r="O569" s="312">
        <v>64988.600000000006</v>
      </c>
      <c r="P569" s="312">
        <v>12192.47</v>
      </c>
      <c r="Q569" s="312">
        <v>129194.15</v>
      </c>
      <c r="R569" s="312">
        <v>62994.25</v>
      </c>
    </row>
    <row r="570" spans="6:18">
      <c r="F570" t="s">
        <v>2334</v>
      </c>
      <c r="G570" s="312">
        <v>6.99</v>
      </c>
      <c r="H570" s="312">
        <v>157.34</v>
      </c>
      <c r="I570" s="312">
        <v>9.1199999999999992</v>
      </c>
      <c r="J570" s="312">
        <v>365.92999999999995</v>
      </c>
      <c r="K570" s="312">
        <v>40.049999999999997</v>
      </c>
      <c r="M570" t="s">
        <v>2334</v>
      </c>
      <c r="N570" s="312">
        <v>3030.7</v>
      </c>
      <c r="O570" s="312">
        <v>75823.199999999997</v>
      </c>
      <c r="P570" s="312">
        <v>4226.34</v>
      </c>
      <c r="Q570" s="312">
        <v>128843.41</v>
      </c>
      <c r="R570" s="312">
        <v>15359.259999999998</v>
      </c>
    </row>
    <row r="571" spans="6:18">
      <c r="F571" t="s">
        <v>2335</v>
      </c>
      <c r="G571" s="312">
        <v>8.59</v>
      </c>
      <c r="H571" s="312">
        <v>106.93</v>
      </c>
      <c r="I571" s="312">
        <v>9.5399999999999991</v>
      </c>
      <c r="J571" s="312">
        <v>273.63</v>
      </c>
      <c r="K571" s="312">
        <v>7.35</v>
      </c>
      <c r="M571" t="s">
        <v>2335</v>
      </c>
      <c r="N571" s="312">
        <v>2548.1999999999998</v>
      </c>
      <c r="O571" s="312">
        <v>45332.93</v>
      </c>
      <c r="P571" s="312">
        <v>3974.53</v>
      </c>
      <c r="Q571" s="312">
        <v>124130.72</v>
      </c>
      <c r="R571" s="312">
        <v>3490.71</v>
      </c>
    </row>
    <row r="572" spans="6:18">
      <c r="F572" t="s">
        <v>2336</v>
      </c>
      <c r="G572" s="312"/>
      <c r="H572" s="312">
        <v>155.38999999999999</v>
      </c>
      <c r="I572" s="312">
        <v>35.950000000000003</v>
      </c>
      <c r="J572" s="312">
        <v>462.76</v>
      </c>
      <c r="K572" s="312">
        <v>101.89</v>
      </c>
      <c r="M572" t="s">
        <v>2336</v>
      </c>
      <c r="N572" s="312"/>
      <c r="O572" s="312">
        <v>61823.94</v>
      </c>
      <c r="P572" s="312">
        <v>23589.63</v>
      </c>
      <c r="Q572" s="312">
        <v>133938.86000000002</v>
      </c>
      <c r="R572" s="312">
        <v>43533.45</v>
      </c>
    </row>
    <row r="573" spans="6:18">
      <c r="F573" t="s">
        <v>2337</v>
      </c>
      <c r="G573" s="312">
        <v>3.45</v>
      </c>
      <c r="H573" s="312">
        <v>203.58</v>
      </c>
      <c r="I573" s="312">
        <v>25.979999999999997</v>
      </c>
      <c r="J573" s="312">
        <v>417.91</v>
      </c>
      <c r="K573" s="312">
        <v>101.7</v>
      </c>
      <c r="M573" t="s">
        <v>2337</v>
      </c>
      <c r="N573" s="312">
        <v>1420.46</v>
      </c>
      <c r="O573" s="312">
        <v>97712.49</v>
      </c>
      <c r="P573" s="312">
        <v>12151.39</v>
      </c>
      <c r="Q573" s="312">
        <v>190056.31</v>
      </c>
      <c r="R573" s="312">
        <v>29426.68</v>
      </c>
    </row>
    <row r="574" spans="6:18">
      <c r="F574" t="s">
        <v>2338</v>
      </c>
      <c r="G574" s="312">
        <v>1.65</v>
      </c>
      <c r="H574" s="312">
        <v>141.38999999999999</v>
      </c>
      <c r="I574" s="312">
        <v>31.439999999999998</v>
      </c>
      <c r="J574" s="312">
        <v>409.88</v>
      </c>
      <c r="K574" s="312">
        <v>159.47</v>
      </c>
      <c r="M574" t="s">
        <v>2338</v>
      </c>
      <c r="N574" s="312">
        <v>608.16999999999996</v>
      </c>
      <c r="O574" s="312">
        <v>55303.369999999995</v>
      </c>
      <c r="P574" s="312">
        <v>19933.43</v>
      </c>
      <c r="Q574" s="312">
        <v>155122.72</v>
      </c>
      <c r="R574" s="312">
        <v>42755.13</v>
      </c>
    </row>
    <row r="575" spans="6:18">
      <c r="F575" t="s">
        <v>2339</v>
      </c>
      <c r="G575" s="312">
        <v>4.1500000000000004</v>
      </c>
      <c r="H575" s="312">
        <v>162.28</v>
      </c>
      <c r="I575" s="312">
        <v>10.57</v>
      </c>
      <c r="J575" s="312">
        <v>467.37</v>
      </c>
      <c r="K575" s="312">
        <v>125.03</v>
      </c>
      <c r="M575" t="s">
        <v>2339</v>
      </c>
      <c r="N575" s="312">
        <v>2104.23</v>
      </c>
      <c r="O575" s="312">
        <v>54537.69</v>
      </c>
      <c r="P575" s="312">
        <v>3080.29</v>
      </c>
      <c r="Q575" s="312">
        <v>195871.30000000002</v>
      </c>
      <c r="R575" s="312">
        <v>33879.520000000004</v>
      </c>
    </row>
    <row r="576" spans="6:18">
      <c r="F576" t="s">
        <v>2340</v>
      </c>
      <c r="G576" s="312">
        <v>12.74</v>
      </c>
      <c r="H576" s="312">
        <v>183.85999999999999</v>
      </c>
      <c r="I576" s="312">
        <v>9.24</v>
      </c>
      <c r="J576" s="312">
        <v>360.57</v>
      </c>
      <c r="K576" s="312">
        <v>74.14</v>
      </c>
      <c r="M576" t="s">
        <v>2340</v>
      </c>
      <c r="N576" s="312">
        <v>19950.47</v>
      </c>
      <c r="O576" s="312">
        <v>77731.45</v>
      </c>
      <c r="P576" s="312">
        <v>2113.1800000000003</v>
      </c>
      <c r="Q576" s="312">
        <v>133652.26</v>
      </c>
      <c r="R576" s="312">
        <v>16492.79</v>
      </c>
    </row>
    <row r="577" spans="6:18">
      <c r="F577" t="s">
        <v>2341</v>
      </c>
      <c r="G577" s="312">
        <v>5.1400000000000006</v>
      </c>
      <c r="H577" s="312">
        <v>82.85</v>
      </c>
      <c r="I577" s="312">
        <v>9.68</v>
      </c>
      <c r="J577" s="312">
        <v>278.25</v>
      </c>
      <c r="K577" s="312">
        <v>64.12</v>
      </c>
      <c r="M577" t="s">
        <v>2341</v>
      </c>
      <c r="N577" s="312">
        <v>4340.28</v>
      </c>
      <c r="O577" s="312">
        <v>34322.54</v>
      </c>
      <c r="P577" s="312">
        <v>4342.9800000000005</v>
      </c>
      <c r="Q577" s="312">
        <v>123451.96</v>
      </c>
      <c r="R577" s="312">
        <v>18110.46</v>
      </c>
    </row>
    <row r="578" spans="6:18">
      <c r="F578" t="s">
        <v>2342</v>
      </c>
      <c r="G578" s="312"/>
      <c r="H578" s="312">
        <v>117.02</v>
      </c>
      <c r="I578" s="312">
        <v>6.59</v>
      </c>
      <c r="J578" s="312">
        <v>346.63</v>
      </c>
      <c r="K578" s="312">
        <v>22.08</v>
      </c>
      <c r="M578" t="s">
        <v>2342</v>
      </c>
      <c r="N578" s="312"/>
      <c r="O578" s="312">
        <v>54982.340000000004</v>
      </c>
      <c r="P578" s="312">
        <v>3885.81</v>
      </c>
      <c r="Q578" s="312">
        <v>127070.5</v>
      </c>
      <c r="R578" s="312">
        <v>6465.06</v>
      </c>
    </row>
    <row r="579" spans="6:18">
      <c r="F579" t="s">
        <v>2343</v>
      </c>
      <c r="G579" s="312">
        <v>14.99</v>
      </c>
      <c r="H579" s="312">
        <v>183.95000000000002</v>
      </c>
      <c r="I579" s="312">
        <v>25.15</v>
      </c>
      <c r="J579" s="312">
        <v>407.77</v>
      </c>
      <c r="K579" s="312">
        <v>128.19</v>
      </c>
      <c r="M579" t="s">
        <v>2343</v>
      </c>
      <c r="N579" s="312">
        <v>22405.49</v>
      </c>
      <c r="O579" s="312">
        <v>84405.459999999992</v>
      </c>
      <c r="P579" s="312">
        <v>13520.039999999999</v>
      </c>
      <c r="Q579" s="312">
        <v>194896.94</v>
      </c>
      <c r="R579" s="312">
        <v>50545.3</v>
      </c>
    </row>
    <row r="580" spans="6:18">
      <c r="F580" t="s">
        <v>2344</v>
      </c>
      <c r="G580" s="312">
        <v>12.21</v>
      </c>
      <c r="H580" s="312">
        <v>146.54999999999998</v>
      </c>
      <c r="I580" s="312">
        <v>19.89</v>
      </c>
      <c r="J580" s="312">
        <v>443.05</v>
      </c>
      <c r="K580" s="312">
        <v>77.290000000000006</v>
      </c>
      <c r="M580" t="s">
        <v>2344</v>
      </c>
      <c r="N580" s="312">
        <v>5882.81</v>
      </c>
      <c r="O580" s="312">
        <v>78511.88</v>
      </c>
      <c r="P580" s="312">
        <v>25226.54</v>
      </c>
      <c r="Q580" s="312">
        <v>248457.7</v>
      </c>
      <c r="R580" s="312">
        <v>20521.07</v>
      </c>
    </row>
    <row r="581" spans="6:18">
      <c r="F581" t="s">
        <v>2345</v>
      </c>
      <c r="G581" s="312">
        <v>7.58</v>
      </c>
      <c r="H581" s="312">
        <v>165.91</v>
      </c>
      <c r="I581" s="312">
        <v>22.91</v>
      </c>
      <c r="J581" s="312">
        <v>468.26</v>
      </c>
      <c r="K581" s="312">
        <v>140.35</v>
      </c>
      <c r="M581" t="s">
        <v>2345</v>
      </c>
      <c r="N581" s="312">
        <v>898.68000000000006</v>
      </c>
      <c r="O581" s="312">
        <v>82006.37000000001</v>
      </c>
      <c r="P581" s="312">
        <v>12767.789999999999</v>
      </c>
      <c r="Q581" s="312">
        <v>239539.21000000002</v>
      </c>
      <c r="R581" s="312">
        <v>36340.769999999997</v>
      </c>
    </row>
    <row r="582" spans="6:18">
      <c r="F582" t="s">
        <v>2346</v>
      </c>
      <c r="G582" s="312">
        <v>3.43</v>
      </c>
      <c r="H582" s="312">
        <v>144.03</v>
      </c>
      <c r="I582" s="312">
        <v>19.97</v>
      </c>
      <c r="J582" s="312">
        <v>386.72</v>
      </c>
      <c r="K582" s="312">
        <v>63.81</v>
      </c>
      <c r="M582" t="s">
        <v>2346</v>
      </c>
      <c r="N582" s="312">
        <v>2054.29</v>
      </c>
      <c r="O582" s="312">
        <v>67095.23</v>
      </c>
      <c r="P582" s="312">
        <v>10515.66</v>
      </c>
      <c r="Q582" s="312">
        <v>157346.59</v>
      </c>
      <c r="R582" s="312">
        <v>22821.56</v>
      </c>
    </row>
    <row r="583" spans="6:18">
      <c r="F583" t="s">
        <v>2347</v>
      </c>
      <c r="G583" s="312">
        <v>2.2599999999999998</v>
      </c>
      <c r="H583" s="312">
        <v>169.24</v>
      </c>
      <c r="I583" s="312">
        <v>12.7</v>
      </c>
      <c r="J583" s="312">
        <v>325.63</v>
      </c>
      <c r="K583" s="312">
        <v>89.06</v>
      </c>
      <c r="M583" t="s">
        <v>2347</v>
      </c>
      <c r="N583" s="312">
        <v>659.02</v>
      </c>
      <c r="O583" s="312">
        <v>91730.329999999987</v>
      </c>
      <c r="P583" s="312">
        <v>5058.26</v>
      </c>
      <c r="Q583" s="312">
        <v>143201.15</v>
      </c>
      <c r="R583" s="312">
        <v>21301.15</v>
      </c>
    </row>
    <row r="584" spans="6:18">
      <c r="F584" t="s">
        <v>2348</v>
      </c>
      <c r="G584" s="312">
        <v>0.74</v>
      </c>
      <c r="H584" s="312">
        <v>130.75</v>
      </c>
      <c r="I584" s="312">
        <v>16.64</v>
      </c>
      <c r="J584" s="312">
        <v>173.48999999999998</v>
      </c>
      <c r="K584" s="312">
        <v>46.71</v>
      </c>
      <c r="M584" t="s">
        <v>2348</v>
      </c>
      <c r="N584" s="312">
        <v>272.05</v>
      </c>
      <c r="O584" s="312">
        <v>39097.550000000003</v>
      </c>
      <c r="P584" s="312">
        <v>7365.91</v>
      </c>
      <c r="Q584" s="312">
        <v>53404.65</v>
      </c>
      <c r="R584" s="312">
        <v>15513.91</v>
      </c>
    </row>
    <row r="585" spans="6:18">
      <c r="F585" t="s">
        <v>2349</v>
      </c>
      <c r="G585" s="312"/>
      <c r="H585" s="312">
        <v>62.39</v>
      </c>
      <c r="I585" s="312">
        <v>3.15</v>
      </c>
      <c r="J585" s="312">
        <v>279.14</v>
      </c>
      <c r="K585" s="312">
        <v>33.94</v>
      </c>
      <c r="M585" t="s">
        <v>2349</v>
      </c>
      <c r="N585" s="312"/>
      <c r="O585" s="312">
        <v>32247.649999999998</v>
      </c>
      <c r="P585" s="312">
        <v>3024.96</v>
      </c>
      <c r="Q585" s="312">
        <v>70531.28</v>
      </c>
      <c r="R585" s="312">
        <v>9145.880000000001</v>
      </c>
    </row>
    <row r="586" spans="6:18">
      <c r="F586" t="s">
        <v>2350</v>
      </c>
      <c r="G586" s="312">
        <v>9.6199999999999992</v>
      </c>
      <c r="H586" s="312">
        <v>190.59</v>
      </c>
      <c r="I586" s="312">
        <v>21.91</v>
      </c>
      <c r="J586" s="312">
        <v>354.11</v>
      </c>
      <c r="K586" s="312">
        <v>119.75999999999999</v>
      </c>
      <c r="M586" t="s">
        <v>2350</v>
      </c>
      <c r="N586" s="312">
        <v>3847.95</v>
      </c>
      <c r="O586" s="312">
        <v>114859.88</v>
      </c>
      <c r="P586" s="312">
        <v>13476.93</v>
      </c>
      <c r="Q586" s="312">
        <v>158144.54999999999</v>
      </c>
      <c r="R586" s="312">
        <v>34506.68</v>
      </c>
    </row>
    <row r="587" spans="6:18">
      <c r="F587" t="s">
        <v>2351</v>
      </c>
      <c r="G587" s="312">
        <v>13.110000000000001</v>
      </c>
      <c r="H587" s="312">
        <v>201.24</v>
      </c>
      <c r="I587" s="312">
        <v>16.89</v>
      </c>
      <c r="J587" s="312">
        <v>396.17</v>
      </c>
      <c r="K587" s="312">
        <v>124.65</v>
      </c>
      <c r="M587" t="s">
        <v>2351</v>
      </c>
      <c r="N587" s="312">
        <v>18460.72</v>
      </c>
      <c r="O587" s="312">
        <v>91461.78</v>
      </c>
      <c r="P587" s="312">
        <v>9674.3499999999985</v>
      </c>
      <c r="Q587" s="312">
        <v>170051</v>
      </c>
      <c r="R587" s="312">
        <v>42415.03</v>
      </c>
    </row>
    <row r="588" spans="6:18">
      <c r="F588" t="s">
        <v>2352</v>
      </c>
      <c r="G588" s="312">
        <v>0.74</v>
      </c>
      <c r="H588" s="312">
        <v>177.7</v>
      </c>
      <c r="I588" s="312">
        <v>3.19</v>
      </c>
      <c r="J588" s="312">
        <v>383.87</v>
      </c>
      <c r="K588" s="312">
        <v>97.85</v>
      </c>
      <c r="M588" t="s">
        <v>2352</v>
      </c>
      <c r="N588" s="312">
        <v>302.85000000000002</v>
      </c>
      <c r="O588" s="312">
        <v>65259.33</v>
      </c>
      <c r="P588" s="312">
        <v>1783.16</v>
      </c>
      <c r="Q588" s="312">
        <v>171988.51</v>
      </c>
      <c r="R588" s="312">
        <v>37746.15</v>
      </c>
    </row>
    <row r="589" spans="6:18">
      <c r="F589" t="s">
        <v>2353</v>
      </c>
      <c r="G589" s="312">
        <v>1.28</v>
      </c>
      <c r="H589" s="312">
        <v>164.41</v>
      </c>
      <c r="I589" s="312">
        <v>30.48</v>
      </c>
      <c r="J589" s="312">
        <v>358.02</v>
      </c>
      <c r="K589" s="312">
        <v>126.57</v>
      </c>
      <c r="M589" t="s">
        <v>2353</v>
      </c>
      <c r="N589" s="312">
        <v>161.16</v>
      </c>
      <c r="O589" s="312">
        <v>74503</v>
      </c>
      <c r="P589" s="312">
        <v>13536.15</v>
      </c>
      <c r="Q589" s="312">
        <v>213992.71000000002</v>
      </c>
      <c r="R589" s="312">
        <v>45360.01</v>
      </c>
    </row>
    <row r="590" spans="6:18">
      <c r="F590" t="s">
        <v>2354</v>
      </c>
      <c r="G590" s="312">
        <v>0.72</v>
      </c>
      <c r="H590" s="312">
        <v>163.24</v>
      </c>
      <c r="I590" s="312">
        <v>14.870000000000001</v>
      </c>
      <c r="J590" s="312">
        <v>253.68</v>
      </c>
      <c r="K590" s="312">
        <v>58.51</v>
      </c>
      <c r="M590" t="s">
        <v>2354</v>
      </c>
      <c r="N590" s="312">
        <v>569.87</v>
      </c>
      <c r="O590" s="312">
        <v>61630.210000000006</v>
      </c>
      <c r="P590" s="312">
        <v>13415.69</v>
      </c>
      <c r="Q590" s="312">
        <v>89248.27</v>
      </c>
      <c r="R590" s="312">
        <v>30942.34</v>
      </c>
    </row>
    <row r="591" spans="6:18">
      <c r="F591" t="s">
        <v>2355</v>
      </c>
      <c r="G591" s="312">
        <v>1.46</v>
      </c>
      <c r="H591" s="312">
        <v>109</v>
      </c>
      <c r="I591" s="312">
        <v>21.68</v>
      </c>
      <c r="J591" s="312">
        <v>136.43</v>
      </c>
      <c r="K591" s="312">
        <v>30.990000000000002</v>
      </c>
      <c r="M591" t="s">
        <v>2355</v>
      </c>
      <c r="N591" s="312">
        <v>557.69000000000005</v>
      </c>
      <c r="O591" s="312">
        <v>52893.9</v>
      </c>
      <c r="P591" s="312">
        <v>24233.18</v>
      </c>
      <c r="Q591" s="312">
        <v>54101.51</v>
      </c>
      <c r="R591" s="312">
        <v>10980.06</v>
      </c>
    </row>
    <row r="592" spans="6:18">
      <c r="F592" t="s">
        <v>2356</v>
      </c>
      <c r="G592" s="312"/>
      <c r="H592" s="312">
        <v>119.53</v>
      </c>
      <c r="I592" s="312">
        <v>6.82</v>
      </c>
      <c r="J592" s="312">
        <v>127.53</v>
      </c>
      <c r="K592" s="312">
        <v>46.18</v>
      </c>
      <c r="M592" t="s">
        <v>2356</v>
      </c>
      <c r="N592" s="312"/>
      <c r="O592" s="312">
        <v>54512.820000000007</v>
      </c>
      <c r="P592" s="312">
        <v>3315.77</v>
      </c>
      <c r="Q592" s="312">
        <v>42643.759999999995</v>
      </c>
      <c r="R592" s="312">
        <v>20184.73</v>
      </c>
    </row>
    <row r="593" spans="6:18">
      <c r="F593" t="s">
        <v>2357</v>
      </c>
      <c r="G593" s="312">
        <v>0.71</v>
      </c>
      <c r="H593" s="312">
        <v>129.63999999999999</v>
      </c>
      <c r="I593" s="312">
        <v>58.34</v>
      </c>
      <c r="J593" s="312">
        <v>438.51</v>
      </c>
      <c r="K593" s="312">
        <v>93.03</v>
      </c>
      <c r="M593" t="s">
        <v>2357</v>
      </c>
      <c r="N593" s="312">
        <v>223.11</v>
      </c>
      <c r="O593" s="312">
        <v>70267.509999999995</v>
      </c>
      <c r="P593" s="312">
        <v>36907.600000000006</v>
      </c>
      <c r="Q593" s="312">
        <v>227318</v>
      </c>
      <c r="R593" s="312">
        <v>11241.42</v>
      </c>
    </row>
    <row r="594" spans="6:18">
      <c r="F594" t="s">
        <v>2358</v>
      </c>
      <c r="G594" s="312"/>
      <c r="H594" s="312">
        <v>116.02</v>
      </c>
      <c r="I594" s="312">
        <v>7.91</v>
      </c>
      <c r="J594" s="312">
        <v>561.89</v>
      </c>
      <c r="K594" s="312">
        <v>85.47</v>
      </c>
      <c r="M594" t="s">
        <v>2358</v>
      </c>
      <c r="N594" s="312"/>
      <c r="O594" s="312">
        <v>53530.86</v>
      </c>
      <c r="P594" s="312">
        <v>5324.26</v>
      </c>
      <c r="Q594" s="312">
        <v>203452.87</v>
      </c>
      <c r="R594" s="312">
        <v>23038.14</v>
      </c>
    </row>
    <row r="595" spans="6:18">
      <c r="F595" t="s">
        <v>2359</v>
      </c>
      <c r="G595" s="312">
        <v>3.94</v>
      </c>
      <c r="H595" s="312">
        <v>128.49</v>
      </c>
      <c r="I595" s="312">
        <v>33.120000000000005</v>
      </c>
      <c r="J595" s="312">
        <v>329.95</v>
      </c>
      <c r="K595" s="312">
        <v>69.259999999999991</v>
      </c>
      <c r="M595" t="s">
        <v>2359</v>
      </c>
      <c r="N595" s="312">
        <v>1278.6099999999999</v>
      </c>
      <c r="O595" s="312">
        <v>63526.880000000005</v>
      </c>
      <c r="P595" s="312">
        <v>30418.68</v>
      </c>
      <c r="Q595" s="312">
        <v>140148.71</v>
      </c>
      <c r="R595" s="312">
        <v>19292.39</v>
      </c>
    </row>
    <row r="596" spans="6:18">
      <c r="F596" t="s">
        <v>2360</v>
      </c>
      <c r="G596" s="312"/>
      <c r="H596" s="312">
        <v>174.03</v>
      </c>
      <c r="I596" s="312">
        <v>7.93</v>
      </c>
      <c r="J596" s="312">
        <v>272.57</v>
      </c>
      <c r="K596" s="312">
        <v>66.099999999999994</v>
      </c>
      <c r="M596" t="s">
        <v>2360</v>
      </c>
      <c r="N596" s="312"/>
      <c r="O596" s="312">
        <v>75800.989999999991</v>
      </c>
      <c r="P596" s="312">
        <v>7775.79</v>
      </c>
      <c r="Q596" s="312">
        <v>134433.91</v>
      </c>
      <c r="R596" s="312">
        <v>17759.78</v>
      </c>
    </row>
    <row r="597" spans="6:18">
      <c r="F597" t="s">
        <v>2361</v>
      </c>
      <c r="G597" s="312">
        <v>3.44</v>
      </c>
      <c r="H597" s="312">
        <v>156.81</v>
      </c>
      <c r="I597" s="312">
        <v>31.119999999999997</v>
      </c>
      <c r="J597" s="312">
        <v>282.99</v>
      </c>
      <c r="K597" s="312">
        <v>84.07</v>
      </c>
      <c r="M597" t="s">
        <v>2361</v>
      </c>
      <c r="N597" s="312">
        <v>1006.71</v>
      </c>
      <c r="O597" s="312">
        <v>74629.100000000006</v>
      </c>
      <c r="P597" s="312">
        <v>16330.640000000001</v>
      </c>
      <c r="Q597" s="312">
        <v>173317.6</v>
      </c>
      <c r="R597" s="312">
        <v>37894.479999999996</v>
      </c>
    </row>
    <row r="598" spans="6:18">
      <c r="F598" t="s">
        <v>2362</v>
      </c>
      <c r="G598" s="312">
        <v>0.63</v>
      </c>
      <c r="H598" s="312">
        <v>87.89</v>
      </c>
      <c r="I598" s="312">
        <v>30.32</v>
      </c>
      <c r="J598" s="312">
        <v>173.57999999999998</v>
      </c>
      <c r="K598" s="312">
        <v>76.260000000000005</v>
      </c>
      <c r="M598" t="s">
        <v>2362</v>
      </c>
      <c r="N598" s="312">
        <v>316.82</v>
      </c>
      <c r="O598" s="312">
        <v>58450.740000000005</v>
      </c>
      <c r="P598" s="312">
        <v>21033.140000000003</v>
      </c>
      <c r="Q598" s="312">
        <v>120157.92</v>
      </c>
      <c r="R598" s="312">
        <v>16322.07</v>
      </c>
    </row>
    <row r="599" spans="6:18">
      <c r="F599" t="s">
        <v>2363</v>
      </c>
      <c r="G599" s="312"/>
      <c r="H599" s="312">
        <v>152.33000000000001</v>
      </c>
      <c r="I599" s="312">
        <v>1.43</v>
      </c>
      <c r="J599" s="312">
        <v>189.01</v>
      </c>
      <c r="K599" s="312">
        <v>79.52000000000001</v>
      </c>
      <c r="M599" t="s">
        <v>2363</v>
      </c>
      <c r="N599" s="312"/>
      <c r="O599" s="312">
        <v>71510.92</v>
      </c>
      <c r="P599" s="312">
        <v>825.95</v>
      </c>
      <c r="Q599" s="312">
        <v>86716.41</v>
      </c>
      <c r="R599" s="312">
        <v>40736.89</v>
      </c>
    </row>
    <row r="600" spans="6:18">
      <c r="F600" t="s">
        <v>2364</v>
      </c>
      <c r="G600" s="312"/>
      <c r="H600" s="312">
        <v>187.24</v>
      </c>
      <c r="I600" s="312">
        <v>25.9</v>
      </c>
      <c r="J600" s="312">
        <v>359.93</v>
      </c>
      <c r="K600" s="312">
        <v>73.83</v>
      </c>
      <c r="M600" t="s">
        <v>2364</v>
      </c>
      <c r="N600" s="312"/>
      <c r="O600" s="312">
        <v>93633.26999999999</v>
      </c>
      <c r="P600" s="312">
        <v>16251.6</v>
      </c>
      <c r="Q600" s="312">
        <v>123844.26999999999</v>
      </c>
      <c r="R600" s="312">
        <v>28663.54</v>
      </c>
    </row>
    <row r="601" spans="6:18">
      <c r="F601" t="s">
        <v>2365</v>
      </c>
      <c r="G601" s="312">
        <v>4.51</v>
      </c>
      <c r="H601" s="312">
        <v>197.67</v>
      </c>
      <c r="I601" s="312">
        <v>31.72</v>
      </c>
      <c r="J601" s="312">
        <v>286.83</v>
      </c>
      <c r="K601" s="312">
        <v>85.03</v>
      </c>
      <c r="M601" t="s">
        <v>2365</v>
      </c>
      <c r="N601" s="312">
        <v>871.55</v>
      </c>
      <c r="O601" s="312">
        <v>92439.13</v>
      </c>
      <c r="P601" s="312">
        <v>28425.31</v>
      </c>
      <c r="Q601" s="312">
        <v>214401.41999999998</v>
      </c>
      <c r="R601" s="312">
        <v>23890.21</v>
      </c>
    </row>
    <row r="602" spans="6:18">
      <c r="F602" t="s">
        <v>2366</v>
      </c>
      <c r="G602" s="312"/>
      <c r="H602" s="312">
        <v>178.12</v>
      </c>
      <c r="I602" s="312">
        <v>1.51</v>
      </c>
      <c r="J602" s="312">
        <v>320.03000000000003</v>
      </c>
      <c r="K602" s="312">
        <v>67.88</v>
      </c>
      <c r="M602" t="s">
        <v>2366</v>
      </c>
      <c r="N602" s="312"/>
      <c r="O602" s="312">
        <v>86130.81</v>
      </c>
      <c r="P602" s="312">
        <v>406.11</v>
      </c>
      <c r="Q602" s="312">
        <v>148788.51</v>
      </c>
      <c r="R602" s="312">
        <v>31033.56</v>
      </c>
    </row>
    <row r="603" spans="6:18">
      <c r="F603" t="s">
        <v>2367</v>
      </c>
      <c r="G603" s="312"/>
      <c r="H603" s="312">
        <v>181.79</v>
      </c>
      <c r="I603" s="312">
        <v>49.31</v>
      </c>
      <c r="J603" s="312">
        <v>368.52</v>
      </c>
      <c r="K603" s="312">
        <v>98.66</v>
      </c>
      <c r="M603" t="s">
        <v>2367</v>
      </c>
      <c r="N603" s="312"/>
      <c r="O603" s="312">
        <v>72866.880000000005</v>
      </c>
      <c r="P603" s="312">
        <v>69046.12</v>
      </c>
      <c r="Q603" s="312">
        <v>222232.15</v>
      </c>
      <c r="R603" s="312">
        <v>34758.92</v>
      </c>
    </row>
    <row r="604" spans="6:18">
      <c r="F604" t="s">
        <v>2368</v>
      </c>
      <c r="G604" s="312">
        <v>3.22</v>
      </c>
      <c r="H604" s="312">
        <v>155.63999999999999</v>
      </c>
      <c r="I604" s="312">
        <v>18.61</v>
      </c>
      <c r="J604" s="312">
        <v>384.37</v>
      </c>
      <c r="K604" s="312">
        <v>134.32</v>
      </c>
      <c r="M604" t="s">
        <v>2368</v>
      </c>
      <c r="N604" s="312">
        <v>1094.5999999999999</v>
      </c>
      <c r="O604" s="312">
        <v>72315.28</v>
      </c>
      <c r="P604" s="312">
        <v>26986.75</v>
      </c>
      <c r="Q604" s="312">
        <v>179486.13</v>
      </c>
      <c r="R604" s="312">
        <v>63478.36</v>
      </c>
    </row>
    <row r="605" spans="6:18">
      <c r="F605" t="s">
        <v>2369</v>
      </c>
      <c r="G605" s="312"/>
      <c r="H605" s="312">
        <v>150.44</v>
      </c>
      <c r="I605" s="312">
        <v>10.39</v>
      </c>
      <c r="J605" s="312">
        <v>195.02999999999997</v>
      </c>
      <c r="K605" s="312">
        <v>52.25</v>
      </c>
      <c r="M605" t="s">
        <v>2369</v>
      </c>
      <c r="N605" s="312"/>
      <c r="O605" s="312">
        <v>54181.88</v>
      </c>
      <c r="P605" s="312">
        <v>3896.31</v>
      </c>
      <c r="Q605" s="312">
        <v>78543.340000000011</v>
      </c>
      <c r="R605" s="312">
        <v>11302.490000000002</v>
      </c>
    </row>
    <row r="606" spans="6:18">
      <c r="F606" t="s">
        <v>2370</v>
      </c>
      <c r="G606" s="312"/>
      <c r="H606" s="312">
        <v>118.97</v>
      </c>
      <c r="I606" s="312">
        <v>8.25</v>
      </c>
      <c r="J606" s="312">
        <v>144.36000000000001</v>
      </c>
      <c r="K606" s="312">
        <v>52.940000000000005</v>
      </c>
      <c r="M606" t="s">
        <v>2370</v>
      </c>
      <c r="N606" s="312"/>
      <c r="O606" s="312">
        <v>59844.67</v>
      </c>
      <c r="P606" s="312">
        <v>4933.8999999999996</v>
      </c>
      <c r="Q606" s="312">
        <v>46462.97</v>
      </c>
      <c r="R606" s="312">
        <v>20988.129999999997</v>
      </c>
    </row>
    <row r="607" spans="6:18">
      <c r="F607" t="s">
        <v>2371</v>
      </c>
      <c r="G607" s="312">
        <v>0.71</v>
      </c>
      <c r="H607" s="312">
        <v>192.59</v>
      </c>
      <c r="I607" s="312">
        <v>33.31</v>
      </c>
      <c r="J607" s="312">
        <v>313.32</v>
      </c>
      <c r="K607" s="312">
        <v>81.39</v>
      </c>
      <c r="M607" t="s">
        <v>2371</v>
      </c>
      <c r="N607" s="312">
        <v>201.63</v>
      </c>
      <c r="O607" s="312">
        <v>78135.44</v>
      </c>
      <c r="P607" s="312">
        <v>22422.75</v>
      </c>
      <c r="Q607" s="312">
        <v>176782.81</v>
      </c>
      <c r="R607" s="312">
        <v>38500.04</v>
      </c>
    </row>
    <row r="608" spans="6:18">
      <c r="F608" t="s">
        <v>2372</v>
      </c>
      <c r="G608" s="312">
        <v>0.71</v>
      </c>
      <c r="H608" s="312">
        <v>309.18</v>
      </c>
      <c r="I608" s="312">
        <v>16.02</v>
      </c>
      <c r="J608" s="312">
        <v>299.51</v>
      </c>
      <c r="K608" s="312">
        <v>89.36</v>
      </c>
      <c r="M608" t="s">
        <v>2372</v>
      </c>
      <c r="N608" s="312">
        <v>65.069999999999993</v>
      </c>
      <c r="O608" s="312">
        <v>123253.22</v>
      </c>
      <c r="P608" s="312">
        <v>10353.99</v>
      </c>
      <c r="Q608" s="312">
        <v>158614.95000000001</v>
      </c>
      <c r="R608" s="312">
        <v>19681.72</v>
      </c>
    </row>
    <row r="609" spans="6:18">
      <c r="F609" t="s">
        <v>2373</v>
      </c>
      <c r="G609" s="312">
        <v>0.71</v>
      </c>
      <c r="H609" s="312">
        <v>281.48</v>
      </c>
      <c r="I609" s="312">
        <v>35.01</v>
      </c>
      <c r="J609" s="312">
        <v>341.69</v>
      </c>
      <c r="K609" s="312">
        <v>44.69</v>
      </c>
      <c r="M609" t="s">
        <v>2373</v>
      </c>
      <c r="N609" s="312">
        <v>196.65</v>
      </c>
      <c r="O609" s="312">
        <v>136393.41999999998</v>
      </c>
      <c r="P609" s="312">
        <v>36343.14</v>
      </c>
      <c r="Q609" s="312">
        <v>213980.53</v>
      </c>
      <c r="R609" s="312">
        <v>18015.47</v>
      </c>
    </row>
    <row r="610" spans="6:18">
      <c r="F610" t="s">
        <v>2374</v>
      </c>
      <c r="G610" s="312">
        <v>14.98</v>
      </c>
      <c r="H610" s="312">
        <v>236.14</v>
      </c>
      <c r="I610" s="312">
        <v>72.13</v>
      </c>
      <c r="J610" s="312">
        <v>336.27</v>
      </c>
      <c r="K610" s="312">
        <v>89.63</v>
      </c>
      <c r="M610" t="s">
        <v>2374</v>
      </c>
      <c r="N610" s="312">
        <v>8212.91</v>
      </c>
      <c r="O610" s="312">
        <v>88627.09</v>
      </c>
      <c r="P610" s="312">
        <v>43335.1</v>
      </c>
      <c r="Q610" s="312">
        <v>182513.52</v>
      </c>
      <c r="R610" s="312">
        <v>38371.17</v>
      </c>
    </row>
    <row r="611" spans="6:18">
      <c r="F611" t="s">
        <v>2375</v>
      </c>
      <c r="G611" s="312">
        <v>0.71</v>
      </c>
      <c r="H611" s="312">
        <v>272.76</v>
      </c>
      <c r="I611" s="312">
        <v>19.420000000000002</v>
      </c>
      <c r="J611" s="312">
        <v>291.01</v>
      </c>
      <c r="K611" s="312">
        <v>98.87</v>
      </c>
      <c r="M611" t="s">
        <v>2375</v>
      </c>
      <c r="N611" s="312">
        <v>231.16</v>
      </c>
      <c r="O611" s="312">
        <v>136360.70000000001</v>
      </c>
      <c r="P611" s="312">
        <v>25190.77</v>
      </c>
      <c r="Q611" s="312">
        <v>192000.75</v>
      </c>
      <c r="R611" s="312">
        <v>55475.659999999996</v>
      </c>
    </row>
    <row r="612" spans="6:18">
      <c r="F612" t="s">
        <v>2376</v>
      </c>
      <c r="G612" s="312">
        <v>5.8900000000000006</v>
      </c>
      <c r="H612" s="312">
        <v>188.54000000000002</v>
      </c>
      <c r="I612" s="312">
        <v>16.95</v>
      </c>
      <c r="J612" s="312">
        <v>143.81</v>
      </c>
      <c r="K612" s="312">
        <v>30.29</v>
      </c>
      <c r="M612" t="s">
        <v>2376</v>
      </c>
      <c r="N612" s="312">
        <v>1212.08</v>
      </c>
      <c r="O612" s="312">
        <v>85795.42</v>
      </c>
      <c r="P612" s="312">
        <v>6420.73</v>
      </c>
      <c r="Q612" s="312">
        <v>83599.33</v>
      </c>
      <c r="R612" s="312">
        <v>8435.89</v>
      </c>
    </row>
    <row r="613" spans="6:18">
      <c r="F613" t="s">
        <v>2377</v>
      </c>
      <c r="G613" s="312"/>
      <c r="H613" s="312">
        <v>141.52999999999997</v>
      </c>
      <c r="I613" s="312">
        <v>0.63</v>
      </c>
      <c r="J613" s="312">
        <v>129.18</v>
      </c>
      <c r="K613" s="312">
        <v>64.27</v>
      </c>
      <c r="M613" t="s">
        <v>2377</v>
      </c>
      <c r="N613" s="312"/>
      <c r="O613" s="312">
        <v>56786.83</v>
      </c>
      <c r="P613" s="312">
        <v>95.72</v>
      </c>
      <c r="Q613" s="312">
        <v>63802.2</v>
      </c>
      <c r="R613" s="312">
        <v>34495.03</v>
      </c>
    </row>
    <row r="614" spans="6:18">
      <c r="F614" t="s">
        <v>2378</v>
      </c>
      <c r="G614" s="312">
        <v>5.07</v>
      </c>
      <c r="H614" s="312">
        <v>135.82999999999998</v>
      </c>
      <c r="I614" s="312">
        <v>25.860000000000003</v>
      </c>
      <c r="J614" s="312">
        <v>321.24</v>
      </c>
      <c r="K614" s="312">
        <v>94.15</v>
      </c>
      <c r="M614" t="s">
        <v>2378</v>
      </c>
      <c r="N614" s="312">
        <v>2396.67</v>
      </c>
      <c r="O614" s="312">
        <v>50411.54</v>
      </c>
      <c r="P614" s="312">
        <v>9527.0700000000015</v>
      </c>
      <c r="Q614" s="312">
        <v>206191.02000000002</v>
      </c>
      <c r="R614" s="312">
        <v>31997.17</v>
      </c>
    </row>
    <row r="615" spans="6:18">
      <c r="F615" t="s">
        <v>2379</v>
      </c>
      <c r="G615" s="312"/>
      <c r="H615" s="312">
        <v>247.38000000000002</v>
      </c>
      <c r="I615" s="312">
        <v>11.82</v>
      </c>
      <c r="J615" s="312">
        <v>246.32999999999998</v>
      </c>
      <c r="K615" s="312">
        <v>166.45999999999998</v>
      </c>
      <c r="M615" t="s">
        <v>2379</v>
      </c>
      <c r="N615" s="312"/>
      <c r="O615" s="312">
        <v>103421.86</v>
      </c>
      <c r="P615" s="312">
        <v>6254.69</v>
      </c>
      <c r="Q615" s="312">
        <v>123842.04000000001</v>
      </c>
      <c r="R615" s="312">
        <v>49852.639999999999</v>
      </c>
    </row>
    <row r="616" spans="6:18">
      <c r="F616" t="s">
        <v>2380</v>
      </c>
      <c r="G616" s="312">
        <v>0.89</v>
      </c>
      <c r="H616" s="312">
        <v>258.47000000000003</v>
      </c>
      <c r="I616" s="312">
        <v>10.029999999999999</v>
      </c>
      <c r="J616" s="312">
        <v>238.17</v>
      </c>
      <c r="K616" s="312">
        <v>146.16</v>
      </c>
      <c r="M616" t="s">
        <v>2380</v>
      </c>
      <c r="N616" s="312">
        <v>119.63</v>
      </c>
      <c r="O616" s="312">
        <v>112118.61</v>
      </c>
      <c r="P616" s="312">
        <v>3887.86</v>
      </c>
      <c r="Q616" s="312">
        <v>99941.739999999991</v>
      </c>
      <c r="R616" s="312">
        <v>32222.18</v>
      </c>
    </row>
    <row r="617" spans="6:18">
      <c r="F617" t="s">
        <v>2381</v>
      </c>
      <c r="G617" s="312">
        <v>4.1500000000000004</v>
      </c>
      <c r="H617" s="312">
        <v>214.26999999999998</v>
      </c>
      <c r="I617" s="312">
        <v>15.99</v>
      </c>
      <c r="J617" s="312">
        <v>300.56</v>
      </c>
      <c r="K617" s="312">
        <v>92.07</v>
      </c>
      <c r="M617" t="s">
        <v>2381</v>
      </c>
      <c r="N617" s="312">
        <v>1712.02</v>
      </c>
      <c r="O617" s="312">
        <v>104503.35</v>
      </c>
      <c r="P617" s="312">
        <v>5641.23</v>
      </c>
      <c r="Q617" s="312">
        <v>119443.99</v>
      </c>
      <c r="R617" s="312">
        <v>29399.059999999998</v>
      </c>
    </row>
    <row r="618" spans="6:18">
      <c r="F618" t="s">
        <v>2382</v>
      </c>
      <c r="G618" s="312">
        <v>16.95</v>
      </c>
      <c r="H618" s="312">
        <v>225.09</v>
      </c>
      <c r="I618" s="312">
        <v>10.74</v>
      </c>
      <c r="J618" s="312">
        <v>266.55</v>
      </c>
      <c r="K618" s="312">
        <v>149.81</v>
      </c>
      <c r="M618" t="s">
        <v>2382</v>
      </c>
      <c r="N618" s="312">
        <v>9061.85</v>
      </c>
      <c r="O618" s="312">
        <v>119094.03</v>
      </c>
      <c r="P618" s="312">
        <v>8396.48</v>
      </c>
      <c r="Q618" s="312">
        <v>147053.36000000002</v>
      </c>
      <c r="R618" s="312">
        <v>56691.009999999995</v>
      </c>
    </row>
    <row r="619" spans="6:18">
      <c r="F619" t="s">
        <v>2383</v>
      </c>
      <c r="G619" s="312">
        <v>5.63</v>
      </c>
      <c r="H619" s="312">
        <v>132.69999999999999</v>
      </c>
      <c r="I619" s="312">
        <v>18.329999999999998</v>
      </c>
      <c r="J619" s="312">
        <v>196.16</v>
      </c>
      <c r="K619" s="312">
        <v>81.64</v>
      </c>
      <c r="M619" t="s">
        <v>2383</v>
      </c>
      <c r="N619" s="312">
        <v>2846.7400000000002</v>
      </c>
      <c r="O619" s="312">
        <v>86234.19</v>
      </c>
      <c r="P619" s="312">
        <v>13231</v>
      </c>
      <c r="Q619" s="312">
        <v>132935.18</v>
      </c>
      <c r="R619" s="312">
        <v>27850.880000000001</v>
      </c>
    </row>
    <row r="620" spans="6:18">
      <c r="F620" t="s">
        <v>2384</v>
      </c>
      <c r="G620" s="312">
        <v>1.24</v>
      </c>
      <c r="H620" s="312">
        <v>156.44999999999999</v>
      </c>
      <c r="I620" s="312">
        <v>7.93</v>
      </c>
      <c r="J620" s="312">
        <v>154.07</v>
      </c>
      <c r="K620" s="312">
        <v>46.25</v>
      </c>
      <c r="M620" t="s">
        <v>2384</v>
      </c>
      <c r="N620" s="312">
        <v>2228.1999999999998</v>
      </c>
      <c r="O620" s="312">
        <v>70811.759999999995</v>
      </c>
      <c r="P620" s="312">
        <v>5312.3600000000006</v>
      </c>
      <c r="Q620" s="312">
        <v>83375.289999999994</v>
      </c>
      <c r="R620" s="312">
        <v>12866.51</v>
      </c>
    </row>
    <row r="621" spans="6:18">
      <c r="F621" t="s">
        <v>2385</v>
      </c>
      <c r="G621" s="312"/>
      <c r="H621" s="312">
        <v>210.17000000000002</v>
      </c>
      <c r="I621" s="312">
        <v>39.04</v>
      </c>
      <c r="J621" s="312">
        <v>358.42</v>
      </c>
      <c r="K621" s="312">
        <v>64.72</v>
      </c>
      <c r="M621" t="s">
        <v>2385</v>
      </c>
      <c r="N621" s="312"/>
      <c r="O621" s="312">
        <v>86451.040000000008</v>
      </c>
      <c r="P621" s="312">
        <v>26706.080000000002</v>
      </c>
      <c r="Q621" s="312">
        <v>173969.19</v>
      </c>
      <c r="R621" s="312">
        <v>17431.53</v>
      </c>
    </row>
    <row r="622" spans="6:18">
      <c r="F622" t="s">
        <v>2386</v>
      </c>
      <c r="G622" s="312">
        <v>0.79</v>
      </c>
      <c r="H622" s="312">
        <v>178.3</v>
      </c>
      <c r="I622" s="312">
        <v>4.7699999999999996</v>
      </c>
      <c r="J622" s="312">
        <v>279.14</v>
      </c>
      <c r="K622" s="312">
        <v>83.5</v>
      </c>
      <c r="M622" t="s">
        <v>2386</v>
      </c>
      <c r="N622" s="312">
        <v>288.20999999999998</v>
      </c>
      <c r="O622" s="312">
        <v>96184.36</v>
      </c>
      <c r="P622" s="312">
        <v>1746.29</v>
      </c>
      <c r="Q622" s="312">
        <v>182659.09</v>
      </c>
      <c r="R622" s="312">
        <v>18888.8</v>
      </c>
    </row>
    <row r="623" spans="6:18">
      <c r="F623" t="s">
        <v>2387</v>
      </c>
      <c r="G623" s="312">
        <v>6.2</v>
      </c>
      <c r="H623" s="312">
        <v>434.67999999999995</v>
      </c>
      <c r="I623" s="312">
        <v>0.71</v>
      </c>
      <c r="J623" s="312">
        <v>313.39999999999998</v>
      </c>
      <c r="K623" s="312">
        <v>80.67</v>
      </c>
      <c r="M623" t="s">
        <v>2387</v>
      </c>
      <c r="N623" s="312">
        <v>2780.96</v>
      </c>
      <c r="O623" s="312">
        <v>291970.24</v>
      </c>
      <c r="P623" s="312">
        <v>1685.09</v>
      </c>
      <c r="Q623" s="312">
        <v>195018.61</v>
      </c>
      <c r="R623" s="312">
        <v>36180.81</v>
      </c>
    </row>
    <row r="624" spans="6:18">
      <c r="F624" t="s">
        <v>2388</v>
      </c>
      <c r="G624" s="312"/>
      <c r="H624" s="312">
        <v>201.14000000000001</v>
      </c>
      <c r="I624" s="312">
        <v>42.160000000000004</v>
      </c>
      <c r="J624" s="312">
        <v>385.71000000000004</v>
      </c>
      <c r="K624" s="312">
        <v>56.730000000000004</v>
      </c>
      <c r="M624" t="s">
        <v>2388</v>
      </c>
      <c r="N624" s="312"/>
      <c r="O624" s="312">
        <v>117082.09</v>
      </c>
      <c r="P624" s="312">
        <v>28871.06</v>
      </c>
      <c r="Q624" s="312">
        <v>327848.57</v>
      </c>
      <c r="R624" s="312">
        <v>35851.85</v>
      </c>
    </row>
    <row r="625" spans="6:18">
      <c r="F625" t="s">
        <v>2389</v>
      </c>
      <c r="G625" s="312">
        <v>0.79</v>
      </c>
      <c r="H625" s="312">
        <v>303.58000000000004</v>
      </c>
      <c r="I625" s="312">
        <v>23.27</v>
      </c>
      <c r="J625" s="312">
        <v>302.16000000000003</v>
      </c>
      <c r="K625" s="312">
        <v>123.88</v>
      </c>
      <c r="M625" t="s">
        <v>2389</v>
      </c>
      <c r="N625" s="312">
        <v>196.87</v>
      </c>
      <c r="O625" s="312">
        <v>155619.69</v>
      </c>
      <c r="P625" s="312">
        <v>12161.52</v>
      </c>
      <c r="Q625" s="312">
        <v>150548.31</v>
      </c>
      <c r="R625" s="312">
        <v>38054.400000000001</v>
      </c>
    </row>
    <row r="626" spans="6:18">
      <c r="F626" t="s">
        <v>2390</v>
      </c>
      <c r="G626" s="312"/>
      <c r="H626" s="312">
        <v>153.56</v>
      </c>
      <c r="I626" s="312">
        <v>9.64</v>
      </c>
      <c r="J626" s="312">
        <v>199.49</v>
      </c>
      <c r="K626" s="312">
        <v>43.82</v>
      </c>
      <c r="M626" t="s">
        <v>2390</v>
      </c>
      <c r="N626" s="312"/>
      <c r="O626" s="312">
        <v>70324.5</v>
      </c>
      <c r="P626" s="312">
        <v>8383.09</v>
      </c>
      <c r="Q626" s="312">
        <v>83311.34</v>
      </c>
      <c r="R626" s="312">
        <v>14183.380000000001</v>
      </c>
    </row>
    <row r="627" spans="6:18">
      <c r="F627" t="s">
        <v>2391</v>
      </c>
      <c r="G627" s="312"/>
      <c r="H627" s="312">
        <v>144.11000000000001</v>
      </c>
      <c r="I627" s="312">
        <v>3.97</v>
      </c>
      <c r="J627" s="312">
        <v>126.16</v>
      </c>
      <c r="K627" s="312">
        <v>53.709999999999994</v>
      </c>
      <c r="M627" t="s">
        <v>2391</v>
      </c>
      <c r="N627" s="312"/>
      <c r="O627" s="312">
        <v>50530.14</v>
      </c>
      <c r="P627" s="312">
        <v>2965.17</v>
      </c>
      <c r="Q627" s="312">
        <v>67941.64</v>
      </c>
      <c r="R627" s="312">
        <v>13593.169999999998</v>
      </c>
    </row>
    <row r="628" spans="6:18">
      <c r="F628" t="s">
        <v>2392</v>
      </c>
      <c r="G628" s="312">
        <v>8.6199999999999992</v>
      </c>
      <c r="H628" s="312">
        <v>183.39</v>
      </c>
      <c r="I628" s="312">
        <v>24.54</v>
      </c>
      <c r="J628" s="312">
        <v>359.45</v>
      </c>
      <c r="K628" s="312">
        <v>71.320000000000007</v>
      </c>
      <c r="M628" t="s">
        <v>2392</v>
      </c>
      <c r="N628" s="312">
        <v>3340.45</v>
      </c>
      <c r="O628" s="312">
        <v>80386.22</v>
      </c>
      <c r="P628" s="312">
        <v>15143.769999999999</v>
      </c>
      <c r="Q628" s="312">
        <v>256369.59999999998</v>
      </c>
      <c r="R628" s="312">
        <v>22777.77</v>
      </c>
    </row>
    <row r="629" spans="6:18">
      <c r="F629" t="s">
        <v>2393</v>
      </c>
      <c r="G629" s="312">
        <v>1</v>
      </c>
      <c r="H629" s="312">
        <v>297.27</v>
      </c>
      <c r="I629" s="312">
        <v>32.18</v>
      </c>
      <c r="J629" s="312">
        <v>343.21</v>
      </c>
      <c r="K629" s="312">
        <v>60.209999999999994</v>
      </c>
      <c r="M629" t="s">
        <v>2393</v>
      </c>
      <c r="N629" s="312">
        <v>366.27</v>
      </c>
      <c r="O629" s="312">
        <v>186827.28</v>
      </c>
      <c r="P629" s="312">
        <v>22393.65</v>
      </c>
      <c r="Q629" s="312">
        <v>205953.53999999998</v>
      </c>
      <c r="R629" s="312">
        <v>25193.03</v>
      </c>
    </row>
    <row r="630" spans="6:18">
      <c r="F630" t="s">
        <v>2394</v>
      </c>
      <c r="G630" s="312">
        <v>4.58</v>
      </c>
      <c r="H630" s="312">
        <v>225.81</v>
      </c>
      <c r="I630" s="312">
        <v>17.200000000000003</v>
      </c>
      <c r="J630" s="312">
        <v>384.46999999999997</v>
      </c>
      <c r="K630" s="312">
        <v>102.71000000000001</v>
      </c>
      <c r="M630" t="s">
        <v>2394</v>
      </c>
      <c r="N630" s="312">
        <v>3655.75</v>
      </c>
      <c r="O630" s="312">
        <v>125328.70999999999</v>
      </c>
      <c r="P630" s="312">
        <v>10194.5</v>
      </c>
      <c r="Q630" s="312">
        <v>313860.96999999997</v>
      </c>
      <c r="R630" s="312">
        <v>27302.339999999997</v>
      </c>
    </row>
    <row r="631" spans="6:18">
      <c r="F631" t="s">
        <v>2395</v>
      </c>
      <c r="G631" s="312"/>
      <c r="H631" s="312">
        <v>241.32</v>
      </c>
      <c r="I631" s="312">
        <v>5.82</v>
      </c>
      <c r="J631" s="312">
        <v>347.91</v>
      </c>
      <c r="K631" s="312">
        <v>79.78</v>
      </c>
      <c r="M631" t="s">
        <v>2395</v>
      </c>
      <c r="N631" s="312"/>
      <c r="O631" s="312">
        <v>105622.06</v>
      </c>
      <c r="P631" s="312">
        <v>3796.07</v>
      </c>
      <c r="Q631" s="312">
        <v>175412.87</v>
      </c>
      <c r="R631" s="312">
        <v>29486.98</v>
      </c>
    </row>
    <row r="632" spans="6:18">
      <c r="F632" t="s">
        <v>2396</v>
      </c>
      <c r="G632" s="312">
        <v>1.5</v>
      </c>
      <c r="H632" s="312">
        <v>237.94</v>
      </c>
      <c r="I632" s="312">
        <v>19.43</v>
      </c>
      <c r="J632" s="312">
        <v>339.96</v>
      </c>
      <c r="K632" s="312">
        <v>134.83000000000001</v>
      </c>
      <c r="M632" t="s">
        <v>2396</v>
      </c>
      <c r="N632" s="312">
        <v>463.33</v>
      </c>
      <c r="O632" s="312">
        <v>119805.28</v>
      </c>
      <c r="P632" s="312">
        <v>7912.92</v>
      </c>
      <c r="Q632" s="312">
        <v>187080.78</v>
      </c>
      <c r="R632" s="312">
        <v>56684.95</v>
      </c>
    </row>
    <row r="633" spans="6:18">
      <c r="F633" t="s">
        <v>2397</v>
      </c>
      <c r="G633" s="312">
        <v>0.72</v>
      </c>
      <c r="H633" s="312">
        <v>122.85999999999999</v>
      </c>
      <c r="I633" s="312">
        <v>11.32</v>
      </c>
      <c r="J633" s="312">
        <v>179.92000000000002</v>
      </c>
      <c r="K633" s="312">
        <v>25.86</v>
      </c>
      <c r="M633" t="s">
        <v>2397</v>
      </c>
      <c r="N633" s="312">
        <v>251.11</v>
      </c>
      <c r="O633" s="312">
        <v>58415.850000000006</v>
      </c>
      <c r="P633" s="312">
        <v>11607.39</v>
      </c>
      <c r="Q633" s="312">
        <v>142640.71</v>
      </c>
      <c r="R633" s="312">
        <v>10727.67</v>
      </c>
    </row>
    <row r="634" spans="6:18">
      <c r="F634" t="s">
        <v>2398</v>
      </c>
      <c r="G634" s="312"/>
      <c r="H634" s="312">
        <v>110</v>
      </c>
      <c r="I634" s="312">
        <v>4.88</v>
      </c>
      <c r="J634" s="312">
        <v>157.02000000000001</v>
      </c>
      <c r="K634" s="312">
        <v>74.099999999999994</v>
      </c>
      <c r="M634" t="s">
        <v>2398</v>
      </c>
      <c r="N634" s="312"/>
      <c r="O634" s="312">
        <v>57493.77</v>
      </c>
      <c r="P634" s="312">
        <v>3812.44</v>
      </c>
      <c r="Q634" s="312">
        <v>101960.06999999999</v>
      </c>
      <c r="R634" s="312">
        <v>44354.99</v>
      </c>
    </row>
    <row r="635" spans="6:18">
      <c r="F635" t="s">
        <v>2399</v>
      </c>
      <c r="G635" s="312">
        <v>1.46</v>
      </c>
      <c r="H635" s="312">
        <v>174.61</v>
      </c>
      <c r="I635" s="312">
        <v>28.7</v>
      </c>
      <c r="J635" s="312">
        <v>457.24</v>
      </c>
      <c r="K635" s="312">
        <v>135.87</v>
      </c>
      <c r="M635" t="s">
        <v>2399</v>
      </c>
      <c r="N635" s="312">
        <v>562.54</v>
      </c>
      <c r="O635" s="312">
        <v>124788.5</v>
      </c>
      <c r="P635" s="312">
        <v>29676.16</v>
      </c>
      <c r="Q635" s="312">
        <v>248231.18</v>
      </c>
      <c r="R635" s="312">
        <v>43785.05</v>
      </c>
    </row>
    <row r="636" spans="6:18">
      <c r="F636" t="s">
        <v>2400</v>
      </c>
      <c r="G636" s="312"/>
      <c r="H636" s="312">
        <v>249.07000000000002</v>
      </c>
      <c r="I636" s="312">
        <v>3.45</v>
      </c>
      <c r="J636" s="312">
        <v>264.23</v>
      </c>
      <c r="K636" s="312">
        <v>127.41</v>
      </c>
      <c r="M636" t="s">
        <v>2400</v>
      </c>
      <c r="N636" s="312"/>
      <c r="O636" s="312">
        <v>126008.53</v>
      </c>
      <c r="P636" s="312">
        <v>2419.23</v>
      </c>
      <c r="Q636" s="312">
        <v>141897.95000000001</v>
      </c>
      <c r="R636" s="312">
        <v>29962.29</v>
      </c>
    </row>
    <row r="637" spans="6:18">
      <c r="F637" t="s">
        <v>2401</v>
      </c>
      <c r="G637" s="312">
        <v>3.45</v>
      </c>
      <c r="H637" s="312">
        <v>155.88999999999999</v>
      </c>
      <c r="I637" s="312">
        <v>16.119999999999997</v>
      </c>
      <c r="J637" s="312">
        <v>341.77</v>
      </c>
      <c r="K637" s="312">
        <v>174.39</v>
      </c>
      <c r="M637" t="s">
        <v>2401</v>
      </c>
      <c r="N637" s="312">
        <v>1445.88</v>
      </c>
      <c r="O637" s="312">
        <v>98433.88</v>
      </c>
      <c r="P637" s="312">
        <v>11615.91</v>
      </c>
      <c r="Q637" s="312">
        <v>248639.17</v>
      </c>
      <c r="R637" s="312">
        <v>46433.979999999996</v>
      </c>
    </row>
    <row r="638" spans="6:18">
      <c r="F638" t="s">
        <v>2402</v>
      </c>
      <c r="G638" s="312">
        <v>3.45</v>
      </c>
      <c r="H638" s="312">
        <v>217.42000000000002</v>
      </c>
      <c r="I638" s="312">
        <v>5.98</v>
      </c>
      <c r="J638" s="312">
        <v>329.37</v>
      </c>
      <c r="K638" s="312">
        <v>124.66</v>
      </c>
      <c r="M638" t="s">
        <v>2402</v>
      </c>
      <c r="N638" s="312">
        <v>1600.35</v>
      </c>
      <c r="O638" s="312">
        <v>103966.47</v>
      </c>
      <c r="P638" s="312">
        <v>1485.25</v>
      </c>
      <c r="Q638" s="312">
        <v>261125.5</v>
      </c>
      <c r="R638" s="312">
        <v>37565.9</v>
      </c>
    </row>
    <row r="639" spans="6:18">
      <c r="F639" t="s">
        <v>2403</v>
      </c>
      <c r="G639" s="312">
        <v>4.8499999999999996</v>
      </c>
      <c r="H639" s="312">
        <v>176.97</v>
      </c>
      <c r="I639" s="312">
        <v>14.86</v>
      </c>
      <c r="J639" s="312">
        <v>222.7</v>
      </c>
      <c r="K639" s="312">
        <v>125.9</v>
      </c>
      <c r="M639" t="s">
        <v>2403</v>
      </c>
      <c r="N639" s="312">
        <v>4421.72</v>
      </c>
      <c r="O639" s="312">
        <v>99518.44</v>
      </c>
      <c r="P639" s="312">
        <v>22537.59</v>
      </c>
      <c r="Q639" s="312">
        <v>97901.18</v>
      </c>
      <c r="R639" s="312">
        <v>44278.92</v>
      </c>
    </row>
    <row r="640" spans="6:18">
      <c r="F640" t="s">
        <v>2404</v>
      </c>
      <c r="G640" s="312">
        <v>0.7</v>
      </c>
      <c r="H640" s="312">
        <v>100.96000000000001</v>
      </c>
      <c r="I640" s="312">
        <v>14.38</v>
      </c>
      <c r="J640" s="312">
        <v>217.11</v>
      </c>
      <c r="K640" s="312">
        <v>49.33</v>
      </c>
      <c r="M640" t="s">
        <v>2404</v>
      </c>
      <c r="N640" s="312">
        <v>297.13</v>
      </c>
      <c r="O640" s="312">
        <v>37821.97</v>
      </c>
      <c r="P640" s="312">
        <v>9756.8700000000008</v>
      </c>
      <c r="Q640" s="312">
        <v>194018.08000000002</v>
      </c>
      <c r="R640" s="312">
        <v>16523.41</v>
      </c>
    </row>
    <row r="641" spans="6:18">
      <c r="F641" t="s">
        <v>2405</v>
      </c>
      <c r="G641" s="312">
        <v>6.9</v>
      </c>
      <c r="H641" s="312">
        <v>137.74</v>
      </c>
      <c r="I641" s="312">
        <v>2.92</v>
      </c>
      <c r="J641" s="312">
        <v>173.32000000000002</v>
      </c>
      <c r="K641" s="312">
        <v>59.61</v>
      </c>
      <c r="M641" t="s">
        <v>2405</v>
      </c>
      <c r="N641" s="312">
        <v>2906.39</v>
      </c>
      <c r="O641" s="312">
        <v>76417.440000000002</v>
      </c>
      <c r="P641" s="312">
        <v>1825.04</v>
      </c>
      <c r="Q641" s="312">
        <v>112905.43</v>
      </c>
      <c r="R641" s="312">
        <v>17173.150000000001</v>
      </c>
    </row>
    <row r="642" spans="6:18">
      <c r="F642" t="s">
        <v>2406</v>
      </c>
      <c r="G642" s="312">
        <v>3.37</v>
      </c>
      <c r="H642" s="312">
        <v>244.89999999999998</v>
      </c>
      <c r="I642" s="312">
        <v>32.68</v>
      </c>
      <c r="J642" s="312">
        <v>365.81</v>
      </c>
      <c r="K642" s="312">
        <v>174.81</v>
      </c>
      <c r="M642" t="s">
        <v>2406</v>
      </c>
      <c r="N642" s="312">
        <v>1203.24</v>
      </c>
      <c r="O642" s="312">
        <v>137522.66</v>
      </c>
      <c r="P642" s="312">
        <v>28304.26</v>
      </c>
      <c r="Q642" s="312">
        <v>212477.64</v>
      </c>
      <c r="R642" s="312">
        <v>74327.91</v>
      </c>
    </row>
    <row r="643" spans="6:18">
      <c r="F643" t="s">
        <v>2407</v>
      </c>
      <c r="G643" s="312"/>
      <c r="H643" s="312">
        <v>289.55</v>
      </c>
      <c r="I643" s="312">
        <v>20.060000000000002</v>
      </c>
      <c r="J643" s="312">
        <v>245.37</v>
      </c>
      <c r="K643" s="312">
        <v>104.56</v>
      </c>
      <c r="M643" t="s">
        <v>2407</v>
      </c>
      <c r="N643" s="312"/>
      <c r="O643" s="312">
        <v>151021.66</v>
      </c>
      <c r="P643" s="312">
        <v>20655.73</v>
      </c>
      <c r="Q643" s="312">
        <v>126869.59</v>
      </c>
      <c r="R643" s="312">
        <v>39678.99</v>
      </c>
    </row>
    <row r="644" spans="6:18">
      <c r="F644" t="s">
        <v>2408</v>
      </c>
      <c r="G644" s="312">
        <v>10.899999999999999</v>
      </c>
      <c r="H644" s="312">
        <v>185</v>
      </c>
      <c r="I644" s="312">
        <v>4.07</v>
      </c>
      <c r="J644" s="312">
        <v>286.84000000000003</v>
      </c>
      <c r="K644" s="312">
        <v>122.9</v>
      </c>
      <c r="M644" t="s">
        <v>2408</v>
      </c>
      <c r="N644" s="312">
        <v>5991.02</v>
      </c>
      <c r="O644" s="312">
        <v>108524.9</v>
      </c>
      <c r="P644" s="312">
        <v>3195.98</v>
      </c>
      <c r="Q644" s="312">
        <v>155719.72</v>
      </c>
      <c r="R644" s="312">
        <v>31344.58</v>
      </c>
    </row>
    <row r="645" spans="6:18">
      <c r="F645" t="s">
        <v>2409</v>
      </c>
      <c r="G645" s="312">
        <v>7.37</v>
      </c>
      <c r="H645" s="312">
        <v>212.73999999999998</v>
      </c>
      <c r="I645" s="312">
        <v>1.61</v>
      </c>
      <c r="J645" s="312">
        <v>304.13</v>
      </c>
      <c r="K645" s="312">
        <v>110.14</v>
      </c>
      <c r="M645" t="s">
        <v>2409</v>
      </c>
      <c r="N645" s="312">
        <v>5855.09</v>
      </c>
      <c r="O645" s="312">
        <v>104612.48000000001</v>
      </c>
      <c r="P645" s="312">
        <v>432.86</v>
      </c>
      <c r="Q645" s="312">
        <v>175564.78</v>
      </c>
      <c r="R645" s="312">
        <v>58678.9</v>
      </c>
    </row>
    <row r="646" spans="6:18">
      <c r="F646" t="s">
        <v>2410</v>
      </c>
      <c r="G646" s="312">
        <v>4.4800000000000004</v>
      </c>
      <c r="H646" s="312">
        <v>254.6</v>
      </c>
      <c r="I646" s="312">
        <v>30.16</v>
      </c>
      <c r="J646" s="312">
        <v>234.04999999999998</v>
      </c>
      <c r="K646" s="312">
        <v>69.17</v>
      </c>
      <c r="M646" t="s">
        <v>2410</v>
      </c>
      <c r="N646" s="312">
        <v>1109.56</v>
      </c>
      <c r="O646" s="312">
        <v>136302.79</v>
      </c>
      <c r="P646" s="312">
        <v>36347.760000000002</v>
      </c>
      <c r="Q646" s="312">
        <v>107159.99</v>
      </c>
      <c r="R646" s="312">
        <v>17604.2</v>
      </c>
    </row>
    <row r="647" spans="6:18">
      <c r="F647" t="s">
        <v>2411</v>
      </c>
      <c r="G647" s="312"/>
      <c r="H647" s="312">
        <v>136.47999999999999</v>
      </c>
      <c r="I647" s="312">
        <v>27.419999999999998</v>
      </c>
      <c r="J647" s="312">
        <v>146.45000000000002</v>
      </c>
      <c r="K647" s="312">
        <v>54.67</v>
      </c>
      <c r="M647" t="s">
        <v>2411</v>
      </c>
      <c r="N647" s="312"/>
      <c r="O647" s="312">
        <v>63903.8</v>
      </c>
      <c r="P647" s="312">
        <v>27064.62</v>
      </c>
      <c r="Q647" s="312">
        <v>83787.86</v>
      </c>
      <c r="R647" s="312">
        <v>26349.77</v>
      </c>
    </row>
    <row r="648" spans="6:18">
      <c r="F648" t="s">
        <v>2412</v>
      </c>
      <c r="G648" s="312">
        <v>2.48</v>
      </c>
      <c r="H648" s="312">
        <v>103.41</v>
      </c>
      <c r="I648" s="312">
        <v>4.57</v>
      </c>
      <c r="J648" s="312">
        <v>230.22</v>
      </c>
      <c r="K648" s="312">
        <v>65.36</v>
      </c>
      <c r="M648" t="s">
        <v>2412</v>
      </c>
      <c r="N648" s="312">
        <v>935.94</v>
      </c>
      <c r="O648" s="312">
        <v>52567.19</v>
      </c>
      <c r="P648" s="312">
        <v>1273.23</v>
      </c>
      <c r="Q648" s="312">
        <v>129942.47</v>
      </c>
      <c r="R648" s="312">
        <v>22775.239999999998</v>
      </c>
    </row>
    <row r="649" spans="6:18">
      <c r="F649" t="s">
        <v>2413</v>
      </c>
      <c r="G649" s="312"/>
      <c r="H649" s="312">
        <v>249.27</v>
      </c>
      <c r="I649" s="312">
        <v>25.669999999999998</v>
      </c>
      <c r="J649" s="312">
        <v>563.32999999999993</v>
      </c>
      <c r="K649" s="312">
        <v>93.68</v>
      </c>
      <c r="M649" t="s">
        <v>2413</v>
      </c>
      <c r="N649" s="312"/>
      <c r="O649" s="312">
        <v>112105.56</v>
      </c>
      <c r="P649" s="312">
        <v>24260.600000000002</v>
      </c>
      <c r="Q649" s="312">
        <v>309719.42</v>
      </c>
      <c r="R649" s="312">
        <v>26284.239999999998</v>
      </c>
    </row>
    <row r="650" spans="6:18">
      <c r="F650" t="s">
        <v>2414</v>
      </c>
      <c r="G650" s="312">
        <v>2</v>
      </c>
      <c r="H650" s="312">
        <v>262.28999999999996</v>
      </c>
      <c r="I650" s="312">
        <v>15.860000000000001</v>
      </c>
      <c r="J650" s="312">
        <v>228.91</v>
      </c>
      <c r="K650" s="312">
        <v>83.19</v>
      </c>
      <c r="M650" t="s">
        <v>2414</v>
      </c>
      <c r="N650" s="312">
        <v>690.56</v>
      </c>
      <c r="O650" s="312">
        <v>104499.12</v>
      </c>
      <c r="P650" s="312">
        <v>15237.57</v>
      </c>
      <c r="Q650" s="312">
        <v>125396.41</v>
      </c>
      <c r="R650" s="312">
        <v>22626.400000000001</v>
      </c>
    </row>
    <row r="651" spans="6:18">
      <c r="F651" t="s">
        <v>2415</v>
      </c>
      <c r="G651" s="312">
        <v>4.49</v>
      </c>
      <c r="H651" s="312">
        <v>209.09</v>
      </c>
      <c r="I651" s="312">
        <v>18</v>
      </c>
      <c r="J651" s="312">
        <v>329.71</v>
      </c>
      <c r="K651" s="312">
        <v>87.54</v>
      </c>
      <c r="M651" t="s">
        <v>2415</v>
      </c>
      <c r="N651" s="312">
        <v>2142.9299999999998</v>
      </c>
      <c r="O651" s="312">
        <v>102230.67</v>
      </c>
      <c r="P651" s="312">
        <v>8244.7900000000009</v>
      </c>
      <c r="Q651" s="312">
        <v>226795.88</v>
      </c>
      <c r="R651" s="312">
        <v>31551.11</v>
      </c>
    </row>
    <row r="652" spans="6:18">
      <c r="F652" t="s">
        <v>2416</v>
      </c>
      <c r="G652" s="312">
        <v>1.34</v>
      </c>
      <c r="H652" s="312">
        <v>181.52</v>
      </c>
      <c r="I652" s="312">
        <v>4.17</v>
      </c>
      <c r="J652" s="312">
        <v>319.28999999999996</v>
      </c>
      <c r="K652" s="312">
        <v>104.81</v>
      </c>
      <c r="M652" t="s">
        <v>2416</v>
      </c>
      <c r="N652" s="312">
        <v>252.45</v>
      </c>
      <c r="O652" s="312">
        <v>122176.45</v>
      </c>
      <c r="P652" s="312">
        <v>6012.68</v>
      </c>
      <c r="Q652" s="312">
        <v>172773.24000000002</v>
      </c>
      <c r="R652" s="312">
        <v>38834.869999999995</v>
      </c>
    </row>
    <row r="653" spans="6:18">
      <c r="F653" t="s">
        <v>2417</v>
      </c>
      <c r="G653" s="312"/>
      <c r="H653" s="312">
        <v>233.03</v>
      </c>
      <c r="I653" s="312">
        <v>8.84</v>
      </c>
      <c r="J653" s="312">
        <v>309.96000000000004</v>
      </c>
      <c r="K653" s="312">
        <v>84.05</v>
      </c>
      <c r="M653" t="s">
        <v>2417</v>
      </c>
      <c r="N653" s="312"/>
      <c r="O653" s="312">
        <v>129612.62000000001</v>
      </c>
      <c r="P653" s="312">
        <v>5832.91</v>
      </c>
      <c r="Q653" s="312">
        <v>150752.87</v>
      </c>
      <c r="R653" s="312">
        <v>19498.060000000001</v>
      </c>
    </row>
    <row r="654" spans="6:18">
      <c r="F654" t="s">
        <v>2418</v>
      </c>
      <c r="G654" s="312"/>
      <c r="H654" s="312">
        <v>158</v>
      </c>
      <c r="I654" s="312">
        <v>9.3000000000000007</v>
      </c>
      <c r="J654" s="312">
        <v>156.28</v>
      </c>
      <c r="K654" s="312">
        <v>91.17</v>
      </c>
      <c r="M654" t="s">
        <v>2418</v>
      </c>
      <c r="N654" s="312"/>
      <c r="O654" s="312">
        <v>73293.73</v>
      </c>
      <c r="P654" s="312">
        <v>7939.25</v>
      </c>
      <c r="Q654" s="312">
        <v>82748.91</v>
      </c>
      <c r="R654" s="312">
        <v>24512.93</v>
      </c>
    </row>
    <row r="655" spans="6:18">
      <c r="F655" t="s">
        <v>2419</v>
      </c>
      <c r="G655" s="312"/>
      <c r="H655" s="312">
        <v>126.4</v>
      </c>
      <c r="I655" s="312">
        <v>0.73</v>
      </c>
      <c r="J655" s="312">
        <v>95.25</v>
      </c>
      <c r="K655" s="312">
        <v>48.59</v>
      </c>
      <c r="M655" t="s">
        <v>2419</v>
      </c>
      <c r="N655" s="312"/>
      <c r="O655" s="312">
        <v>69117.91</v>
      </c>
      <c r="P655" s="312">
        <v>1399.34</v>
      </c>
      <c r="Q655" s="312">
        <v>70359.179999999993</v>
      </c>
      <c r="R655" s="312">
        <v>18796.07</v>
      </c>
    </row>
    <row r="656" spans="6:18">
      <c r="F656" t="s">
        <v>2420</v>
      </c>
      <c r="G656" s="312">
        <v>1.47</v>
      </c>
      <c r="H656" s="312">
        <v>169.78</v>
      </c>
      <c r="I656" s="312">
        <v>25.78</v>
      </c>
      <c r="J656" s="312">
        <v>403.86</v>
      </c>
      <c r="K656" s="312">
        <v>67.89</v>
      </c>
      <c r="M656" t="s">
        <v>2420</v>
      </c>
      <c r="N656" s="312">
        <v>659.37</v>
      </c>
      <c r="O656" s="312">
        <v>92478.82</v>
      </c>
      <c r="P656" s="312">
        <v>14615.45</v>
      </c>
      <c r="Q656" s="312">
        <v>306918.58</v>
      </c>
      <c r="R656" s="312">
        <v>17576.010000000002</v>
      </c>
    </row>
    <row r="657" spans="6:18">
      <c r="F657" t="s">
        <v>2421</v>
      </c>
      <c r="G657" s="312">
        <v>11.36</v>
      </c>
      <c r="H657" s="312">
        <v>164.42000000000002</v>
      </c>
      <c r="I657" s="312">
        <v>2.76</v>
      </c>
      <c r="J657" s="312">
        <v>305.39999999999998</v>
      </c>
      <c r="K657" s="312">
        <v>59.85</v>
      </c>
      <c r="M657" t="s">
        <v>2421</v>
      </c>
      <c r="N657" s="312">
        <v>2110.21</v>
      </c>
      <c r="O657" s="312">
        <v>84402.8</v>
      </c>
      <c r="P657" s="312">
        <v>2248.5300000000002</v>
      </c>
      <c r="Q657" s="312">
        <v>136993.9</v>
      </c>
      <c r="R657" s="312">
        <v>19066.7</v>
      </c>
    </row>
    <row r="658" spans="6:18">
      <c r="F658" t="s">
        <v>2422</v>
      </c>
      <c r="G658" s="312">
        <v>4.9300000000000006</v>
      </c>
      <c r="H658" s="312">
        <v>202.99</v>
      </c>
      <c r="I658" s="312">
        <v>9.73</v>
      </c>
      <c r="J658" s="312">
        <v>288.73</v>
      </c>
      <c r="K658" s="312">
        <v>94.32</v>
      </c>
      <c r="M658" t="s">
        <v>2422</v>
      </c>
      <c r="N658" s="312">
        <v>2880.81</v>
      </c>
      <c r="O658" s="312">
        <v>101639.25</v>
      </c>
      <c r="P658" s="312">
        <v>10223.040000000001</v>
      </c>
      <c r="Q658" s="312">
        <v>173825.84000000003</v>
      </c>
      <c r="R658" s="312">
        <v>36436.32</v>
      </c>
    </row>
    <row r="659" spans="6:18">
      <c r="F659" t="s">
        <v>2423</v>
      </c>
      <c r="G659" s="312">
        <v>3.96</v>
      </c>
      <c r="H659" s="312">
        <v>151.84</v>
      </c>
      <c r="I659" s="312">
        <v>38.550000000000004</v>
      </c>
      <c r="J659" s="312">
        <v>289.07</v>
      </c>
      <c r="K659" s="312">
        <v>111.97</v>
      </c>
      <c r="M659" t="s">
        <v>2423</v>
      </c>
      <c r="N659" s="312">
        <v>839.09</v>
      </c>
      <c r="O659" s="312">
        <v>71107.64</v>
      </c>
      <c r="P659" s="312">
        <v>31917.31</v>
      </c>
      <c r="Q659" s="312">
        <v>177701.99</v>
      </c>
      <c r="R659" s="312">
        <v>30618.57</v>
      </c>
    </row>
    <row r="660" spans="6:18">
      <c r="F660" t="s">
        <v>2424</v>
      </c>
      <c r="G660" s="312">
        <v>0.99</v>
      </c>
      <c r="H660" s="312">
        <v>170.37</v>
      </c>
      <c r="I660" s="312">
        <v>21.95</v>
      </c>
      <c r="J660" s="312">
        <v>375.68</v>
      </c>
      <c r="K660" s="312">
        <v>54.11</v>
      </c>
      <c r="M660" t="s">
        <v>2424</v>
      </c>
      <c r="N660" s="312">
        <v>262.33</v>
      </c>
      <c r="O660" s="312">
        <v>104201.15</v>
      </c>
      <c r="P660" s="312">
        <v>9106.7999999999993</v>
      </c>
      <c r="Q660" s="312">
        <v>209930</v>
      </c>
      <c r="R660" s="312">
        <v>26202.720000000001</v>
      </c>
    </row>
    <row r="661" spans="6:18">
      <c r="F661" t="s">
        <v>2425</v>
      </c>
      <c r="G661" s="312">
        <v>0.72</v>
      </c>
      <c r="H661" s="312">
        <v>115.47</v>
      </c>
      <c r="I661" s="312">
        <v>2.48</v>
      </c>
      <c r="J661" s="312">
        <v>114.72</v>
      </c>
      <c r="K661" s="312">
        <v>129.60999999999999</v>
      </c>
      <c r="M661" t="s">
        <v>2425</v>
      </c>
      <c r="N661" s="312">
        <v>549.26</v>
      </c>
      <c r="O661" s="312">
        <v>61175.72</v>
      </c>
      <c r="P661" s="312">
        <v>2030.84</v>
      </c>
      <c r="Q661" s="312">
        <v>52911.35</v>
      </c>
      <c r="R661" s="312">
        <v>27753.09</v>
      </c>
    </row>
    <row r="662" spans="6:18">
      <c r="F662" t="s">
        <v>2426</v>
      </c>
      <c r="G662" s="312">
        <v>4.68</v>
      </c>
      <c r="H662" s="312">
        <v>130.11000000000001</v>
      </c>
      <c r="I662" s="312">
        <v>11.87</v>
      </c>
      <c r="J662" s="312">
        <v>106.11</v>
      </c>
      <c r="K662" s="312">
        <v>68.33</v>
      </c>
      <c r="M662" t="s">
        <v>2426</v>
      </c>
      <c r="N662" s="312">
        <v>2784.33</v>
      </c>
      <c r="O662" s="312">
        <v>65780.160000000003</v>
      </c>
      <c r="P662" s="312">
        <v>2402.4899999999998</v>
      </c>
      <c r="Q662" s="312">
        <v>45236.119999999995</v>
      </c>
      <c r="R662" s="312">
        <v>28438.82</v>
      </c>
    </row>
    <row r="663" spans="6:18">
      <c r="F663" t="s">
        <v>2427</v>
      </c>
      <c r="G663" s="312">
        <v>2.35</v>
      </c>
      <c r="H663" s="312">
        <v>207.07</v>
      </c>
      <c r="I663" s="312">
        <v>31.759999999999998</v>
      </c>
      <c r="J663" s="312">
        <v>290.2</v>
      </c>
      <c r="K663" s="312">
        <v>97.75</v>
      </c>
      <c r="M663" t="s">
        <v>2427</v>
      </c>
      <c r="N663" s="312">
        <v>1659.75</v>
      </c>
      <c r="O663" s="312">
        <v>113574.08</v>
      </c>
      <c r="P663" s="312">
        <v>24530.35</v>
      </c>
      <c r="Q663" s="312">
        <v>163448.66</v>
      </c>
      <c r="R663" s="312">
        <v>29565.83</v>
      </c>
    </row>
    <row r="664" spans="6:18">
      <c r="F664" t="s">
        <v>2428</v>
      </c>
      <c r="G664" s="312">
        <v>1.6</v>
      </c>
      <c r="H664" s="312">
        <v>177.24</v>
      </c>
      <c r="I664" s="312">
        <v>3.07</v>
      </c>
      <c r="J664" s="312">
        <v>346.78</v>
      </c>
      <c r="K664" s="312">
        <v>146.69</v>
      </c>
      <c r="M664" t="s">
        <v>2428</v>
      </c>
      <c r="N664" s="312">
        <v>293.39999999999998</v>
      </c>
      <c r="O664" s="312">
        <v>91314.709999999992</v>
      </c>
      <c r="P664" s="312">
        <v>1905.17</v>
      </c>
      <c r="Q664" s="312">
        <v>255012.05</v>
      </c>
      <c r="R664" s="312">
        <v>47819.05</v>
      </c>
    </row>
    <row r="665" spans="6:18">
      <c r="F665" t="s">
        <v>2429</v>
      </c>
      <c r="G665" s="312"/>
      <c r="H665" s="312">
        <v>121.55000000000001</v>
      </c>
      <c r="I665" s="312">
        <v>7.63</v>
      </c>
      <c r="J665" s="312">
        <v>295.62</v>
      </c>
      <c r="K665" s="312">
        <v>78.37</v>
      </c>
      <c r="M665" t="s">
        <v>2429</v>
      </c>
      <c r="N665" s="312"/>
      <c r="O665" s="312">
        <v>66581.89</v>
      </c>
      <c r="P665" s="312">
        <v>6262.86</v>
      </c>
      <c r="Q665" s="312">
        <v>154805.62</v>
      </c>
      <c r="R665" s="312">
        <v>19951.63</v>
      </c>
    </row>
    <row r="666" spans="6:18">
      <c r="F666" t="s">
        <v>2430</v>
      </c>
      <c r="G666" s="312"/>
      <c r="H666" s="312">
        <v>135.18</v>
      </c>
      <c r="I666" s="312">
        <v>10.84</v>
      </c>
      <c r="J666" s="312">
        <v>326.79000000000002</v>
      </c>
      <c r="K666" s="312">
        <v>47.95</v>
      </c>
      <c r="M666" t="s">
        <v>2430</v>
      </c>
      <c r="N666" s="312"/>
      <c r="O666" s="312">
        <v>70916.3</v>
      </c>
      <c r="P666" s="312">
        <v>3058.58</v>
      </c>
      <c r="Q666" s="312">
        <v>159948.58000000002</v>
      </c>
      <c r="R666" s="312">
        <v>22837.96</v>
      </c>
    </row>
    <row r="667" spans="6:18">
      <c r="F667" t="s">
        <v>2431</v>
      </c>
      <c r="G667" s="312">
        <v>1.87</v>
      </c>
      <c r="H667" s="312">
        <v>114.28</v>
      </c>
      <c r="I667" s="312">
        <v>24.89</v>
      </c>
      <c r="J667" s="312">
        <v>302.37</v>
      </c>
      <c r="K667" s="312">
        <v>111.46000000000001</v>
      </c>
      <c r="M667" t="s">
        <v>2431</v>
      </c>
      <c r="N667" s="312">
        <v>1089.19</v>
      </c>
      <c r="O667" s="312">
        <v>59077.51</v>
      </c>
      <c r="P667" s="312">
        <v>17799.11</v>
      </c>
      <c r="Q667" s="312">
        <v>192314.05</v>
      </c>
      <c r="R667" s="312">
        <v>37653.31</v>
      </c>
    </row>
    <row r="668" spans="6:18">
      <c r="F668" t="s">
        <v>2432</v>
      </c>
      <c r="G668" s="312">
        <v>2.89</v>
      </c>
      <c r="H668" s="312">
        <v>161.12</v>
      </c>
      <c r="I668" s="312">
        <v>4.33</v>
      </c>
      <c r="J668" s="312">
        <v>148.29</v>
      </c>
      <c r="K668" s="312">
        <v>35.599999999999994</v>
      </c>
      <c r="M668" t="s">
        <v>2432</v>
      </c>
      <c r="N668" s="312">
        <v>4957.76</v>
      </c>
      <c r="O668" s="312">
        <v>105417.85</v>
      </c>
      <c r="P668" s="312">
        <v>3110.2400000000002</v>
      </c>
      <c r="Q668" s="312">
        <v>79763.039999999994</v>
      </c>
      <c r="R668" s="312">
        <v>12697.09</v>
      </c>
    </row>
    <row r="669" spans="6:18">
      <c r="F669" t="s">
        <v>2433</v>
      </c>
      <c r="G669" s="312">
        <v>0.72</v>
      </c>
      <c r="H669" s="312">
        <v>139.01</v>
      </c>
      <c r="I669" s="312">
        <v>9.26</v>
      </c>
      <c r="J669" s="312">
        <v>133.43</v>
      </c>
      <c r="K669" s="312">
        <v>52.76</v>
      </c>
      <c r="M669" t="s">
        <v>2433</v>
      </c>
      <c r="N669" s="312">
        <v>327.60000000000002</v>
      </c>
      <c r="O669" s="312">
        <v>91742.7</v>
      </c>
      <c r="P669" s="312">
        <v>10051.26</v>
      </c>
      <c r="Q669" s="312">
        <v>54097.399999999994</v>
      </c>
      <c r="R669" s="312">
        <v>26866.42</v>
      </c>
    </row>
    <row r="670" spans="6:18">
      <c r="F670" t="s">
        <v>2434</v>
      </c>
      <c r="G670" s="312">
        <v>0.99</v>
      </c>
      <c r="H670" s="312">
        <v>176.26</v>
      </c>
      <c r="I670" s="312">
        <v>24.42</v>
      </c>
      <c r="J670" s="312">
        <v>327.98999999999995</v>
      </c>
      <c r="K670" s="312">
        <v>77.31</v>
      </c>
      <c r="M670" t="s">
        <v>2434</v>
      </c>
      <c r="N670" s="312">
        <v>878.28</v>
      </c>
      <c r="O670" s="312">
        <v>133181.21</v>
      </c>
      <c r="P670" s="312">
        <v>22701.75</v>
      </c>
      <c r="Q670" s="312">
        <v>131947.76</v>
      </c>
      <c r="R670" s="312">
        <v>23794.67</v>
      </c>
    </row>
    <row r="671" spans="6:18">
      <c r="F671" t="s">
        <v>2435</v>
      </c>
      <c r="G671" s="312">
        <v>16.010000000000002</v>
      </c>
      <c r="H671" s="312">
        <v>126.21000000000001</v>
      </c>
      <c r="I671" s="312">
        <v>7.71</v>
      </c>
      <c r="J671" s="312">
        <v>297.87</v>
      </c>
      <c r="K671" s="312">
        <v>91.210000000000008</v>
      </c>
      <c r="M671" t="s">
        <v>2435</v>
      </c>
      <c r="N671" s="312">
        <v>3060.54</v>
      </c>
      <c r="O671" s="312">
        <v>58217.89</v>
      </c>
      <c r="P671" s="312">
        <v>3449.3</v>
      </c>
      <c r="Q671" s="312">
        <v>135331.35</v>
      </c>
      <c r="R671" s="312">
        <v>43705.57</v>
      </c>
    </row>
    <row r="672" spans="6:18">
      <c r="F672" t="s">
        <v>2436</v>
      </c>
      <c r="G672" s="312">
        <v>1.61</v>
      </c>
      <c r="H672" s="312">
        <v>142.31</v>
      </c>
      <c r="I672" s="312">
        <v>23.37</v>
      </c>
      <c r="J672" s="312">
        <v>268.22000000000003</v>
      </c>
      <c r="K672" s="312">
        <v>76.66</v>
      </c>
      <c r="M672" t="s">
        <v>2436</v>
      </c>
      <c r="N672" s="312">
        <v>812.08</v>
      </c>
      <c r="O672" s="312">
        <v>64038.03</v>
      </c>
      <c r="P672" s="312">
        <v>23739.82</v>
      </c>
      <c r="Q672" s="312">
        <v>123778.60999999999</v>
      </c>
      <c r="R672" s="312">
        <v>25275.190000000002</v>
      </c>
    </row>
    <row r="673" spans="6:18">
      <c r="F673" t="s">
        <v>2437</v>
      </c>
      <c r="G673" s="312">
        <v>0.88</v>
      </c>
      <c r="H673" s="312">
        <v>212.16</v>
      </c>
      <c r="I673" s="312">
        <v>22.86</v>
      </c>
      <c r="J673" s="312">
        <v>324</v>
      </c>
      <c r="K673" s="312">
        <v>69.31</v>
      </c>
      <c r="M673" t="s">
        <v>2437</v>
      </c>
      <c r="N673" s="312">
        <v>395.63</v>
      </c>
      <c r="O673" s="312">
        <v>143515.54999999999</v>
      </c>
      <c r="P673" s="312">
        <v>12728.23</v>
      </c>
      <c r="Q673" s="312">
        <v>166584.72</v>
      </c>
      <c r="R673" s="312">
        <v>34277.089999999997</v>
      </c>
    </row>
    <row r="674" spans="6:18">
      <c r="F674" t="s">
        <v>2438</v>
      </c>
      <c r="G674" s="312">
        <v>0.88</v>
      </c>
      <c r="H674" s="312">
        <v>124.99000000000001</v>
      </c>
      <c r="I674" s="312">
        <v>15.350000000000001</v>
      </c>
      <c r="J674" s="312">
        <v>275.67</v>
      </c>
      <c r="K674" s="312">
        <v>54.19</v>
      </c>
      <c r="M674" t="s">
        <v>2438</v>
      </c>
      <c r="N674" s="312">
        <v>248.25</v>
      </c>
      <c r="O674" s="312">
        <v>86116.109999999986</v>
      </c>
      <c r="P674" s="312">
        <v>14968.46</v>
      </c>
      <c r="Q674" s="312">
        <v>156891.99</v>
      </c>
      <c r="R674" s="312">
        <v>21060.84</v>
      </c>
    </row>
    <row r="675" spans="6:18">
      <c r="F675" t="s">
        <v>2439</v>
      </c>
      <c r="G675" s="312">
        <v>4.18</v>
      </c>
      <c r="H675" s="312">
        <v>103.37</v>
      </c>
      <c r="I675" s="312">
        <v>10.8</v>
      </c>
      <c r="J675" s="312">
        <v>192.1</v>
      </c>
      <c r="K675" s="312">
        <v>35.700000000000003</v>
      </c>
      <c r="M675" t="s">
        <v>2439</v>
      </c>
      <c r="N675" s="312">
        <v>4985.68</v>
      </c>
      <c r="O675" s="312">
        <v>66062.26999999999</v>
      </c>
      <c r="P675" s="312">
        <v>5491.99</v>
      </c>
      <c r="Q675" s="312">
        <v>113929.47</v>
      </c>
      <c r="R675" s="312">
        <v>14747.09</v>
      </c>
    </row>
    <row r="676" spans="6:18">
      <c r="F676" t="s">
        <v>2440</v>
      </c>
      <c r="G676" s="312">
        <v>3.46</v>
      </c>
      <c r="H676" s="312">
        <v>139.69999999999999</v>
      </c>
      <c r="I676" s="312">
        <v>11.870000000000001</v>
      </c>
      <c r="J676" s="312">
        <v>207.14</v>
      </c>
      <c r="K676" s="312">
        <v>58.41</v>
      </c>
      <c r="M676" t="s">
        <v>2440</v>
      </c>
      <c r="N676" s="312">
        <v>2998.23</v>
      </c>
      <c r="O676" s="312">
        <v>72124.58</v>
      </c>
      <c r="P676" s="312">
        <v>10285.700000000001</v>
      </c>
      <c r="Q676" s="312">
        <v>129275.48</v>
      </c>
      <c r="R676" s="312">
        <v>23212.85</v>
      </c>
    </row>
    <row r="677" spans="6:18">
      <c r="F677" t="s">
        <v>2441</v>
      </c>
      <c r="G677" s="312">
        <v>24.93</v>
      </c>
      <c r="H677" s="312">
        <v>361.97</v>
      </c>
      <c r="I677" s="312">
        <v>33.19</v>
      </c>
      <c r="J677" s="312">
        <v>385.8</v>
      </c>
      <c r="K677" s="312">
        <v>84.740000000000009</v>
      </c>
      <c r="M677" t="s">
        <v>2441</v>
      </c>
      <c r="N677" s="312">
        <v>6226.99</v>
      </c>
      <c r="O677" s="312">
        <v>214015.94999999998</v>
      </c>
      <c r="P677" s="312">
        <v>18833.650000000001</v>
      </c>
      <c r="Q677" s="312">
        <v>194733.46999999997</v>
      </c>
      <c r="R677" s="312">
        <v>42644.79</v>
      </c>
    </row>
    <row r="678" spans="6:18">
      <c r="F678" t="s">
        <v>2442</v>
      </c>
      <c r="G678" s="312">
        <v>13.36</v>
      </c>
      <c r="H678" s="312">
        <v>357.15999999999997</v>
      </c>
      <c r="I678" s="312">
        <v>13.49</v>
      </c>
      <c r="J678" s="312">
        <v>217.82999999999998</v>
      </c>
      <c r="K678" s="312">
        <v>127.15</v>
      </c>
      <c r="M678" t="s">
        <v>2442</v>
      </c>
      <c r="N678" s="312">
        <v>7845.3099999999995</v>
      </c>
      <c r="O678" s="312">
        <v>161219.75</v>
      </c>
      <c r="P678" s="312">
        <v>16873.36</v>
      </c>
      <c r="Q678" s="312">
        <v>191079.40999999997</v>
      </c>
      <c r="R678" s="312">
        <v>47807.21</v>
      </c>
    </row>
    <row r="679" spans="6:18">
      <c r="F679" t="s">
        <v>2443</v>
      </c>
      <c r="G679" s="312">
        <v>4.62</v>
      </c>
      <c r="H679" s="312">
        <v>347.45</v>
      </c>
      <c r="I679" s="312">
        <v>3.92</v>
      </c>
      <c r="J679" s="312">
        <v>329.49</v>
      </c>
      <c r="K679" s="312">
        <v>125.14</v>
      </c>
      <c r="M679" t="s">
        <v>2443</v>
      </c>
      <c r="N679" s="312">
        <v>4045.9</v>
      </c>
      <c r="O679" s="312">
        <v>193058.49000000002</v>
      </c>
      <c r="P679" s="312">
        <v>1830.48</v>
      </c>
      <c r="Q679" s="312">
        <v>163945.16</v>
      </c>
      <c r="R679" s="312">
        <v>35449.800000000003</v>
      </c>
    </row>
    <row r="680" spans="6:18">
      <c r="F680" t="s">
        <v>2444</v>
      </c>
      <c r="G680" s="312">
        <v>3.46</v>
      </c>
      <c r="H680" s="312">
        <v>205.98000000000002</v>
      </c>
      <c r="I680" s="312">
        <v>33.950000000000003</v>
      </c>
      <c r="J680" s="312">
        <v>359.03</v>
      </c>
      <c r="K680" s="312">
        <v>66.31</v>
      </c>
      <c r="M680" t="s">
        <v>2444</v>
      </c>
      <c r="N680" s="312">
        <v>1162.45</v>
      </c>
      <c r="O680" s="312">
        <v>120797.15</v>
      </c>
      <c r="P680" s="312">
        <v>26623.780000000002</v>
      </c>
      <c r="Q680" s="312">
        <v>179479.55</v>
      </c>
      <c r="R680" s="312">
        <v>35554.840000000004</v>
      </c>
    </row>
    <row r="681" spans="6:18">
      <c r="F681" t="s">
        <v>2445</v>
      </c>
      <c r="G681" s="312">
        <v>3.09</v>
      </c>
      <c r="H681" s="312">
        <v>224.88</v>
      </c>
      <c r="I681" s="312">
        <v>18.79</v>
      </c>
      <c r="J681" s="312">
        <v>323.40000000000003</v>
      </c>
      <c r="K681" s="312">
        <v>78.59</v>
      </c>
      <c r="M681" t="s">
        <v>2445</v>
      </c>
      <c r="N681" s="312">
        <v>1988.68</v>
      </c>
      <c r="O681" s="312">
        <v>138035.47999999998</v>
      </c>
      <c r="P681" s="312">
        <v>9373.67</v>
      </c>
      <c r="Q681" s="312">
        <v>191573.97999999998</v>
      </c>
      <c r="R681" s="312">
        <v>41146.94</v>
      </c>
    </row>
    <row r="682" spans="6:18">
      <c r="F682" t="s">
        <v>2446</v>
      </c>
      <c r="G682" s="312"/>
      <c r="H682" s="312">
        <v>161.91</v>
      </c>
      <c r="I682" s="312">
        <v>18.62</v>
      </c>
      <c r="J682" s="312">
        <v>172.32</v>
      </c>
      <c r="K682" s="312">
        <v>48.11</v>
      </c>
      <c r="M682" t="s">
        <v>2446</v>
      </c>
      <c r="N682" s="312"/>
      <c r="O682" s="312">
        <v>82848.23000000001</v>
      </c>
      <c r="P682" s="312">
        <v>12653.91</v>
      </c>
      <c r="Q682" s="312">
        <v>80547.62</v>
      </c>
      <c r="R682" s="312">
        <v>18132.82</v>
      </c>
    </row>
    <row r="683" spans="6:18">
      <c r="F683" t="s">
        <v>2447</v>
      </c>
      <c r="G683" s="312"/>
      <c r="H683" s="312">
        <v>149.94</v>
      </c>
      <c r="I683" s="312">
        <v>11.280000000000001</v>
      </c>
      <c r="J683" s="312">
        <v>104.19</v>
      </c>
      <c r="K683" s="312">
        <v>46.379999999999995</v>
      </c>
      <c r="M683" t="s">
        <v>2447</v>
      </c>
      <c r="N683" s="312"/>
      <c r="O683" s="312">
        <v>60381.86</v>
      </c>
      <c r="P683" s="312">
        <v>7711.03</v>
      </c>
      <c r="Q683" s="312">
        <v>54489.179999999993</v>
      </c>
      <c r="R683" s="312">
        <v>27789.329999999998</v>
      </c>
    </row>
    <row r="684" spans="6:18">
      <c r="F684" t="s">
        <v>2448</v>
      </c>
      <c r="G684" s="312"/>
      <c r="H684" s="312">
        <v>360.09</v>
      </c>
      <c r="I684" s="312">
        <v>57.74</v>
      </c>
      <c r="J684" s="312">
        <v>484.59000000000003</v>
      </c>
      <c r="K684" s="312">
        <v>117.02000000000001</v>
      </c>
      <c r="M684" t="s">
        <v>2448</v>
      </c>
      <c r="N684" s="312"/>
      <c r="O684" s="312">
        <v>211041.89</v>
      </c>
      <c r="P684" s="312">
        <v>44226.740000000005</v>
      </c>
      <c r="Q684" s="312">
        <v>238894.50999999998</v>
      </c>
      <c r="R684" s="312">
        <v>25339.52</v>
      </c>
    </row>
    <row r="685" spans="6:18">
      <c r="F685" t="s">
        <v>2449</v>
      </c>
      <c r="G685" s="312">
        <v>1.41</v>
      </c>
      <c r="H685" s="312">
        <v>291.95999999999998</v>
      </c>
      <c r="I685" s="312">
        <v>13.08</v>
      </c>
      <c r="J685" s="312">
        <v>400.05</v>
      </c>
      <c r="K685" s="312">
        <v>68.22</v>
      </c>
      <c r="M685" t="s">
        <v>2449</v>
      </c>
      <c r="N685" s="312">
        <v>772.42</v>
      </c>
      <c r="O685" s="312">
        <v>161643.76999999999</v>
      </c>
      <c r="P685" s="312">
        <v>4753.1899999999996</v>
      </c>
      <c r="Q685" s="312">
        <v>150431.18</v>
      </c>
      <c r="R685" s="312">
        <v>20864.760000000002</v>
      </c>
    </row>
    <row r="686" spans="6:18">
      <c r="F686" t="s">
        <v>2450</v>
      </c>
      <c r="G686" s="312">
        <v>2.4500000000000002</v>
      </c>
      <c r="H686" s="312">
        <v>400.89</v>
      </c>
      <c r="I686" s="312">
        <v>23.57</v>
      </c>
      <c r="J686" s="312">
        <v>409.6</v>
      </c>
      <c r="K686" s="312">
        <v>76.47999999999999</v>
      </c>
      <c r="M686" t="s">
        <v>2450</v>
      </c>
      <c r="N686" s="312">
        <v>1036.6199999999999</v>
      </c>
      <c r="O686" s="312">
        <v>126975.17000000001</v>
      </c>
      <c r="P686" s="312">
        <v>37286.29</v>
      </c>
      <c r="Q686" s="312">
        <v>227456.19</v>
      </c>
      <c r="R686" s="312">
        <v>11008.83</v>
      </c>
    </row>
    <row r="687" spans="6:18">
      <c r="F687" t="s">
        <v>2451</v>
      </c>
      <c r="G687" s="312">
        <v>8.33</v>
      </c>
      <c r="H687" s="312">
        <v>379.4</v>
      </c>
      <c r="I687" s="312">
        <v>25.22</v>
      </c>
      <c r="J687" s="312">
        <v>409.03</v>
      </c>
      <c r="K687" s="312">
        <v>116.73</v>
      </c>
      <c r="M687" t="s">
        <v>2451</v>
      </c>
      <c r="N687" s="312">
        <v>1252.3800000000001</v>
      </c>
      <c r="O687" s="312">
        <v>138590.71</v>
      </c>
      <c r="P687" s="312">
        <v>24095.919999999998</v>
      </c>
      <c r="Q687" s="312">
        <v>210022.49</v>
      </c>
      <c r="R687" s="312">
        <v>34417.01</v>
      </c>
    </row>
    <row r="688" spans="6:18">
      <c r="F688" t="s">
        <v>2452</v>
      </c>
      <c r="G688" s="312">
        <v>1.57</v>
      </c>
      <c r="H688" s="312">
        <v>343.77</v>
      </c>
      <c r="I688" s="312">
        <v>25.5</v>
      </c>
      <c r="J688" s="312">
        <v>424.90999999999997</v>
      </c>
      <c r="K688" s="312">
        <v>87.25</v>
      </c>
      <c r="M688" t="s">
        <v>2452</v>
      </c>
      <c r="N688" s="312">
        <v>1708.68</v>
      </c>
      <c r="O688" s="312">
        <v>182617.27</v>
      </c>
      <c r="P688" s="312">
        <v>34548.67</v>
      </c>
      <c r="Q688" s="312">
        <v>240347.94</v>
      </c>
      <c r="R688" s="312">
        <v>41512.68</v>
      </c>
    </row>
    <row r="689" spans="6:18">
      <c r="F689" t="s">
        <v>2453</v>
      </c>
      <c r="G689" s="312">
        <v>10.72</v>
      </c>
      <c r="H689" s="312">
        <v>224.60000000000002</v>
      </c>
      <c r="I689" s="312">
        <v>28.64</v>
      </c>
      <c r="J689" s="312">
        <v>203.57</v>
      </c>
      <c r="K689" s="312">
        <v>50.59</v>
      </c>
      <c r="M689" t="s">
        <v>2453</v>
      </c>
      <c r="N689" s="312">
        <v>3383.6900000000005</v>
      </c>
      <c r="O689" s="312">
        <v>197312.61000000002</v>
      </c>
      <c r="P689" s="312">
        <v>36153.299999999996</v>
      </c>
      <c r="Q689" s="312">
        <v>99605.81</v>
      </c>
      <c r="R689" s="312">
        <v>13213.55</v>
      </c>
    </row>
    <row r="690" spans="6:18">
      <c r="F690" t="s">
        <v>2454</v>
      </c>
      <c r="G690" s="312">
        <v>11.53</v>
      </c>
      <c r="H690" s="312">
        <v>257.92</v>
      </c>
      <c r="I690" s="312">
        <v>6.68</v>
      </c>
      <c r="J690" s="312">
        <v>315.07</v>
      </c>
      <c r="K690" s="312">
        <v>53.010000000000005</v>
      </c>
      <c r="M690" t="s">
        <v>2454</v>
      </c>
      <c r="N690" s="312">
        <v>6216.1399999999994</v>
      </c>
      <c r="O690" s="312">
        <v>138877.18</v>
      </c>
      <c r="P690" s="312">
        <v>16054.16</v>
      </c>
      <c r="Q690" s="312">
        <v>173103.51</v>
      </c>
      <c r="R690" s="312">
        <v>16740.91</v>
      </c>
    </row>
    <row r="691" spans="6:18">
      <c r="F691" t="s">
        <v>2455</v>
      </c>
      <c r="G691" s="312">
        <v>6.1</v>
      </c>
      <c r="H691" s="312">
        <v>340.73</v>
      </c>
      <c r="I691" s="312">
        <v>30.31</v>
      </c>
      <c r="J691" s="312">
        <v>548.26</v>
      </c>
      <c r="K691" s="312">
        <v>86.43</v>
      </c>
      <c r="M691" t="s">
        <v>2455</v>
      </c>
      <c r="N691" s="312">
        <v>2481.75</v>
      </c>
      <c r="O691" s="312">
        <v>218511.35999999999</v>
      </c>
      <c r="P691" s="312">
        <v>20635.870000000003</v>
      </c>
      <c r="Q691" s="312">
        <v>272742.15999999997</v>
      </c>
      <c r="R691" s="312">
        <v>24634.760000000002</v>
      </c>
    </row>
    <row r="692" spans="6:18">
      <c r="F692" t="s">
        <v>2456</v>
      </c>
      <c r="G692" s="312">
        <v>6.91</v>
      </c>
      <c r="H692" s="312">
        <v>440.40999999999997</v>
      </c>
      <c r="I692" s="312">
        <v>45.98</v>
      </c>
      <c r="J692" s="312">
        <v>537.95000000000005</v>
      </c>
      <c r="K692" s="312">
        <v>85.6</v>
      </c>
      <c r="M692" t="s">
        <v>2456</v>
      </c>
      <c r="N692" s="312">
        <v>3299.17</v>
      </c>
      <c r="O692" s="312">
        <v>288140.40999999997</v>
      </c>
      <c r="P692" s="312">
        <v>34886.879999999997</v>
      </c>
      <c r="Q692" s="312">
        <v>317137.32999999996</v>
      </c>
      <c r="R692" s="312">
        <v>49686.239999999998</v>
      </c>
    </row>
    <row r="693" spans="6:18">
      <c r="F693" t="s">
        <v>2457</v>
      </c>
      <c r="G693" s="312">
        <v>5.32</v>
      </c>
      <c r="H693" s="312">
        <v>355.61</v>
      </c>
      <c r="I693" s="312">
        <v>32.21</v>
      </c>
      <c r="J693" s="312">
        <v>460.90999999999997</v>
      </c>
      <c r="K693" s="312">
        <v>99.429999999999993</v>
      </c>
      <c r="M693" t="s">
        <v>2457</v>
      </c>
      <c r="N693" s="312">
        <v>2502.34</v>
      </c>
      <c r="O693" s="312">
        <v>215812.69</v>
      </c>
      <c r="P693" s="312">
        <v>18801.919999999998</v>
      </c>
      <c r="Q693" s="312">
        <v>245387.5</v>
      </c>
      <c r="R693" s="312">
        <v>28578.49</v>
      </c>
    </row>
    <row r="694" spans="6:18">
      <c r="F694" t="s">
        <v>2458</v>
      </c>
      <c r="G694" s="312">
        <v>9.2899999999999991</v>
      </c>
      <c r="H694" s="312">
        <v>377.66</v>
      </c>
      <c r="I694" s="312">
        <v>10.77</v>
      </c>
      <c r="J694" s="312">
        <v>608.61</v>
      </c>
      <c r="K694" s="312">
        <v>106.12</v>
      </c>
      <c r="M694" t="s">
        <v>2458</v>
      </c>
      <c r="N694" s="312">
        <v>2913.74</v>
      </c>
      <c r="O694" s="312">
        <v>201121.46000000002</v>
      </c>
      <c r="P694" s="312">
        <v>8207.34</v>
      </c>
      <c r="Q694" s="312">
        <v>339974.74</v>
      </c>
      <c r="R694" s="312">
        <v>52127.380000000005</v>
      </c>
    </row>
    <row r="695" spans="6:18">
      <c r="F695" t="s">
        <v>2459</v>
      </c>
      <c r="G695" s="312">
        <v>5.41</v>
      </c>
      <c r="H695" s="312">
        <v>377.01</v>
      </c>
      <c r="I695" s="312">
        <v>14.719999999999999</v>
      </c>
      <c r="J695" s="312">
        <v>762.21</v>
      </c>
      <c r="K695" s="312">
        <v>81.22</v>
      </c>
      <c r="M695" t="s">
        <v>2459</v>
      </c>
      <c r="N695" s="312">
        <v>2380.6400000000003</v>
      </c>
      <c r="O695" s="312">
        <v>174566.84</v>
      </c>
      <c r="P695" s="312">
        <v>18956.510000000002</v>
      </c>
      <c r="Q695" s="312">
        <v>365007.02999999997</v>
      </c>
      <c r="R695" s="312">
        <v>24438.059999999998</v>
      </c>
    </row>
    <row r="696" spans="6:18">
      <c r="F696" t="s">
        <v>2460</v>
      </c>
      <c r="G696" s="312">
        <v>4.87</v>
      </c>
      <c r="H696" s="312">
        <v>348.39</v>
      </c>
      <c r="I696" s="312">
        <v>12.68</v>
      </c>
      <c r="J696" s="312">
        <v>573.5</v>
      </c>
      <c r="K696" s="312">
        <v>83.58</v>
      </c>
      <c r="M696" t="s">
        <v>2460</v>
      </c>
      <c r="N696" s="312">
        <v>1237.4099999999999</v>
      </c>
      <c r="O696" s="312">
        <v>207091.97</v>
      </c>
      <c r="P696" s="312">
        <v>9885.9000000000015</v>
      </c>
      <c r="Q696" s="312">
        <v>281262.87</v>
      </c>
      <c r="R696" s="312">
        <v>24515.440000000002</v>
      </c>
    </row>
    <row r="697" spans="6:18">
      <c r="F697" t="s">
        <v>2461</v>
      </c>
      <c r="G697" s="312">
        <v>4.9000000000000004</v>
      </c>
      <c r="H697" s="312">
        <v>220.49</v>
      </c>
      <c r="I697" s="312">
        <v>0.69</v>
      </c>
      <c r="J697" s="312">
        <v>320.65999999999997</v>
      </c>
      <c r="K697" s="312">
        <v>78.13</v>
      </c>
      <c r="M697" t="s">
        <v>2461</v>
      </c>
      <c r="N697" s="312">
        <v>2714.47</v>
      </c>
      <c r="O697" s="312">
        <v>126108.09</v>
      </c>
      <c r="P697" s="312">
        <v>580.97</v>
      </c>
      <c r="Q697" s="312">
        <v>150420.46000000002</v>
      </c>
      <c r="R697" s="312">
        <v>24916.5</v>
      </c>
    </row>
    <row r="698" spans="6:18">
      <c r="F698" t="s">
        <v>2462</v>
      </c>
      <c r="G698" s="312">
        <v>4.17</v>
      </c>
      <c r="H698" s="312">
        <v>325.77999999999997</v>
      </c>
      <c r="I698" s="312">
        <v>49.489999999999995</v>
      </c>
      <c r="J698" s="312">
        <v>579.98</v>
      </c>
      <c r="K698" s="312">
        <v>1238.69</v>
      </c>
      <c r="M698" t="s">
        <v>2462</v>
      </c>
      <c r="N698" s="312">
        <v>2366.0700000000002</v>
      </c>
      <c r="O698" s="312">
        <v>157439.43</v>
      </c>
      <c r="P698" s="312">
        <v>57314.98</v>
      </c>
      <c r="Q698" s="312">
        <v>295857.99</v>
      </c>
      <c r="R698" s="312">
        <v>597409.87</v>
      </c>
    </row>
    <row r="699" spans="6:18">
      <c r="F699" t="s">
        <v>2463</v>
      </c>
      <c r="G699" s="312">
        <v>3.46</v>
      </c>
      <c r="H699" s="312">
        <v>749.61</v>
      </c>
      <c r="I699" s="312">
        <v>31.009999999999998</v>
      </c>
      <c r="J699" s="312">
        <v>600.26</v>
      </c>
      <c r="K699" s="312">
        <v>863.74</v>
      </c>
      <c r="M699" t="s">
        <v>2463</v>
      </c>
      <c r="N699" s="312">
        <v>2286.4899999999998</v>
      </c>
      <c r="O699" s="312">
        <v>393605.69999999995</v>
      </c>
      <c r="P699" s="312">
        <v>16348.66</v>
      </c>
      <c r="Q699" s="312">
        <v>302537.56</v>
      </c>
      <c r="R699" s="312">
        <v>361561.08999999997</v>
      </c>
    </row>
    <row r="700" spans="6:18">
      <c r="F700" t="s">
        <v>2464</v>
      </c>
      <c r="G700" s="312">
        <v>2.44</v>
      </c>
      <c r="H700" s="312">
        <v>541.33999999999992</v>
      </c>
      <c r="I700" s="312">
        <v>35.56</v>
      </c>
      <c r="J700" s="312">
        <v>496.04999999999995</v>
      </c>
      <c r="K700" s="312">
        <v>612.21</v>
      </c>
      <c r="M700" t="s">
        <v>2464</v>
      </c>
      <c r="N700" s="312">
        <v>674.7</v>
      </c>
      <c r="O700" s="312">
        <v>228237.76</v>
      </c>
      <c r="P700" s="312">
        <v>20621.370000000003</v>
      </c>
      <c r="Q700" s="312">
        <v>280703.38</v>
      </c>
      <c r="R700" s="312">
        <v>272787.65999999997</v>
      </c>
    </row>
    <row r="701" spans="6:18">
      <c r="F701" t="s">
        <v>2465</v>
      </c>
      <c r="G701" s="312">
        <v>16.84</v>
      </c>
      <c r="H701" s="312">
        <v>619.66</v>
      </c>
      <c r="I701" s="312">
        <v>21.68</v>
      </c>
      <c r="J701" s="312">
        <v>433.59</v>
      </c>
      <c r="K701" s="312">
        <v>512.75</v>
      </c>
      <c r="M701" t="s">
        <v>2465</v>
      </c>
      <c r="N701" s="312">
        <v>5635.15</v>
      </c>
      <c r="O701" s="312">
        <v>253928.78</v>
      </c>
      <c r="P701" s="312">
        <v>8710.49</v>
      </c>
      <c r="Q701" s="312">
        <v>171852.1</v>
      </c>
      <c r="R701" s="312">
        <v>209679.12</v>
      </c>
    </row>
    <row r="702" spans="6:18">
      <c r="F702" t="s">
        <v>2466</v>
      </c>
      <c r="G702" s="312">
        <v>30.11</v>
      </c>
      <c r="H702" s="312">
        <v>793.8</v>
      </c>
      <c r="I702" s="312">
        <v>66.150000000000006</v>
      </c>
      <c r="J702" s="312">
        <v>724.19999999999993</v>
      </c>
      <c r="K702" s="312">
        <v>1121.68</v>
      </c>
      <c r="M702" t="s">
        <v>2466</v>
      </c>
      <c r="N702" s="312">
        <v>17270.53</v>
      </c>
      <c r="O702" s="312">
        <v>406606.42</v>
      </c>
      <c r="P702" s="312">
        <v>40571.69</v>
      </c>
      <c r="Q702" s="312">
        <v>319845.02999999997</v>
      </c>
      <c r="R702" s="312">
        <v>433017.88</v>
      </c>
    </row>
    <row r="703" spans="6:18">
      <c r="F703" t="s">
        <v>2467</v>
      </c>
      <c r="G703" s="312">
        <v>0.72</v>
      </c>
      <c r="H703" s="312">
        <v>420.53000000000003</v>
      </c>
      <c r="I703" s="312">
        <v>38.339999999999996</v>
      </c>
      <c r="J703" s="312">
        <v>379.18</v>
      </c>
      <c r="K703" s="312">
        <v>989.18</v>
      </c>
      <c r="M703" t="s">
        <v>2467</v>
      </c>
      <c r="N703" s="312">
        <v>154.38999999999999</v>
      </c>
      <c r="O703" s="312">
        <v>203360.96000000002</v>
      </c>
      <c r="P703" s="312">
        <v>41569.879999999997</v>
      </c>
      <c r="Q703" s="312">
        <v>167448.72999999998</v>
      </c>
      <c r="R703" s="312">
        <v>405716.55</v>
      </c>
    </row>
    <row r="704" spans="6:18">
      <c r="F704" t="s">
        <v>2468</v>
      </c>
      <c r="G704" s="312">
        <v>7.49</v>
      </c>
      <c r="H704" s="312">
        <v>341.8</v>
      </c>
      <c r="I704" s="312">
        <v>26.419999999999998</v>
      </c>
      <c r="J704" s="312">
        <v>415.19</v>
      </c>
      <c r="K704" s="312">
        <v>652.63</v>
      </c>
      <c r="M704" t="s">
        <v>2468</v>
      </c>
      <c r="N704" s="312">
        <v>4136.2</v>
      </c>
      <c r="O704" s="312">
        <v>191759.23</v>
      </c>
      <c r="P704" s="312">
        <v>20416.5</v>
      </c>
      <c r="Q704" s="312">
        <v>161354.05000000002</v>
      </c>
      <c r="R704" s="312">
        <v>265337.91000000003</v>
      </c>
    </row>
    <row r="705" spans="6:18">
      <c r="F705" t="s">
        <v>2469</v>
      </c>
      <c r="G705" s="312"/>
      <c r="H705" s="312">
        <v>542.80999999999995</v>
      </c>
      <c r="I705" s="312">
        <v>79.3</v>
      </c>
      <c r="J705" s="312">
        <v>849.09999999999991</v>
      </c>
      <c r="K705" s="312">
        <v>1065.5700000000002</v>
      </c>
      <c r="M705" t="s">
        <v>2469</v>
      </c>
      <c r="N705" s="312"/>
      <c r="O705" s="312">
        <v>279320.66000000003</v>
      </c>
      <c r="P705" s="312">
        <v>53561</v>
      </c>
      <c r="Q705" s="312">
        <v>341822.86</v>
      </c>
      <c r="R705" s="312">
        <v>394470.35</v>
      </c>
    </row>
    <row r="706" spans="6:18">
      <c r="F706" t="s">
        <v>2470</v>
      </c>
      <c r="G706" s="312">
        <v>12.62</v>
      </c>
      <c r="H706" s="312">
        <v>520.99</v>
      </c>
      <c r="I706" s="312">
        <v>69.400000000000006</v>
      </c>
      <c r="J706" s="312">
        <v>618.07000000000005</v>
      </c>
      <c r="K706" s="312">
        <v>788.74</v>
      </c>
      <c r="M706" t="s">
        <v>2470</v>
      </c>
      <c r="N706" s="312">
        <v>6637.11</v>
      </c>
      <c r="O706" s="312">
        <v>226021.2</v>
      </c>
      <c r="P706" s="312">
        <v>31472.149999999998</v>
      </c>
      <c r="Q706" s="312">
        <v>264805.3</v>
      </c>
      <c r="R706" s="312">
        <v>264932.19</v>
      </c>
    </row>
    <row r="707" spans="6:18">
      <c r="F707" t="s">
        <v>2471</v>
      </c>
      <c r="G707" s="312">
        <v>2.44</v>
      </c>
      <c r="H707" s="312">
        <v>403.32</v>
      </c>
      <c r="I707" s="312">
        <v>40.64</v>
      </c>
      <c r="J707" s="312">
        <v>542.71</v>
      </c>
      <c r="K707" s="312">
        <v>462.86</v>
      </c>
      <c r="M707" t="s">
        <v>2471</v>
      </c>
      <c r="N707" s="312">
        <v>1671.73</v>
      </c>
      <c r="O707" s="312">
        <v>185653.86000000002</v>
      </c>
      <c r="P707" s="312">
        <v>27209.579999999998</v>
      </c>
      <c r="Q707" s="312">
        <v>282461.34000000003</v>
      </c>
      <c r="R707" s="312">
        <v>169472.83000000002</v>
      </c>
    </row>
    <row r="708" spans="6:18">
      <c r="F708" t="s">
        <v>2472</v>
      </c>
      <c r="G708" s="312">
        <v>6.91</v>
      </c>
      <c r="H708" s="312">
        <v>413.32</v>
      </c>
      <c r="I708" s="312">
        <v>26.03</v>
      </c>
      <c r="J708" s="312">
        <v>666.93000000000006</v>
      </c>
      <c r="K708" s="312">
        <v>433.68</v>
      </c>
      <c r="M708" t="s">
        <v>2472</v>
      </c>
      <c r="N708" s="312">
        <v>4640.88</v>
      </c>
      <c r="O708" s="312">
        <v>223265.42</v>
      </c>
      <c r="P708" s="312">
        <v>29815.95</v>
      </c>
      <c r="Q708" s="312">
        <v>294472.5</v>
      </c>
      <c r="R708" s="312">
        <v>196420.6</v>
      </c>
    </row>
    <row r="709" spans="6:18">
      <c r="F709" t="s">
        <v>2473</v>
      </c>
      <c r="G709" s="312">
        <v>6.25</v>
      </c>
      <c r="H709" s="312">
        <v>397.39</v>
      </c>
      <c r="I709" s="312">
        <v>35.15</v>
      </c>
      <c r="J709" s="312">
        <v>546.39</v>
      </c>
      <c r="K709" s="312">
        <v>396.75</v>
      </c>
      <c r="M709" t="s">
        <v>2473</v>
      </c>
      <c r="N709" s="312">
        <v>1109.08</v>
      </c>
      <c r="O709" s="312">
        <v>197591.76</v>
      </c>
      <c r="P709" s="312">
        <v>14585.21</v>
      </c>
      <c r="Q709" s="312">
        <v>261705.25</v>
      </c>
      <c r="R709" s="312">
        <v>151728.82</v>
      </c>
    </row>
    <row r="710" spans="6:18">
      <c r="F710" t="s">
        <v>2474</v>
      </c>
      <c r="G710" s="312">
        <v>4.4800000000000004</v>
      </c>
      <c r="H710" s="312">
        <v>254.34</v>
      </c>
      <c r="I710" s="312">
        <v>35.11</v>
      </c>
      <c r="J710" s="312">
        <v>477.56000000000006</v>
      </c>
      <c r="K710" s="312">
        <v>325.72000000000003</v>
      </c>
      <c r="M710" t="s">
        <v>2474</v>
      </c>
      <c r="N710" s="312">
        <v>1323.87</v>
      </c>
      <c r="O710" s="312">
        <v>126445.05</v>
      </c>
      <c r="P710" s="312">
        <v>14353.41</v>
      </c>
      <c r="Q710" s="312">
        <v>193021.84999999998</v>
      </c>
      <c r="R710" s="312">
        <v>129870.99</v>
      </c>
    </row>
    <row r="711" spans="6:18">
      <c r="F711" t="s">
        <v>2475</v>
      </c>
      <c r="G711" s="312">
        <v>5.43</v>
      </c>
      <c r="H711" s="312">
        <v>277.88</v>
      </c>
      <c r="I711" s="312">
        <v>5.36</v>
      </c>
      <c r="J711" s="312">
        <v>332.95</v>
      </c>
      <c r="K711" s="312">
        <v>342.07</v>
      </c>
      <c r="M711" t="s">
        <v>2475</v>
      </c>
      <c r="N711" s="312">
        <v>2459.8000000000002</v>
      </c>
      <c r="O711" s="312">
        <v>124667.28</v>
      </c>
      <c r="P711" s="312">
        <v>2855.47</v>
      </c>
      <c r="Q711" s="312">
        <v>147376.69999999998</v>
      </c>
      <c r="R711" s="312">
        <v>100841.2</v>
      </c>
    </row>
    <row r="712" spans="6:18">
      <c r="F712" t="s">
        <v>2476</v>
      </c>
      <c r="G712" s="312">
        <v>2.44</v>
      </c>
      <c r="H712" s="312">
        <v>372.88</v>
      </c>
      <c r="I712" s="312">
        <v>80.95</v>
      </c>
      <c r="J712" s="312">
        <v>673.03</v>
      </c>
      <c r="K712" s="312">
        <v>635.14</v>
      </c>
      <c r="M712" t="s">
        <v>2476</v>
      </c>
      <c r="N712" s="312">
        <v>1530.01</v>
      </c>
      <c r="O712" s="312">
        <v>187906.22</v>
      </c>
      <c r="P712" s="312">
        <v>48062.799999999996</v>
      </c>
      <c r="Q712" s="312">
        <v>261466.91999999998</v>
      </c>
      <c r="R712" s="312">
        <v>246911.53</v>
      </c>
    </row>
    <row r="713" spans="6:18">
      <c r="F713" t="s">
        <v>2477</v>
      </c>
      <c r="G713" s="312">
        <v>29.67</v>
      </c>
      <c r="H713" s="312">
        <v>429.51</v>
      </c>
      <c r="I713" s="312">
        <v>11.05</v>
      </c>
      <c r="J713" s="312">
        <v>502.5</v>
      </c>
      <c r="K713" s="312">
        <v>538.23</v>
      </c>
      <c r="M713" t="s">
        <v>2477</v>
      </c>
      <c r="N713" s="312">
        <v>14427.83</v>
      </c>
      <c r="O713" s="312">
        <v>272444.82</v>
      </c>
      <c r="P713" s="312">
        <v>6311.99</v>
      </c>
      <c r="Q713" s="312">
        <v>217755.96</v>
      </c>
      <c r="R713" s="312">
        <v>232980.86</v>
      </c>
    </row>
    <row r="714" spans="6:18">
      <c r="F714" t="s">
        <v>2478</v>
      </c>
      <c r="G714" s="312">
        <v>6.99</v>
      </c>
      <c r="H714" s="312">
        <v>391.45</v>
      </c>
      <c r="I714" s="312">
        <v>42.46</v>
      </c>
      <c r="J714" s="312">
        <v>598.66999999999996</v>
      </c>
      <c r="K714" s="312">
        <v>564.55999999999995</v>
      </c>
      <c r="M714" t="s">
        <v>2478</v>
      </c>
      <c r="N714" s="312">
        <v>3467.82</v>
      </c>
      <c r="O714" s="312">
        <v>202043.29</v>
      </c>
      <c r="P714" s="312">
        <v>17445.04</v>
      </c>
      <c r="Q714" s="312">
        <v>281955.16000000003</v>
      </c>
      <c r="R714" s="312">
        <v>233188.51</v>
      </c>
    </row>
    <row r="715" spans="6:18">
      <c r="F715" t="s">
        <v>2479</v>
      </c>
      <c r="G715" s="312">
        <v>0.69</v>
      </c>
      <c r="H715" s="312">
        <v>354.79</v>
      </c>
      <c r="I715" s="312">
        <v>39.199999999999996</v>
      </c>
      <c r="J715" s="312">
        <v>522.58999999999992</v>
      </c>
      <c r="K715" s="312">
        <v>497.64</v>
      </c>
      <c r="M715" t="s">
        <v>2479</v>
      </c>
      <c r="N715" s="312">
        <v>183.62</v>
      </c>
      <c r="O715" s="312">
        <v>176616.19</v>
      </c>
      <c r="P715" s="312">
        <v>35800.89</v>
      </c>
      <c r="Q715" s="312">
        <v>184277.80000000002</v>
      </c>
      <c r="R715" s="312">
        <v>205993.18</v>
      </c>
    </row>
    <row r="716" spans="6:18">
      <c r="F716" t="s">
        <v>2480</v>
      </c>
      <c r="G716" s="312">
        <v>6.02</v>
      </c>
      <c r="H716" s="312">
        <v>421.22</v>
      </c>
      <c r="I716" s="312">
        <v>40.700000000000003</v>
      </c>
      <c r="J716" s="312">
        <v>648.32000000000005</v>
      </c>
      <c r="K716" s="312">
        <v>747.17000000000007</v>
      </c>
      <c r="M716" t="s">
        <v>2480</v>
      </c>
      <c r="N716" s="312">
        <v>1056.58</v>
      </c>
      <c r="O716" s="312">
        <v>202696.24</v>
      </c>
      <c r="P716" s="312">
        <v>27609.14</v>
      </c>
      <c r="Q716" s="312">
        <v>298613.98</v>
      </c>
      <c r="R716" s="312">
        <v>251672.47</v>
      </c>
    </row>
    <row r="717" spans="6:18">
      <c r="F717" t="s">
        <v>2481</v>
      </c>
      <c r="G717" s="312">
        <v>5.2100000000000009</v>
      </c>
      <c r="H717" s="312">
        <v>212.01</v>
      </c>
      <c r="I717" s="312">
        <v>31.57</v>
      </c>
      <c r="J717" s="312">
        <v>301.34000000000003</v>
      </c>
      <c r="K717" s="312">
        <v>432.95</v>
      </c>
      <c r="M717" t="s">
        <v>2481</v>
      </c>
      <c r="N717" s="312">
        <v>1092.19</v>
      </c>
      <c r="O717" s="312">
        <v>97173.22</v>
      </c>
      <c r="P717" s="312">
        <v>23025.379999999997</v>
      </c>
      <c r="Q717" s="312">
        <v>140110.85999999999</v>
      </c>
      <c r="R717" s="312">
        <v>179490.66</v>
      </c>
    </row>
    <row r="718" spans="6:18">
      <c r="F718" t="s">
        <v>2482</v>
      </c>
      <c r="G718" s="312">
        <v>2.77</v>
      </c>
      <c r="H718" s="312">
        <v>195.85000000000002</v>
      </c>
      <c r="I718" s="312">
        <v>10.899999999999999</v>
      </c>
      <c r="J718" s="312">
        <v>335.96000000000004</v>
      </c>
      <c r="K718" s="312">
        <v>375.62</v>
      </c>
      <c r="M718" t="s">
        <v>2482</v>
      </c>
      <c r="N718" s="312">
        <v>881.47</v>
      </c>
      <c r="O718" s="312">
        <v>83063.45</v>
      </c>
      <c r="P718" s="312">
        <v>5934.18</v>
      </c>
      <c r="Q718" s="312">
        <v>155119.89000000001</v>
      </c>
      <c r="R718" s="312">
        <v>137382.79</v>
      </c>
    </row>
    <row r="719" spans="6:18">
      <c r="F719" t="s">
        <v>2483</v>
      </c>
      <c r="G719" s="312">
        <v>1.42</v>
      </c>
      <c r="H719" s="312">
        <v>436.35</v>
      </c>
      <c r="I719" s="312">
        <v>50.7</v>
      </c>
      <c r="J719" s="312">
        <v>652.36</v>
      </c>
      <c r="K719" s="312">
        <v>589.54</v>
      </c>
      <c r="M719" t="s">
        <v>2483</v>
      </c>
      <c r="N719" s="312">
        <v>557.66</v>
      </c>
      <c r="O719" s="312">
        <v>190341.83000000002</v>
      </c>
      <c r="P719" s="312">
        <v>34412.909999999996</v>
      </c>
      <c r="Q719" s="312">
        <v>291775.68</v>
      </c>
      <c r="R719" s="312">
        <v>187671.22</v>
      </c>
    </row>
    <row r="720" spans="6:18">
      <c r="F720" t="s">
        <v>2484</v>
      </c>
      <c r="G720" s="312">
        <v>20.91</v>
      </c>
      <c r="H720" s="312">
        <v>408.99</v>
      </c>
      <c r="I720" s="312">
        <v>39.39</v>
      </c>
      <c r="J720" s="312">
        <v>700.4</v>
      </c>
      <c r="K720" s="312">
        <v>787</v>
      </c>
      <c r="M720" t="s">
        <v>2484</v>
      </c>
      <c r="N720" s="312">
        <v>10409.810000000001</v>
      </c>
      <c r="O720" s="312">
        <v>180148.03999999998</v>
      </c>
      <c r="P720" s="312">
        <v>18156.52</v>
      </c>
      <c r="Q720" s="312">
        <v>276350.03000000003</v>
      </c>
      <c r="R720" s="312">
        <v>289791.8</v>
      </c>
    </row>
    <row r="721" spans="6:18">
      <c r="F721" t="s">
        <v>2485</v>
      </c>
      <c r="G721" s="312">
        <v>2.09</v>
      </c>
      <c r="H721" s="312">
        <v>364.04</v>
      </c>
      <c r="I721" s="312">
        <v>32.1</v>
      </c>
      <c r="J721" s="312">
        <v>626.72</v>
      </c>
      <c r="K721" s="312">
        <v>761.25</v>
      </c>
      <c r="M721" t="s">
        <v>2485</v>
      </c>
      <c r="N721" s="312">
        <v>803.43</v>
      </c>
      <c r="O721" s="312">
        <v>172880.87</v>
      </c>
      <c r="P721" s="312">
        <v>13443.15</v>
      </c>
      <c r="Q721" s="312">
        <v>318393.84999999998</v>
      </c>
      <c r="R721" s="312">
        <v>267461.25</v>
      </c>
    </row>
    <row r="722" spans="6:18">
      <c r="F722" t="s">
        <v>2486</v>
      </c>
      <c r="G722" s="312">
        <v>1.47</v>
      </c>
      <c r="H722" s="312">
        <v>392.25</v>
      </c>
      <c r="I722" s="312">
        <v>62.489999999999995</v>
      </c>
      <c r="J722" s="312">
        <v>620.22</v>
      </c>
      <c r="K722" s="312">
        <v>703.36</v>
      </c>
      <c r="M722" t="s">
        <v>2486</v>
      </c>
      <c r="N722" s="312">
        <v>647.6</v>
      </c>
      <c r="O722" s="312">
        <v>195248.31</v>
      </c>
      <c r="P722" s="312">
        <v>35636.130000000005</v>
      </c>
      <c r="Q722" s="312">
        <v>328899.11</v>
      </c>
      <c r="R722" s="312">
        <v>275115.19</v>
      </c>
    </row>
    <row r="723" spans="6:18">
      <c r="F723" t="s">
        <v>2487</v>
      </c>
      <c r="G723" s="312"/>
      <c r="H723" s="312">
        <v>422.3</v>
      </c>
      <c r="I723" s="312">
        <v>20.87</v>
      </c>
      <c r="J723" s="312">
        <v>577.52</v>
      </c>
      <c r="K723" s="312">
        <v>763.12</v>
      </c>
      <c r="M723" t="s">
        <v>2487</v>
      </c>
      <c r="N723" s="312"/>
      <c r="O723" s="312">
        <v>228181.59000000003</v>
      </c>
      <c r="P723" s="312">
        <v>14822.59</v>
      </c>
      <c r="Q723" s="312">
        <v>266350.74</v>
      </c>
      <c r="R723" s="312">
        <v>289045.11</v>
      </c>
    </row>
    <row r="724" spans="6:18">
      <c r="F724" t="s">
        <v>2488</v>
      </c>
      <c r="G724" s="312"/>
      <c r="H724" s="312">
        <v>180.67000000000002</v>
      </c>
      <c r="I724" s="312">
        <v>2.11</v>
      </c>
      <c r="J724" s="312">
        <v>399.18</v>
      </c>
      <c r="K724" s="312">
        <v>455.37</v>
      </c>
      <c r="M724" t="s">
        <v>2488</v>
      </c>
      <c r="N724" s="312"/>
      <c r="O724" s="312">
        <v>75664.800000000003</v>
      </c>
      <c r="P724" s="312">
        <v>763.98</v>
      </c>
      <c r="Q724" s="312">
        <v>199218.19</v>
      </c>
      <c r="R724" s="312">
        <v>154407.43</v>
      </c>
    </row>
    <row r="725" spans="6:18">
      <c r="F725" t="s">
        <v>2489</v>
      </c>
      <c r="G725" s="312">
        <v>1.45</v>
      </c>
      <c r="H725" s="312">
        <v>195.09</v>
      </c>
      <c r="I725" s="312">
        <v>4.33</v>
      </c>
      <c r="J725" s="312">
        <v>317.61</v>
      </c>
      <c r="K725" s="312">
        <v>346.64</v>
      </c>
      <c r="M725" t="s">
        <v>2489</v>
      </c>
      <c r="N725" s="312">
        <v>353.5</v>
      </c>
      <c r="O725" s="312">
        <v>72048.039999999994</v>
      </c>
      <c r="P725" s="312">
        <v>1042.97</v>
      </c>
      <c r="Q725" s="312">
        <v>136967.1</v>
      </c>
      <c r="R725" s="312">
        <v>109336.62</v>
      </c>
    </row>
    <row r="726" spans="6:18">
      <c r="F726" t="s">
        <v>2490</v>
      </c>
      <c r="G726" s="312">
        <v>0.87</v>
      </c>
      <c r="H726" s="312">
        <v>375.96000000000004</v>
      </c>
      <c r="I726" s="312">
        <v>46.55</v>
      </c>
      <c r="J726" s="312">
        <v>597.08000000000004</v>
      </c>
      <c r="K726" s="312">
        <v>998.43999999999994</v>
      </c>
      <c r="M726" t="s">
        <v>2490</v>
      </c>
      <c r="N726" s="312">
        <v>51.4</v>
      </c>
      <c r="O726" s="312">
        <v>176621.97999999998</v>
      </c>
      <c r="P726" s="312">
        <v>32235.719999999998</v>
      </c>
      <c r="Q726" s="312">
        <v>328831.69</v>
      </c>
      <c r="R726" s="312">
        <v>350561.69999999995</v>
      </c>
    </row>
    <row r="727" spans="6:18">
      <c r="F727" t="s">
        <v>2491</v>
      </c>
      <c r="G727" s="312">
        <v>6.09</v>
      </c>
      <c r="H727" s="312">
        <v>261.56</v>
      </c>
      <c r="I727" s="312">
        <v>15.54</v>
      </c>
      <c r="J727" s="312">
        <v>371.28</v>
      </c>
      <c r="K727" s="312">
        <v>808.53</v>
      </c>
      <c r="M727" t="s">
        <v>2491</v>
      </c>
      <c r="N727" s="312">
        <v>4115.0200000000004</v>
      </c>
      <c r="O727" s="312">
        <v>162583.38</v>
      </c>
      <c r="P727" s="312">
        <v>6182.1799999999994</v>
      </c>
      <c r="Q727" s="312">
        <v>144685.18</v>
      </c>
      <c r="R727" s="312">
        <v>296106.46999999997</v>
      </c>
    </row>
    <row r="728" spans="6:18">
      <c r="F728" t="s">
        <v>2492</v>
      </c>
      <c r="G728" s="312">
        <v>20.14</v>
      </c>
      <c r="H728" s="312">
        <v>102.25999999999999</v>
      </c>
      <c r="I728" s="312">
        <v>9.3099999999999987</v>
      </c>
      <c r="J728" s="312">
        <v>107.32</v>
      </c>
      <c r="K728" s="312">
        <v>894.85</v>
      </c>
      <c r="M728" t="s">
        <v>2492</v>
      </c>
      <c r="N728" s="312">
        <v>9313.4</v>
      </c>
      <c r="O728" s="312">
        <v>51235.8</v>
      </c>
      <c r="P728" s="312">
        <v>5207.58</v>
      </c>
      <c r="Q728" s="312">
        <v>43431.46</v>
      </c>
      <c r="R728" s="312">
        <v>299285.83999999997</v>
      </c>
    </row>
    <row r="729" spans="6:18">
      <c r="F729" t="s">
        <v>2493</v>
      </c>
      <c r="G729" s="312"/>
      <c r="H729" s="312">
        <v>193.29000000000002</v>
      </c>
      <c r="I729" s="312">
        <v>3.14</v>
      </c>
      <c r="J729" s="312">
        <v>301.44</v>
      </c>
      <c r="K729" s="312">
        <v>896.91000000000008</v>
      </c>
      <c r="M729" t="s">
        <v>2493</v>
      </c>
      <c r="N729" s="312"/>
      <c r="O729" s="312">
        <v>108101.26999999999</v>
      </c>
      <c r="P729" s="312">
        <v>1393.51</v>
      </c>
      <c r="Q729" s="312">
        <v>115681.69</v>
      </c>
      <c r="R729" s="312">
        <v>335478.17</v>
      </c>
    </row>
    <row r="730" spans="6:18">
      <c r="F730" t="s">
        <v>2494</v>
      </c>
      <c r="G730" s="312">
        <v>4.17</v>
      </c>
      <c r="H730" s="312">
        <v>247.57</v>
      </c>
      <c r="I730" s="312">
        <v>36.590000000000003</v>
      </c>
      <c r="J730" s="312">
        <v>690.07</v>
      </c>
      <c r="K730" s="312">
        <v>724.31999999999994</v>
      </c>
      <c r="M730" t="s">
        <v>2494</v>
      </c>
      <c r="N730" s="312">
        <v>863.52</v>
      </c>
      <c r="O730" s="312">
        <v>105639.31000000001</v>
      </c>
      <c r="P730" s="312">
        <v>26544.38</v>
      </c>
      <c r="Q730" s="312">
        <v>268157.34999999998</v>
      </c>
      <c r="R730" s="312">
        <v>256233.39</v>
      </c>
    </row>
    <row r="731" spans="6:18">
      <c r="F731" t="s">
        <v>2495</v>
      </c>
      <c r="G731" s="312"/>
      <c r="H731" s="312">
        <v>226.15</v>
      </c>
      <c r="I731" s="312">
        <v>19.850000000000001</v>
      </c>
      <c r="J731" s="312">
        <v>439.14</v>
      </c>
      <c r="K731" s="312">
        <v>488.01</v>
      </c>
      <c r="M731" t="s">
        <v>2495</v>
      </c>
      <c r="N731" s="312"/>
      <c r="O731" s="312">
        <v>148209.22</v>
      </c>
      <c r="P731" s="312">
        <v>12947.439999999999</v>
      </c>
      <c r="Q731" s="312">
        <v>170874.92</v>
      </c>
      <c r="R731" s="312">
        <v>146618.26</v>
      </c>
    </row>
    <row r="732" spans="6:18">
      <c r="F732" t="s">
        <v>2496</v>
      </c>
      <c r="G732" s="312">
        <v>2.4300000000000002</v>
      </c>
      <c r="H732" s="312">
        <v>136.34</v>
      </c>
      <c r="I732" s="312">
        <v>7.66</v>
      </c>
      <c r="J732" s="312">
        <v>341.28</v>
      </c>
      <c r="K732" s="312">
        <v>419.69</v>
      </c>
      <c r="M732" t="s">
        <v>2496</v>
      </c>
      <c r="N732" s="312">
        <v>664.87</v>
      </c>
      <c r="O732" s="312">
        <v>96011.48000000001</v>
      </c>
      <c r="P732" s="312">
        <v>5153.46</v>
      </c>
      <c r="Q732" s="312">
        <v>151892.87</v>
      </c>
      <c r="R732" s="312">
        <v>140520.75</v>
      </c>
    </row>
    <row r="733" spans="6:18">
      <c r="F733" t="s">
        <v>2497</v>
      </c>
      <c r="G733" s="312">
        <v>1.39</v>
      </c>
      <c r="H733" s="312">
        <v>171.85999999999999</v>
      </c>
      <c r="I733" s="312">
        <v>74.77000000000001</v>
      </c>
      <c r="J733" s="312">
        <v>813.04</v>
      </c>
      <c r="K733" s="312">
        <v>559.32000000000005</v>
      </c>
      <c r="M733" t="s">
        <v>2497</v>
      </c>
      <c r="N733" s="312">
        <v>391.51</v>
      </c>
      <c r="O733" s="312">
        <v>104612.55</v>
      </c>
      <c r="P733" s="312">
        <v>42154.880000000005</v>
      </c>
      <c r="Q733" s="312">
        <v>408701.8</v>
      </c>
      <c r="R733" s="312">
        <v>189425.52</v>
      </c>
    </row>
    <row r="734" spans="6:18">
      <c r="F734" t="s">
        <v>2498</v>
      </c>
      <c r="G734" s="312">
        <v>4.84</v>
      </c>
      <c r="H734" s="312">
        <v>227.54999999999998</v>
      </c>
      <c r="I734" s="312">
        <v>7.65</v>
      </c>
      <c r="J734" s="312">
        <v>457.86</v>
      </c>
      <c r="K734" s="312">
        <v>636.45000000000005</v>
      </c>
      <c r="M734" t="s">
        <v>2498</v>
      </c>
      <c r="N734" s="312">
        <v>527.92999999999995</v>
      </c>
      <c r="O734" s="312">
        <v>129710.51</v>
      </c>
      <c r="P734" s="312">
        <v>5258.6</v>
      </c>
      <c r="Q734" s="312">
        <v>166152.04999999999</v>
      </c>
      <c r="R734" s="312">
        <v>251830.30000000002</v>
      </c>
    </row>
    <row r="735" spans="6:18">
      <c r="F735" t="s">
        <v>2499</v>
      </c>
      <c r="G735" s="312">
        <v>3.04</v>
      </c>
      <c r="H735" s="312">
        <v>118.34</v>
      </c>
      <c r="I735" s="312">
        <v>7.99</v>
      </c>
      <c r="J735" s="312">
        <v>341.94</v>
      </c>
      <c r="K735" s="312">
        <v>349.14</v>
      </c>
      <c r="M735" t="s">
        <v>2499</v>
      </c>
      <c r="N735" s="312">
        <v>1227.28</v>
      </c>
      <c r="O735" s="312">
        <v>56756.959999999999</v>
      </c>
      <c r="P735" s="312">
        <v>6831.14</v>
      </c>
      <c r="Q735" s="312">
        <v>128768.65</v>
      </c>
      <c r="R735" s="312">
        <v>126763.35999999999</v>
      </c>
    </row>
    <row r="736" spans="6:18">
      <c r="F736" t="s">
        <v>2500</v>
      </c>
      <c r="G736" s="312">
        <v>1.44</v>
      </c>
      <c r="H736" s="312">
        <v>220.75</v>
      </c>
      <c r="I736" s="312">
        <v>45.83</v>
      </c>
      <c r="J736" s="312">
        <v>509.91999999999996</v>
      </c>
      <c r="K736" s="312">
        <v>424.43</v>
      </c>
      <c r="M736" t="s">
        <v>2500</v>
      </c>
      <c r="N736" s="312">
        <v>635.08000000000004</v>
      </c>
      <c r="O736" s="312">
        <v>120778.29</v>
      </c>
      <c r="P736" s="312">
        <v>24905.27</v>
      </c>
      <c r="Q736" s="312">
        <v>221144.16</v>
      </c>
      <c r="R736" s="312">
        <v>142879.42000000001</v>
      </c>
    </row>
    <row r="737" spans="6:18">
      <c r="F737" t="s">
        <v>2501</v>
      </c>
      <c r="G737" s="312">
        <v>2.42</v>
      </c>
      <c r="H737" s="312">
        <v>277.5</v>
      </c>
      <c r="I737" s="312">
        <v>23.88</v>
      </c>
      <c r="J737" s="312">
        <v>571.55999999999995</v>
      </c>
      <c r="K737" s="312">
        <v>508.84000000000003</v>
      </c>
      <c r="M737" t="s">
        <v>2501</v>
      </c>
      <c r="N737" s="312">
        <v>506.6</v>
      </c>
      <c r="O737" s="312">
        <v>162651.71</v>
      </c>
      <c r="P737" s="312">
        <v>14172.41</v>
      </c>
      <c r="Q737" s="312">
        <v>237535.52</v>
      </c>
      <c r="R737" s="312">
        <v>197366.18</v>
      </c>
    </row>
    <row r="738" spans="6:18">
      <c r="F738" t="s">
        <v>2502</v>
      </c>
      <c r="G738" s="312"/>
      <c r="H738" s="312">
        <v>144.69</v>
      </c>
      <c r="I738" s="312">
        <v>23.459999999999997</v>
      </c>
      <c r="J738" s="312">
        <v>478.24</v>
      </c>
      <c r="K738" s="312">
        <v>426.07000000000005</v>
      </c>
      <c r="M738" t="s">
        <v>2502</v>
      </c>
      <c r="N738" s="312"/>
      <c r="O738" s="312">
        <v>75779.02</v>
      </c>
      <c r="P738" s="312">
        <v>19455.969999999998</v>
      </c>
      <c r="Q738" s="312">
        <v>212341.06</v>
      </c>
      <c r="R738" s="312">
        <v>162197.68</v>
      </c>
    </row>
    <row r="739" spans="6:18">
      <c r="F739" t="s">
        <v>2503</v>
      </c>
      <c r="G739" s="312">
        <v>12.860000000000001</v>
      </c>
      <c r="H739" s="312">
        <v>127.66</v>
      </c>
      <c r="I739" s="312">
        <v>6.11</v>
      </c>
      <c r="J739" s="312">
        <v>316.60000000000002</v>
      </c>
      <c r="K739" s="312">
        <v>294.27</v>
      </c>
      <c r="M739" t="s">
        <v>2503</v>
      </c>
      <c r="N739" s="312">
        <v>6029.1299999999992</v>
      </c>
      <c r="O739" s="312">
        <v>54308.67</v>
      </c>
      <c r="P739" s="312">
        <v>4303.3500000000004</v>
      </c>
      <c r="Q739" s="312">
        <v>158670.56</v>
      </c>
      <c r="R739" s="312">
        <v>95701.26</v>
      </c>
    </row>
    <row r="740" spans="6:18">
      <c r="F740" t="s">
        <v>2504</v>
      </c>
      <c r="G740" s="312">
        <v>6.4</v>
      </c>
      <c r="H740" s="312">
        <v>154.5</v>
      </c>
      <c r="I740" s="312">
        <v>3.84</v>
      </c>
      <c r="J740" s="312">
        <v>467.90999999999997</v>
      </c>
      <c r="K740" s="312">
        <v>543.64</v>
      </c>
      <c r="M740" t="s">
        <v>2504</v>
      </c>
      <c r="N740" s="312">
        <v>13584.539999999999</v>
      </c>
      <c r="O740" s="312">
        <v>76981.290000000008</v>
      </c>
      <c r="P740" s="312">
        <v>2948.92</v>
      </c>
      <c r="Q740" s="312">
        <v>207603.11</v>
      </c>
      <c r="R740" s="312">
        <v>166495.92000000001</v>
      </c>
    </row>
    <row r="741" spans="6:18">
      <c r="F741" t="s">
        <v>2505</v>
      </c>
      <c r="G741" s="312">
        <v>3.46</v>
      </c>
      <c r="H741" s="312">
        <v>247.99</v>
      </c>
      <c r="I741" s="312">
        <v>65.180000000000007</v>
      </c>
      <c r="J741" s="312">
        <v>512.12</v>
      </c>
      <c r="K741" s="312">
        <v>481.29999999999995</v>
      </c>
      <c r="M741" t="s">
        <v>2505</v>
      </c>
      <c r="N741" s="312">
        <v>1378.2</v>
      </c>
      <c r="O741" s="312">
        <v>126577.21</v>
      </c>
      <c r="P741" s="312">
        <v>56293.25</v>
      </c>
      <c r="Q741" s="312">
        <v>191961.97</v>
      </c>
      <c r="R741" s="312">
        <v>159313.02000000002</v>
      </c>
    </row>
    <row r="742" spans="6:18">
      <c r="F742" t="s">
        <v>2506</v>
      </c>
      <c r="G742" s="312"/>
      <c r="H742" s="312">
        <v>289.32</v>
      </c>
      <c r="I742" s="312">
        <v>25.65</v>
      </c>
      <c r="J742" s="312">
        <v>568.19999999999993</v>
      </c>
      <c r="K742" s="312">
        <v>477.85</v>
      </c>
      <c r="M742" t="s">
        <v>2506</v>
      </c>
      <c r="N742" s="312"/>
      <c r="O742" s="312">
        <v>173565.13</v>
      </c>
      <c r="P742" s="312">
        <v>14446.11</v>
      </c>
      <c r="Q742" s="312">
        <v>241328.6</v>
      </c>
      <c r="R742" s="312">
        <v>158425.53</v>
      </c>
    </row>
    <row r="743" spans="6:18">
      <c r="F743" t="s">
        <v>2507</v>
      </c>
      <c r="G743" s="312">
        <v>3.97</v>
      </c>
      <c r="H743" s="312">
        <v>257.85000000000002</v>
      </c>
      <c r="I743" s="312">
        <v>49.91</v>
      </c>
      <c r="J743" s="312">
        <v>564.69000000000005</v>
      </c>
      <c r="K743" s="312">
        <v>432.49</v>
      </c>
      <c r="M743" t="s">
        <v>2507</v>
      </c>
      <c r="N743" s="312">
        <v>370.92</v>
      </c>
      <c r="O743" s="312">
        <v>125236.03</v>
      </c>
      <c r="P743" s="312">
        <v>38670.01</v>
      </c>
      <c r="Q743" s="312">
        <v>300582.42</v>
      </c>
      <c r="R743" s="312">
        <v>114470.56999999999</v>
      </c>
    </row>
    <row r="744" spans="6:18">
      <c r="F744" t="s">
        <v>2508</v>
      </c>
      <c r="G744" s="312">
        <v>0.71</v>
      </c>
      <c r="H744" s="312">
        <v>207.37</v>
      </c>
      <c r="I744" s="312">
        <v>31.89</v>
      </c>
      <c r="J744" s="312">
        <v>525.49</v>
      </c>
      <c r="K744" s="312">
        <v>446.21</v>
      </c>
      <c r="M744" t="s">
        <v>2508</v>
      </c>
      <c r="N744" s="312">
        <v>235.52</v>
      </c>
      <c r="O744" s="312">
        <v>127434.3</v>
      </c>
      <c r="P744" s="312">
        <v>17868.63</v>
      </c>
      <c r="Q744" s="312">
        <v>225570.88</v>
      </c>
      <c r="R744" s="312">
        <v>137551.94</v>
      </c>
    </row>
    <row r="745" spans="6:18">
      <c r="F745" t="s">
        <v>2509</v>
      </c>
      <c r="G745" s="312">
        <v>6.7700000000000005</v>
      </c>
      <c r="H745" s="312">
        <v>181.6</v>
      </c>
      <c r="I745" s="312">
        <v>42.25</v>
      </c>
      <c r="J745" s="312">
        <v>352.39000000000004</v>
      </c>
      <c r="K745" s="312">
        <v>215.96999999999997</v>
      </c>
      <c r="M745" t="s">
        <v>2509</v>
      </c>
      <c r="N745" s="312">
        <v>2801.05</v>
      </c>
      <c r="O745" s="312">
        <v>115360.90000000001</v>
      </c>
      <c r="P745" s="312">
        <v>23391.03</v>
      </c>
      <c r="Q745" s="312">
        <v>164603.72</v>
      </c>
      <c r="R745" s="312">
        <v>96140.42</v>
      </c>
    </row>
    <row r="746" spans="6:18">
      <c r="F746" t="s">
        <v>2510</v>
      </c>
      <c r="G746" s="312">
        <v>9.5299999999999994</v>
      </c>
      <c r="H746" s="312">
        <v>118.36</v>
      </c>
      <c r="I746" s="312">
        <v>0.71</v>
      </c>
      <c r="J746" s="312">
        <v>254.03</v>
      </c>
      <c r="K746" s="312">
        <v>218.46</v>
      </c>
      <c r="M746" t="s">
        <v>2510</v>
      </c>
      <c r="N746" s="312">
        <v>3866.96</v>
      </c>
      <c r="O746" s="312">
        <v>78293.8</v>
      </c>
      <c r="P746" s="312">
        <v>120.71</v>
      </c>
      <c r="Q746" s="312">
        <v>126298.90999999999</v>
      </c>
      <c r="R746" s="312">
        <v>78594.36</v>
      </c>
    </row>
    <row r="747" spans="6:18">
      <c r="F747" t="s">
        <v>2511</v>
      </c>
      <c r="G747" s="312">
        <v>0.69</v>
      </c>
      <c r="H747" s="312">
        <v>187.42</v>
      </c>
      <c r="I747" s="312">
        <v>50.35</v>
      </c>
      <c r="J747" s="312">
        <v>639.34</v>
      </c>
      <c r="K747" s="312">
        <v>393.61</v>
      </c>
      <c r="M747" t="s">
        <v>2511</v>
      </c>
      <c r="N747" s="312">
        <v>468.55</v>
      </c>
      <c r="O747" s="312">
        <v>104360.82</v>
      </c>
      <c r="P747" s="312">
        <v>35041.14</v>
      </c>
      <c r="Q747" s="312">
        <v>332630.74</v>
      </c>
      <c r="R747" s="312">
        <v>105476.52</v>
      </c>
    </row>
    <row r="748" spans="6:18">
      <c r="F748" t="s">
        <v>2512</v>
      </c>
      <c r="G748" s="312">
        <v>1.4</v>
      </c>
      <c r="H748" s="312">
        <v>188.21</v>
      </c>
      <c r="I748" s="312">
        <v>17.130000000000003</v>
      </c>
      <c r="J748" s="312">
        <v>645.67999999999995</v>
      </c>
      <c r="K748" s="312">
        <v>429.7</v>
      </c>
      <c r="M748" t="s">
        <v>2512</v>
      </c>
      <c r="N748" s="312">
        <v>386.1</v>
      </c>
      <c r="O748" s="312">
        <v>96176.709999999992</v>
      </c>
      <c r="P748" s="312">
        <v>17480.39</v>
      </c>
      <c r="Q748" s="312">
        <v>410435.95999999996</v>
      </c>
      <c r="R748" s="312">
        <v>128474.51000000001</v>
      </c>
    </row>
    <row r="749" spans="6:18">
      <c r="F749" t="s">
        <v>2513</v>
      </c>
      <c r="G749" s="312"/>
      <c r="H749" s="312">
        <v>253.89</v>
      </c>
      <c r="I749" s="312">
        <v>34.75</v>
      </c>
      <c r="J749" s="312">
        <v>650.68999999999994</v>
      </c>
      <c r="K749" s="312">
        <v>468.89</v>
      </c>
      <c r="M749" t="s">
        <v>2513</v>
      </c>
      <c r="N749" s="312"/>
      <c r="O749" s="312">
        <v>212704.98</v>
      </c>
      <c r="P749" s="312">
        <v>15809.49</v>
      </c>
      <c r="Q749" s="312">
        <v>279994.59999999998</v>
      </c>
      <c r="R749" s="312">
        <v>149222.68</v>
      </c>
    </row>
    <row r="750" spans="6:18">
      <c r="F750" t="s">
        <v>2514</v>
      </c>
      <c r="G750" s="312"/>
      <c r="H750" s="312">
        <v>232.94</v>
      </c>
      <c r="I750" s="312">
        <v>35.880000000000003</v>
      </c>
      <c r="J750" s="312">
        <v>582.1</v>
      </c>
      <c r="K750" s="312">
        <v>505.58</v>
      </c>
      <c r="M750" t="s">
        <v>2514</v>
      </c>
      <c r="N750" s="312"/>
      <c r="O750" s="312">
        <v>182825.63999999998</v>
      </c>
      <c r="P750" s="312">
        <v>15425.33</v>
      </c>
      <c r="Q750" s="312">
        <v>306013.18</v>
      </c>
      <c r="R750" s="312">
        <v>157258.04999999999</v>
      </c>
    </row>
    <row r="751" spans="6:18">
      <c r="F751" t="s">
        <v>2515</v>
      </c>
      <c r="G751" s="312">
        <v>7.6099999999999994</v>
      </c>
      <c r="H751" s="312">
        <v>247.57999999999998</v>
      </c>
      <c r="I751" s="312">
        <v>64.53</v>
      </c>
      <c r="J751" s="312">
        <v>691.13</v>
      </c>
      <c r="K751" s="312">
        <v>556.16999999999996</v>
      </c>
      <c r="M751" t="s">
        <v>2515</v>
      </c>
      <c r="N751" s="312">
        <v>1915.4099999999999</v>
      </c>
      <c r="O751" s="312">
        <v>136179.18</v>
      </c>
      <c r="P751" s="312">
        <v>36553.829999999994</v>
      </c>
      <c r="Q751" s="312">
        <v>276102.83</v>
      </c>
      <c r="R751" s="312">
        <v>139066.04999999999</v>
      </c>
    </row>
    <row r="752" spans="6:18">
      <c r="F752" t="s">
        <v>2516</v>
      </c>
      <c r="G752" s="312">
        <v>1.8</v>
      </c>
      <c r="H752" s="312">
        <v>172</v>
      </c>
      <c r="I752" s="312">
        <v>14.68</v>
      </c>
      <c r="J752" s="312">
        <v>412.2</v>
      </c>
      <c r="K752" s="312">
        <v>141.70999999999998</v>
      </c>
      <c r="M752" t="s">
        <v>2516</v>
      </c>
      <c r="N752" s="312">
        <v>638.63</v>
      </c>
      <c r="O752" s="312">
        <v>79900.25</v>
      </c>
      <c r="P752" s="312">
        <v>7535.21</v>
      </c>
      <c r="Q752" s="312">
        <v>172109.89</v>
      </c>
      <c r="R752" s="312">
        <v>34761.93</v>
      </c>
    </row>
    <row r="753" spans="6:18">
      <c r="F753" t="s">
        <v>2517</v>
      </c>
      <c r="G753" s="312">
        <v>2.87</v>
      </c>
      <c r="H753" s="312">
        <v>142.25</v>
      </c>
      <c r="I753" s="312">
        <v>4.93</v>
      </c>
      <c r="J753" s="312">
        <v>269.98</v>
      </c>
      <c r="K753" s="312">
        <v>59.92</v>
      </c>
      <c r="M753" t="s">
        <v>2517</v>
      </c>
      <c r="N753" s="312">
        <v>1050.93</v>
      </c>
      <c r="O753" s="312">
        <v>89546.16</v>
      </c>
      <c r="P753" s="312">
        <v>3522.78</v>
      </c>
      <c r="Q753" s="312">
        <v>125524.48</v>
      </c>
      <c r="R753" s="312">
        <v>12545.24</v>
      </c>
    </row>
    <row r="754" spans="6:18">
      <c r="F754" t="s">
        <v>2518</v>
      </c>
      <c r="G754" s="312"/>
      <c r="H754" s="312">
        <v>275.96999999999997</v>
      </c>
      <c r="I754" s="312">
        <v>27.23</v>
      </c>
      <c r="J754" s="312">
        <v>734.62</v>
      </c>
      <c r="K754" s="312">
        <v>179.12</v>
      </c>
      <c r="M754" t="s">
        <v>2518</v>
      </c>
      <c r="N754" s="312"/>
      <c r="O754" s="312">
        <v>134068.51</v>
      </c>
      <c r="P754" s="312">
        <v>12676.880000000001</v>
      </c>
      <c r="Q754" s="312">
        <v>356495.35000000003</v>
      </c>
      <c r="R754" s="312">
        <v>44468.28</v>
      </c>
    </row>
    <row r="755" spans="6:18">
      <c r="F755" t="s">
        <v>2519</v>
      </c>
      <c r="G755" s="312">
        <v>7.17</v>
      </c>
      <c r="H755" s="312">
        <v>351.99</v>
      </c>
      <c r="I755" s="312">
        <v>29.97</v>
      </c>
      <c r="J755" s="312">
        <v>563.66</v>
      </c>
      <c r="K755" s="312">
        <v>206.63</v>
      </c>
      <c r="M755" t="s">
        <v>2519</v>
      </c>
      <c r="N755" s="312">
        <v>9569.5300000000007</v>
      </c>
      <c r="O755" s="312">
        <v>161835.24</v>
      </c>
      <c r="P755" s="312">
        <v>22742.68</v>
      </c>
      <c r="Q755" s="312">
        <v>265924.05</v>
      </c>
      <c r="R755" s="312">
        <v>81818.080000000002</v>
      </c>
    </row>
    <row r="756" spans="6:18">
      <c r="F756" t="s">
        <v>2520</v>
      </c>
      <c r="G756" s="312">
        <v>0.68</v>
      </c>
      <c r="H756" s="312">
        <v>262.54000000000002</v>
      </c>
      <c r="I756" s="312">
        <v>42.42</v>
      </c>
      <c r="J756" s="312">
        <v>584.71</v>
      </c>
      <c r="K756" s="312">
        <v>167.19</v>
      </c>
      <c r="M756" t="s">
        <v>2520</v>
      </c>
      <c r="N756" s="312">
        <v>176.42</v>
      </c>
      <c r="O756" s="312">
        <v>139443.04</v>
      </c>
      <c r="P756" s="312">
        <v>28322.6</v>
      </c>
      <c r="Q756" s="312">
        <v>263811.31</v>
      </c>
      <c r="R756" s="312">
        <v>47660.729999999996</v>
      </c>
    </row>
    <row r="757" spans="6:18">
      <c r="F757" t="s">
        <v>2521</v>
      </c>
      <c r="G757" s="312">
        <v>0.97</v>
      </c>
      <c r="H757" s="312">
        <v>243.86</v>
      </c>
      <c r="I757" s="312">
        <v>35.620000000000005</v>
      </c>
      <c r="J757" s="312">
        <v>606.74</v>
      </c>
      <c r="K757" s="312">
        <v>138.91999999999999</v>
      </c>
      <c r="M757" t="s">
        <v>2521</v>
      </c>
      <c r="N757" s="312">
        <v>79.05</v>
      </c>
      <c r="O757" s="312">
        <v>114797.63</v>
      </c>
      <c r="P757" s="312">
        <v>21521.61</v>
      </c>
      <c r="Q757" s="312">
        <v>237142.04</v>
      </c>
      <c r="R757" s="312">
        <v>38790.020000000004</v>
      </c>
    </row>
    <row r="758" spans="6:18">
      <c r="F758" t="s">
        <v>2522</v>
      </c>
      <c r="G758" s="312">
        <v>6.48</v>
      </c>
      <c r="H758" s="312">
        <v>227.85</v>
      </c>
      <c r="I758" s="312">
        <v>41.8</v>
      </c>
      <c r="J758" s="312">
        <v>575.47</v>
      </c>
      <c r="K758" s="312">
        <v>89.93</v>
      </c>
      <c r="M758" t="s">
        <v>2522</v>
      </c>
      <c r="N758" s="312">
        <v>2252.13</v>
      </c>
      <c r="O758" s="312">
        <v>98680.599999999991</v>
      </c>
      <c r="P758" s="312">
        <v>27076.44</v>
      </c>
      <c r="Q758" s="312">
        <v>235339.39</v>
      </c>
      <c r="R758" s="312">
        <v>26971.439999999999</v>
      </c>
    </row>
    <row r="759" spans="6:18">
      <c r="F759" t="s">
        <v>2523</v>
      </c>
      <c r="G759" s="312">
        <v>7.4499999999999993</v>
      </c>
      <c r="H759" s="312">
        <v>137.1</v>
      </c>
      <c r="I759" s="312">
        <v>57.86</v>
      </c>
      <c r="J759" s="312">
        <v>447.16999999999996</v>
      </c>
      <c r="K759" s="312">
        <v>66.430000000000007</v>
      </c>
      <c r="M759" t="s">
        <v>2523</v>
      </c>
      <c r="N759" s="312">
        <v>12240.49</v>
      </c>
      <c r="O759" s="312">
        <v>83909.119999999995</v>
      </c>
      <c r="P759" s="312">
        <v>34130.75</v>
      </c>
      <c r="Q759" s="312">
        <v>124485.35</v>
      </c>
      <c r="R759" s="312">
        <v>19341.84</v>
      </c>
    </row>
    <row r="760" spans="6:18">
      <c r="F760" t="s">
        <v>2524</v>
      </c>
      <c r="G760" s="312">
        <v>2.41</v>
      </c>
      <c r="H760" s="312">
        <v>129.82999999999998</v>
      </c>
      <c r="I760" s="312">
        <v>8.39</v>
      </c>
      <c r="J760" s="312">
        <v>361.94</v>
      </c>
      <c r="K760" s="312">
        <v>63.800000000000004</v>
      </c>
      <c r="M760" t="s">
        <v>2524</v>
      </c>
      <c r="N760" s="312">
        <v>686.26</v>
      </c>
      <c r="O760" s="312">
        <v>48897.09</v>
      </c>
      <c r="P760" s="312">
        <v>7504.9699999999993</v>
      </c>
      <c r="Q760" s="312">
        <v>192784.9</v>
      </c>
      <c r="R760" s="312">
        <v>16075.349999999999</v>
      </c>
    </row>
    <row r="761" spans="6:18">
      <c r="F761" t="s">
        <v>2525</v>
      </c>
      <c r="G761" s="312">
        <v>25.86</v>
      </c>
      <c r="H761" s="312">
        <v>229.56</v>
      </c>
      <c r="I761" s="312">
        <v>81.22</v>
      </c>
      <c r="J761" s="312">
        <v>943.17000000000007</v>
      </c>
      <c r="K761" s="312">
        <v>268.61</v>
      </c>
      <c r="M761" t="s">
        <v>2525</v>
      </c>
      <c r="N761" s="312">
        <v>14725.5</v>
      </c>
      <c r="O761" s="312">
        <v>130082.72</v>
      </c>
      <c r="P761" s="312">
        <v>82489.420000000013</v>
      </c>
      <c r="Q761" s="312">
        <v>363924.23</v>
      </c>
      <c r="R761" s="312">
        <v>91878.89</v>
      </c>
    </row>
    <row r="762" spans="6:18">
      <c r="F762" t="s">
        <v>2526</v>
      </c>
      <c r="G762" s="312">
        <v>1.31</v>
      </c>
      <c r="H762" s="312">
        <v>244.56</v>
      </c>
      <c r="I762" s="312">
        <v>85</v>
      </c>
      <c r="J762" s="312">
        <v>642.65</v>
      </c>
      <c r="K762" s="312">
        <v>147.28</v>
      </c>
      <c r="M762" t="s">
        <v>2526</v>
      </c>
      <c r="N762" s="312">
        <v>523.29</v>
      </c>
      <c r="O762" s="312">
        <v>132671.84</v>
      </c>
      <c r="P762" s="312">
        <v>38862.239999999998</v>
      </c>
      <c r="Q762" s="312">
        <v>341910.32</v>
      </c>
      <c r="R762" s="312">
        <v>60826.81</v>
      </c>
    </row>
    <row r="763" spans="6:18">
      <c r="F763" t="s">
        <v>2527</v>
      </c>
      <c r="G763" s="312">
        <v>8.1999999999999993</v>
      </c>
      <c r="H763" s="312">
        <v>241.95000000000002</v>
      </c>
      <c r="I763" s="312">
        <v>41.64</v>
      </c>
      <c r="J763" s="312">
        <v>553.62</v>
      </c>
      <c r="K763" s="312">
        <v>130.1</v>
      </c>
      <c r="M763" t="s">
        <v>2527</v>
      </c>
      <c r="N763" s="312">
        <v>2784.53</v>
      </c>
      <c r="O763" s="312">
        <v>118571.94</v>
      </c>
      <c r="P763" s="312">
        <v>21459.200000000001</v>
      </c>
      <c r="Q763" s="312">
        <v>238178.36000000002</v>
      </c>
      <c r="R763" s="312">
        <v>32900.53</v>
      </c>
    </row>
    <row r="764" spans="6:18">
      <c r="F764" t="s">
        <v>2528</v>
      </c>
      <c r="G764" s="312">
        <v>1.83</v>
      </c>
      <c r="H764" s="312">
        <v>257.52999999999997</v>
      </c>
      <c r="I764" s="312">
        <v>68.73</v>
      </c>
      <c r="J764" s="312">
        <v>597.19000000000005</v>
      </c>
      <c r="K764" s="312">
        <v>148.91</v>
      </c>
      <c r="M764" t="s">
        <v>2528</v>
      </c>
      <c r="N764" s="312">
        <v>455.63</v>
      </c>
      <c r="O764" s="312">
        <v>109772.98</v>
      </c>
      <c r="P764" s="312">
        <v>37047.17</v>
      </c>
      <c r="Q764" s="312">
        <v>272435.68</v>
      </c>
      <c r="R764" s="312">
        <v>48891.59</v>
      </c>
    </row>
    <row r="765" spans="6:18">
      <c r="F765" t="s">
        <v>2529</v>
      </c>
      <c r="G765" s="312">
        <v>1.37</v>
      </c>
      <c r="H765" s="312">
        <v>268.79000000000002</v>
      </c>
      <c r="I765" s="312">
        <v>28.25</v>
      </c>
      <c r="J765" s="312">
        <v>621.95000000000005</v>
      </c>
      <c r="K765" s="312">
        <v>123.13</v>
      </c>
      <c r="M765" t="s">
        <v>2529</v>
      </c>
      <c r="N765" s="312">
        <v>314.60000000000002</v>
      </c>
      <c r="O765" s="312">
        <v>131336.12</v>
      </c>
      <c r="P765" s="312">
        <v>13661.779999999999</v>
      </c>
      <c r="Q765" s="312">
        <v>249514</v>
      </c>
      <c r="R765" s="312">
        <v>35045.56</v>
      </c>
    </row>
    <row r="766" spans="6:18">
      <c r="F766" t="s">
        <v>2530</v>
      </c>
      <c r="G766" s="312">
        <v>7.58</v>
      </c>
      <c r="H766" s="312">
        <v>157</v>
      </c>
      <c r="I766" s="312">
        <v>13.88</v>
      </c>
      <c r="J766" s="312">
        <v>497.46000000000004</v>
      </c>
      <c r="K766" s="312">
        <v>71.990000000000009</v>
      </c>
      <c r="M766" t="s">
        <v>2530</v>
      </c>
      <c r="N766" s="312">
        <v>3147.66</v>
      </c>
      <c r="O766" s="312">
        <v>82197.87</v>
      </c>
      <c r="P766" s="312">
        <v>8011.34</v>
      </c>
      <c r="Q766" s="312">
        <v>141842.41999999998</v>
      </c>
      <c r="R766" s="312">
        <v>14582.89</v>
      </c>
    </row>
    <row r="767" spans="6:18">
      <c r="F767" t="s">
        <v>2531</v>
      </c>
      <c r="G767" s="312"/>
      <c r="H767" s="312">
        <v>163.08000000000001</v>
      </c>
      <c r="I767" s="312">
        <v>7.17</v>
      </c>
      <c r="J767" s="312">
        <v>330.78</v>
      </c>
      <c r="K767" s="312">
        <v>41.26</v>
      </c>
      <c r="M767" t="s">
        <v>2531</v>
      </c>
      <c r="N767" s="312"/>
      <c r="O767" s="312">
        <v>69509.14</v>
      </c>
      <c r="P767" s="312">
        <v>2292.41</v>
      </c>
      <c r="Q767" s="312">
        <v>117289.58</v>
      </c>
      <c r="R767" s="312">
        <v>33115.5</v>
      </c>
    </row>
    <row r="768" spans="6:18">
      <c r="F768" t="s">
        <v>2532</v>
      </c>
      <c r="G768" s="312">
        <v>0.68</v>
      </c>
      <c r="H768" s="312">
        <v>242.31</v>
      </c>
      <c r="I768" s="312">
        <v>44.67</v>
      </c>
      <c r="J768" s="312">
        <v>571.57000000000005</v>
      </c>
      <c r="K768" s="312">
        <v>100.05000000000001</v>
      </c>
      <c r="M768" t="s">
        <v>2532</v>
      </c>
      <c r="N768" s="312">
        <v>332.58</v>
      </c>
      <c r="O768" s="312">
        <v>113281.01000000001</v>
      </c>
      <c r="P768" s="312">
        <v>18741.07</v>
      </c>
      <c r="Q768" s="312">
        <v>252619.2</v>
      </c>
      <c r="R768" s="312">
        <v>25022.53</v>
      </c>
    </row>
    <row r="769" spans="6:18">
      <c r="F769" t="s">
        <v>2533</v>
      </c>
      <c r="G769" s="312">
        <v>6.51</v>
      </c>
      <c r="H769" s="312">
        <v>266.8</v>
      </c>
      <c r="I769" s="312">
        <v>22.14</v>
      </c>
      <c r="J769" s="312">
        <v>394.01</v>
      </c>
      <c r="K769" s="312">
        <v>87.31</v>
      </c>
      <c r="M769" t="s">
        <v>2533</v>
      </c>
      <c r="N769" s="312">
        <v>2066.92</v>
      </c>
      <c r="O769" s="312">
        <v>106848.98999999999</v>
      </c>
      <c r="P769" s="312">
        <v>11269.630000000001</v>
      </c>
      <c r="Q769" s="312">
        <v>133364.32</v>
      </c>
      <c r="R769" s="312">
        <v>14058.17</v>
      </c>
    </row>
    <row r="770" spans="6:18">
      <c r="F770" t="s">
        <v>2534</v>
      </c>
      <c r="G770" s="312"/>
      <c r="H770" s="312">
        <v>188.92</v>
      </c>
      <c r="I770" s="312">
        <v>51.74</v>
      </c>
      <c r="J770" s="312">
        <v>628.52</v>
      </c>
      <c r="K770" s="312">
        <v>80.62</v>
      </c>
      <c r="M770" t="s">
        <v>2534</v>
      </c>
      <c r="N770" s="312"/>
      <c r="O770" s="312">
        <v>94357.72</v>
      </c>
      <c r="P770" s="312">
        <v>35352.19</v>
      </c>
      <c r="Q770" s="312">
        <v>209715.92</v>
      </c>
      <c r="R770" s="312">
        <v>18584.37</v>
      </c>
    </row>
    <row r="771" spans="6:18">
      <c r="F771" t="s">
        <v>2535</v>
      </c>
      <c r="G771" s="312">
        <v>3.46</v>
      </c>
      <c r="H771" s="312">
        <v>192.15</v>
      </c>
      <c r="I771" s="312">
        <v>34.119999999999997</v>
      </c>
      <c r="J771" s="312">
        <v>439.26</v>
      </c>
      <c r="K771" s="312">
        <v>86.56</v>
      </c>
      <c r="M771" t="s">
        <v>2535</v>
      </c>
      <c r="N771" s="312">
        <v>2002.05</v>
      </c>
      <c r="O771" s="312">
        <v>74503.59</v>
      </c>
      <c r="P771" s="312">
        <v>51418.9</v>
      </c>
      <c r="Q771" s="312">
        <v>218572.84</v>
      </c>
      <c r="R771" s="312">
        <v>26474.63</v>
      </c>
    </row>
    <row r="772" spans="6:18">
      <c r="F772" t="s">
        <v>2536</v>
      </c>
      <c r="G772" s="312">
        <v>11.93</v>
      </c>
      <c r="H772" s="312">
        <v>256.10000000000002</v>
      </c>
      <c r="I772" s="312">
        <v>39.880000000000003</v>
      </c>
      <c r="J772" s="312">
        <v>567.04</v>
      </c>
      <c r="K772" s="312">
        <v>71.509999999999991</v>
      </c>
      <c r="M772" t="s">
        <v>2536</v>
      </c>
      <c r="N772" s="312">
        <v>3708.31</v>
      </c>
      <c r="O772" s="312">
        <v>93354.739999999991</v>
      </c>
      <c r="P772" s="312">
        <v>22804.41</v>
      </c>
      <c r="Q772" s="312">
        <v>297783.57999999996</v>
      </c>
      <c r="R772" s="312">
        <v>18767.53</v>
      </c>
    </row>
    <row r="773" spans="6:18">
      <c r="F773" t="s">
        <v>2537</v>
      </c>
      <c r="G773" s="312">
        <v>0.68</v>
      </c>
      <c r="H773" s="312">
        <v>151.51</v>
      </c>
      <c r="I773" s="312">
        <v>19.439999999999998</v>
      </c>
      <c r="J773" s="312">
        <v>435.79</v>
      </c>
      <c r="K773" s="312">
        <v>64</v>
      </c>
      <c r="M773" t="s">
        <v>2537</v>
      </c>
      <c r="N773" s="312">
        <v>1034.22</v>
      </c>
      <c r="O773" s="312">
        <v>59673.03</v>
      </c>
      <c r="P773" s="312">
        <v>8410.93</v>
      </c>
      <c r="Q773" s="312">
        <v>214017.36000000002</v>
      </c>
      <c r="R773" s="312">
        <v>16591.23</v>
      </c>
    </row>
    <row r="774" spans="6:18">
      <c r="F774" t="s">
        <v>2538</v>
      </c>
      <c r="G774" s="312">
        <v>6.93</v>
      </c>
      <c r="H774" s="312">
        <v>169.85999999999999</v>
      </c>
      <c r="I774" s="312">
        <v>10.64</v>
      </c>
      <c r="J774" s="312">
        <v>323.15999999999997</v>
      </c>
      <c r="K774" s="312">
        <v>72.460000000000008</v>
      </c>
      <c r="M774" t="s">
        <v>2538</v>
      </c>
      <c r="N774" s="312">
        <v>1586</v>
      </c>
      <c r="O774" s="312">
        <v>94761.72</v>
      </c>
      <c r="P774" s="312">
        <v>7319.7800000000007</v>
      </c>
      <c r="Q774" s="312">
        <v>136263.84</v>
      </c>
      <c r="R774" s="312">
        <v>31318.54</v>
      </c>
    </row>
    <row r="775" spans="6:18">
      <c r="F775" t="s">
        <v>2539</v>
      </c>
      <c r="G775" s="312">
        <v>4.7300000000000004</v>
      </c>
      <c r="H775" s="312">
        <v>249.88</v>
      </c>
      <c r="I775" s="312">
        <v>48.519999999999996</v>
      </c>
      <c r="J775" s="312">
        <v>456.57</v>
      </c>
      <c r="K775" s="312">
        <v>120.33000000000001</v>
      </c>
      <c r="M775" t="s">
        <v>2539</v>
      </c>
      <c r="N775" s="312">
        <v>5347.95</v>
      </c>
      <c r="O775" s="312">
        <v>125291.29000000001</v>
      </c>
      <c r="P775" s="312">
        <v>27380.76</v>
      </c>
      <c r="Q775" s="312">
        <v>168777.43</v>
      </c>
      <c r="R775" s="312">
        <v>26286.68</v>
      </c>
    </row>
    <row r="776" spans="6:18">
      <c r="F776" t="s">
        <v>2540</v>
      </c>
      <c r="G776" s="312">
        <v>1.43</v>
      </c>
      <c r="H776" s="312">
        <v>228.98</v>
      </c>
      <c r="I776" s="312">
        <v>14.23</v>
      </c>
      <c r="J776" s="312">
        <v>432.89</v>
      </c>
      <c r="K776" s="312">
        <v>125.25</v>
      </c>
      <c r="M776" t="s">
        <v>2540</v>
      </c>
      <c r="N776" s="312">
        <v>535.59</v>
      </c>
      <c r="O776" s="312">
        <v>125823.31</v>
      </c>
      <c r="P776" s="312">
        <v>9355.16</v>
      </c>
      <c r="Q776" s="312">
        <v>208391.34</v>
      </c>
      <c r="R776" s="312">
        <v>38538.300000000003</v>
      </c>
    </row>
    <row r="777" spans="6:18">
      <c r="F777" t="s">
        <v>2541</v>
      </c>
      <c r="G777" s="312">
        <v>4.49</v>
      </c>
      <c r="H777" s="312">
        <v>208.62</v>
      </c>
      <c r="I777" s="312">
        <v>44.25</v>
      </c>
      <c r="J777" s="312">
        <v>594.5</v>
      </c>
      <c r="K777" s="312">
        <v>77.490000000000009</v>
      </c>
      <c r="M777" t="s">
        <v>2541</v>
      </c>
      <c r="N777" s="312">
        <v>1291.0899999999999</v>
      </c>
      <c r="O777" s="312">
        <v>135460.46</v>
      </c>
      <c r="P777" s="312">
        <v>30892.19</v>
      </c>
      <c r="Q777" s="312">
        <v>241651.36</v>
      </c>
      <c r="R777" s="312">
        <v>20675.09</v>
      </c>
    </row>
    <row r="778" spans="6:18">
      <c r="F778" t="s">
        <v>2542</v>
      </c>
      <c r="G778" s="312">
        <v>4.32</v>
      </c>
      <c r="H778" s="312">
        <v>266.14</v>
      </c>
      <c r="I778" s="312">
        <v>25.549999999999997</v>
      </c>
      <c r="J778" s="312">
        <v>541.1</v>
      </c>
      <c r="K778" s="312">
        <v>78.64</v>
      </c>
      <c r="M778" t="s">
        <v>2542</v>
      </c>
      <c r="N778" s="312">
        <v>2137.02</v>
      </c>
      <c r="O778" s="312">
        <v>117115.29</v>
      </c>
      <c r="P778" s="312">
        <v>20708.910000000003</v>
      </c>
      <c r="Q778" s="312">
        <v>231988.13</v>
      </c>
      <c r="R778" s="312">
        <v>20784.580000000002</v>
      </c>
    </row>
    <row r="779" spans="6:18">
      <c r="F779" t="s">
        <v>2543</v>
      </c>
      <c r="G779" s="312">
        <v>4.58</v>
      </c>
      <c r="H779" s="312">
        <v>207.23000000000002</v>
      </c>
      <c r="I779" s="312">
        <v>18.79</v>
      </c>
      <c r="J779" s="312">
        <v>479.11</v>
      </c>
      <c r="K779" s="312">
        <v>80.34</v>
      </c>
      <c r="M779" t="s">
        <v>2543</v>
      </c>
      <c r="N779" s="312">
        <v>1699.98</v>
      </c>
      <c r="O779" s="312">
        <v>98867.459999999992</v>
      </c>
      <c r="P779" s="312">
        <v>15703.119999999999</v>
      </c>
      <c r="Q779" s="312">
        <v>212426.21</v>
      </c>
      <c r="R779" s="312">
        <v>24025.370000000003</v>
      </c>
    </row>
    <row r="780" spans="6:18">
      <c r="F780" t="s">
        <v>2544</v>
      </c>
      <c r="G780" s="312">
        <v>2.5299999999999998</v>
      </c>
      <c r="H780" s="312">
        <v>160.75</v>
      </c>
      <c r="I780" s="312">
        <v>26.14</v>
      </c>
      <c r="J780" s="312">
        <v>162.96</v>
      </c>
      <c r="K780" s="312">
        <v>45.45</v>
      </c>
      <c r="M780" t="s">
        <v>2544</v>
      </c>
      <c r="N780" s="312">
        <v>1214.06</v>
      </c>
      <c r="O780" s="312">
        <v>69634.900000000009</v>
      </c>
      <c r="P780" s="312">
        <v>32671.5</v>
      </c>
      <c r="Q780" s="312">
        <v>51744.369999999995</v>
      </c>
      <c r="R780" s="312">
        <v>12980.060000000001</v>
      </c>
    </row>
    <row r="781" spans="6:18">
      <c r="F781" t="s">
        <v>2545</v>
      </c>
      <c r="G781" s="312"/>
      <c r="H781" s="312">
        <v>127.64999999999999</v>
      </c>
      <c r="I781" s="312">
        <v>7.72</v>
      </c>
      <c r="J781" s="312">
        <v>438.56</v>
      </c>
      <c r="K781" s="312">
        <v>69.56</v>
      </c>
      <c r="M781" t="s">
        <v>2545</v>
      </c>
      <c r="N781" s="312"/>
      <c r="O781" s="312">
        <v>57135.43</v>
      </c>
      <c r="P781" s="312">
        <v>4162.71</v>
      </c>
      <c r="Q781" s="312">
        <v>148330.78</v>
      </c>
      <c r="R781" s="312">
        <v>20807.21</v>
      </c>
    </row>
    <row r="782" spans="6:18">
      <c r="F782" t="s">
        <v>2546</v>
      </c>
      <c r="G782" s="312">
        <v>1.4</v>
      </c>
      <c r="H782" s="312">
        <v>181.46</v>
      </c>
      <c r="I782" s="312">
        <v>47.23</v>
      </c>
      <c r="J782" s="312">
        <v>509.26</v>
      </c>
      <c r="K782" s="312">
        <v>73.36</v>
      </c>
      <c r="M782" t="s">
        <v>2546</v>
      </c>
      <c r="N782" s="312">
        <v>622.53</v>
      </c>
      <c r="O782" s="312">
        <v>117214.29</v>
      </c>
      <c r="P782" s="312">
        <v>25965.690000000002</v>
      </c>
      <c r="Q782" s="312">
        <v>188837.25</v>
      </c>
      <c r="R782" s="312">
        <v>17619.47</v>
      </c>
    </row>
    <row r="783" spans="6:18">
      <c r="F783" t="s">
        <v>2547</v>
      </c>
      <c r="G783" s="312">
        <v>4.1500000000000004</v>
      </c>
      <c r="H783" s="312">
        <v>225.19</v>
      </c>
      <c r="I783" s="312">
        <v>31.39</v>
      </c>
      <c r="J783" s="312">
        <v>339.2</v>
      </c>
      <c r="K783" s="312">
        <v>98.300000000000011</v>
      </c>
      <c r="M783" t="s">
        <v>2547</v>
      </c>
      <c r="N783" s="312">
        <v>1485.8899999999999</v>
      </c>
      <c r="O783" s="312">
        <v>144235.22</v>
      </c>
      <c r="P783" s="312">
        <v>14130.75</v>
      </c>
      <c r="Q783" s="312">
        <v>151621.55000000002</v>
      </c>
      <c r="R783" s="312">
        <v>34064.44</v>
      </c>
    </row>
    <row r="784" spans="6:18">
      <c r="F784" t="s">
        <v>2548</v>
      </c>
      <c r="G784" s="312">
        <v>0.68</v>
      </c>
      <c r="H784" s="312">
        <v>206.89999999999998</v>
      </c>
      <c r="I784" s="312">
        <v>28.259999999999998</v>
      </c>
      <c r="J784" s="312">
        <v>412.43</v>
      </c>
      <c r="K784" s="312">
        <v>90.89</v>
      </c>
      <c r="M784" t="s">
        <v>2548</v>
      </c>
      <c r="N784" s="312">
        <v>276.70999999999998</v>
      </c>
      <c r="O784" s="312">
        <v>113313.76</v>
      </c>
      <c r="P784" s="312">
        <v>29228.13</v>
      </c>
      <c r="Q784" s="312">
        <v>160909.06</v>
      </c>
      <c r="R784" s="312">
        <v>32674.68</v>
      </c>
    </row>
    <row r="785" spans="6:18">
      <c r="F785" t="s">
        <v>2549</v>
      </c>
      <c r="G785" s="312">
        <v>4.33</v>
      </c>
      <c r="H785" s="312">
        <v>183.82</v>
      </c>
      <c r="I785" s="312">
        <v>24.630000000000003</v>
      </c>
      <c r="J785" s="312">
        <v>365.44</v>
      </c>
      <c r="K785" s="312">
        <v>91.949999999999989</v>
      </c>
      <c r="M785" t="s">
        <v>2549</v>
      </c>
      <c r="N785" s="312">
        <v>1992.9</v>
      </c>
      <c r="O785" s="312">
        <v>128733.79999999999</v>
      </c>
      <c r="P785" s="312">
        <v>12548.189999999999</v>
      </c>
      <c r="Q785" s="312">
        <v>166596.21000000002</v>
      </c>
      <c r="R785" s="312">
        <v>29238.489999999998</v>
      </c>
    </row>
    <row r="786" spans="6:18">
      <c r="F786" t="s">
        <v>2550</v>
      </c>
      <c r="G786" s="312">
        <v>1.38</v>
      </c>
      <c r="H786" s="312">
        <v>180.17000000000002</v>
      </c>
      <c r="I786" s="312">
        <v>27.1</v>
      </c>
      <c r="J786" s="312">
        <v>437.61</v>
      </c>
      <c r="K786" s="312">
        <v>70.239999999999995</v>
      </c>
      <c r="M786" t="s">
        <v>2550</v>
      </c>
      <c r="N786" s="312">
        <v>563.87</v>
      </c>
      <c r="O786" s="312">
        <v>84158.62</v>
      </c>
      <c r="P786" s="312">
        <v>14605.02</v>
      </c>
      <c r="Q786" s="312">
        <v>236835.55</v>
      </c>
      <c r="R786" s="312">
        <v>21043.739999999998</v>
      </c>
    </row>
    <row r="787" spans="6:18">
      <c r="F787" t="s">
        <v>2551</v>
      </c>
      <c r="G787" s="312">
        <v>0.7</v>
      </c>
      <c r="H787" s="312">
        <v>129.63999999999999</v>
      </c>
      <c r="I787" s="312">
        <v>54.709999999999994</v>
      </c>
      <c r="J787" s="312">
        <v>267.21000000000004</v>
      </c>
      <c r="K787" s="312">
        <v>106.61</v>
      </c>
      <c r="M787" t="s">
        <v>2551</v>
      </c>
      <c r="N787" s="312">
        <v>219.87</v>
      </c>
      <c r="O787" s="312">
        <v>69840.41</v>
      </c>
      <c r="P787" s="312">
        <v>26544.13</v>
      </c>
      <c r="Q787" s="312">
        <v>133691.26</v>
      </c>
      <c r="R787" s="312">
        <v>29483.62</v>
      </c>
    </row>
    <row r="788" spans="6:18">
      <c r="F788" t="s">
        <v>2552</v>
      </c>
      <c r="G788" s="312">
        <v>9.4</v>
      </c>
      <c r="H788" s="312">
        <v>199.38</v>
      </c>
      <c r="I788" s="312">
        <v>21.900000000000002</v>
      </c>
      <c r="J788" s="312">
        <v>246.09</v>
      </c>
      <c r="K788" s="312">
        <v>61.760000000000005</v>
      </c>
      <c r="M788" t="s">
        <v>2552</v>
      </c>
      <c r="N788" s="312">
        <v>4437.09</v>
      </c>
      <c r="O788" s="312">
        <v>118312.37999999999</v>
      </c>
      <c r="P788" s="312">
        <v>9147.08</v>
      </c>
      <c r="Q788" s="312">
        <v>105222.42</v>
      </c>
      <c r="R788" s="312">
        <v>20535.03</v>
      </c>
    </row>
    <row r="789" spans="6:18">
      <c r="F789" t="s">
        <v>2553</v>
      </c>
      <c r="G789" s="312"/>
      <c r="H789" s="312">
        <v>251.13</v>
      </c>
      <c r="I789" s="312">
        <v>17.420000000000002</v>
      </c>
      <c r="J789" s="312">
        <v>337.78000000000003</v>
      </c>
      <c r="K789" s="312">
        <v>108.08</v>
      </c>
      <c r="M789" t="s">
        <v>2553</v>
      </c>
      <c r="N789" s="312"/>
      <c r="O789" s="312">
        <v>119476.42</v>
      </c>
      <c r="P789" s="312">
        <v>11184.66</v>
      </c>
      <c r="Q789" s="312">
        <v>150325.5</v>
      </c>
      <c r="R789" s="312">
        <v>32012.68</v>
      </c>
    </row>
    <row r="790" spans="6:18">
      <c r="F790" t="s">
        <v>2554</v>
      </c>
      <c r="G790" s="312">
        <v>4.6900000000000004</v>
      </c>
      <c r="H790" s="312">
        <v>292.56</v>
      </c>
      <c r="I790" s="312">
        <v>26.97</v>
      </c>
      <c r="J790" s="312">
        <v>432.71</v>
      </c>
      <c r="K790" s="312">
        <v>105.16</v>
      </c>
      <c r="M790" t="s">
        <v>2554</v>
      </c>
      <c r="N790" s="312">
        <v>1546.13</v>
      </c>
      <c r="O790" s="312">
        <v>156917.93</v>
      </c>
      <c r="P790" s="312">
        <v>35351.26</v>
      </c>
      <c r="Q790" s="312">
        <v>212842.03</v>
      </c>
      <c r="R790" s="312">
        <v>31394.42</v>
      </c>
    </row>
    <row r="791" spans="6:18">
      <c r="F791" t="s">
        <v>2555</v>
      </c>
      <c r="G791" s="312">
        <v>2.3199999999999998</v>
      </c>
      <c r="H791" s="312">
        <v>200.1</v>
      </c>
      <c r="I791" s="312">
        <v>23.58</v>
      </c>
      <c r="J791" s="312">
        <v>504.99</v>
      </c>
      <c r="K791" s="312">
        <v>81.009999999999991</v>
      </c>
      <c r="M791" t="s">
        <v>2555</v>
      </c>
      <c r="N791" s="312">
        <v>1049.83</v>
      </c>
      <c r="O791" s="312">
        <v>109125.95999999999</v>
      </c>
      <c r="P791" s="312">
        <v>30213.57</v>
      </c>
      <c r="Q791" s="312">
        <v>245241.06</v>
      </c>
      <c r="R791" s="312">
        <v>19743.97</v>
      </c>
    </row>
    <row r="792" spans="6:18">
      <c r="F792" t="s">
        <v>2556</v>
      </c>
      <c r="G792" s="312">
        <v>4.1500000000000004</v>
      </c>
      <c r="H792" s="312">
        <v>282.74</v>
      </c>
      <c r="I792" s="312">
        <v>29.25</v>
      </c>
      <c r="J792" s="312">
        <v>621.4</v>
      </c>
      <c r="K792" s="312">
        <v>126.80000000000001</v>
      </c>
      <c r="M792" t="s">
        <v>2556</v>
      </c>
      <c r="N792" s="312">
        <v>2181.0100000000002</v>
      </c>
      <c r="O792" s="312">
        <v>154695.10999999999</v>
      </c>
      <c r="P792" s="312">
        <v>14878.29</v>
      </c>
      <c r="Q792" s="312">
        <v>235853.75</v>
      </c>
      <c r="R792" s="312">
        <v>43425.42</v>
      </c>
    </row>
    <row r="793" spans="6:18">
      <c r="F793" t="s">
        <v>2557</v>
      </c>
      <c r="G793" s="312">
        <v>22.56</v>
      </c>
      <c r="H793" s="312">
        <v>247.06</v>
      </c>
      <c r="I793" s="312">
        <v>33.229999999999997</v>
      </c>
      <c r="J793" s="312">
        <v>400.52000000000004</v>
      </c>
      <c r="K793" s="312">
        <v>113.29</v>
      </c>
      <c r="M793" t="s">
        <v>2557</v>
      </c>
      <c r="N793" s="312">
        <v>18420.16</v>
      </c>
      <c r="O793" s="312">
        <v>124749.92</v>
      </c>
      <c r="P793" s="312">
        <v>14157.03</v>
      </c>
      <c r="Q793" s="312">
        <v>252126.96</v>
      </c>
      <c r="R793" s="312">
        <v>28481.200000000001</v>
      </c>
    </row>
    <row r="794" spans="6:18">
      <c r="F794" t="s">
        <v>2558</v>
      </c>
      <c r="G794" s="312">
        <v>11.4</v>
      </c>
      <c r="H794" s="312">
        <v>160.51</v>
      </c>
      <c r="I794" s="312">
        <v>11.35</v>
      </c>
      <c r="J794" s="312">
        <v>316.19</v>
      </c>
      <c r="K794" s="312">
        <v>53.68</v>
      </c>
      <c r="M794" t="s">
        <v>2558</v>
      </c>
      <c r="N794" s="312">
        <v>14298.18</v>
      </c>
      <c r="O794" s="312">
        <v>75797.33</v>
      </c>
      <c r="P794" s="312">
        <v>4919.1000000000004</v>
      </c>
      <c r="Q794" s="312">
        <v>179022.77000000002</v>
      </c>
      <c r="R794" s="312">
        <v>22465.45</v>
      </c>
    </row>
    <row r="795" spans="6:18">
      <c r="F795" t="s">
        <v>2559</v>
      </c>
      <c r="G795" s="312">
        <v>6.94</v>
      </c>
      <c r="H795" s="312">
        <v>156.42000000000002</v>
      </c>
      <c r="I795" s="312">
        <v>0.6</v>
      </c>
      <c r="J795" s="312">
        <v>218.22</v>
      </c>
      <c r="K795" s="312">
        <v>83.72999999999999</v>
      </c>
      <c r="M795" t="s">
        <v>2559</v>
      </c>
      <c r="N795" s="312">
        <v>3817.03</v>
      </c>
      <c r="O795" s="312">
        <v>122182.18000000001</v>
      </c>
      <c r="P795" s="312">
        <v>139.72999999999999</v>
      </c>
      <c r="Q795" s="312">
        <v>72749.78</v>
      </c>
      <c r="R795" s="312">
        <v>30657.96</v>
      </c>
    </row>
    <row r="796" spans="6:18">
      <c r="F796" t="s">
        <v>2560</v>
      </c>
      <c r="G796" s="312">
        <v>23.09</v>
      </c>
      <c r="H796" s="312">
        <v>297.05</v>
      </c>
      <c r="I796" s="312">
        <v>49.260000000000005</v>
      </c>
      <c r="J796" s="312">
        <v>400.11</v>
      </c>
      <c r="K796" s="312">
        <v>138.93</v>
      </c>
      <c r="M796" t="s">
        <v>2560</v>
      </c>
      <c r="N796" s="312">
        <v>29073.279999999999</v>
      </c>
      <c r="O796" s="312">
        <v>152158</v>
      </c>
      <c r="P796" s="312">
        <v>30572.46</v>
      </c>
      <c r="Q796" s="312">
        <v>171180.44999999998</v>
      </c>
      <c r="R796" s="312">
        <v>43067.759999999995</v>
      </c>
    </row>
    <row r="797" spans="6:18">
      <c r="F797" t="s">
        <v>2561</v>
      </c>
      <c r="G797" s="312">
        <v>4.1500000000000004</v>
      </c>
      <c r="H797" s="312">
        <v>276.27</v>
      </c>
      <c r="I797" s="312">
        <v>26.88</v>
      </c>
      <c r="J797" s="312">
        <v>343.54</v>
      </c>
      <c r="K797" s="312">
        <v>75.949999999999989</v>
      </c>
      <c r="M797" t="s">
        <v>2561</v>
      </c>
      <c r="N797" s="312">
        <v>970.04</v>
      </c>
      <c r="O797" s="312">
        <v>119308.6</v>
      </c>
      <c r="P797" s="312">
        <v>27146.65</v>
      </c>
      <c r="Q797" s="312">
        <v>133677.69999999998</v>
      </c>
      <c r="R797" s="312">
        <v>15761.23</v>
      </c>
    </row>
    <row r="798" spans="6:18">
      <c r="F798" t="s">
        <v>2562</v>
      </c>
      <c r="G798" s="312">
        <v>14.88</v>
      </c>
      <c r="H798" s="312">
        <v>231.89</v>
      </c>
      <c r="I798" s="312">
        <v>19.61</v>
      </c>
      <c r="J798" s="312">
        <v>387.73</v>
      </c>
      <c r="K798" s="312">
        <v>119.22999999999999</v>
      </c>
      <c r="M798" t="s">
        <v>2562</v>
      </c>
      <c r="N798" s="312">
        <v>8792</v>
      </c>
      <c r="O798" s="312">
        <v>240292.91</v>
      </c>
      <c r="P798" s="312">
        <v>16191.55</v>
      </c>
      <c r="Q798" s="312">
        <v>196694.92</v>
      </c>
      <c r="R798" s="312">
        <v>28183.74</v>
      </c>
    </row>
    <row r="799" spans="6:18">
      <c r="F799" t="s">
        <v>2563</v>
      </c>
      <c r="G799" s="312">
        <v>16.13</v>
      </c>
      <c r="H799" s="312">
        <v>222.09</v>
      </c>
      <c r="I799" s="312">
        <v>50.57</v>
      </c>
      <c r="J799" s="312">
        <v>362.89</v>
      </c>
      <c r="K799" s="312">
        <v>102.80000000000001</v>
      </c>
      <c r="M799" t="s">
        <v>2563</v>
      </c>
      <c r="N799" s="312">
        <v>8063.49</v>
      </c>
      <c r="O799" s="312">
        <v>130854.51000000001</v>
      </c>
      <c r="P799" s="312">
        <v>36894.54</v>
      </c>
      <c r="Q799" s="312">
        <v>182572.06</v>
      </c>
      <c r="R799" s="312">
        <v>29889.739999999998</v>
      </c>
    </row>
    <row r="800" spans="6:18">
      <c r="F800" t="s">
        <v>2564</v>
      </c>
      <c r="G800" s="312">
        <v>9.11</v>
      </c>
      <c r="H800" s="312">
        <v>174.25</v>
      </c>
      <c r="I800" s="312">
        <v>11.89</v>
      </c>
      <c r="J800" s="312">
        <v>396.40999999999997</v>
      </c>
      <c r="K800" s="312">
        <v>104.24</v>
      </c>
      <c r="M800" t="s">
        <v>2564</v>
      </c>
      <c r="N800" s="312">
        <v>2066.2599999999998</v>
      </c>
      <c r="O800" s="312">
        <v>90670.86</v>
      </c>
      <c r="P800" s="312">
        <v>12149.99</v>
      </c>
      <c r="Q800" s="312">
        <v>241559.67</v>
      </c>
      <c r="R800" s="312">
        <v>32398.63</v>
      </c>
    </row>
    <row r="801" spans="6:18">
      <c r="F801" t="s">
        <v>2565</v>
      </c>
      <c r="G801" s="312">
        <v>13.3</v>
      </c>
      <c r="H801" s="312">
        <v>268.28999999999996</v>
      </c>
      <c r="I801" s="312">
        <v>13.35</v>
      </c>
      <c r="J801" s="312">
        <v>249.34</v>
      </c>
      <c r="K801" s="312">
        <v>78.989999999999995</v>
      </c>
      <c r="M801" t="s">
        <v>2565</v>
      </c>
      <c r="N801" s="312">
        <v>8201.0300000000007</v>
      </c>
      <c r="O801" s="312">
        <v>132728.76</v>
      </c>
      <c r="P801" s="312">
        <v>11575.84</v>
      </c>
      <c r="Q801" s="312">
        <v>144611.09</v>
      </c>
      <c r="R801" s="312">
        <v>23782.43</v>
      </c>
    </row>
    <row r="802" spans="6:18">
      <c r="F802" t="s">
        <v>2566</v>
      </c>
      <c r="G802" s="312"/>
      <c r="H802" s="312">
        <v>137.07999999999998</v>
      </c>
      <c r="I802" s="312">
        <v>1.01</v>
      </c>
      <c r="J802" s="312">
        <v>180.21</v>
      </c>
      <c r="K802" s="312">
        <v>56.6</v>
      </c>
      <c r="M802" t="s">
        <v>2566</v>
      </c>
      <c r="N802" s="312"/>
      <c r="O802" s="312">
        <v>60467.039999999994</v>
      </c>
      <c r="P802" s="312">
        <v>344.46</v>
      </c>
      <c r="Q802" s="312">
        <v>75108.75</v>
      </c>
      <c r="R802" s="312">
        <v>17943.310000000001</v>
      </c>
    </row>
    <row r="803" spans="6:18">
      <c r="F803" t="s">
        <v>2567</v>
      </c>
      <c r="G803" s="312">
        <v>11.48</v>
      </c>
      <c r="H803" s="312">
        <v>278.77999999999997</v>
      </c>
      <c r="I803" s="312">
        <v>27.59</v>
      </c>
      <c r="J803" s="312">
        <v>359.01</v>
      </c>
      <c r="K803" s="312">
        <v>142.86000000000001</v>
      </c>
      <c r="M803" t="s">
        <v>2567</v>
      </c>
      <c r="N803" s="312">
        <v>5133.53</v>
      </c>
      <c r="O803" s="312">
        <v>186262.16</v>
      </c>
      <c r="P803" s="312">
        <v>10089.799999999999</v>
      </c>
      <c r="Q803" s="312">
        <v>121380.4</v>
      </c>
      <c r="R803" s="312">
        <v>66995.95</v>
      </c>
    </row>
    <row r="804" spans="6:18">
      <c r="F804" t="s">
        <v>2568</v>
      </c>
      <c r="G804" s="312">
        <v>18.59</v>
      </c>
      <c r="H804" s="312">
        <v>190.41</v>
      </c>
      <c r="I804" s="312">
        <v>20.71</v>
      </c>
      <c r="J804" s="312">
        <v>356.8</v>
      </c>
      <c r="K804" s="312">
        <v>137.30000000000001</v>
      </c>
      <c r="M804" t="s">
        <v>2568</v>
      </c>
      <c r="N804" s="312">
        <v>4466.8900000000003</v>
      </c>
      <c r="O804" s="312">
        <v>99440.93</v>
      </c>
      <c r="P804" s="312">
        <v>9772.35</v>
      </c>
      <c r="Q804" s="312">
        <v>241192.53999999998</v>
      </c>
      <c r="R804" s="312">
        <v>36312.21</v>
      </c>
    </row>
    <row r="805" spans="6:18">
      <c r="F805" t="s">
        <v>2569</v>
      </c>
      <c r="G805" s="312">
        <v>7.45</v>
      </c>
      <c r="H805" s="312">
        <v>196.57</v>
      </c>
      <c r="I805" s="312">
        <v>25.35</v>
      </c>
      <c r="J805" s="312">
        <v>326.03000000000003</v>
      </c>
      <c r="K805" s="312">
        <v>134.66</v>
      </c>
      <c r="M805" t="s">
        <v>2569</v>
      </c>
      <c r="N805" s="312">
        <v>2967.91</v>
      </c>
      <c r="O805" s="312">
        <v>173808.24000000002</v>
      </c>
      <c r="P805" s="312">
        <v>14354.57</v>
      </c>
      <c r="Q805" s="312">
        <v>120800.86</v>
      </c>
      <c r="R805" s="312">
        <v>38573.229999999996</v>
      </c>
    </row>
    <row r="806" spans="6:18">
      <c r="F806" t="s">
        <v>2570</v>
      </c>
      <c r="G806" s="312">
        <v>5.79</v>
      </c>
      <c r="H806" s="312">
        <v>178.59</v>
      </c>
      <c r="I806" s="312">
        <v>2.38</v>
      </c>
      <c r="J806" s="312">
        <v>346.09</v>
      </c>
      <c r="K806" s="312">
        <v>147.66</v>
      </c>
      <c r="M806" t="s">
        <v>2570</v>
      </c>
      <c r="N806" s="312">
        <v>1400.25</v>
      </c>
      <c r="O806" s="312">
        <v>86083.33</v>
      </c>
      <c r="P806" s="312">
        <v>1327.14</v>
      </c>
      <c r="Q806" s="312">
        <v>144632.37</v>
      </c>
      <c r="R806" s="312">
        <v>53430.69</v>
      </c>
    </row>
    <row r="807" spans="6:18">
      <c r="F807" t="s">
        <v>2571</v>
      </c>
      <c r="G807" s="312">
        <v>3.26</v>
      </c>
      <c r="H807" s="312">
        <v>160.51999999999998</v>
      </c>
      <c r="I807" s="312">
        <v>14.72</v>
      </c>
      <c r="J807" s="312">
        <v>232.95</v>
      </c>
      <c r="K807" s="312">
        <v>83.43</v>
      </c>
      <c r="M807" t="s">
        <v>2571</v>
      </c>
      <c r="N807" s="312">
        <v>2580.4699999999998</v>
      </c>
      <c r="O807" s="312">
        <v>101640.26999999999</v>
      </c>
      <c r="P807" s="312">
        <v>6404.95</v>
      </c>
      <c r="Q807" s="312">
        <v>90758.21</v>
      </c>
      <c r="R807" s="312">
        <v>26972.769999999997</v>
      </c>
    </row>
    <row r="808" spans="6:18">
      <c r="F808" t="s">
        <v>2572</v>
      </c>
      <c r="G808" s="312">
        <v>7.71</v>
      </c>
      <c r="H808" s="312">
        <v>136</v>
      </c>
      <c r="I808" s="312">
        <v>11.12</v>
      </c>
      <c r="J808" s="312">
        <v>159.87</v>
      </c>
      <c r="K808" s="312">
        <v>101.89999999999999</v>
      </c>
      <c r="M808" t="s">
        <v>2572</v>
      </c>
      <c r="N808" s="312">
        <v>2188.2799999999997</v>
      </c>
      <c r="O808" s="312">
        <v>61173.82</v>
      </c>
      <c r="P808" s="312">
        <v>8398.14</v>
      </c>
      <c r="Q808" s="312">
        <v>66503.25</v>
      </c>
      <c r="R808" s="312">
        <v>27066.3</v>
      </c>
    </row>
    <row r="809" spans="6:18">
      <c r="F809" t="s">
        <v>2573</v>
      </c>
      <c r="G809" s="312">
        <v>6.01</v>
      </c>
      <c r="H809" s="312">
        <v>135.66</v>
      </c>
      <c r="I809" s="312">
        <v>8.0500000000000007</v>
      </c>
      <c r="J809" s="312">
        <v>178.09</v>
      </c>
      <c r="K809" s="312">
        <v>87.52</v>
      </c>
      <c r="M809" t="s">
        <v>2573</v>
      </c>
      <c r="N809" s="312">
        <v>1470.95</v>
      </c>
      <c r="O809" s="312">
        <v>88749.4</v>
      </c>
      <c r="P809" s="312">
        <v>3618.26</v>
      </c>
      <c r="Q809" s="312">
        <v>66688.149999999994</v>
      </c>
      <c r="R809" s="312">
        <v>30115.82</v>
      </c>
    </row>
    <row r="810" spans="6:18">
      <c r="F810" t="s">
        <v>2574</v>
      </c>
      <c r="G810" s="312">
        <v>7.09</v>
      </c>
      <c r="H810" s="312">
        <v>205.57</v>
      </c>
      <c r="I810" s="312">
        <v>20.6</v>
      </c>
      <c r="J810" s="312">
        <v>373.28</v>
      </c>
      <c r="K810" s="312">
        <v>69.789999999999992</v>
      </c>
      <c r="M810" t="s">
        <v>2574</v>
      </c>
      <c r="N810" s="312">
        <v>3402.08</v>
      </c>
      <c r="O810" s="312">
        <v>109835.23999999999</v>
      </c>
      <c r="P810" s="312">
        <v>23758.31</v>
      </c>
      <c r="Q810" s="312">
        <v>138096.72</v>
      </c>
      <c r="R810" s="312">
        <v>26904.29</v>
      </c>
    </row>
    <row r="811" spans="6:18">
      <c r="F811" t="s">
        <v>2575</v>
      </c>
      <c r="G811" s="312">
        <v>3.47</v>
      </c>
      <c r="H811" s="312">
        <v>148.84</v>
      </c>
      <c r="I811" s="312">
        <v>7.68</v>
      </c>
      <c r="J811" s="312">
        <v>410.45</v>
      </c>
      <c r="K811" s="312">
        <v>67.569999999999993</v>
      </c>
      <c r="M811" t="s">
        <v>2575</v>
      </c>
      <c r="N811" s="312">
        <v>2177.7199999999998</v>
      </c>
      <c r="O811" s="312">
        <v>65226.59</v>
      </c>
      <c r="P811" s="312">
        <v>4114.92</v>
      </c>
      <c r="Q811" s="312">
        <v>151104.26999999999</v>
      </c>
      <c r="R811" s="312">
        <v>14054.31</v>
      </c>
    </row>
    <row r="812" spans="6:18">
      <c r="F812" t="s">
        <v>2576</v>
      </c>
      <c r="G812" s="312">
        <v>0.68</v>
      </c>
      <c r="H812" s="312">
        <v>150.54000000000002</v>
      </c>
      <c r="I812" s="312">
        <v>11.24</v>
      </c>
      <c r="J812" s="312">
        <v>314.75</v>
      </c>
      <c r="K812" s="312">
        <v>140.16</v>
      </c>
      <c r="M812" t="s">
        <v>2576</v>
      </c>
      <c r="N812" s="312">
        <v>240.91</v>
      </c>
      <c r="O812" s="312">
        <v>77157.88</v>
      </c>
      <c r="P812" s="312">
        <v>13973.07</v>
      </c>
      <c r="Q812" s="312">
        <v>116894.2</v>
      </c>
      <c r="R812" s="312">
        <v>35368.58</v>
      </c>
    </row>
    <row r="813" spans="6:18">
      <c r="F813" t="s">
        <v>2577</v>
      </c>
      <c r="G813" s="312">
        <v>3.59</v>
      </c>
      <c r="H813" s="312">
        <v>116.91000000000001</v>
      </c>
      <c r="I813" s="312">
        <v>31.5</v>
      </c>
      <c r="J813" s="312">
        <v>313.81</v>
      </c>
      <c r="K813" s="312">
        <v>330.41999999999996</v>
      </c>
      <c r="M813" t="s">
        <v>2577</v>
      </c>
      <c r="N813" s="312">
        <v>2568.2399999999998</v>
      </c>
      <c r="O813" s="312">
        <v>48696.03</v>
      </c>
      <c r="P813" s="312">
        <v>18510.469999999998</v>
      </c>
      <c r="Q813" s="312">
        <v>109674.89</v>
      </c>
      <c r="R813" s="312">
        <v>120497.60999999999</v>
      </c>
    </row>
    <row r="814" spans="6:18">
      <c r="F814" t="s">
        <v>2578</v>
      </c>
      <c r="G814" s="312">
        <v>2.33</v>
      </c>
      <c r="H814" s="312">
        <v>110.30000000000001</v>
      </c>
      <c r="I814" s="312">
        <v>14.030000000000001</v>
      </c>
      <c r="J814" s="312">
        <v>327.43</v>
      </c>
      <c r="K814" s="312">
        <v>311.65999999999997</v>
      </c>
      <c r="M814" t="s">
        <v>2578</v>
      </c>
      <c r="N814" s="312">
        <v>1602.5</v>
      </c>
      <c r="O814" s="312">
        <v>69255.570000000007</v>
      </c>
      <c r="P814" s="312">
        <v>7756.08</v>
      </c>
      <c r="Q814" s="312">
        <v>126590.95999999999</v>
      </c>
      <c r="R814" s="312">
        <v>104048.98</v>
      </c>
    </row>
    <row r="815" spans="6:18">
      <c r="F815" t="s">
        <v>2579</v>
      </c>
      <c r="G815" s="312">
        <v>0.68</v>
      </c>
      <c r="H815" s="312">
        <v>104.47</v>
      </c>
      <c r="I815" s="312">
        <v>8.75</v>
      </c>
      <c r="J815" s="312">
        <v>110.35</v>
      </c>
      <c r="K815" s="312">
        <v>180.66</v>
      </c>
      <c r="M815" t="s">
        <v>2579</v>
      </c>
      <c r="N815" s="312">
        <v>93.83</v>
      </c>
      <c r="O815" s="312">
        <v>52028.61</v>
      </c>
      <c r="P815" s="312">
        <v>4760.9799999999996</v>
      </c>
      <c r="Q815" s="312">
        <v>59239.99</v>
      </c>
      <c r="R815" s="312">
        <v>88815.37</v>
      </c>
    </row>
    <row r="816" spans="6:18">
      <c r="F816" t="s">
        <v>2580</v>
      </c>
      <c r="G816" s="312">
        <v>1.53</v>
      </c>
      <c r="H816" s="312">
        <v>111</v>
      </c>
      <c r="I816" s="312">
        <v>7.35</v>
      </c>
      <c r="J816" s="312">
        <v>21.369999999999997</v>
      </c>
      <c r="K816" s="312">
        <v>121.42</v>
      </c>
      <c r="M816" t="s">
        <v>2580</v>
      </c>
      <c r="N816" s="312">
        <v>737.01</v>
      </c>
      <c r="O816" s="312">
        <v>60828.959999999999</v>
      </c>
      <c r="P816" s="312">
        <v>1840.3600000000001</v>
      </c>
      <c r="Q816" s="312">
        <v>5523.74</v>
      </c>
      <c r="R816" s="312">
        <v>50781.08</v>
      </c>
    </row>
    <row r="817" spans="6:18">
      <c r="F817" t="s">
        <v>2581</v>
      </c>
      <c r="G817" s="312">
        <v>15.16</v>
      </c>
      <c r="H817" s="312">
        <v>194.57999999999998</v>
      </c>
      <c r="I817" s="312">
        <v>13.64</v>
      </c>
      <c r="J817" s="312">
        <v>78.11999999999999</v>
      </c>
      <c r="K817" s="312">
        <v>175.59</v>
      </c>
      <c r="M817" t="s">
        <v>2581</v>
      </c>
      <c r="N817" s="312">
        <v>9724.8499999999985</v>
      </c>
      <c r="O817" s="312">
        <v>86028</v>
      </c>
      <c r="P817" s="312">
        <v>11227.08</v>
      </c>
      <c r="Q817" s="312">
        <v>39610.42</v>
      </c>
      <c r="R817" s="312">
        <v>64096.01</v>
      </c>
    </row>
    <row r="818" spans="6:18">
      <c r="F818" t="s">
        <v>2582</v>
      </c>
      <c r="G818" s="312"/>
      <c r="H818" s="312">
        <v>301.41000000000003</v>
      </c>
      <c r="I818" s="312">
        <v>7.76</v>
      </c>
      <c r="J818" s="312">
        <v>31.62</v>
      </c>
      <c r="K818" s="312">
        <v>214.91</v>
      </c>
      <c r="M818" t="s">
        <v>2582</v>
      </c>
      <c r="N818" s="312"/>
      <c r="O818" s="312">
        <v>114426.65000000001</v>
      </c>
      <c r="P818" s="312">
        <v>4648.9399999999996</v>
      </c>
      <c r="Q818" s="312">
        <v>15481.26</v>
      </c>
      <c r="R818" s="312">
        <v>64534.78</v>
      </c>
    </row>
    <row r="819" spans="6:18">
      <c r="F819" t="s">
        <v>2583</v>
      </c>
      <c r="G819" s="312">
        <v>7.79</v>
      </c>
      <c r="H819" s="312">
        <v>134.44</v>
      </c>
      <c r="I819" s="312">
        <v>37.36</v>
      </c>
      <c r="J819" s="312">
        <v>32.43</v>
      </c>
      <c r="K819" s="312">
        <v>258.22000000000003</v>
      </c>
      <c r="M819" t="s">
        <v>2583</v>
      </c>
      <c r="N819" s="312">
        <v>3694.9300000000003</v>
      </c>
      <c r="O819" s="312">
        <v>45528.130000000005</v>
      </c>
      <c r="P819" s="312">
        <v>31003.46</v>
      </c>
      <c r="Q819" s="312">
        <v>8758.4700000000012</v>
      </c>
      <c r="R819" s="312">
        <v>89016.84</v>
      </c>
    </row>
    <row r="820" spans="6:18">
      <c r="F820" t="s">
        <v>2584</v>
      </c>
      <c r="G820" s="312">
        <v>9.3699999999999992</v>
      </c>
      <c r="H820" s="312">
        <v>205.24</v>
      </c>
      <c r="I820" s="312">
        <v>27.11</v>
      </c>
      <c r="J820" s="312">
        <v>25.060000000000002</v>
      </c>
      <c r="K820" s="312">
        <v>197.16</v>
      </c>
      <c r="M820" t="s">
        <v>2584</v>
      </c>
      <c r="N820" s="312">
        <v>3390.48</v>
      </c>
      <c r="O820" s="312">
        <v>83450.66</v>
      </c>
      <c r="P820" s="312">
        <v>19701.460000000003</v>
      </c>
      <c r="Q820" s="312">
        <v>14963.099999999999</v>
      </c>
      <c r="R820" s="312">
        <v>82831.11</v>
      </c>
    </row>
    <row r="821" spans="6:18">
      <c r="F821" t="s">
        <v>2585</v>
      </c>
      <c r="G821" s="312">
        <v>5.68</v>
      </c>
      <c r="H821" s="312">
        <v>217.8</v>
      </c>
      <c r="I821" s="312">
        <v>44.08</v>
      </c>
      <c r="J821" s="312">
        <v>51.57</v>
      </c>
      <c r="K821" s="312">
        <v>250.70999999999998</v>
      </c>
      <c r="M821" t="s">
        <v>2585</v>
      </c>
      <c r="N821" s="312">
        <v>2379.1400000000003</v>
      </c>
      <c r="O821" s="312">
        <v>133788.84</v>
      </c>
      <c r="P821" s="312">
        <v>13007.25</v>
      </c>
      <c r="Q821" s="312">
        <v>17257.47</v>
      </c>
      <c r="R821" s="312">
        <v>72306.2</v>
      </c>
    </row>
    <row r="822" spans="6:18">
      <c r="F822" t="s">
        <v>2586</v>
      </c>
      <c r="G822" s="312">
        <v>19.720000000000002</v>
      </c>
      <c r="H822" s="312">
        <v>89.88</v>
      </c>
      <c r="I822" s="312">
        <v>33.58</v>
      </c>
      <c r="J822" s="312">
        <v>43.739999999999995</v>
      </c>
      <c r="K822" s="312">
        <v>197.77</v>
      </c>
      <c r="M822" t="s">
        <v>2586</v>
      </c>
      <c r="N822" s="312">
        <v>29453.39</v>
      </c>
      <c r="O822" s="312">
        <v>40045.06</v>
      </c>
      <c r="P822" s="312">
        <v>16619.11</v>
      </c>
      <c r="Q822" s="312">
        <v>25827.59</v>
      </c>
      <c r="R822" s="312">
        <v>78131.540000000008</v>
      </c>
    </row>
    <row r="823" spans="6:18">
      <c r="F823" t="s">
        <v>2587</v>
      </c>
      <c r="G823" s="312">
        <v>6.58</v>
      </c>
      <c r="H823" s="312">
        <v>123.52000000000001</v>
      </c>
      <c r="I823" s="312">
        <v>10.41</v>
      </c>
      <c r="J823" s="312">
        <v>8.99</v>
      </c>
      <c r="K823" s="312">
        <v>303.35000000000002</v>
      </c>
      <c r="M823" t="s">
        <v>2587</v>
      </c>
      <c r="N823" s="312">
        <v>2386.21</v>
      </c>
      <c r="O823" s="312">
        <v>41446.6</v>
      </c>
      <c r="P823" s="312">
        <v>3076.87</v>
      </c>
      <c r="Q823" s="312">
        <v>1651.72</v>
      </c>
      <c r="R823" s="312">
        <v>120420.25</v>
      </c>
    </row>
    <row r="824" spans="6:18">
      <c r="F824" t="s">
        <v>2588</v>
      </c>
      <c r="G824" s="312">
        <v>1.55</v>
      </c>
      <c r="H824" s="312">
        <v>326.64</v>
      </c>
      <c r="I824" s="312">
        <v>41.89</v>
      </c>
      <c r="J824" s="312">
        <v>69.38</v>
      </c>
      <c r="K824" s="312">
        <v>172.06</v>
      </c>
      <c r="M824" t="s">
        <v>2588</v>
      </c>
      <c r="N824" s="312">
        <v>858.22</v>
      </c>
      <c r="O824" s="312">
        <v>138723.41999999998</v>
      </c>
      <c r="P824" s="312">
        <v>36300.21</v>
      </c>
      <c r="Q824" s="312">
        <v>31606.61</v>
      </c>
      <c r="R824" s="312">
        <v>71442.28</v>
      </c>
    </row>
    <row r="825" spans="6:18">
      <c r="F825" t="s">
        <v>2589</v>
      </c>
      <c r="G825" s="312">
        <v>1.55</v>
      </c>
      <c r="H825" s="312">
        <v>304.06</v>
      </c>
      <c r="I825" s="312">
        <v>58.18</v>
      </c>
      <c r="J825" s="312">
        <v>58.07</v>
      </c>
      <c r="K825" s="312">
        <v>58.28</v>
      </c>
      <c r="M825" t="s">
        <v>2589</v>
      </c>
      <c r="N825" s="312">
        <v>1684.77</v>
      </c>
      <c r="O825" s="312">
        <v>139245.75</v>
      </c>
      <c r="P825" s="312">
        <v>42728.560000000005</v>
      </c>
      <c r="Q825" s="312">
        <v>22898.68</v>
      </c>
      <c r="R825" s="312">
        <v>11922.689999999999</v>
      </c>
    </row>
    <row r="826" spans="6:18">
      <c r="F826" t="s">
        <v>2590</v>
      </c>
      <c r="G826" s="312">
        <v>2.6</v>
      </c>
      <c r="H826" s="312">
        <v>239.44</v>
      </c>
      <c r="I826" s="312">
        <v>14.45</v>
      </c>
      <c r="J826" s="312">
        <v>111.55</v>
      </c>
      <c r="K826" s="312">
        <v>116.78999999999999</v>
      </c>
      <c r="M826" t="s">
        <v>2590</v>
      </c>
      <c r="N826" s="312">
        <v>876.1</v>
      </c>
      <c r="O826" s="312">
        <v>110647.13</v>
      </c>
      <c r="P826" s="312">
        <v>4001.21</v>
      </c>
      <c r="Q826" s="312">
        <v>37092.559999999998</v>
      </c>
      <c r="R826" s="312">
        <v>31988.35</v>
      </c>
    </row>
    <row r="827" spans="6:18">
      <c r="F827" t="s">
        <v>2591</v>
      </c>
      <c r="G827" s="312"/>
      <c r="H827" s="312">
        <v>214.36</v>
      </c>
      <c r="I827" s="312">
        <v>34.04</v>
      </c>
      <c r="J827" s="312">
        <v>59.89</v>
      </c>
      <c r="K827" s="312">
        <v>131.13</v>
      </c>
      <c r="M827" t="s">
        <v>2591</v>
      </c>
      <c r="N827" s="312"/>
      <c r="O827" s="312">
        <v>105110.19</v>
      </c>
      <c r="P827" s="312">
        <v>27305.559999999998</v>
      </c>
      <c r="Q827" s="312">
        <v>34802.359999999993</v>
      </c>
      <c r="R827" s="312">
        <v>43690.119999999995</v>
      </c>
    </row>
    <row r="828" spans="6:18">
      <c r="F828" t="s">
        <v>2592</v>
      </c>
      <c r="G828" s="312">
        <v>6.71</v>
      </c>
      <c r="H828" s="312">
        <v>235.51</v>
      </c>
      <c r="I828" s="312">
        <v>16.38</v>
      </c>
      <c r="J828" s="312">
        <v>173.52</v>
      </c>
      <c r="K828" s="312">
        <v>100.56</v>
      </c>
      <c r="M828" t="s">
        <v>2592</v>
      </c>
      <c r="N828" s="312">
        <v>3020.77</v>
      </c>
      <c r="O828" s="312">
        <v>98621.33</v>
      </c>
      <c r="P828" s="312">
        <v>8656.76</v>
      </c>
      <c r="Q828" s="312">
        <v>112178.99</v>
      </c>
      <c r="R828" s="312">
        <v>33331.040000000001</v>
      </c>
    </row>
    <row r="829" spans="6:18">
      <c r="F829" t="s">
        <v>2593</v>
      </c>
      <c r="G829" s="312">
        <v>7.0699999999999994</v>
      </c>
      <c r="H829" s="312">
        <v>182.23000000000002</v>
      </c>
      <c r="I829" s="312">
        <v>13.469999999999999</v>
      </c>
      <c r="J829" s="312">
        <v>88.83</v>
      </c>
      <c r="K829" s="312">
        <v>115.67</v>
      </c>
      <c r="M829" t="s">
        <v>2593</v>
      </c>
      <c r="N829" s="312">
        <v>2298.73</v>
      </c>
      <c r="O829" s="312">
        <v>70930.880000000005</v>
      </c>
      <c r="P829" s="312">
        <v>8737.99</v>
      </c>
      <c r="Q829" s="312">
        <v>30069.960000000003</v>
      </c>
      <c r="R829" s="312">
        <v>34338.04</v>
      </c>
    </row>
    <row r="830" spans="6:18">
      <c r="F830" t="s">
        <v>2594</v>
      </c>
      <c r="G830" s="312"/>
      <c r="H830" s="312">
        <v>169.76</v>
      </c>
      <c r="I830" s="312">
        <v>6.45</v>
      </c>
      <c r="J830" s="312">
        <v>32.99</v>
      </c>
      <c r="K830" s="312">
        <v>79.64</v>
      </c>
      <c r="M830" t="s">
        <v>2594</v>
      </c>
      <c r="N830" s="312"/>
      <c r="O830" s="312">
        <v>83474.200000000012</v>
      </c>
      <c r="P830" s="312">
        <v>3413.01</v>
      </c>
      <c r="Q830" s="312">
        <v>5895.6100000000006</v>
      </c>
      <c r="R830" s="312">
        <v>20070.43</v>
      </c>
    </row>
    <row r="831" spans="6:18">
      <c r="F831" t="s">
        <v>2595</v>
      </c>
      <c r="G831" s="312">
        <v>12.27</v>
      </c>
      <c r="H831" s="312">
        <v>176.39</v>
      </c>
      <c r="I831" s="312">
        <v>22.56</v>
      </c>
      <c r="J831" s="312">
        <v>51.6</v>
      </c>
      <c r="K831" s="312">
        <v>71.41</v>
      </c>
      <c r="M831" t="s">
        <v>2595</v>
      </c>
      <c r="N831" s="312">
        <v>4493.8599999999997</v>
      </c>
      <c r="O831" s="312">
        <v>81301.08</v>
      </c>
      <c r="P831" s="312">
        <v>12757.15</v>
      </c>
      <c r="Q831" s="312">
        <v>12659.76</v>
      </c>
      <c r="R831" s="312">
        <v>12490.05</v>
      </c>
    </row>
    <row r="832" spans="6:18">
      <c r="F832" t="s">
        <v>2596</v>
      </c>
      <c r="G832" s="312">
        <v>23.03</v>
      </c>
      <c r="H832" s="312">
        <v>195.61</v>
      </c>
      <c r="I832" s="312">
        <v>30.14</v>
      </c>
      <c r="J832" s="312">
        <v>35.08</v>
      </c>
      <c r="K832" s="312">
        <v>107.15</v>
      </c>
      <c r="M832" t="s">
        <v>2596</v>
      </c>
      <c r="N832" s="312">
        <v>6859.6100000000006</v>
      </c>
      <c r="O832" s="312">
        <v>79704.5</v>
      </c>
      <c r="P832" s="312">
        <v>19467.98</v>
      </c>
      <c r="Q832" s="312">
        <v>13347.88</v>
      </c>
      <c r="R832" s="312">
        <v>34321.660000000003</v>
      </c>
    </row>
    <row r="833" spans="6:18">
      <c r="F833" t="s">
        <v>2597</v>
      </c>
      <c r="G833" s="312">
        <v>1.43</v>
      </c>
      <c r="H833" s="312">
        <v>255.96</v>
      </c>
      <c r="I833" s="312">
        <v>20.69</v>
      </c>
      <c r="J833" s="312">
        <v>17.36</v>
      </c>
      <c r="K833" s="312">
        <v>92.33</v>
      </c>
      <c r="M833" t="s">
        <v>2597</v>
      </c>
      <c r="N833" s="312">
        <v>865.36</v>
      </c>
      <c r="O833" s="312">
        <v>142324.37</v>
      </c>
      <c r="P833" s="312">
        <v>23178.69</v>
      </c>
      <c r="Q833" s="312">
        <v>6017.66</v>
      </c>
      <c r="R833" s="312">
        <v>23377.83</v>
      </c>
    </row>
    <row r="834" spans="6:18">
      <c r="F834" t="s">
        <v>2598</v>
      </c>
      <c r="G834" s="312">
        <v>9.64</v>
      </c>
      <c r="H834" s="312">
        <v>220.91000000000003</v>
      </c>
      <c r="I834" s="312">
        <v>15.43</v>
      </c>
      <c r="J834" s="312">
        <v>48.769999999999996</v>
      </c>
      <c r="K834" s="312">
        <v>141.73000000000002</v>
      </c>
      <c r="M834" t="s">
        <v>2598</v>
      </c>
      <c r="N834" s="312">
        <v>3053.54</v>
      </c>
      <c r="O834" s="312">
        <v>97831.14</v>
      </c>
      <c r="P834" s="312">
        <v>14227.57</v>
      </c>
      <c r="Q834" s="312">
        <v>11196.650000000001</v>
      </c>
      <c r="R834" s="312">
        <v>38602.199999999997</v>
      </c>
    </row>
    <row r="835" spans="6:18">
      <c r="F835" t="s">
        <v>2599</v>
      </c>
      <c r="G835" s="312">
        <v>13.16</v>
      </c>
      <c r="H835" s="312">
        <v>221.75</v>
      </c>
      <c r="I835" s="312">
        <v>1.27</v>
      </c>
      <c r="J835" s="312">
        <v>81.94</v>
      </c>
      <c r="K835" s="312">
        <v>105.58000000000001</v>
      </c>
      <c r="M835" t="s">
        <v>2599</v>
      </c>
      <c r="N835" s="312">
        <v>3872.7799999999997</v>
      </c>
      <c r="O835" s="312">
        <v>106905.56999999999</v>
      </c>
      <c r="P835" s="312">
        <v>368.42</v>
      </c>
      <c r="Q835" s="312">
        <v>51330</v>
      </c>
      <c r="R835" s="312">
        <v>37942.31</v>
      </c>
    </row>
    <row r="836" spans="6:18">
      <c r="F836" t="s">
        <v>2600</v>
      </c>
      <c r="G836" s="312">
        <v>13.9</v>
      </c>
      <c r="H836" s="312">
        <v>180.16</v>
      </c>
      <c r="I836" s="312">
        <v>29.810000000000002</v>
      </c>
      <c r="J836" s="312">
        <v>39.200000000000003</v>
      </c>
      <c r="K836" s="312">
        <v>53.57</v>
      </c>
      <c r="M836" t="s">
        <v>2600</v>
      </c>
      <c r="N836" s="312">
        <v>4951.63</v>
      </c>
      <c r="O836" s="312">
        <v>75198.03</v>
      </c>
      <c r="P836" s="312">
        <v>10816</v>
      </c>
      <c r="Q836" s="312">
        <v>12722.32</v>
      </c>
      <c r="R836" s="312">
        <v>31498.480000000003</v>
      </c>
    </row>
    <row r="837" spans="6:18">
      <c r="F837" t="s">
        <v>2601</v>
      </c>
      <c r="G837" s="312">
        <v>2.74</v>
      </c>
      <c r="H837" s="312">
        <v>153.12</v>
      </c>
      <c r="I837" s="312">
        <v>5.04</v>
      </c>
      <c r="J837" s="312">
        <v>13.8</v>
      </c>
      <c r="K837" s="312">
        <v>81.66</v>
      </c>
      <c r="M837" t="s">
        <v>2601</v>
      </c>
      <c r="N837" s="312">
        <v>963.47</v>
      </c>
      <c r="O837" s="312">
        <v>66737.240000000005</v>
      </c>
      <c r="P837" s="312">
        <v>2527.5300000000002</v>
      </c>
      <c r="Q837" s="312">
        <v>6612.32</v>
      </c>
      <c r="R837" s="312">
        <v>42420.479999999996</v>
      </c>
    </row>
    <row r="838" spans="6:18">
      <c r="F838" t="s">
        <v>2602</v>
      </c>
      <c r="G838" s="312">
        <v>14.28</v>
      </c>
      <c r="H838" s="312">
        <v>221.20999999999998</v>
      </c>
      <c r="I838" s="312">
        <v>7.17</v>
      </c>
      <c r="J838" s="312">
        <v>25.689999999999998</v>
      </c>
      <c r="K838" s="312">
        <v>100.99000000000001</v>
      </c>
      <c r="M838" t="s">
        <v>2602</v>
      </c>
      <c r="N838" s="312">
        <v>5493.65</v>
      </c>
      <c r="O838" s="312">
        <v>107096.12</v>
      </c>
      <c r="P838" s="312">
        <v>2612.8900000000003</v>
      </c>
      <c r="Q838" s="312">
        <v>8345.44</v>
      </c>
      <c r="R838" s="312">
        <v>28197.32</v>
      </c>
    </row>
    <row r="839" spans="6:18">
      <c r="F839" t="s">
        <v>2603</v>
      </c>
      <c r="G839" s="312"/>
      <c r="H839" s="312">
        <v>223.66</v>
      </c>
      <c r="I839" s="312">
        <v>33.22</v>
      </c>
      <c r="J839" s="312">
        <v>86.81</v>
      </c>
      <c r="K839" s="312">
        <v>105.56</v>
      </c>
      <c r="M839" t="s">
        <v>2603</v>
      </c>
      <c r="N839" s="312"/>
      <c r="O839" s="312">
        <v>111976.58</v>
      </c>
      <c r="P839" s="312">
        <v>17681.52</v>
      </c>
      <c r="Q839" s="312">
        <v>30453.63</v>
      </c>
      <c r="R839" s="312">
        <v>36266.369999999995</v>
      </c>
    </row>
    <row r="840" spans="6:18">
      <c r="F840" t="s">
        <v>2604</v>
      </c>
      <c r="G840" s="312">
        <v>18.810000000000002</v>
      </c>
      <c r="H840" s="312">
        <v>276.87</v>
      </c>
      <c r="I840" s="312">
        <v>29.07</v>
      </c>
      <c r="J840" s="312">
        <v>64.11</v>
      </c>
      <c r="K840" s="312">
        <v>291.22000000000003</v>
      </c>
      <c r="M840" t="s">
        <v>2604</v>
      </c>
      <c r="N840" s="312">
        <v>6846.01</v>
      </c>
      <c r="O840" s="312">
        <v>130345.19</v>
      </c>
      <c r="P840" s="312">
        <v>25781</v>
      </c>
      <c r="Q840" s="312">
        <v>20798.560000000001</v>
      </c>
      <c r="R840" s="312">
        <v>98002.4</v>
      </c>
    </row>
    <row r="841" spans="6:18">
      <c r="F841" t="s">
        <v>2605</v>
      </c>
      <c r="G841" s="312">
        <v>21.54</v>
      </c>
      <c r="H841" s="312">
        <v>267.95</v>
      </c>
      <c r="I841" s="312">
        <v>14.79</v>
      </c>
      <c r="J841" s="312">
        <v>35.15</v>
      </c>
      <c r="K841" s="312">
        <v>356.33</v>
      </c>
      <c r="M841" t="s">
        <v>2605</v>
      </c>
      <c r="N841" s="312">
        <v>8008.96</v>
      </c>
      <c r="O841" s="312">
        <v>101518.36</v>
      </c>
      <c r="P841" s="312">
        <v>5520.8899999999994</v>
      </c>
      <c r="Q841" s="312">
        <v>13140.890000000001</v>
      </c>
      <c r="R841" s="312">
        <v>117398.79000000001</v>
      </c>
    </row>
    <row r="842" spans="6:18">
      <c r="F842" t="s">
        <v>2606</v>
      </c>
      <c r="G842" s="312">
        <v>15.43</v>
      </c>
      <c r="H842" s="312">
        <v>230.44</v>
      </c>
      <c r="I842" s="312">
        <v>24.08</v>
      </c>
      <c r="J842" s="312">
        <v>70.98</v>
      </c>
      <c r="K842" s="312">
        <v>287.18</v>
      </c>
      <c r="M842" t="s">
        <v>2606</v>
      </c>
      <c r="N842" s="312">
        <v>6054.16</v>
      </c>
      <c r="O842" s="312">
        <v>88080.87</v>
      </c>
      <c r="P842" s="312">
        <v>13525.9</v>
      </c>
      <c r="Q842" s="312">
        <v>36174.120000000003</v>
      </c>
      <c r="R842" s="312">
        <v>82377.05</v>
      </c>
    </row>
    <row r="843" spans="6:18">
      <c r="F843" t="s">
        <v>2607</v>
      </c>
      <c r="G843" s="312">
        <v>12.26</v>
      </c>
      <c r="H843" s="312">
        <v>197.75</v>
      </c>
      <c r="I843" s="312">
        <v>1.71</v>
      </c>
      <c r="J843" s="312">
        <v>38.07</v>
      </c>
      <c r="K843" s="312">
        <v>157.97</v>
      </c>
      <c r="M843" t="s">
        <v>2607</v>
      </c>
      <c r="N843" s="312">
        <v>4893.66</v>
      </c>
      <c r="O843" s="312">
        <v>79029.47</v>
      </c>
      <c r="P843" s="312">
        <v>491.59</v>
      </c>
      <c r="Q843" s="312">
        <v>31151.210000000003</v>
      </c>
      <c r="R843" s="312">
        <v>45957.34</v>
      </c>
    </row>
    <row r="844" spans="6:18">
      <c r="F844" t="s">
        <v>2608</v>
      </c>
      <c r="G844" s="312">
        <v>21.419999999999998</v>
      </c>
      <c r="H844" s="312">
        <v>193.57999999999998</v>
      </c>
      <c r="I844" s="312">
        <v>7.4399999999999995</v>
      </c>
      <c r="J844" s="312">
        <v>37.200000000000003</v>
      </c>
      <c r="K844" s="312">
        <v>181.05</v>
      </c>
      <c r="M844" t="s">
        <v>2608</v>
      </c>
      <c r="N844" s="312">
        <v>8221.61</v>
      </c>
      <c r="O844" s="312">
        <v>73331.510000000009</v>
      </c>
      <c r="P844" s="312">
        <v>2970.46</v>
      </c>
      <c r="Q844" s="312">
        <v>16929.650000000001</v>
      </c>
      <c r="R844" s="312">
        <v>43563.91</v>
      </c>
    </row>
    <row r="845" spans="6:18">
      <c r="F845" t="s">
        <v>2609</v>
      </c>
      <c r="G845" s="312">
        <v>25.25</v>
      </c>
      <c r="H845" s="312">
        <v>204.34</v>
      </c>
      <c r="I845" s="312">
        <v>18.77</v>
      </c>
      <c r="J845" s="312">
        <v>47.870000000000005</v>
      </c>
      <c r="K845" s="312">
        <v>218.59</v>
      </c>
      <c r="M845" t="s">
        <v>2609</v>
      </c>
      <c r="N845" s="312">
        <v>9227.5400000000009</v>
      </c>
      <c r="O845" s="312">
        <v>103035.03</v>
      </c>
      <c r="P845" s="312">
        <v>17317.440000000002</v>
      </c>
      <c r="Q845" s="312">
        <v>13218.39</v>
      </c>
      <c r="R845" s="312">
        <v>66900.570000000007</v>
      </c>
    </row>
    <row r="846" spans="6:18">
      <c r="F846" t="s">
        <v>2610</v>
      </c>
      <c r="G846" s="312">
        <v>15.41</v>
      </c>
      <c r="H846" s="312">
        <v>197.95999999999998</v>
      </c>
      <c r="I846" s="312">
        <v>28.58</v>
      </c>
      <c r="J846" s="312">
        <v>49.019999999999996</v>
      </c>
      <c r="K846" s="312">
        <v>267.11</v>
      </c>
      <c r="M846" t="s">
        <v>2610</v>
      </c>
      <c r="N846" s="312">
        <v>8773.75</v>
      </c>
      <c r="O846" s="312">
        <v>77745.279999999999</v>
      </c>
      <c r="P846" s="312">
        <v>16847.939999999999</v>
      </c>
      <c r="Q846" s="312">
        <v>30056.210000000003</v>
      </c>
      <c r="R846" s="312">
        <v>64468.630000000005</v>
      </c>
    </row>
    <row r="847" spans="6:18">
      <c r="F847" t="s">
        <v>2611</v>
      </c>
      <c r="G847" s="312">
        <v>13.33</v>
      </c>
      <c r="H847" s="312">
        <v>266.76</v>
      </c>
      <c r="I847" s="312">
        <v>8.2200000000000006</v>
      </c>
      <c r="J847" s="312">
        <v>58.760000000000005</v>
      </c>
      <c r="K847" s="312">
        <v>228.32</v>
      </c>
      <c r="M847" t="s">
        <v>2611</v>
      </c>
      <c r="N847" s="312">
        <v>7824.09</v>
      </c>
      <c r="O847" s="312">
        <v>96350.71</v>
      </c>
      <c r="P847" s="312">
        <v>5240.25</v>
      </c>
      <c r="Q847" s="312">
        <v>18033.440000000002</v>
      </c>
      <c r="R847" s="312">
        <v>78299.51999999999</v>
      </c>
    </row>
    <row r="848" spans="6:18">
      <c r="F848" t="s">
        <v>2612</v>
      </c>
      <c r="G848" s="312">
        <v>6.43</v>
      </c>
      <c r="H848" s="312">
        <v>231.35000000000002</v>
      </c>
      <c r="I848" s="312">
        <v>8.36</v>
      </c>
      <c r="J848" s="312">
        <v>44.21</v>
      </c>
      <c r="K848" s="312">
        <v>210.7</v>
      </c>
      <c r="M848" t="s">
        <v>2612</v>
      </c>
      <c r="N848" s="312">
        <v>1737.32</v>
      </c>
      <c r="O848" s="312">
        <v>92993.859999999986</v>
      </c>
      <c r="P848" s="312">
        <v>6205.85</v>
      </c>
      <c r="Q848" s="312">
        <v>38108.639999999999</v>
      </c>
      <c r="R848" s="312">
        <v>49217.55</v>
      </c>
    </row>
    <row r="849" spans="6:18">
      <c r="F849" t="s">
        <v>2613</v>
      </c>
      <c r="G849" s="312">
        <v>11.3</v>
      </c>
      <c r="H849" s="312">
        <v>235.14</v>
      </c>
      <c r="I849" s="312">
        <v>13.93</v>
      </c>
      <c r="J849" s="312">
        <v>52.739999999999995</v>
      </c>
      <c r="K849" s="312">
        <v>169.5</v>
      </c>
      <c r="M849" t="s">
        <v>2613</v>
      </c>
      <c r="N849" s="312">
        <v>6837.09</v>
      </c>
      <c r="O849" s="312">
        <v>107136.93</v>
      </c>
      <c r="P849" s="312">
        <v>3618</v>
      </c>
      <c r="Q849" s="312">
        <v>17548.16</v>
      </c>
      <c r="R849" s="312">
        <v>52190.02</v>
      </c>
    </row>
    <row r="850" spans="6:18">
      <c r="F850" t="s">
        <v>2614</v>
      </c>
      <c r="G850" s="312">
        <v>10.48</v>
      </c>
      <c r="H850" s="312">
        <v>194.35</v>
      </c>
      <c r="I850" s="312">
        <v>19.989999999999998</v>
      </c>
      <c r="J850" s="312">
        <v>31.82</v>
      </c>
      <c r="K850" s="312">
        <v>119.47999999999999</v>
      </c>
      <c r="M850" t="s">
        <v>2614</v>
      </c>
      <c r="N850" s="312">
        <v>3468.43</v>
      </c>
      <c r="O850" s="312">
        <v>73603.179999999993</v>
      </c>
      <c r="P850" s="312">
        <v>6848.46</v>
      </c>
      <c r="Q850" s="312">
        <v>12753.810000000001</v>
      </c>
      <c r="R850" s="312">
        <v>34968.699999999997</v>
      </c>
    </row>
    <row r="851" spans="6:18">
      <c r="F851" t="s">
        <v>2615</v>
      </c>
      <c r="G851" s="312">
        <v>3.6</v>
      </c>
      <c r="H851" s="312">
        <v>134.07</v>
      </c>
      <c r="I851" s="312">
        <v>1.98</v>
      </c>
      <c r="J851" s="312">
        <v>24.9</v>
      </c>
      <c r="K851" s="312">
        <v>128.91999999999999</v>
      </c>
      <c r="M851" t="s">
        <v>2615</v>
      </c>
      <c r="N851" s="312">
        <v>1087.55</v>
      </c>
      <c r="O851" s="312">
        <v>56677.630000000005</v>
      </c>
      <c r="P851" s="312">
        <v>1657.96</v>
      </c>
      <c r="Q851" s="312">
        <v>5975.96</v>
      </c>
      <c r="R851" s="312">
        <v>38150.229999999996</v>
      </c>
    </row>
    <row r="852" spans="6:18">
      <c r="F852" t="s">
        <v>2616</v>
      </c>
      <c r="G852" s="312">
        <v>23.1</v>
      </c>
      <c r="H852" s="312">
        <v>222.88</v>
      </c>
      <c r="I852" s="312">
        <v>22.2</v>
      </c>
      <c r="J852" s="312">
        <v>59.17</v>
      </c>
      <c r="K852" s="312">
        <v>247.79000000000002</v>
      </c>
      <c r="M852" t="s">
        <v>2616</v>
      </c>
      <c r="N852" s="312">
        <v>13582.48</v>
      </c>
      <c r="O852" s="312">
        <v>134810.59</v>
      </c>
      <c r="P852" s="312">
        <v>15681.75</v>
      </c>
      <c r="Q852" s="312">
        <v>20291.89</v>
      </c>
      <c r="R852" s="312">
        <v>81814.83</v>
      </c>
    </row>
    <row r="853" spans="6:18">
      <c r="F853" t="s">
        <v>2617</v>
      </c>
      <c r="G853" s="312">
        <v>17.2</v>
      </c>
      <c r="H853" s="312">
        <v>255.46</v>
      </c>
      <c r="I853" s="312">
        <v>28.81</v>
      </c>
      <c r="J853" s="312">
        <v>112.04</v>
      </c>
      <c r="K853" s="312">
        <v>194.42000000000002</v>
      </c>
      <c r="M853" t="s">
        <v>2617</v>
      </c>
      <c r="N853" s="312">
        <v>8828.08</v>
      </c>
      <c r="O853" s="312">
        <v>116321.51000000001</v>
      </c>
      <c r="P853" s="312">
        <v>26262.34</v>
      </c>
      <c r="Q853" s="312">
        <v>62323.350000000006</v>
      </c>
      <c r="R853" s="312">
        <v>38722.99</v>
      </c>
    </row>
    <row r="854" spans="6:18">
      <c r="F854" t="s">
        <v>2618</v>
      </c>
      <c r="G854" s="312">
        <v>19.11</v>
      </c>
      <c r="H854" s="312">
        <v>221.79</v>
      </c>
      <c r="I854" s="312">
        <v>9.56</v>
      </c>
      <c r="J854" s="312">
        <v>29.37</v>
      </c>
      <c r="K854" s="312">
        <v>159.72</v>
      </c>
      <c r="M854" t="s">
        <v>2618</v>
      </c>
      <c r="N854" s="312">
        <v>4789.92</v>
      </c>
      <c r="O854" s="312">
        <v>99088.25</v>
      </c>
      <c r="P854" s="312">
        <v>5703.12</v>
      </c>
      <c r="Q854" s="312">
        <v>7925.79</v>
      </c>
      <c r="R854" s="312">
        <v>56510.380000000005</v>
      </c>
    </row>
    <row r="855" spans="6:18">
      <c r="F855" t="s">
        <v>2619</v>
      </c>
      <c r="G855" s="312">
        <v>24.68</v>
      </c>
      <c r="H855" s="312">
        <v>186.20999999999998</v>
      </c>
      <c r="I855" s="312">
        <v>13.56</v>
      </c>
      <c r="J855" s="312">
        <v>106.67</v>
      </c>
      <c r="K855" s="312">
        <v>190.67000000000002</v>
      </c>
      <c r="M855" t="s">
        <v>2619</v>
      </c>
      <c r="N855" s="312">
        <v>15319.4</v>
      </c>
      <c r="O855" s="312">
        <v>72286.67</v>
      </c>
      <c r="P855" s="312">
        <v>6856.5400000000009</v>
      </c>
      <c r="Q855" s="312">
        <v>30842.48</v>
      </c>
      <c r="R855" s="312">
        <v>60236.53</v>
      </c>
    </row>
    <row r="856" spans="6:18">
      <c r="F856" t="s">
        <v>2620</v>
      </c>
      <c r="G856" s="312">
        <v>8.19</v>
      </c>
      <c r="H856" s="312">
        <v>220.47</v>
      </c>
      <c r="I856" s="312">
        <v>6.77</v>
      </c>
      <c r="J856" s="312">
        <v>53.75</v>
      </c>
      <c r="K856" s="312">
        <v>200.19</v>
      </c>
      <c r="M856" t="s">
        <v>2620</v>
      </c>
      <c r="N856" s="312">
        <v>2548.71</v>
      </c>
      <c r="O856" s="312">
        <v>83998.88</v>
      </c>
      <c r="P856" s="312">
        <v>1554.78</v>
      </c>
      <c r="Q856" s="312">
        <v>16350.22</v>
      </c>
      <c r="R856" s="312">
        <v>56530.02</v>
      </c>
    </row>
    <row r="857" spans="6:18">
      <c r="F857" t="s">
        <v>2621</v>
      </c>
      <c r="G857" s="312">
        <v>11.14</v>
      </c>
      <c r="H857" s="312">
        <v>173.24</v>
      </c>
      <c r="I857" s="312">
        <v>21.13</v>
      </c>
      <c r="J857" s="312">
        <v>30.619999999999997</v>
      </c>
      <c r="K857" s="312">
        <v>173.61</v>
      </c>
      <c r="M857" t="s">
        <v>2621</v>
      </c>
      <c r="N857" s="312">
        <v>4113.6499999999996</v>
      </c>
      <c r="O857" s="312">
        <v>89983.86</v>
      </c>
      <c r="P857" s="312">
        <v>14497.82</v>
      </c>
      <c r="Q857" s="312">
        <v>7556.87</v>
      </c>
      <c r="R857" s="312">
        <v>51002.91</v>
      </c>
    </row>
    <row r="858" spans="6:18">
      <c r="F858" t="s">
        <v>2622</v>
      </c>
      <c r="G858" s="312">
        <v>18.36</v>
      </c>
      <c r="H858" s="312">
        <v>214.12</v>
      </c>
      <c r="I858" s="312">
        <v>3.95</v>
      </c>
      <c r="J858" s="312">
        <v>20.939999999999998</v>
      </c>
      <c r="K858" s="312">
        <v>136.09</v>
      </c>
      <c r="M858" t="s">
        <v>2622</v>
      </c>
      <c r="N858" s="312">
        <v>12140.75</v>
      </c>
      <c r="O858" s="312">
        <v>97260.430000000008</v>
      </c>
      <c r="P858" s="312">
        <v>3129.22</v>
      </c>
      <c r="Q858" s="312">
        <v>6831.1900000000005</v>
      </c>
      <c r="R858" s="312">
        <v>41186.81</v>
      </c>
    </row>
    <row r="859" spans="6:18">
      <c r="F859" t="s">
        <v>2623</v>
      </c>
      <c r="G859" s="312">
        <v>5.64</v>
      </c>
      <c r="H859" s="312">
        <v>209.20999999999998</v>
      </c>
      <c r="I859" s="312">
        <v>9.91</v>
      </c>
      <c r="J859" s="312">
        <v>123.37</v>
      </c>
      <c r="K859" s="312">
        <v>202.7</v>
      </c>
      <c r="M859" t="s">
        <v>2623</v>
      </c>
      <c r="N859" s="312">
        <v>2382.3599999999997</v>
      </c>
      <c r="O859" s="312">
        <v>100275.64</v>
      </c>
      <c r="P859" s="312">
        <v>6141.75</v>
      </c>
      <c r="Q859" s="312">
        <v>39365.74</v>
      </c>
      <c r="R859" s="312">
        <v>54244.2</v>
      </c>
    </row>
    <row r="860" spans="6:18">
      <c r="F860" t="s">
        <v>2624</v>
      </c>
      <c r="G860" s="312">
        <v>20.94</v>
      </c>
      <c r="H860" s="312">
        <v>273.56</v>
      </c>
      <c r="I860" s="312">
        <v>39.74</v>
      </c>
      <c r="J860" s="312">
        <v>61.83</v>
      </c>
      <c r="K860" s="312">
        <v>173.43</v>
      </c>
      <c r="M860" t="s">
        <v>2624</v>
      </c>
      <c r="N860" s="312">
        <v>4323.45</v>
      </c>
      <c r="O860" s="312">
        <v>94686.42</v>
      </c>
      <c r="P860" s="312">
        <v>21529.56</v>
      </c>
      <c r="Q860" s="312">
        <v>29218.07</v>
      </c>
      <c r="R860" s="312">
        <v>45838.84</v>
      </c>
    </row>
    <row r="861" spans="6:18">
      <c r="F861" t="s">
        <v>2625</v>
      </c>
      <c r="G861" s="312">
        <v>22.47</v>
      </c>
      <c r="H861" s="312">
        <v>278.54000000000002</v>
      </c>
      <c r="I861" s="312">
        <v>15.35</v>
      </c>
      <c r="J861" s="312">
        <v>51.53</v>
      </c>
      <c r="K861" s="312">
        <v>195.82</v>
      </c>
      <c r="M861" t="s">
        <v>2625</v>
      </c>
      <c r="N861" s="312">
        <v>14533.11</v>
      </c>
      <c r="O861" s="312">
        <v>174689.94</v>
      </c>
      <c r="P861" s="312">
        <v>11524.46</v>
      </c>
      <c r="Q861" s="312">
        <v>24353.68</v>
      </c>
      <c r="R861" s="312">
        <v>44799.82</v>
      </c>
    </row>
    <row r="862" spans="6:18">
      <c r="F862" t="s">
        <v>2626</v>
      </c>
      <c r="G862" s="312">
        <v>14.29</v>
      </c>
      <c r="H862" s="312">
        <v>245.89999999999998</v>
      </c>
      <c r="I862" s="312">
        <v>24.22</v>
      </c>
      <c r="J862" s="312">
        <v>108.4</v>
      </c>
      <c r="K862" s="312">
        <v>203.81</v>
      </c>
      <c r="M862" t="s">
        <v>2626</v>
      </c>
      <c r="N862" s="312">
        <v>7002.12</v>
      </c>
      <c r="O862" s="312">
        <v>82332.260000000009</v>
      </c>
      <c r="P862" s="312">
        <v>13309.49</v>
      </c>
      <c r="Q862" s="312">
        <v>45133.299999999996</v>
      </c>
      <c r="R862" s="312">
        <v>63005.39</v>
      </c>
    </row>
    <row r="863" spans="6:18">
      <c r="F863" t="s">
        <v>2627</v>
      </c>
      <c r="G863" s="312">
        <v>5.57</v>
      </c>
      <c r="H863" s="312">
        <v>218.62</v>
      </c>
      <c r="I863" s="312">
        <v>38.239999999999995</v>
      </c>
      <c r="J863" s="312">
        <v>107.77000000000001</v>
      </c>
      <c r="K863" s="312">
        <v>253.19</v>
      </c>
      <c r="M863" t="s">
        <v>2627</v>
      </c>
      <c r="N863" s="312">
        <v>2124.44</v>
      </c>
      <c r="O863" s="312">
        <v>111548.92000000001</v>
      </c>
      <c r="P863" s="312">
        <v>38352.94</v>
      </c>
      <c r="Q863" s="312">
        <v>43223.82</v>
      </c>
      <c r="R863" s="312">
        <v>83161.16</v>
      </c>
    </row>
    <row r="864" spans="6:18">
      <c r="F864" t="s">
        <v>2628</v>
      </c>
      <c r="G864" s="312">
        <v>3.67</v>
      </c>
      <c r="H864" s="312">
        <v>179.88</v>
      </c>
      <c r="I864" s="312">
        <v>16.510000000000002</v>
      </c>
      <c r="J864" s="312">
        <v>92.240000000000009</v>
      </c>
      <c r="K864" s="312">
        <v>156.06</v>
      </c>
      <c r="M864" t="s">
        <v>2628</v>
      </c>
      <c r="N864" s="312">
        <v>1706.76</v>
      </c>
      <c r="O864" s="312">
        <v>65443.38</v>
      </c>
      <c r="P864" s="312">
        <v>15428.41</v>
      </c>
      <c r="Q864" s="312">
        <v>34116.1</v>
      </c>
      <c r="R864" s="312">
        <v>45115.95</v>
      </c>
    </row>
    <row r="865" spans="6:18">
      <c r="F865" t="s">
        <v>2629</v>
      </c>
      <c r="G865" s="312">
        <v>6.72</v>
      </c>
      <c r="H865" s="312">
        <v>113.65</v>
      </c>
      <c r="I865" s="312">
        <v>12.61</v>
      </c>
      <c r="J865" s="312">
        <v>61.66</v>
      </c>
      <c r="K865" s="312">
        <v>81.509999999999991</v>
      </c>
      <c r="M865" t="s">
        <v>2629</v>
      </c>
      <c r="N865" s="312">
        <v>1633.27</v>
      </c>
      <c r="O865" s="312">
        <v>54136.229999999996</v>
      </c>
      <c r="P865" s="312">
        <v>5081.5200000000004</v>
      </c>
      <c r="Q865" s="312">
        <v>18503.41</v>
      </c>
      <c r="R865" s="312">
        <v>25750.870000000003</v>
      </c>
    </row>
    <row r="866" spans="6:18">
      <c r="F866" t="s">
        <v>2630</v>
      </c>
      <c r="G866" s="312">
        <v>25.259999999999998</v>
      </c>
      <c r="H866" s="312">
        <v>178.89999999999998</v>
      </c>
      <c r="I866" s="312">
        <v>19.419999999999998</v>
      </c>
      <c r="J866" s="312">
        <v>122.69</v>
      </c>
      <c r="K866" s="312">
        <v>1026.72</v>
      </c>
      <c r="M866" t="s">
        <v>2630</v>
      </c>
      <c r="N866" s="312">
        <v>10012.77</v>
      </c>
      <c r="O866" s="312">
        <v>83074.559999999998</v>
      </c>
      <c r="P866" s="312">
        <v>8791.8799999999992</v>
      </c>
      <c r="Q866" s="312">
        <v>33406.71</v>
      </c>
      <c r="R866" s="312">
        <v>334924.41000000003</v>
      </c>
    </row>
    <row r="867" spans="6:18">
      <c r="F867" t="s">
        <v>2631</v>
      </c>
      <c r="G867" s="312">
        <v>18.799999999999997</v>
      </c>
      <c r="H867" s="312">
        <v>320.51</v>
      </c>
      <c r="I867" s="312">
        <v>29.71</v>
      </c>
      <c r="J867" s="312">
        <v>194.68</v>
      </c>
      <c r="K867" s="312">
        <v>668.98</v>
      </c>
      <c r="M867" t="s">
        <v>2631</v>
      </c>
      <c r="N867" s="312">
        <v>7271.29</v>
      </c>
      <c r="O867" s="312">
        <v>116040.09</v>
      </c>
      <c r="P867" s="312">
        <v>15715.470000000001</v>
      </c>
      <c r="Q867" s="312">
        <v>90158.36</v>
      </c>
      <c r="R867" s="312">
        <v>197490.37</v>
      </c>
    </row>
    <row r="868" spans="6:18">
      <c r="F868" t="s">
        <v>2632</v>
      </c>
      <c r="G868" s="312">
        <v>21.8</v>
      </c>
      <c r="H868" s="312">
        <v>266.56</v>
      </c>
      <c r="I868" s="312">
        <v>27.11</v>
      </c>
      <c r="J868" s="312">
        <v>192.58</v>
      </c>
      <c r="K868" s="312">
        <v>583.96</v>
      </c>
      <c r="M868" t="s">
        <v>2632</v>
      </c>
      <c r="N868" s="312">
        <v>10750.86</v>
      </c>
      <c r="O868" s="312">
        <v>153575.38</v>
      </c>
      <c r="P868" s="312">
        <v>10500.68</v>
      </c>
      <c r="Q868" s="312">
        <v>55741.3</v>
      </c>
      <c r="R868" s="312">
        <v>159647.29999999999</v>
      </c>
    </row>
    <row r="869" spans="6:18">
      <c r="F869" t="s">
        <v>2633</v>
      </c>
      <c r="G869" s="312">
        <v>17.3</v>
      </c>
      <c r="H869" s="312">
        <v>233.77</v>
      </c>
      <c r="I869" s="312">
        <v>11.74</v>
      </c>
      <c r="J869" s="312">
        <v>133.91999999999999</v>
      </c>
      <c r="K869" s="312">
        <v>547.69000000000005</v>
      </c>
      <c r="M869" t="s">
        <v>2633</v>
      </c>
      <c r="N869" s="312">
        <v>7942.9600000000009</v>
      </c>
      <c r="O869" s="312">
        <v>173572.31999999998</v>
      </c>
      <c r="P869" s="312">
        <v>13278.460000000001</v>
      </c>
      <c r="Q869" s="312">
        <v>48791.76</v>
      </c>
      <c r="R869" s="312">
        <v>149493.09</v>
      </c>
    </row>
    <row r="870" spans="6:18">
      <c r="F870" t="s">
        <v>2634</v>
      </c>
      <c r="G870" s="312">
        <v>9.17</v>
      </c>
      <c r="H870" s="312">
        <v>340.49</v>
      </c>
      <c r="I870" s="312">
        <v>32.94</v>
      </c>
      <c r="J870" s="312">
        <v>162.6</v>
      </c>
      <c r="K870" s="312">
        <v>418.79</v>
      </c>
      <c r="M870" t="s">
        <v>2634</v>
      </c>
      <c r="N870" s="312">
        <v>3730.6899999999996</v>
      </c>
      <c r="O870" s="312">
        <v>114382.34</v>
      </c>
      <c r="P870" s="312">
        <v>21018.62</v>
      </c>
      <c r="Q870" s="312">
        <v>104199.17</v>
      </c>
      <c r="R870" s="312">
        <v>126957.51999999999</v>
      </c>
    </row>
    <row r="871" spans="6:18">
      <c r="F871" t="s">
        <v>2635</v>
      </c>
      <c r="G871" s="312">
        <v>5.6400000000000006</v>
      </c>
      <c r="H871" s="312">
        <v>217.37</v>
      </c>
      <c r="I871" s="312">
        <v>26.439999999999998</v>
      </c>
      <c r="J871" s="312">
        <v>122.05</v>
      </c>
      <c r="K871" s="312">
        <v>331.61</v>
      </c>
      <c r="M871" t="s">
        <v>2635</v>
      </c>
      <c r="N871" s="312">
        <v>2344.6800000000003</v>
      </c>
      <c r="O871" s="312">
        <v>90019.69</v>
      </c>
      <c r="P871" s="312">
        <v>13808.82</v>
      </c>
      <c r="Q871" s="312">
        <v>48384.05</v>
      </c>
      <c r="R871" s="312">
        <v>85601.42</v>
      </c>
    </row>
    <row r="872" spans="6:18">
      <c r="F872" t="s">
        <v>2636</v>
      </c>
      <c r="G872" s="312">
        <v>17.88</v>
      </c>
      <c r="H872" s="312">
        <v>133.63</v>
      </c>
      <c r="I872" s="312">
        <v>5.59</v>
      </c>
      <c r="J872" s="312">
        <v>124.41</v>
      </c>
      <c r="K872" s="312">
        <v>298.5</v>
      </c>
      <c r="M872" t="s">
        <v>2636</v>
      </c>
      <c r="N872" s="312">
        <v>6876.27</v>
      </c>
      <c r="O872" s="312">
        <v>47599.05</v>
      </c>
      <c r="P872" s="312">
        <v>2992.6</v>
      </c>
      <c r="Q872" s="312">
        <v>65436.31</v>
      </c>
      <c r="R872" s="312">
        <v>88080.84</v>
      </c>
    </row>
    <row r="873" spans="6:18">
      <c r="F873" t="s">
        <v>2637</v>
      </c>
      <c r="G873" s="312">
        <v>16.010000000000002</v>
      </c>
      <c r="H873" s="312">
        <v>556.17999999999995</v>
      </c>
      <c r="I873" s="312">
        <v>50.18</v>
      </c>
      <c r="J873" s="312">
        <v>247.36</v>
      </c>
      <c r="K873" s="312">
        <v>227.43</v>
      </c>
      <c r="M873" t="s">
        <v>2637</v>
      </c>
      <c r="N873" s="312">
        <v>7764.53</v>
      </c>
      <c r="O873" s="312">
        <v>263263.45</v>
      </c>
      <c r="P873" s="312">
        <v>27834.31</v>
      </c>
      <c r="Q873" s="312">
        <v>88455.45</v>
      </c>
      <c r="R873" s="312">
        <v>61864.89</v>
      </c>
    </row>
    <row r="874" spans="6:18">
      <c r="F874" t="s">
        <v>2638</v>
      </c>
      <c r="G874" s="312">
        <v>5.99</v>
      </c>
      <c r="H874" s="312">
        <v>488.55</v>
      </c>
      <c r="I874" s="312">
        <v>26.860000000000003</v>
      </c>
      <c r="J874" s="312">
        <v>213.87</v>
      </c>
      <c r="K874" s="312">
        <v>373.13</v>
      </c>
      <c r="M874" t="s">
        <v>2638</v>
      </c>
      <c r="N874" s="312">
        <v>4697.6000000000004</v>
      </c>
      <c r="O874" s="312">
        <v>240785.97999999998</v>
      </c>
      <c r="P874" s="312">
        <v>25356.339999999997</v>
      </c>
      <c r="Q874" s="312">
        <v>68209.5</v>
      </c>
      <c r="R874" s="312">
        <v>154227.83000000002</v>
      </c>
    </row>
    <row r="875" spans="6:18">
      <c r="F875" t="s">
        <v>2639</v>
      </c>
      <c r="G875" s="312">
        <v>5.82</v>
      </c>
      <c r="H875" s="312">
        <v>563.31999999999994</v>
      </c>
      <c r="I875" s="312">
        <v>17.740000000000002</v>
      </c>
      <c r="J875" s="312">
        <v>209.09</v>
      </c>
      <c r="K875" s="312">
        <v>395.03</v>
      </c>
      <c r="M875" t="s">
        <v>2639</v>
      </c>
      <c r="N875" s="312">
        <v>1770.6799999999998</v>
      </c>
      <c r="O875" s="312">
        <v>289339.37</v>
      </c>
      <c r="P875" s="312">
        <v>16939.52</v>
      </c>
      <c r="Q875" s="312">
        <v>93949.84</v>
      </c>
      <c r="R875" s="312">
        <v>139677.07</v>
      </c>
    </row>
    <row r="876" spans="6:18">
      <c r="F876" t="s">
        <v>2640</v>
      </c>
      <c r="G876" s="312">
        <v>7.27</v>
      </c>
      <c r="H876" s="312">
        <v>418.64</v>
      </c>
      <c r="I876" s="312">
        <v>2.23</v>
      </c>
      <c r="J876" s="312">
        <v>158.34</v>
      </c>
      <c r="K876" s="312">
        <v>352.79</v>
      </c>
      <c r="M876" t="s">
        <v>2640</v>
      </c>
      <c r="N876" s="312">
        <v>6101.7</v>
      </c>
      <c r="O876" s="312">
        <v>160458.57</v>
      </c>
      <c r="P876" s="312">
        <v>1484.58</v>
      </c>
      <c r="Q876" s="312">
        <v>73376.09</v>
      </c>
      <c r="R876" s="312">
        <v>102004.95999999999</v>
      </c>
    </row>
    <row r="877" spans="6:18">
      <c r="F877" t="s">
        <v>2641</v>
      </c>
      <c r="G877" s="312">
        <v>6.91</v>
      </c>
      <c r="H877" s="312">
        <v>447.07</v>
      </c>
      <c r="I877" s="312">
        <v>18.34</v>
      </c>
      <c r="J877" s="312">
        <v>245.25</v>
      </c>
      <c r="K877" s="312">
        <v>333.91999999999996</v>
      </c>
      <c r="M877" t="s">
        <v>2641</v>
      </c>
      <c r="N877" s="312">
        <v>2684.2200000000003</v>
      </c>
      <c r="O877" s="312">
        <v>247486.16999999998</v>
      </c>
      <c r="P877" s="312">
        <v>12210.05</v>
      </c>
      <c r="Q877" s="312">
        <v>135043.06</v>
      </c>
      <c r="R877" s="312">
        <v>102363.04000000001</v>
      </c>
    </row>
    <row r="878" spans="6:18">
      <c r="F878" t="s">
        <v>2642</v>
      </c>
      <c r="G878" s="312">
        <v>19.59</v>
      </c>
      <c r="H878" s="312">
        <v>346.83</v>
      </c>
      <c r="I878" s="312">
        <v>24.45</v>
      </c>
      <c r="J878" s="312">
        <v>133.28</v>
      </c>
      <c r="K878" s="312">
        <v>213.72</v>
      </c>
      <c r="M878" t="s">
        <v>2642</v>
      </c>
      <c r="N878" s="312">
        <v>7759.1</v>
      </c>
      <c r="O878" s="312">
        <v>153669.34999999998</v>
      </c>
      <c r="P878" s="312">
        <v>11232.460000000001</v>
      </c>
      <c r="Q878" s="312">
        <v>78378.81</v>
      </c>
      <c r="R878" s="312">
        <v>76266.94</v>
      </c>
    </row>
    <row r="879" spans="6:18">
      <c r="F879" t="s">
        <v>2643</v>
      </c>
      <c r="G879" s="312">
        <v>13.12</v>
      </c>
      <c r="H879" s="312">
        <v>339.46</v>
      </c>
      <c r="I879" s="312">
        <v>3.75</v>
      </c>
      <c r="J879" s="312">
        <v>113.03999999999999</v>
      </c>
      <c r="K879" s="312">
        <v>194.99</v>
      </c>
      <c r="M879" t="s">
        <v>2643</v>
      </c>
      <c r="N879" s="312">
        <v>6512.02</v>
      </c>
      <c r="O879" s="312">
        <v>141189.07</v>
      </c>
      <c r="P879" s="312">
        <v>2595.73</v>
      </c>
      <c r="Q879" s="312">
        <v>43284.56</v>
      </c>
      <c r="R879" s="312">
        <v>69166.720000000001</v>
      </c>
    </row>
    <row r="880" spans="6:18">
      <c r="F880" t="s">
        <v>2644</v>
      </c>
      <c r="G880" s="312">
        <v>10.59</v>
      </c>
      <c r="H880" s="312">
        <v>415.90999999999997</v>
      </c>
      <c r="I880" s="312">
        <v>21.68</v>
      </c>
      <c r="J880" s="312">
        <v>242.73000000000002</v>
      </c>
      <c r="K880" s="312">
        <v>423.93000000000006</v>
      </c>
      <c r="M880" t="s">
        <v>2644</v>
      </c>
      <c r="N880" s="312">
        <v>4388.8900000000003</v>
      </c>
      <c r="O880" s="312">
        <v>207381.82</v>
      </c>
      <c r="P880" s="312">
        <v>13809.84</v>
      </c>
      <c r="Q880" s="312">
        <v>165884.55000000002</v>
      </c>
      <c r="R880" s="312">
        <v>139164.06</v>
      </c>
    </row>
    <row r="881" spans="6:18">
      <c r="F881" t="s">
        <v>2645</v>
      </c>
      <c r="G881" s="312">
        <v>11.84</v>
      </c>
      <c r="H881" s="312">
        <v>368.90999999999997</v>
      </c>
      <c r="I881" s="312">
        <v>25.71</v>
      </c>
      <c r="J881" s="312">
        <v>165.62</v>
      </c>
      <c r="K881" s="312">
        <v>274.7</v>
      </c>
      <c r="M881" t="s">
        <v>2645</v>
      </c>
      <c r="N881" s="312">
        <v>3045.16</v>
      </c>
      <c r="O881" s="312">
        <v>133796.96</v>
      </c>
      <c r="P881" s="312">
        <v>7437.54</v>
      </c>
      <c r="Q881" s="312">
        <v>81238.350000000006</v>
      </c>
      <c r="R881" s="312">
        <v>88686.76999999999</v>
      </c>
    </row>
    <row r="882" spans="6:18">
      <c r="F882" t="s">
        <v>2646</v>
      </c>
      <c r="G882" s="312">
        <v>10.29</v>
      </c>
      <c r="H882" s="312">
        <v>413.12</v>
      </c>
      <c r="I882" s="312">
        <v>15.649999999999999</v>
      </c>
      <c r="J882" s="312">
        <v>200.57</v>
      </c>
      <c r="K882" s="312">
        <v>341.26</v>
      </c>
      <c r="M882" t="s">
        <v>2646</v>
      </c>
      <c r="N882" s="312">
        <v>1919.51</v>
      </c>
      <c r="O882" s="312">
        <v>187944.65</v>
      </c>
      <c r="P882" s="312">
        <v>15237.61</v>
      </c>
      <c r="Q882" s="312">
        <v>68668.100000000006</v>
      </c>
      <c r="R882" s="312">
        <v>102452.68</v>
      </c>
    </row>
    <row r="883" spans="6:18">
      <c r="F883" t="s">
        <v>2647</v>
      </c>
      <c r="G883" s="312">
        <v>14.690000000000001</v>
      </c>
      <c r="H883" s="312">
        <v>335.45</v>
      </c>
      <c r="I883" s="312">
        <v>28.02</v>
      </c>
      <c r="J883" s="312">
        <v>241.78</v>
      </c>
      <c r="K883" s="312">
        <v>356.56</v>
      </c>
      <c r="M883" t="s">
        <v>2647</v>
      </c>
      <c r="N883" s="312">
        <v>4557.6099999999997</v>
      </c>
      <c r="O883" s="312">
        <v>134045.41999999998</v>
      </c>
      <c r="P883" s="312">
        <v>16574.88</v>
      </c>
      <c r="Q883" s="312">
        <v>105187.89000000001</v>
      </c>
      <c r="R883" s="312">
        <v>140777.34999999998</v>
      </c>
    </row>
    <row r="884" spans="6:18">
      <c r="F884" t="s">
        <v>2648</v>
      </c>
      <c r="G884" s="312">
        <v>16.78</v>
      </c>
      <c r="H884" s="312">
        <v>374.86</v>
      </c>
      <c r="I884" s="312">
        <v>5.88</v>
      </c>
      <c r="J884" s="312">
        <v>268.16000000000003</v>
      </c>
      <c r="K884" s="312">
        <v>365.46000000000004</v>
      </c>
      <c r="M884" t="s">
        <v>2648</v>
      </c>
      <c r="N884" s="312">
        <v>4277.1899999999996</v>
      </c>
      <c r="O884" s="312">
        <v>181073.33000000002</v>
      </c>
      <c r="P884" s="312">
        <v>3670.45</v>
      </c>
      <c r="Q884" s="312">
        <v>107464.24</v>
      </c>
      <c r="R884" s="312">
        <v>120775.16999999998</v>
      </c>
    </row>
    <row r="885" spans="6:18">
      <c r="F885" t="s">
        <v>2649</v>
      </c>
      <c r="G885" s="312">
        <v>1.65</v>
      </c>
      <c r="H885" s="312">
        <v>266.94</v>
      </c>
      <c r="I885" s="312">
        <v>15.14</v>
      </c>
      <c r="J885" s="312">
        <v>170.45</v>
      </c>
      <c r="K885" s="312">
        <v>323.26</v>
      </c>
      <c r="M885" t="s">
        <v>2649</v>
      </c>
      <c r="N885" s="312">
        <v>644.77</v>
      </c>
      <c r="O885" s="312">
        <v>99342.28</v>
      </c>
      <c r="P885" s="312">
        <v>7461.34</v>
      </c>
      <c r="Q885" s="312">
        <v>151591.04999999999</v>
      </c>
      <c r="R885" s="312">
        <v>113361.65000000001</v>
      </c>
    </row>
    <row r="886" spans="6:18">
      <c r="F886" t="s">
        <v>2650</v>
      </c>
      <c r="G886" s="312"/>
      <c r="H886" s="312">
        <v>258.92</v>
      </c>
      <c r="I886" s="312">
        <v>18.419999999999998</v>
      </c>
      <c r="J886" s="312">
        <v>131.97999999999999</v>
      </c>
      <c r="K886" s="312">
        <v>211.25</v>
      </c>
      <c r="M886" t="s">
        <v>2650</v>
      </c>
      <c r="N886" s="312"/>
      <c r="O886" s="312">
        <v>116144.40999999999</v>
      </c>
      <c r="P886" s="312">
        <v>9497.68</v>
      </c>
      <c r="Q886" s="312">
        <v>52558.69</v>
      </c>
      <c r="R886" s="312">
        <v>64694.84</v>
      </c>
    </row>
    <row r="887" spans="6:18">
      <c r="F887" t="s">
        <v>2651</v>
      </c>
      <c r="G887" s="312">
        <v>10.120000000000001</v>
      </c>
      <c r="H887" s="312">
        <v>282</v>
      </c>
      <c r="I887" s="312">
        <v>2.5099999999999998</v>
      </c>
      <c r="J887" s="312">
        <v>195.37</v>
      </c>
      <c r="K887" s="312">
        <v>389.51</v>
      </c>
      <c r="M887" t="s">
        <v>2651</v>
      </c>
      <c r="N887" s="312">
        <v>2652</v>
      </c>
      <c r="O887" s="312">
        <v>135645.21000000002</v>
      </c>
      <c r="P887" s="312">
        <v>1653.55</v>
      </c>
      <c r="Q887" s="312">
        <v>106942.84</v>
      </c>
      <c r="R887" s="312">
        <v>119006.31</v>
      </c>
    </row>
    <row r="888" spans="6:18">
      <c r="F888" t="s">
        <v>2652</v>
      </c>
      <c r="G888" s="312">
        <v>6.13</v>
      </c>
      <c r="H888" s="312">
        <v>286.76</v>
      </c>
      <c r="I888" s="312">
        <v>56.85</v>
      </c>
      <c r="J888" s="312">
        <v>335.44</v>
      </c>
      <c r="K888" s="312">
        <v>317.26</v>
      </c>
      <c r="M888" t="s">
        <v>2652</v>
      </c>
      <c r="N888" s="312">
        <v>1738.4</v>
      </c>
      <c r="O888" s="312">
        <v>140212.79999999999</v>
      </c>
      <c r="P888" s="312">
        <v>30377.210000000003</v>
      </c>
      <c r="Q888" s="312">
        <v>223029.74</v>
      </c>
      <c r="R888" s="312">
        <v>102599.35</v>
      </c>
    </row>
    <row r="889" spans="6:18">
      <c r="F889" t="s">
        <v>2653</v>
      </c>
      <c r="G889" s="312">
        <v>19.29</v>
      </c>
      <c r="H889" s="312">
        <v>324.87</v>
      </c>
      <c r="I889" s="312">
        <v>35.46</v>
      </c>
      <c r="J889" s="312">
        <v>264.43</v>
      </c>
      <c r="K889" s="312">
        <v>350.64</v>
      </c>
      <c r="M889" t="s">
        <v>2653</v>
      </c>
      <c r="N889" s="312">
        <v>8436.58</v>
      </c>
      <c r="O889" s="312">
        <v>124568.19</v>
      </c>
      <c r="P889" s="312">
        <v>35412.410000000003</v>
      </c>
      <c r="Q889" s="312">
        <v>105323.06000000001</v>
      </c>
      <c r="R889" s="312">
        <v>108234.13</v>
      </c>
    </row>
    <row r="890" spans="6:18">
      <c r="F890" t="s">
        <v>2654</v>
      </c>
      <c r="G890" s="312">
        <v>11.01</v>
      </c>
      <c r="H890" s="312">
        <v>399.07</v>
      </c>
      <c r="I890" s="312">
        <v>12.18</v>
      </c>
      <c r="J890" s="312">
        <v>256.7</v>
      </c>
      <c r="K890" s="312">
        <v>376.86</v>
      </c>
      <c r="M890" t="s">
        <v>2654</v>
      </c>
      <c r="N890" s="312">
        <v>3947.93</v>
      </c>
      <c r="O890" s="312">
        <v>209649.77</v>
      </c>
      <c r="P890" s="312">
        <v>6150.77</v>
      </c>
      <c r="Q890" s="312">
        <v>127990.95</v>
      </c>
      <c r="R890" s="312">
        <v>111835.33</v>
      </c>
    </row>
    <row r="891" spans="6:18">
      <c r="F891" t="s">
        <v>2655</v>
      </c>
      <c r="G891" s="312">
        <v>14.28</v>
      </c>
      <c r="H891" s="312">
        <v>413.32000000000005</v>
      </c>
      <c r="I891" s="312">
        <v>40.36</v>
      </c>
      <c r="J891" s="312">
        <v>260.78999999999996</v>
      </c>
      <c r="K891" s="312">
        <v>368.56</v>
      </c>
      <c r="M891" t="s">
        <v>2655</v>
      </c>
      <c r="N891" s="312">
        <v>12648.22</v>
      </c>
      <c r="O891" s="312">
        <v>153803.15</v>
      </c>
      <c r="P891" s="312">
        <v>33987.68</v>
      </c>
      <c r="Q891" s="312">
        <v>151401.01</v>
      </c>
      <c r="R891" s="312">
        <v>98956.42</v>
      </c>
    </row>
    <row r="892" spans="6:18">
      <c r="F892" t="s">
        <v>2656</v>
      </c>
      <c r="G892" s="312">
        <v>20.32</v>
      </c>
      <c r="H892" s="312">
        <v>232.95</v>
      </c>
      <c r="I892" s="312">
        <v>60.09</v>
      </c>
      <c r="J892" s="312">
        <v>206.26</v>
      </c>
      <c r="K892" s="312">
        <v>234.42000000000002</v>
      </c>
      <c r="M892" t="s">
        <v>2656</v>
      </c>
      <c r="N892" s="312">
        <v>10115.629999999999</v>
      </c>
      <c r="O892" s="312">
        <v>114268.59</v>
      </c>
      <c r="P892" s="312">
        <v>29721.17</v>
      </c>
      <c r="Q892" s="312">
        <v>105667.98000000001</v>
      </c>
      <c r="R892" s="312">
        <v>69548.790000000008</v>
      </c>
    </row>
    <row r="893" spans="6:18">
      <c r="F893" t="s">
        <v>2657</v>
      </c>
      <c r="G893" s="312">
        <v>37.22</v>
      </c>
      <c r="H893" s="312">
        <v>165.03</v>
      </c>
      <c r="I893" s="312">
        <v>11.9</v>
      </c>
      <c r="J893" s="312">
        <v>191.37</v>
      </c>
      <c r="K893" s="312">
        <v>240.49</v>
      </c>
      <c r="M893" t="s">
        <v>2657</v>
      </c>
      <c r="N893" s="312">
        <v>19665.93</v>
      </c>
      <c r="O893" s="312">
        <v>69498.28</v>
      </c>
      <c r="P893" s="312">
        <v>3200.15</v>
      </c>
      <c r="Q893" s="312">
        <v>82268.42</v>
      </c>
      <c r="R893" s="312">
        <v>73972.829999999987</v>
      </c>
    </row>
    <row r="894" spans="6:18">
      <c r="F894" t="s">
        <v>2658</v>
      </c>
      <c r="G894" s="312">
        <v>10.49</v>
      </c>
      <c r="H894" s="312">
        <v>338.4</v>
      </c>
      <c r="I894" s="312">
        <v>29.520000000000003</v>
      </c>
      <c r="J894" s="312">
        <v>339.14</v>
      </c>
      <c r="K894" s="312">
        <v>392.98</v>
      </c>
      <c r="M894" t="s">
        <v>2658</v>
      </c>
      <c r="N894" s="312">
        <v>3547.33</v>
      </c>
      <c r="O894" s="312">
        <v>140044.07</v>
      </c>
      <c r="P894" s="312">
        <v>11314.470000000001</v>
      </c>
      <c r="Q894" s="312">
        <v>118667.12000000001</v>
      </c>
      <c r="R894" s="312">
        <v>109218.45000000001</v>
      </c>
    </row>
    <row r="895" spans="6:18">
      <c r="F895" t="s">
        <v>2659</v>
      </c>
      <c r="G895" s="312">
        <v>2.35</v>
      </c>
      <c r="H895" s="312">
        <v>366.32000000000005</v>
      </c>
      <c r="I895" s="312">
        <v>45.48</v>
      </c>
      <c r="J895" s="312">
        <v>393.03999999999996</v>
      </c>
      <c r="K895" s="312">
        <v>559.9</v>
      </c>
      <c r="M895" t="s">
        <v>2659</v>
      </c>
      <c r="N895" s="312">
        <v>472.11</v>
      </c>
      <c r="O895" s="312">
        <v>149548.66</v>
      </c>
      <c r="P895" s="312">
        <v>18599.55</v>
      </c>
      <c r="Q895" s="312">
        <v>141152.46</v>
      </c>
      <c r="R895" s="312">
        <v>180808.01</v>
      </c>
    </row>
    <row r="896" spans="6:18">
      <c r="F896" t="s">
        <v>2660</v>
      </c>
      <c r="G896" s="312">
        <v>16.600000000000001</v>
      </c>
      <c r="H896" s="312">
        <v>429.71000000000004</v>
      </c>
      <c r="I896" s="312">
        <v>19.71</v>
      </c>
      <c r="J896" s="312">
        <v>430.57</v>
      </c>
      <c r="K896" s="312">
        <v>467.71000000000004</v>
      </c>
      <c r="M896" t="s">
        <v>2660</v>
      </c>
      <c r="N896" s="312">
        <v>13462.03</v>
      </c>
      <c r="O896" s="312">
        <v>166112.38999999998</v>
      </c>
      <c r="P896" s="312">
        <v>8441.6899999999987</v>
      </c>
      <c r="Q896" s="312">
        <v>134475.1</v>
      </c>
      <c r="R896" s="312">
        <v>140515.46</v>
      </c>
    </row>
    <row r="897" spans="6:18">
      <c r="F897" t="s">
        <v>2661</v>
      </c>
      <c r="G897" s="312">
        <v>12.65</v>
      </c>
      <c r="H897" s="312">
        <v>258.36</v>
      </c>
      <c r="I897" s="312">
        <v>18.14</v>
      </c>
      <c r="J897" s="312">
        <v>348.5</v>
      </c>
      <c r="K897" s="312">
        <v>419.49</v>
      </c>
      <c r="M897" t="s">
        <v>2661</v>
      </c>
      <c r="N897" s="312">
        <v>4078.71</v>
      </c>
      <c r="O897" s="312">
        <v>97200.11</v>
      </c>
      <c r="P897" s="312">
        <v>9916.67</v>
      </c>
      <c r="Q897" s="312">
        <v>129744.81999999999</v>
      </c>
      <c r="R897" s="312">
        <v>136245.25</v>
      </c>
    </row>
    <row r="898" spans="6:18">
      <c r="F898" t="s">
        <v>2662</v>
      </c>
      <c r="G898" s="312">
        <v>7.74</v>
      </c>
      <c r="H898" s="312">
        <v>352.89</v>
      </c>
      <c r="I898" s="312">
        <v>32.53</v>
      </c>
      <c r="J898" s="312">
        <v>366.67</v>
      </c>
      <c r="K898" s="312">
        <v>361.90999999999997</v>
      </c>
      <c r="M898" t="s">
        <v>2662</v>
      </c>
      <c r="N898" s="312">
        <v>7287.5999999999995</v>
      </c>
      <c r="O898" s="312">
        <v>171895.25</v>
      </c>
      <c r="P898" s="312">
        <v>12069.82</v>
      </c>
      <c r="Q898" s="312">
        <v>153276.97999999998</v>
      </c>
      <c r="R898" s="312">
        <v>117613.26</v>
      </c>
    </row>
    <row r="899" spans="6:18">
      <c r="F899" t="s">
        <v>2663</v>
      </c>
      <c r="G899" s="312">
        <v>10.96</v>
      </c>
      <c r="H899" s="312">
        <v>258.34000000000003</v>
      </c>
      <c r="I899" s="312">
        <v>38.619999999999997</v>
      </c>
      <c r="J899" s="312">
        <v>339.52</v>
      </c>
      <c r="K899" s="312">
        <v>283.63</v>
      </c>
      <c r="M899" t="s">
        <v>2663</v>
      </c>
      <c r="N899" s="312">
        <v>4435.17</v>
      </c>
      <c r="O899" s="312">
        <v>125716.2</v>
      </c>
      <c r="P899" s="312">
        <v>23188.25</v>
      </c>
      <c r="Q899" s="312">
        <v>150457.03999999998</v>
      </c>
      <c r="R899" s="312">
        <v>84879.82</v>
      </c>
    </row>
    <row r="900" spans="6:18">
      <c r="F900" t="s">
        <v>2664</v>
      </c>
      <c r="G900" s="312">
        <v>10.84</v>
      </c>
      <c r="H900" s="312">
        <v>238.06</v>
      </c>
      <c r="I900" s="312">
        <v>5.3</v>
      </c>
      <c r="J900" s="312">
        <v>196.19</v>
      </c>
      <c r="K900" s="312">
        <v>262.27</v>
      </c>
      <c r="M900" t="s">
        <v>2664</v>
      </c>
      <c r="N900" s="312">
        <v>4439.54</v>
      </c>
      <c r="O900" s="312">
        <v>79125.390000000014</v>
      </c>
      <c r="P900" s="312">
        <v>2888.9</v>
      </c>
      <c r="Q900" s="312">
        <v>119464.7</v>
      </c>
      <c r="R900" s="312">
        <v>92726.6</v>
      </c>
    </row>
    <row r="901" spans="6:18">
      <c r="F901" t="s">
        <v>2665</v>
      </c>
      <c r="G901" s="312">
        <v>30.45</v>
      </c>
      <c r="H901" s="312">
        <v>438.73</v>
      </c>
      <c r="I901" s="312">
        <v>50.23</v>
      </c>
      <c r="J901" s="312">
        <v>413.58000000000004</v>
      </c>
      <c r="K901" s="312">
        <v>556.95000000000005</v>
      </c>
      <c r="M901" t="s">
        <v>2665</v>
      </c>
      <c r="N901" s="312">
        <v>10877.46</v>
      </c>
      <c r="O901" s="312">
        <v>164135.75</v>
      </c>
      <c r="P901" s="312">
        <v>29691.87</v>
      </c>
      <c r="Q901" s="312">
        <v>150497.12</v>
      </c>
      <c r="R901" s="312">
        <v>157909.64000000001</v>
      </c>
    </row>
    <row r="902" spans="6:18">
      <c r="F902" t="s">
        <v>2666</v>
      </c>
      <c r="G902" s="312">
        <v>20.14</v>
      </c>
      <c r="H902" s="312">
        <v>352.63</v>
      </c>
      <c r="I902" s="312">
        <v>31.92</v>
      </c>
      <c r="J902" s="312">
        <v>625.33000000000004</v>
      </c>
      <c r="K902" s="312">
        <v>489.17</v>
      </c>
      <c r="M902" t="s">
        <v>2666</v>
      </c>
      <c r="N902" s="312">
        <v>6849.84</v>
      </c>
      <c r="O902" s="312">
        <v>151510.31</v>
      </c>
      <c r="P902" s="312">
        <v>18376.400000000001</v>
      </c>
      <c r="Q902" s="312">
        <v>243096.97999999998</v>
      </c>
      <c r="R902" s="312">
        <v>143799.32999999999</v>
      </c>
    </row>
    <row r="903" spans="6:18">
      <c r="F903" t="s">
        <v>2667</v>
      </c>
      <c r="G903" s="312">
        <v>14.24</v>
      </c>
      <c r="H903" s="312">
        <v>309.8</v>
      </c>
      <c r="I903" s="312">
        <v>27.63</v>
      </c>
      <c r="J903" s="312">
        <v>544.63</v>
      </c>
      <c r="K903" s="312">
        <v>461.46</v>
      </c>
      <c r="M903" t="s">
        <v>2667</v>
      </c>
      <c r="N903" s="312">
        <v>4937.8899999999994</v>
      </c>
      <c r="O903" s="312">
        <v>112775.95999999999</v>
      </c>
      <c r="P903" s="312">
        <v>25578.639999999999</v>
      </c>
      <c r="Q903" s="312">
        <v>310365.95</v>
      </c>
      <c r="R903" s="312">
        <v>141980.28</v>
      </c>
    </row>
    <row r="904" spans="6:18">
      <c r="F904" t="s">
        <v>2668</v>
      </c>
      <c r="G904" s="312">
        <v>18.100000000000001</v>
      </c>
      <c r="H904" s="312">
        <v>354.88</v>
      </c>
      <c r="I904" s="312">
        <v>20.7</v>
      </c>
      <c r="J904" s="312">
        <v>458.91</v>
      </c>
      <c r="K904" s="312">
        <v>440.39</v>
      </c>
      <c r="M904" t="s">
        <v>2668</v>
      </c>
      <c r="N904" s="312">
        <v>13487.57</v>
      </c>
      <c r="O904" s="312">
        <v>112955.31</v>
      </c>
      <c r="P904" s="312">
        <v>28657.16</v>
      </c>
      <c r="Q904" s="312">
        <v>151701.18</v>
      </c>
      <c r="R904" s="312">
        <v>122195.44999999998</v>
      </c>
    </row>
    <row r="905" spans="6:18">
      <c r="F905" t="s">
        <v>2669</v>
      </c>
      <c r="G905" s="312">
        <v>5.13</v>
      </c>
      <c r="H905" s="312">
        <v>320.34000000000003</v>
      </c>
      <c r="I905" s="312">
        <v>22.59</v>
      </c>
      <c r="J905" s="312">
        <v>559.6</v>
      </c>
      <c r="K905" s="312">
        <v>469.53999999999996</v>
      </c>
      <c r="M905" t="s">
        <v>2669</v>
      </c>
      <c r="N905" s="312">
        <v>1121.51</v>
      </c>
      <c r="O905" s="312">
        <v>121770.31</v>
      </c>
      <c r="P905" s="312">
        <v>15098.529999999999</v>
      </c>
      <c r="Q905" s="312">
        <v>259606.19</v>
      </c>
      <c r="R905" s="312">
        <v>123608.72</v>
      </c>
    </row>
    <row r="906" spans="6:18">
      <c r="F906" t="s">
        <v>2670</v>
      </c>
      <c r="G906" s="312">
        <v>16.87</v>
      </c>
      <c r="H906" s="312">
        <v>264.71000000000004</v>
      </c>
      <c r="I906" s="312">
        <v>31.689999999999998</v>
      </c>
      <c r="J906" s="312">
        <v>317.77</v>
      </c>
      <c r="K906" s="312">
        <v>321.81</v>
      </c>
      <c r="M906" t="s">
        <v>2670</v>
      </c>
      <c r="N906" s="312">
        <v>5035.6000000000004</v>
      </c>
      <c r="O906" s="312">
        <v>118942.13</v>
      </c>
      <c r="P906" s="312">
        <v>10800.439999999999</v>
      </c>
      <c r="Q906" s="312">
        <v>162269.88999999998</v>
      </c>
      <c r="R906" s="312">
        <v>88509.09</v>
      </c>
    </row>
    <row r="907" spans="6:18">
      <c r="F907" t="s">
        <v>2671</v>
      </c>
      <c r="G907" s="312">
        <v>9.52</v>
      </c>
      <c r="H907" s="312">
        <v>209.75</v>
      </c>
      <c r="I907" s="312">
        <v>10.199999999999999</v>
      </c>
      <c r="J907" s="312">
        <v>267.27999999999997</v>
      </c>
      <c r="K907" s="312">
        <v>295.88</v>
      </c>
      <c r="M907" t="s">
        <v>2671</v>
      </c>
      <c r="N907" s="312">
        <v>3270.14</v>
      </c>
      <c r="O907" s="312">
        <v>102827.11</v>
      </c>
      <c r="P907" s="312">
        <v>6741.84</v>
      </c>
      <c r="Q907" s="312">
        <v>91094.150000000009</v>
      </c>
      <c r="R907" s="312">
        <v>103355.64</v>
      </c>
    </row>
    <row r="908" spans="6:18">
      <c r="F908" t="s">
        <v>2672</v>
      </c>
      <c r="G908" s="312">
        <v>6.9700000000000006</v>
      </c>
      <c r="H908" s="312">
        <v>307.18</v>
      </c>
      <c r="I908" s="312">
        <v>48.78</v>
      </c>
      <c r="J908" s="312">
        <v>400.28000000000003</v>
      </c>
      <c r="K908" s="312">
        <v>549.21</v>
      </c>
      <c r="M908" t="s">
        <v>2672</v>
      </c>
      <c r="N908" s="312">
        <v>1465.67</v>
      </c>
      <c r="O908" s="312">
        <v>144500.22</v>
      </c>
      <c r="P908" s="312">
        <v>14251.29</v>
      </c>
      <c r="Q908" s="312">
        <v>180081.74</v>
      </c>
      <c r="R908" s="312">
        <v>194975.83000000002</v>
      </c>
    </row>
    <row r="909" spans="6:18">
      <c r="F909" t="s">
        <v>2673</v>
      </c>
      <c r="G909" s="312">
        <v>14.16</v>
      </c>
      <c r="H909" s="312">
        <v>414.38</v>
      </c>
      <c r="I909" s="312">
        <v>22.2</v>
      </c>
      <c r="J909" s="312">
        <v>538.38</v>
      </c>
      <c r="K909" s="312">
        <v>428.79999999999995</v>
      </c>
      <c r="M909" t="s">
        <v>2673</v>
      </c>
      <c r="N909" s="312">
        <v>4617.8999999999996</v>
      </c>
      <c r="O909" s="312">
        <v>206167.73</v>
      </c>
      <c r="P909" s="312">
        <v>14441.01</v>
      </c>
      <c r="Q909" s="312">
        <v>161297.34</v>
      </c>
      <c r="R909" s="312">
        <v>152134.1</v>
      </c>
    </row>
    <row r="910" spans="6:18">
      <c r="F910" t="s">
        <v>2674</v>
      </c>
      <c r="G910" s="312">
        <v>22.49</v>
      </c>
      <c r="H910" s="312">
        <v>289.75</v>
      </c>
      <c r="I910" s="312">
        <v>48.480000000000004</v>
      </c>
      <c r="J910" s="312">
        <v>532.51</v>
      </c>
      <c r="K910" s="312">
        <v>349.91999999999996</v>
      </c>
      <c r="M910" t="s">
        <v>2674</v>
      </c>
      <c r="N910" s="312">
        <v>5496.82</v>
      </c>
      <c r="O910" s="312">
        <v>113639.44</v>
      </c>
      <c r="P910" s="312">
        <v>41661.4</v>
      </c>
      <c r="Q910" s="312">
        <v>254755.63</v>
      </c>
      <c r="R910" s="312">
        <v>99097.959999999992</v>
      </c>
    </row>
    <row r="911" spans="6:18">
      <c r="F911" t="s">
        <v>2675</v>
      </c>
      <c r="G911" s="312">
        <v>4.8499999999999996</v>
      </c>
      <c r="H911" s="312">
        <v>356.76</v>
      </c>
      <c r="I911" s="312">
        <v>53.72</v>
      </c>
      <c r="J911" s="312">
        <v>464.33000000000004</v>
      </c>
      <c r="K911" s="312">
        <v>408.12</v>
      </c>
      <c r="M911" t="s">
        <v>2675</v>
      </c>
      <c r="N911" s="312">
        <v>1087.8400000000001</v>
      </c>
      <c r="O911" s="312">
        <v>155363.56</v>
      </c>
      <c r="P911" s="312">
        <v>28323.05</v>
      </c>
      <c r="Q911" s="312">
        <v>179657.16</v>
      </c>
      <c r="R911" s="312">
        <v>136908.93</v>
      </c>
    </row>
    <row r="912" spans="6:18">
      <c r="F912" t="s">
        <v>2676</v>
      </c>
      <c r="G912" s="312">
        <v>6.62</v>
      </c>
      <c r="H912" s="312">
        <v>390.24</v>
      </c>
      <c r="I912" s="312">
        <v>22.52</v>
      </c>
      <c r="J912" s="312">
        <v>422</v>
      </c>
      <c r="K912" s="312">
        <v>405.09000000000003</v>
      </c>
      <c r="M912" t="s">
        <v>2676</v>
      </c>
      <c r="N912" s="312">
        <v>3248.06</v>
      </c>
      <c r="O912" s="312">
        <v>194528.34</v>
      </c>
      <c r="P912" s="312">
        <v>11453.22</v>
      </c>
      <c r="Q912" s="312">
        <v>158065.44999999998</v>
      </c>
      <c r="R912" s="312">
        <v>129327.89</v>
      </c>
    </row>
    <row r="913" spans="6:18">
      <c r="F913" t="s">
        <v>2677</v>
      </c>
      <c r="G913" s="312">
        <v>7.09</v>
      </c>
      <c r="H913" s="312">
        <v>310.51</v>
      </c>
      <c r="I913" s="312">
        <v>25.07</v>
      </c>
      <c r="J913" s="312">
        <v>532.53</v>
      </c>
      <c r="K913" s="312">
        <v>324.18</v>
      </c>
      <c r="M913" t="s">
        <v>2677</v>
      </c>
      <c r="N913" s="312">
        <v>3325.28</v>
      </c>
      <c r="O913" s="312">
        <v>190147.16</v>
      </c>
      <c r="P913" s="312">
        <v>11647.439999999999</v>
      </c>
      <c r="Q913" s="312">
        <v>170397.41999999998</v>
      </c>
      <c r="R913" s="312">
        <v>99687.07</v>
      </c>
    </row>
    <row r="914" spans="6:18">
      <c r="F914" t="s">
        <v>2678</v>
      </c>
      <c r="G914" s="312">
        <v>9.18</v>
      </c>
      <c r="H914" s="312">
        <v>278.55</v>
      </c>
      <c r="I914" s="312">
        <v>13.42</v>
      </c>
      <c r="J914" s="312">
        <v>424.75</v>
      </c>
      <c r="K914" s="312">
        <v>260.94</v>
      </c>
      <c r="M914" t="s">
        <v>2678</v>
      </c>
      <c r="N914" s="312">
        <v>3445.33</v>
      </c>
      <c r="O914" s="312">
        <v>117478.84</v>
      </c>
      <c r="P914" s="312">
        <v>12242.880000000001</v>
      </c>
      <c r="Q914" s="312">
        <v>121110.39999999999</v>
      </c>
      <c r="R914" s="312">
        <v>87041.239999999991</v>
      </c>
    </row>
    <row r="915" spans="6:18">
      <c r="F915" t="s">
        <v>2679</v>
      </c>
      <c r="G915" s="312">
        <v>13.719999999999999</v>
      </c>
      <c r="H915" s="312">
        <v>374.35</v>
      </c>
      <c r="I915" s="312">
        <v>29.91</v>
      </c>
      <c r="J915" s="312">
        <v>425.93</v>
      </c>
      <c r="K915" s="312">
        <v>455.29999999999995</v>
      </c>
      <c r="M915" t="s">
        <v>2679</v>
      </c>
      <c r="N915" s="312">
        <v>5427.76</v>
      </c>
      <c r="O915" s="312">
        <v>157573.66</v>
      </c>
      <c r="P915" s="312">
        <v>45138.559999999998</v>
      </c>
      <c r="Q915" s="312">
        <v>204968.69999999998</v>
      </c>
      <c r="R915" s="312">
        <v>144529.45000000001</v>
      </c>
    </row>
    <row r="916" spans="6:18">
      <c r="F916" t="s">
        <v>2680</v>
      </c>
      <c r="G916" s="312">
        <v>27.880000000000003</v>
      </c>
      <c r="H916" s="312">
        <v>296.95</v>
      </c>
      <c r="I916" s="312">
        <v>33.14</v>
      </c>
      <c r="J916" s="312">
        <v>468.53</v>
      </c>
      <c r="K916" s="312">
        <v>311.25</v>
      </c>
      <c r="M916" t="s">
        <v>2680</v>
      </c>
      <c r="N916" s="312">
        <v>14998.189999999999</v>
      </c>
      <c r="O916" s="312">
        <v>99577.53</v>
      </c>
      <c r="P916" s="312">
        <v>16184.779999999999</v>
      </c>
      <c r="Q916" s="312">
        <v>166146.81</v>
      </c>
      <c r="R916" s="312">
        <v>94075.53</v>
      </c>
    </row>
    <row r="917" spans="6:18">
      <c r="F917" t="s">
        <v>2681</v>
      </c>
      <c r="G917" s="312">
        <v>21.57</v>
      </c>
      <c r="H917" s="312">
        <v>343.3</v>
      </c>
      <c r="I917" s="312">
        <v>31.560000000000002</v>
      </c>
      <c r="J917" s="312">
        <v>523.01</v>
      </c>
      <c r="K917" s="312">
        <v>280.12</v>
      </c>
      <c r="M917" t="s">
        <v>2681</v>
      </c>
      <c r="N917" s="312">
        <v>6678.8799999999992</v>
      </c>
      <c r="O917" s="312">
        <v>191764.43</v>
      </c>
      <c r="P917" s="312">
        <v>29830.809999999998</v>
      </c>
      <c r="Q917" s="312">
        <v>197068.90999999997</v>
      </c>
      <c r="R917" s="312">
        <v>96332.42</v>
      </c>
    </row>
    <row r="918" spans="6:18">
      <c r="F918" t="s">
        <v>2682</v>
      </c>
      <c r="G918" s="312">
        <v>10.17</v>
      </c>
      <c r="H918" s="312">
        <v>354.46000000000004</v>
      </c>
      <c r="I918" s="312">
        <v>21.17</v>
      </c>
      <c r="J918" s="312">
        <v>609.54</v>
      </c>
      <c r="K918" s="312">
        <v>297.90999999999997</v>
      </c>
      <c r="M918" t="s">
        <v>2682</v>
      </c>
      <c r="N918" s="312">
        <v>1778.41</v>
      </c>
      <c r="O918" s="312">
        <v>144628.23000000001</v>
      </c>
      <c r="P918" s="312">
        <v>8401.380000000001</v>
      </c>
      <c r="Q918" s="312">
        <v>230805.30000000002</v>
      </c>
      <c r="R918" s="312">
        <v>147530.82999999999</v>
      </c>
    </row>
    <row r="919" spans="6:18">
      <c r="F919" t="s">
        <v>2683</v>
      </c>
      <c r="G919" s="312">
        <v>6.36</v>
      </c>
      <c r="H919" s="312">
        <v>360.49</v>
      </c>
      <c r="I919" s="312">
        <v>23.93</v>
      </c>
      <c r="J919" s="312">
        <v>474.73</v>
      </c>
      <c r="K919" s="312">
        <v>314.31</v>
      </c>
      <c r="M919" t="s">
        <v>2683</v>
      </c>
      <c r="N919" s="312">
        <v>3682.34</v>
      </c>
      <c r="O919" s="312">
        <v>186978.28</v>
      </c>
      <c r="P919" s="312">
        <v>10394.99</v>
      </c>
      <c r="Q919" s="312">
        <v>194007.5</v>
      </c>
      <c r="R919" s="312">
        <v>128413.45999999999</v>
      </c>
    </row>
    <row r="920" spans="6:18">
      <c r="F920" t="s">
        <v>2684</v>
      </c>
      <c r="G920" s="312">
        <v>5.7</v>
      </c>
      <c r="H920" s="312">
        <v>242.26</v>
      </c>
      <c r="I920" s="312">
        <v>33.18</v>
      </c>
      <c r="J920" s="312">
        <v>320.63</v>
      </c>
      <c r="K920" s="312">
        <v>374.23</v>
      </c>
      <c r="M920" t="s">
        <v>2684</v>
      </c>
      <c r="N920" s="312">
        <v>3537.73</v>
      </c>
      <c r="O920" s="312">
        <v>129031.09</v>
      </c>
      <c r="P920" s="312">
        <v>22379.7</v>
      </c>
      <c r="Q920" s="312">
        <v>122501.87000000001</v>
      </c>
      <c r="R920" s="312">
        <v>150616.53</v>
      </c>
    </row>
    <row r="921" spans="6:18">
      <c r="F921" t="s">
        <v>2685</v>
      </c>
      <c r="G921" s="312">
        <v>7.6400000000000006</v>
      </c>
      <c r="H921" s="312">
        <v>239.4</v>
      </c>
      <c r="I921" s="312">
        <v>3.46</v>
      </c>
      <c r="J921" s="312">
        <v>308.31</v>
      </c>
      <c r="K921" s="312">
        <v>269.39999999999998</v>
      </c>
      <c r="M921" t="s">
        <v>2685</v>
      </c>
      <c r="N921" s="312">
        <v>3012.35</v>
      </c>
      <c r="O921" s="312">
        <v>88109.68</v>
      </c>
      <c r="P921" s="312">
        <v>3093.08</v>
      </c>
      <c r="Q921" s="312">
        <v>79664.820000000007</v>
      </c>
      <c r="R921" s="312">
        <v>101467.99</v>
      </c>
    </row>
    <row r="922" spans="6:18">
      <c r="F922" t="s">
        <v>2686</v>
      </c>
      <c r="G922" s="312">
        <v>2.0099999999999998</v>
      </c>
      <c r="H922" s="312">
        <v>258.52999999999997</v>
      </c>
      <c r="I922" s="312">
        <v>57.14</v>
      </c>
      <c r="J922" s="312">
        <v>282.69</v>
      </c>
      <c r="K922" s="312">
        <v>755.37</v>
      </c>
      <c r="M922" t="s">
        <v>2686</v>
      </c>
      <c r="N922" s="312">
        <v>1087.32</v>
      </c>
      <c r="O922" s="312">
        <v>128248.73999999999</v>
      </c>
      <c r="P922" s="312">
        <v>54563.99</v>
      </c>
      <c r="Q922" s="312">
        <v>111998.33</v>
      </c>
      <c r="R922" s="312">
        <v>196339.22999999998</v>
      </c>
    </row>
    <row r="923" spans="6:18">
      <c r="F923" t="s">
        <v>2687</v>
      </c>
      <c r="G923" s="312">
        <v>6.38</v>
      </c>
      <c r="H923" s="312">
        <v>362.8</v>
      </c>
      <c r="I923" s="312">
        <v>50.75</v>
      </c>
      <c r="J923" s="312">
        <v>542.74</v>
      </c>
      <c r="K923" s="312">
        <v>522.76</v>
      </c>
      <c r="M923" t="s">
        <v>2687</v>
      </c>
      <c r="N923" s="312">
        <v>1711.73</v>
      </c>
      <c r="O923" s="312">
        <v>209964.96000000002</v>
      </c>
      <c r="P923" s="312">
        <v>17315.64</v>
      </c>
      <c r="Q923" s="312">
        <v>240531.45</v>
      </c>
      <c r="R923" s="312">
        <v>163927.18</v>
      </c>
    </row>
    <row r="924" spans="6:18">
      <c r="F924" t="s">
        <v>2688</v>
      </c>
      <c r="G924" s="312">
        <v>34.380000000000003</v>
      </c>
      <c r="H924" s="312">
        <v>486.14</v>
      </c>
      <c r="I924" s="312">
        <v>39</v>
      </c>
      <c r="J924" s="312">
        <v>579.88</v>
      </c>
      <c r="K924" s="312">
        <v>524</v>
      </c>
      <c r="M924" t="s">
        <v>2688</v>
      </c>
      <c r="N924" s="312">
        <v>17636.7</v>
      </c>
      <c r="O924" s="312">
        <v>261105.24000000002</v>
      </c>
      <c r="P924" s="312">
        <v>16497.22</v>
      </c>
      <c r="Q924" s="312">
        <v>183122.02000000002</v>
      </c>
      <c r="R924" s="312">
        <v>165587.91</v>
      </c>
    </row>
    <row r="925" spans="6:18">
      <c r="F925" t="s">
        <v>2689</v>
      </c>
      <c r="G925" s="312">
        <v>15.870000000000001</v>
      </c>
      <c r="H925" s="312">
        <v>509.71999999999997</v>
      </c>
      <c r="I925" s="312">
        <v>55.660000000000004</v>
      </c>
      <c r="J925" s="312">
        <v>659.64</v>
      </c>
      <c r="K925" s="312">
        <v>370.3</v>
      </c>
      <c r="M925" t="s">
        <v>2689</v>
      </c>
      <c r="N925" s="312">
        <v>6198.84</v>
      </c>
      <c r="O925" s="312">
        <v>217152.2</v>
      </c>
      <c r="P925" s="312">
        <v>30340.18</v>
      </c>
      <c r="Q925" s="312">
        <v>213649.49</v>
      </c>
      <c r="R925" s="312">
        <v>100152.43</v>
      </c>
    </row>
    <row r="926" spans="6:18">
      <c r="F926" t="s">
        <v>2690</v>
      </c>
      <c r="G926" s="312">
        <v>4.5</v>
      </c>
      <c r="H926" s="312">
        <v>429.79</v>
      </c>
      <c r="I926" s="312">
        <v>57.410000000000004</v>
      </c>
      <c r="J926" s="312">
        <v>581.86</v>
      </c>
      <c r="K926" s="312">
        <v>355.91999999999996</v>
      </c>
      <c r="M926" t="s">
        <v>2690</v>
      </c>
      <c r="N926" s="312">
        <v>2805.19</v>
      </c>
      <c r="O926" s="312">
        <v>185575.3</v>
      </c>
      <c r="P926" s="312">
        <v>22841.5</v>
      </c>
      <c r="Q926" s="312">
        <v>247693.77000000002</v>
      </c>
      <c r="R926" s="312">
        <v>143950.53</v>
      </c>
    </row>
    <row r="927" spans="6:18">
      <c r="F927" t="s">
        <v>2691</v>
      </c>
      <c r="G927" s="312">
        <v>20.47</v>
      </c>
      <c r="H927" s="312">
        <v>242.61</v>
      </c>
      <c r="I927" s="312">
        <v>44.809999999999995</v>
      </c>
      <c r="J927" s="312">
        <v>514.12</v>
      </c>
      <c r="K927" s="312">
        <v>274.68</v>
      </c>
      <c r="M927" t="s">
        <v>2691</v>
      </c>
      <c r="N927" s="312">
        <v>9964.7900000000009</v>
      </c>
      <c r="O927" s="312">
        <v>106064.01000000001</v>
      </c>
      <c r="P927" s="312">
        <v>25339.78</v>
      </c>
      <c r="Q927" s="312">
        <v>162012.34000000003</v>
      </c>
      <c r="R927" s="312">
        <v>92558.42</v>
      </c>
    </row>
    <row r="928" spans="6:18">
      <c r="F928" t="s">
        <v>2692</v>
      </c>
      <c r="G928" s="312">
        <v>9.18</v>
      </c>
      <c r="H928" s="312">
        <v>262.63</v>
      </c>
      <c r="I928" s="312">
        <v>22.51</v>
      </c>
      <c r="J928" s="312">
        <v>314.04000000000002</v>
      </c>
      <c r="K928" s="312">
        <v>196.56</v>
      </c>
      <c r="M928" t="s">
        <v>2692</v>
      </c>
      <c r="N928" s="312">
        <v>5980.87</v>
      </c>
      <c r="O928" s="312">
        <v>118282.70000000001</v>
      </c>
      <c r="P928" s="312">
        <v>9576.06</v>
      </c>
      <c r="Q928" s="312">
        <v>104658.26</v>
      </c>
      <c r="R928" s="312">
        <v>56937.440000000002</v>
      </c>
    </row>
    <row r="929" spans="6:18">
      <c r="F929" t="s">
        <v>2693</v>
      </c>
      <c r="G929" s="312">
        <v>9.0399999999999991</v>
      </c>
      <c r="H929" s="312">
        <v>361.48</v>
      </c>
      <c r="I929" s="312">
        <v>41.18</v>
      </c>
      <c r="J929" s="312">
        <v>500.27</v>
      </c>
      <c r="K929" s="312">
        <v>370.71000000000004</v>
      </c>
      <c r="M929" t="s">
        <v>2693</v>
      </c>
      <c r="N929" s="312">
        <v>3892.04</v>
      </c>
      <c r="O929" s="312">
        <v>172670.38999999998</v>
      </c>
      <c r="P929" s="312">
        <v>22551.84</v>
      </c>
      <c r="Q929" s="312">
        <v>191685.81</v>
      </c>
      <c r="R929" s="312">
        <v>151463.22</v>
      </c>
    </row>
    <row r="930" spans="6:18">
      <c r="F930" t="s">
        <v>2694</v>
      </c>
      <c r="G930" s="312">
        <v>8.17</v>
      </c>
      <c r="H930" s="312">
        <v>400.97</v>
      </c>
      <c r="I930" s="312">
        <v>41.93</v>
      </c>
      <c r="J930" s="312">
        <v>487.17</v>
      </c>
      <c r="K930" s="312">
        <v>286.36</v>
      </c>
      <c r="M930" t="s">
        <v>2694</v>
      </c>
      <c r="N930" s="312">
        <v>6675.33</v>
      </c>
      <c r="O930" s="312">
        <v>169570.55</v>
      </c>
      <c r="P930" s="312">
        <v>44162.11</v>
      </c>
      <c r="Q930" s="312">
        <v>140390.28</v>
      </c>
      <c r="R930" s="312">
        <v>80383.81</v>
      </c>
    </row>
    <row r="931" spans="6:18">
      <c r="F931" t="s">
        <v>2695</v>
      </c>
      <c r="G931" s="312">
        <v>12.29</v>
      </c>
      <c r="H931" s="312">
        <v>311.5</v>
      </c>
      <c r="I931" s="312">
        <v>26.630000000000003</v>
      </c>
      <c r="J931" s="312">
        <v>693.08999999999992</v>
      </c>
      <c r="K931" s="312">
        <v>322.91999999999996</v>
      </c>
      <c r="M931" t="s">
        <v>2695</v>
      </c>
      <c r="N931" s="312">
        <v>9047.0600000000013</v>
      </c>
      <c r="O931" s="312">
        <v>128058.63</v>
      </c>
      <c r="P931" s="312">
        <v>27572.670000000002</v>
      </c>
      <c r="Q931" s="312">
        <v>233900.97</v>
      </c>
      <c r="R931" s="312">
        <v>101328.18</v>
      </c>
    </row>
    <row r="932" spans="6:18">
      <c r="F932" t="s">
        <v>2696</v>
      </c>
      <c r="G932" s="312">
        <v>13.3</v>
      </c>
      <c r="H932" s="312">
        <v>394.64</v>
      </c>
      <c r="I932" s="312">
        <v>34.299999999999997</v>
      </c>
      <c r="J932" s="312">
        <v>491.19</v>
      </c>
      <c r="K932" s="312">
        <v>332.79</v>
      </c>
      <c r="M932" t="s">
        <v>2696</v>
      </c>
      <c r="N932" s="312">
        <v>4865.38</v>
      </c>
      <c r="O932" s="312">
        <v>189948.6</v>
      </c>
      <c r="P932" s="312">
        <v>27444.17</v>
      </c>
      <c r="Q932" s="312">
        <v>192684.07</v>
      </c>
      <c r="R932" s="312">
        <v>103777.2</v>
      </c>
    </row>
    <row r="933" spans="6:18">
      <c r="F933" t="s">
        <v>2697</v>
      </c>
      <c r="G933" s="312">
        <v>29.490000000000002</v>
      </c>
      <c r="H933" s="312">
        <v>319.88</v>
      </c>
      <c r="I933" s="312">
        <v>42.7</v>
      </c>
      <c r="J933" s="312">
        <v>431.9</v>
      </c>
      <c r="K933" s="312">
        <v>304.52999999999997</v>
      </c>
      <c r="M933" t="s">
        <v>2697</v>
      </c>
      <c r="N933" s="312">
        <v>12763.69</v>
      </c>
      <c r="O933" s="312">
        <v>137695.53</v>
      </c>
      <c r="P933" s="312">
        <v>24928.82</v>
      </c>
      <c r="Q933" s="312">
        <v>143981.78999999998</v>
      </c>
      <c r="R933" s="312">
        <v>92720.69</v>
      </c>
    </row>
    <row r="934" spans="6:18">
      <c r="F934" t="s">
        <v>2698</v>
      </c>
      <c r="G934" s="312">
        <v>8.9499999999999993</v>
      </c>
      <c r="H934" s="312">
        <v>263.62</v>
      </c>
      <c r="I934" s="312">
        <v>24.13</v>
      </c>
      <c r="J934" s="312">
        <v>598.91000000000008</v>
      </c>
      <c r="K934" s="312">
        <v>246.43</v>
      </c>
      <c r="M934" t="s">
        <v>2698</v>
      </c>
      <c r="N934" s="312">
        <v>11405.86</v>
      </c>
      <c r="O934" s="312">
        <v>136926.91</v>
      </c>
      <c r="P934" s="312">
        <v>24483.9</v>
      </c>
      <c r="Q934" s="312">
        <v>174436.88</v>
      </c>
      <c r="R934" s="312">
        <v>93594.549999999988</v>
      </c>
    </row>
    <row r="935" spans="6:18">
      <c r="F935" t="s">
        <v>2699</v>
      </c>
      <c r="G935" s="312">
        <v>15.22</v>
      </c>
      <c r="H935" s="312">
        <v>287.15999999999997</v>
      </c>
      <c r="I935" s="312">
        <v>15.79</v>
      </c>
      <c r="J935" s="312">
        <v>326.61</v>
      </c>
      <c r="K935" s="312">
        <v>289.01</v>
      </c>
      <c r="M935" t="s">
        <v>2699</v>
      </c>
      <c r="N935" s="312">
        <v>7615.83</v>
      </c>
      <c r="O935" s="312">
        <v>144029.29999999999</v>
      </c>
      <c r="P935" s="312">
        <v>6965.27</v>
      </c>
      <c r="Q935" s="312">
        <v>96721.51</v>
      </c>
      <c r="R935" s="312">
        <v>74334.84</v>
      </c>
    </row>
    <row r="936" spans="6:18">
      <c r="F936" t="s">
        <v>2700</v>
      </c>
      <c r="G936" s="312">
        <v>19.52</v>
      </c>
      <c r="H936" s="312">
        <v>305.86</v>
      </c>
      <c r="I936" s="312">
        <v>106.24000000000001</v>
      </c>
      <c r="J936" s="312">
        <v>565.80999999999995</v>
      </c>
      <c r="K936" s="312">
        <v>426.74</v>
      </c>
      <c r="M936" t="s">
        <v>2700</v>
      </c>
      <c r="N936" s="312">
        <v>11136.22</v>
      </c>
      <c r="O936" s="312">
        <v>149723.57</v>
      </c>
      <c r="P936" s="312">
        <v>48471.34</v>
      </c>
      <c r="Q936" s="312">
        <v>186094.09000000003</v>
      </c>
      <c r="R936" s="312">
        <v>118115.51000000001</v>
      </c>
    </row>
    <row r="937" spans="6:18">
      <c r="F937" t="s">
        <v>2701</v>
      </c>
      <c r="G937" s="312">
        <v>14.74</v>
      </c>
      <c r="H937" s="312">
        <v>396.14</v>
      </c>
      <c r="I937" s="312">
        <v>52.690000000000005</v>
      </c>
      <c r="J937" s="312">
        <v>562.30999999999995</v>
      </c>
      <c r="K937" s="312">
        <v>458.64</v>
      </c>
      <c r="M937" t="s">
        <v>2701</v>
      </c>
      <c r="N937" s="312">
        <v>10812.68</v>
      </c>
      <c r="O937" s="312">
        <v>173807.56</v>
      </c>
      <c r="P937" s="312">
        <v>15674.23</v>
      </c>
      <c r="Q937" s="312">
        <v>196863.31</v>
      </c>
      <c r="R937" s="312">
        <v>155862.09</v>
      </c>
    </row>
    <row r="938" spans="6:18">
      <c r="F938" t="s">
        <v>2702</v>
      </c>
      <c r="G938" s="312">
        <v>10.77</v>
      </c>
      <c r="H938" s="312">
        <v>294.15999999999997</v>
      </c>
      <c r="I938" s="312">
        <v>33.17</v>
      </c>
      <c r="J938" s="312">
        <v>559.71</v>
      </c>
      <c r="K938" s="312">
        <v>317.05</v>
      </c>
      <c r="M938" t="s">
        <v>2702</v>
      </c>
      <c r="N938" s="312">
        <v>3665.9</v>
      </c>
      <c r="O938" s="312">
        <v>135716.97</v>
      </c>
      <c r="P938" s="312">
        <v>19197.060000000001</v>
      </c>
      <c r="Q938" s="312">
        <v>181278.7</v>
      </c>
      <c r="R938" s="312">
        <v>93903.75</v>
      </c>
    </row>
    <row r="939" spans="6:18">
      <c r="F939" t="s">
        <v>2703</v>
      </c>
      <c r="G939" s="312">
        <v>9.6999999999999993</v>
      </c>
      <c r="H939" s="312">
        <v>251.06</v>
      </c>
      <c r="I939" s="312">
        <v>24.29</v>
      </c>
      <c r="J939" s="312">
        <v>686.12</v>
      </c>
      <c r="K939" s="312">
        <v>254.73</v>
      </c>
      <c r="M939" t="s">
        <v>2703</v>
      </c>
      <c r="N939" s="312">
        <v>7466.45</v>
      </c>
      <c r="O939" s="312">
        <v>107170.93</v>
      </c>
      <c r="P939" s="312">
        <v>21136.94</v>
      </c>
      <c r="Q939" s="312">
        <v>181987.32</v>
      </c>
      <c r="R939" s="312">
        <v>73457.459999999992</v>
      </c>
    </row>
    <row r="940" spans="6:18">
      <c r="F940" t="s">
        <v>2704</v>
      </c>
      <c r="G940" s="312">
        <v>16.420000000000002</v>
      </c>
      <c r="H940" s="312">
        <v>321.33000000000004</v>
      </c>
      <c r="I940" s="312">
        <v>29.31</v>
      </c>
      <c r="J940" s="312">
        <v>676.46</v>
      </c>
      <c r="K940" s="312">
        <v>411.61</v>
      </c>
      <c r="M940" t="s">
        <v>2704</v>
      </c>
      <c r="N940" s="312">
        <v>16600.91</v>
      </c>
      <c r="O940" s="312">
        <v>135669.17000000001</v>
      </c>
      <c r="P940" s="312">
        <v>14183.8</v>
      </c>
      <c r="Q940" s="312">
        <v>229269.66</v>
      </c>
      <c r="R940" s="312">
        <v>108524.68</v>
      </c>
    </row>
    <row r="941" spans="6:18">
      <c r="F941" t="s">
        <v>2705</v>
      </c>
      <c r="G941" s="312">
        <v>21.12</v>
      </c>
      <c r="H941" s="312">
        <v>287.54999999999995</v>
      </c>
      <c r="I941" s="312">
        <v>12.16</v>
      </c>
      <c r="J941" s="312">
        <v>551.49</v>
      </c>
      <c r="K941" s="312">
        <v>208.32</v>
      </c>
      <c r="M941" t="s">
        <v>2705</v>
      </c>
      <c r="N941" s="312">
        <v>13236.94</v>
      </c>
      <c r="O941" s="312">
        <v>121179.48999999999</v>
      </c>
      <c r="P941" s="312">
        <v>4205.6100000000006</v>
      </c>
      <c r="Q941" s="312">
        <v>164218.46000000002</v>
      </c>
      <c r="R941" s="312">
        <v>76117.02</v>
      </c>
    </row>
    <row r="942" spans="6:18">
      <c r="F942" t="s">
        <v>2706</v>
      </c>
      <c r="G942" s="312">
        <v>12.93</v>
      </c>
      <c r="H942" s="312">
        <v>257.93</v>
      </c>
      <c r="I942" s="312">
        <v>7.39</v>
      </c>
      <c r="J942" s="312">
        <v>420.75</v>
      </c>
      <c r="K942" s="312">
        <v>213.2</v>
      </c>
      <c r="M942" t="s">
        <v>2706</v>
      </c>
      <c r="N942" s="312">
        <v>5916.9</v>
      </c>
      <c r="O942" s="312">
        <v>121728.97</v>
      </c>
      <c r="P942" s="312">
        <v>2591.63</v>
      </c>
      <c r="Q942" s="312">
        <v>118354.56</v>
      </c>
      <c r="R942" s="312">
        <v>69536.59</v>
      </c>
    </row>
    <row r="943" spans="6:18">
      <c r="F943" t="s">
        <v>2707</v>
      </c>
      <c r="G943" s="312">
        <v>11.79</v>
      </c>
      <c r="H943" s="312">
        <v>321.8</v>
      </c>
      <c r="I943" s="312">
        <v>36.090000000000003</v>
      </c>
      <c r="J943" s="312">
        <v>447.98</v>
      </c>
      <c r="K943" s="312">
        <v>406.74</v>
      </c>
      <c r="M943" t="s">
        <v>2707</v>
      </c>
      <c r="N943" s="312">
        <v>3148.86</v>
      </c>
      <c r="O943" s="312">
        <v>137859.99</v>
      </c>
      <c r="P943" s="312">
        <v>29324.91</v>
      </c>
      <c r="Q943" s="312">
        <v>180005.94</v>
      </c>
      <c r="R943" s="312">
        <v>106423.91999999998</v>
      </c>
    </row>
    <row r="944" spans="6:18">
      <c r="F944" t="s">
        <v>2708</v>
      </c>
      <c r="G944" s="312">
        <v>31.57</v>
      </c>
      <c r="H944" s="312">
        <v>350.61</v>
      </c>
      <c r="I944" s="312">
        <v>39.75</v>
      </c>
      <c r="J944" s="312">
        <v>444.14000000000004</v>
      </c>
      <c r="K944" s="312">
        <v>415.34</v>
      </c>
      <c r="M944" t="s">
        <v>2708</v>
      </c>
      <c r="N944" s="312">
        <v>9448.9</v>
      </c>
      <c r="O944" s="312">
        <v>147765.63</v>
      </c>
      <c r="P944" s="312">
        <v>13918.59</v>
      </c>
      <c r="Q944" s="312">
        <v>150690.22</v>
      </c>
      <c r="R944" s="312">
        <v>143764.07999999999</v>
      </c>
    </row>
    <row r="945" spans="6:18">
      <c r="F945" t="s">
        <v>2709</v>
      </c>
      <c r="G945" s="312">
        <v>10.92</v>
      </c>
      <c r="H945" s="312">
        <v>327.78000000000003</v>
      </c>
      <c r="I945" s="312">
        <v>29.54</v>
      </c>
      <c r="J945" s="312">
        <v>654.6099999999999</v>
      </c>
      <c r="K945" s="312">
        <v>296.05</v>
      </c>
      <c r="M945" t="s">
        <v>2709</v>
      </c>
      <c r="N945" s="312">
        <v>3302.66</v>
      </c>
      <c r="O945" s="312">
        <v>193488.78999999998</v>
      </c>
      <c r="P945" s="312">
        <v>17313.11</v>
      </c>
      <c r="Q945" s="312">
        <v>191916.03</v>
      </c>
      <c r="R945" s="312">
        <v>87647.72</v>
      </c>
    </row>
    <row r="946" spans="6:18">
      <c r="F946" t="s">
        <v>2710</v>
      </c>
      <c r="G946" s="312">
        <v>42.54</v>
      </c>
      <c r="H946" s="312">
        <v>312.35000000000002</v>
      </c>
      <c r="I946" s="312">
        <v>53.61</v>
      </c>
      <c r="J946" s="312">
        <v>685.3599999999999</v>
      </c>
      <c r="K946" s="312">
        <v>295.54000000000002</v>
      </c>
      <c r="M946" t="s">
        <v>2710</v>
      </c>
      <c r="N946" s="312">
        <v>28349.670000000002</v>
      </c>
      <c r="O946" s="312">
        <v>144993.20000000001</v>
      </c>
      <c r="P946" s="312">
        <v>30352.93</v>
      </c>
      <c r="Q946" s="312">
        <v>288802.37</v>
      </c>
      <c r="R946" s="312">
        <v>78324.53</v>
      </c>
    </row>
    <row r="947" spans="6:18">
      <c r="F947" t="s">
        <v>2711</v>
      </c>
      <c r="G947" s="312">
        <v>20.059999999999999</v>
      </c>
      <c r="H947" s="312">
        <v>271.19</v>
      </c>
      <c r="I947" s="312">
        <v>17.72</v>
      </c>
      <c r="J947" s="312">
        <v>598.99</v>
      </c>
      <c r="K947" s="312">
        <v>317.31</v>
      </c>
      <c r="M947" t="s">
        <v>2711</v>
      </c>
      <c r="N947" s="312">
        <v>22575.42</v>
      </c>
      <c r="O947" s="312">
        <v>112689.97</v>
      </c>
      <c r="P947" s="312">
        <v>10747.720000000001</v>
      </c>
      <c r="Q947" s="312">
        <v>153081.85</v>
      </c>
      <c r="R947" s="312">
        <v>103856.75</v>
      </c>
    </row>
    <row r="948" spans="6:18">
      <c r="F948" t="s">
        <v>2712</v>
      </c>
      <c r="G948" s="312">
        <v>6.5500000000000007</v>
      </c>
      <c r="H948" s="312">
        <v>263.89</v>
      </c>
      <c r="I948" s="312">
        <v>34.119999999999997</v>
      </c>
      <c r="J948" s="312">
        <v>322</v>
      </c>
      <c r="K948" s="312">
        <v>278.3</v>
      </c>
      <c r="M948" t="s">
        <v>2712</v>
      </c>
      <c r="N948" s="312">
        <v>2597.4</v>
      </c>
      <c r="O948" s="312">
        <v>140672.03999999998</v>
      </c>
      <c r="P948" s="312">
        <v>23608.42</v>
      </c>
      <c r="Q948" s="312">
        <v>139202</v>
      </c>
      <c r="R948" s="312">
        <v>86284.209999999992</v>
      </c>
    </row>
    <row r="949" spans="6:18">
      <c r="F949" t="s">
        <v>2713</v>
      </c>
      <c r="G949" s="312">
        <v>16.32</v>
      </c>
      <c r="H949" s="312">
        <v>239.98000000000002</v>
      </c>
      <c r="I949" s="312">
        <v>20.75</v>
      </c>
      <c r="J949" s="312">
        <v>324.49</v>
      </c>
      <c r="K949" s="312">
        <v>262.34000000000003</v>
      </c>
      <c r="M949" t="s">
        <v>2713</v>
      </c>
      <c r="N949" s="312">
        <v>6054.17</v>
      </c>
      <c r="O949" s="312">
        <v>115951.84</v>
      </c>
      <c r="P949" s="312">
        <v>7765.3</v>
      </c>
      <c r="Q949" s="312">
        <v>85520.94</v>
      </c>
      <c r="R949" s="312">
        <v>89329.78</v>
      </c>
    </row>
    <row r="950" spans="6:18">
      <c r="F950" t="s">
        <v>2714</v>
      </c>
      <c r="G950" s="312">
        <v>23.310000000000002</v>
      </c>
      <c r="H950" s="312">
        <v>308.52999999999997</v>
      </c>
      <c r="I950" s="312">
        <v>52.17</v>
      </c>
      <c r="J950" s="312">
        <v>585.46</v>
      </c>
      <c r="K950" s="312">
        <v>373.77</v>
      </c>
      <c r="M950" t="s">
        <v>2714</v>
      </c>
      <c r="N950" s="312">
        <v>5865.5</v>
      </c>
      <c r="O950" s="312">
        <v>155053.33000000002</v>
      </c>
      <c r="P950" s="312">
        <v>35919.32</v>
      </c>
      <c r="Q950" s="312">
        <v>204584.1</v>
      </c>
      <c r="R950" s="312">
        <v>138205.06</v>
      </c>
    </row>
    <row r="951" spans="6:18">
      <c r="F951" t="s">
        <v>2715</v>
      </c>
      <c r="G951" s="312">
        <v>17.259999999999998</v>
      </c>
      <c r="H951" s="312">
        <v>340.06</v>
      </c>
      <c r="I951" s="312">
        <v>19.21</v>
      </c>
      <c r="J951" s="312">
        <v>760.1</v>
      </c>
      <c r="K951" s="312">
        <v>327.29000000000002</v>
      </c>
      <c r="M951" t="s">
        <v>2715</v>
      </c>
      <c r="N951" s="312">
        <v>10097.77</v>
      </c>
      <c r="O951" s="312">
        <v>176587.6</v>
      </c>
      <c r="P951" s="312">
        <v>10161.18</v>
      </c>
      <c r="Q951" s="312">
        <v>222034.74</v>
      </c>
      <c r="R951" s="312">
        <v>105574.63</v>
      </c>
    </row>
    <row r="952" spans="6:18">
      <c r="F952" t="s">
        <v>2716</v>
      </c>
      <c r="G952" s="312">
        <v>7.9799999999999995</v>
      </c>
      <c r="H952" s="312">
        <v>273.63</v>
      </c>
      <c r="I952" s="312">
        <v>7.96</v>
      </c>
      <c r="J952" s="312">
        <v>662.49</v>
      </c>
      <c r="K952" s="312">
        <v>344.94</v>
      </c>
      <c r="M952" t="s">
        <v>2716</v>
      </c>
      <c r="N952" s="312">
        <v>3506.2000000000003</v>
      </c>
      <c r="O952" s="312">
        <v>141005.96</v>
      </c>
      <c r="P952" s="312">
        <v>2421</v>
      </c>
      <c r="Q952" s="312">
        <v>249555.02000000002</v>
      </c>
      <c r="R952" s="312">
        <v>116669.54</v>
      </c>
    </row>
    <row r="953" spans="6:18">
      <c r="F953" t="s">
        <v>2717</v>
      </c>
      <c r="G953" s="312">
        <v>20.59</v>
      </c>
      <c r="H953" s="312">
        <v>330.34000000000003</v>
      </c>
      <c r="I953" s="312">
        <v>47.72</v>
      </c>
      <c r="J953" s="312">
        <v>545.54</v>
      </c>
      <c r="K953" s="312">
        <v>329.67</v>
      </c>
      <c r="M953" t="s">
        <v>2717</v>
      </c>
      <c r="N953" s="312">
        <v>9384.23</v>
      </c>
      <c r="O953" s="312">
        <v>183460.81</v>
      </c>
      <c r="P953" s="312">
        <v>20697.5</v>
      </c>
      <c r="Q953" s="312">
        <v>176197.37</v>
      </c>
      <c r="R953" s="312">
        <v>89923.36</v>
      </c>
    </row>
    <row r="954" spans="6:18">
      <c r="F954" t="s">
        <v>2718</v>
      </c>
      <c r="G954" s="312">
        <v>15.69</v>
      </c>
      <c r="H954" s="312">
        <v>282.59000000000003</v>
      </c>
      <c r="I954" s="312">
        <v>54.370000000000005</v>
      </c>
      <c r="J954" s="312">
        <v>559.98</v>
      </c>
      <c r="K954" s="312">
        <v>289.27999999999997</v>
      </c>
      <c r="M954" t="s">
        <v>2718</v>
      </c>
      <c r="N954" s="312">
        <v>9079.39</v>
      </c>
      <c r="O954" s="312">
        <v>141359.87</v>
      </c>
      <c r="P954" s="312">
        <v>29409.69</v>
      </c>
      <c r="Q954" s="312">
        <v>201292.97</v>
      </c>
      <c r="R954" s="312">
        <v>88670.540000000008</v>
      </c>
    </row>
    <row r="955" spans="6:18">
      <c r="F955" t="s">
        <v>2719</v>
      </c>
      <c r="G955" s="312">
        <v>4.2799999999999994</v>
      </c>
      <c r="H955" s="312">
        <v>221.28</v>
      </c>
      <c r="I955" s="312">
        <v>41.77</v>
      </c>
      <c r="J955" s="312">
        <v>428.34000000000003</v>
      </c>
      <c r="K955" s="312">
        <v>207.48</v>
      </c>
      <c r="M955" t="s">
        <v>2719</v>
      </c>
      <c r="N955" s="312">
        <v>1022.69</v>
      </c>
      <c r="O955" s="312">
        <v>98210.05</v>
      </c>
      <c r="P955" s="312">
        <v>24528.48</v>
      </c>
      <c r="Q955" s="312">
        <v>190826.33</v>
      </c>
      <c r="R955" s="312">
        <v>78243.990000000005</v>
      </c>
    </row>
    <row r="956" spans="6:18">
      <c r="F956" t="s">
        <v>2720</v>
      </c>
      <c r="G956" s="312">
        <v>3.78</v>
      </c>
      <c r="H956" s="312">
        <v>254.25</v>
      </c>
      <c r="I956" s="312">
        <v>14.41</v>
      </c>
      <c r="J956" s="312">
        <v>192.92</v>
      </c>
      <c r="K956" s="312">
        <v>167.29</v>
      </c>
      <c r="M956" t="s">
        <v>2720</v>
      </c>
      <c r="N956" s="312">
        <v>790.54</v>
      </c>
      <c r="O956" s="312">
        <v>99273.06</v>
      </c>
      <c r="P956" s="312">
        <v>10768.109999999999</v>
      </c>
      <c r="Q956" s="312">
        <v>72642.649999999994</v>
      </c>
      <c r="R956" s="312">
        <v>65446.149999999994</v>
      </c>
    </row>
    <row r="957" spans="6:18">
      <c r="F957" t="s">
        <v>2721</v>
      </c>
      <c r="G957" s="312">
        <v>21.810000000000002</v>
      </c>
      <c r="H957" s="312">
        <v>381.32</v>
      </c>
      <c r="I957" s="312">
        <v>44.44</v>
      </c>
      <c r="J957" s="312">
        <v>566.83000000000004</v>
      </c>
      <c r="K957" s="312">
        <v>217.14999999999998</v>
      </c>
      <c r="M957" t="s">
        <v>2721</v>
      </c>
      <c r="N957" s="312">
        <v>23954.85</v>
      </c>
      <c r="O957" s="312">
        <v>198035.35</v>
      </c>
      <c r="P957" s="312">
        <v>37665.1</v>
      </c>
      <c r="Q957" s="312">
        <v>266765.66000000003</v>
      </c>
      <c r="R957" s="312">
        <v>62346.6</v>
      </c>
    </row>
    <row r="958" spans="6:18">
      <c r="F958" t="s">
        <v>2722</v>
      </c>
      <c r="G958" s="312">
        <v>62.94</v>
      </c>
      <c r="H958" s="312">
        <v>364.07</v>
      </c>
      <c r="I958" s="312">
        <v>32.5</v>
      </c>
      <c r="J958" s="312">
        <v>468.45</v>
      </c>
      <c r="K958" s="312">
        <v>251.55</v>
      </c>
      <c r="M958" t="s">
        <v>2722</v>
      </c>
      <c r="N958" s="312">
        <v>29922.55</v>
      </c>
      <c r="O958" s="312">
        <v>160736.5</v>
      </c>
      <c r="P958" s="312">
        <v>19095.669999999998</v>
      </c>
      <c r="Q958" s="312">
        <v>168239.06999999998</v>
      </c>
      <c r="R958" s="312">
        <v>76919.97</v>
      </c>
    </row>
    <row r="959" spans="6:18">
      <c r="F959" t="s">
        <v>2723</v>
      </c>
      <c r="G959" s="312">
        <v>20.87</v>
      </c>
      <c r="H959" s="312">
        <v>328.9</v>
      </c>
      <c r="I959" s="312">
        <v>44.45</v>
      </c>
      <c r="J959" s="312">
        <v>551</v>
      </c>
      <c r="K959" s="312">
        <v>258.08</v>
      </c>
      <c r="M959" t="s">
        <v>2723</v>
      </c>
      <c r="N959" s="312">
        <v>9555.380000000001</v>
      </c>
      <c r="O959" s="312">
        <v>154874.33000000002</v>
      </c>
      <c r="P959" s="312">
        <v>37466.58</v>
      </c>
      <c r="Q959" s="312">
        <v>137651.14000000001</v>
      </c>
      <c r="R959" s="312">
        <v>98223.67</v>
      </c>
    </row>
    <row r="960" spans="6:18">
      <c r="F960" t="s">
        <v>2724</v>
      </c>
      <c r="G960" s="312">
        <v>12.69</v>
      </c>
      <c r="H960" s="312">
        <v>258.03000000000003</v>
      </c>
      <c r="I960" s="312">
        <v>26.130000000000003</v>
      </c>
      <c r="J960" s="312">
        <v>506.98</v>
      </c>
      <c r="K960" s="312">
        <v>266.62</v>
      </c>
      <c r="M960" t="s">
        <v>2724</v>
      </c>
      <c r="N960" s="312">
        <v>11983.83</v>
      </c>
      <c r="O960" s="312">
        <v>151842.01999999999</v>
      </c>
      <c r="P960" s="312">
        <v>24037.129999999997</v>
      </c>
      <c r="Q960" s="312">
        <v>238481.90000000002</v>
      </c>
      <c r="R960" s="312">
        <v>57605.33</v>
      </c>
    </row>
    <row r="961" spans="6:18">
      <c r="F961" t="s">
        <v>2725</v>
      </c>
      <c r="G961" s="312">
        <v>21.33</v>
      </c>
      <c r="H961" s="312">
        <v>264.31</v>
      </c>
      <c r="I961" s="312">
        <v>46.03</v>
      </c>
      <c r="J961" s="312">
        <v>510.71</v>
      </c>
      <c r="K961" s="312">
        <v>136.96</v>
      </c>
      <c r="M961" t="s">
        <v>2725</v>
      </c>
      <c r="N961" s="312">
        <v>16489</v>
      </c>
      <c r="O961" s="312">
        <v>160010.23999999999</v>
      </c>
      <c r="P961" s="312">
        <v>37740.58</v>
      </c>
      <c r="Q961" s="312">
        <v>173908.07</v>
      </c>
      <c r="R961" s="312">
        <v>46150.7</v>
      </c>
    </row>
    <row r="962" spans="6:18">
      <c r="F962" t="s">
        <v>2726</v>
      </c>
      <c r="G962" s="312">
        <v>5.12</v>
      </c>
      <c r="H962" s="312">
        <v>270.37</v>
      </c>
      <c r="I962" s="312">
        <v>31.25</v>
      </c>
      <c r="J962" s="312">
        <v>368.15999999999997</v>
      </c>
      <c r="K962" s="312">
        <v>116.15</v>
      </c>
      <c r="M962" t="s">
        <v>2726</v>
      </c>
      <c r="N962" s="312">
        <v>2035.98</v>
      </c>
      <c r="O962" s="312">
        <v>135219.9</v>
      </c>
      <c r="P962" s="312">
        <v>12088.17</v>
      </c>
      <c r="Q962" s="312">
        <v>140613.18</v>
      </c>
      <c r="R962" s="312">
        <v>37251.869999999995</v>
      </c>
    </row>
    <row r="963" spans="6:18">
      <c r="F963" t="s">
        <v>2727</v>
      </c>
      <c r="G963" s="312">
        <v>6.38</v>
      </c>
      <c r="H963" s="312">
        <v>254.76000000000002</v>
      </c>
      <c r="I963" s="312">
        <v>10.72</v>
      </c>
      <c r="J963" s="312">
        <v>317.20000000000005</v>
      </c>
      <c r="K963" s="312">
        <v>67.37</v>
      </c>
      <c r="M963" t="s">
        <v>2727</v>
      </c>
      <c r="N963" s="312">
        <v>1997.43</v>
      </c>
      <c r="O963" s="312">
        <v>120536.9</v>
      </c>
      <c r="P963" s="312">
        <v>5925.93</v>
      </c>
      <c r="Q963" s="312">
        <v>91697.3</v>
      </c>
      <c r="R963" s="312">
        <v>24156.239999999998</v>
      </c>
    </row>
    <row r="964" spans="6:18">
      <c r="F964" t="s">
        <v>2728</v>
      </c>
      <c r="G964" s="312">
        <v>14.95</v>
      </c>
      <c r="H964" s="312">
        <v>414.52</v>
      </c>
      <c r="I964" s="312">
        <v>44.26</v>
      </c>
      <c r="J964" s="312">
        <v>612.81999999999994</v>
      </c>
      <c r="K964" s="312">
        <v>164.17000000000002</v>
      </c>
      <c r="M964" t="s">
        <v>2728</v>
      </c>
      <c r="N964" s="312">
        <v>4739.16</v>
      </c>
      <c r="O964" s="312">
        <v>251133.52000000002</v>
      </c>
      <c r="P964" s="312">
        <v>30483.279999999999</v>
      </c>
      <c r="Q964" s="312">
        <v>180600.81</v>
      </c>
      <c r="R964" s="312">
        <v>66063.070000000007</v>
      </c>
    </row>
    <row r="965" spans="6:18">
      <c r="F965" t="s">
        <v>2729</v>
      </c>
      <c r="G965" s="312">
        <v>15.58</v>
      </c>
      <c r="H965" s="312">
        <v>413.31</v>
      </c>
      <c r="I965" s="312">
        <v>33.11</v>
      </c>
      <c r="J965" s="312">
        <v>520.87</v>
      </c>
      <c r="K965" s="312">
        <v>102.05</v>
      </c>
      <c r="M965" t="s">
        <v>2729</v>
      </c>
      <c r="N965" s="312">
        <v>7983.84</v>
      </c>
      <c r="O965" s="312">
        <v>207675.34</v>
      </c>
      <c r="P965" s="312">
        <v>21937.269999999997</v>
      </c>
      <c r="Q965" s="312">
        <v>229294.78</v>
      </c>
      <c r="R965" s="312">
        <v>35929.449999999997</v>
      </c>
    </row>
    <row r="966" spans="6:18">
      <c r="F966" t="s">
        <v>2730</v>
      </c>
      <c r="G966" s="312">
        <v>14.190000000000001</v>
      </c>
      <c r="H966" s="312">
        <v>316.08999999999997</v>
      </c>
      <c r="I966" s="312">
        <v>36.68</v>
      </c>
      <c r="J966" s="312">
        <v>417.18</v>
      </c>
      <c r="K966" s="312">
        <v>118.36000000000001</v>
      </c>
      <c r="M966" t="s">
        <v>2730</v>
      </c>
      <c r="N966" s="312">
        <v>3937.71</v>
      </c>
      <c r="O966" s="312">
        <v>126443</v>
      </c>
      <c r="P966" s="312">
        <v>26845.25</v>
      </c>
      <c r="Q966" s="312">
        <v>202579.43</v>
      </c>
      <c r="R966" s="312">
        <v>32977.14</v>
      </c>
    </row>
    <row r="967" spans="6:18">
      <c r="F967" t="s">
        <v>2731</v>
      </c>
      <c r="G967" s="312">
        <v>41.650000000000006</v>
      </c>
      <c r="H967" s="312">
        <v>362.53</v>
      </c>
      <c r="I967" s="312">
        <v>19.53</v>
      </c>
      <c r="J967" s="312">
        <v>477.01</v>
      </c>
      <c r="K967" s="312">
        <v>138.61000000000001</v>
      </c>
      <c r="M967" t="s">
        <v>2731</v>
      </c>
      <c r="N967" s="312">
        <v>38514.620000000003</v>
      </c>
      <c r="O967" s="312">
        <v>174401.49</v>
      </c>
      <c r="P967" s="312">
        <v>9874.1500000000015</v>
      </c>
      <c r="Q967" s="312">
        <v>192933.98</v>
      </c>
      <c r="R967" s="312">
        <v>42554</v>
      </c>
    </row>
    <row r="968" spans="6:18">
      <c r="F968" t="s">
        <v>2732</v>
      </c>
      <c r="G968" s="312">
        <v>3.69</v>
      </c>
      <c r="H968" s="312">
        <v>319.93</v>
      </c>
      <c r="I968" s="312">
        <v>30.94</v>
      </c>
      <c r="J968" s="312">
        <v>467.68</v>
      </c>
      <c r="K968" s="312">
        <v>181.92</v>
      </c>
      <c r="M968" t="s">
        <v>2732</v>
      </c>
      <c r="N968" s="312">
        <v>1278.3499999999999</v>
      </c>
      <c r="O968" s="312">
        <v>255695.87</v>
      </c>
      <c r="P968" s="312">
        <v>49766.94</v>
      </c>
      <c r="Q968" s="312">
        <v>202163.85</v>
      </c>
      <c r="R968" s="312">
        <v>61977.46</v>
      </c>
    </row>
    <row r="969" spans="6:18">
      <c r="F969" t="s">
        <v>2733</v>
      </c>
      <c r="G969" s="312">
        <v>24.99</v>
      </c>
      <c r="H969" s="312">
        <v>253.27999999999997</v>
      </c>
      <c r="I969" s="312">
        <v>17.62</v>
      </c>
      <c r="J969" s="312">
        <v>222.36</v>
      </c>
      <c r="K969" s="312">
        <v>129.88</v>
      </c>
      <c r="M969" t="s">
        <v>2733</v>
      </c>
      <c r="N969" s="312">
        <v>10516.060000000001</v>
      </c>
      <c r="O969" s="312">
        <v>129759.32</v>
      </c>
      <c r="P969" s="312">
        <v>13331.44</v>
      </c>
      <c r="Q969" s="312">
        <v>110702.25</v>
      </c>
      <c r="R969" s="312">
        <v>32002.25</v>
      </c>
    </row>
    <row r="970" spans="6:18">
      <c r="F970" t="s">
        <v>2734</v>
      </c>
      <c r="G970" s="312">
        <v>22.009999999999998</v>
      </c>
      <c r="H970" s="312">
        <v>317.58</v>
      </c>
      <c r="I970" s="312">
        <v>18.920000000000002</v>
      </c>
      <c r="J970" s="312">
        <v>139.27000000000001</v>
      </c>
      <c r="K970" s="312">
        <v>53.64</v>
      </c>
      <c r="M970" t="s">
        <v>2734</v>
      </c>
      <c r="N970" s="312">
        <v>6230.43</v>
      </c>
      <c r="O970" s="312">
        <v>135978.41999999998</v>
      </c>
      <c r="P970" s="312">
        <v>5919.03</v>
      </c>
      <c r="Q970" s="312">
        <v>58774</v>
      </c>
      <c r="R970" s="312">
        <v>19749.79</v>
      </c>
    </row>
    <row r="971" spans="6:18">
      <c r="F971" t="s">
        <v>2735</v>
      </c>
      <c r="G971" s="312">
        <v>4.93</v>
      </c>
      <c r="H971" s="312">
        <v>328.85</v>
      </c>
      <c r="I971" s="312">
        <v>67.42</v>
      </c>
      <c r="J971" s="312">
        <v>318.62</v>
      </c>
      <c r="K971" s="312">
        <v>194.27999999999997</v>
      </c>
      <c r="M971" t="s">
        <v>2735</v>
      </c>
      <c r="N971" s="312">
        <v>1912.49</v>
      </c>
      <c r="O971" s="312">
        <v>150809.48000000001</v>
      </c>
      <c r="P971" s="312">
        <v>43394.29</v>
      </c>
      <c r="Q971" s="312">
        <v>111352.31</v>
      </c>
      <c r="R971" s="312">
        <v>47978.380000000005</v>
      </c>
    </row>
    <row r="972" spans="6:18">
      <c r="F972" t="s">
        <v>2736</v>
      </c>
      <c r="G972" s="312">
        <v>24.23</v>
      </c>
      <c r="H972" s="312">
        <v>386.86</v>
      </c>
      <c r="I972" s="312">
        <v>47.75</v>
      </c>
      <c r="J972" s="312">
        <v>251.22</v>
      </c>
      <c r="K972" s="312">
        <v>155.19</v>
      </c>
      <c r="M972" t="s">
        <v>2736</v>
      </c>
      <c r="N972" s="312">
        <v>6675.2000000000007</v>
      </c>
      <c r="O972" s="312">
        <v>187803.75</v>
      </c>
      <c r="P972" s="312">
        <v>30462.639999999999</v>
      </c>
      <c r="Q972" s="312">
        <v>122946.07</v>
      </c>
      <c r="R972" s="312">
        <v>44500.67</v>
      </c>
    </row>
    <row r="973" spans="6:18">
      <c r="F973" t="s">
        <v>2737</v>
      </c>
      <c r="G973" s="312">
        <v>29.880000000000003</v>
      </c>
      <c r="H973" s="312">
        <v>277.87</v>
      </c>
      <c r="I973" s="312">
        <v>55.800000000000004</v>
      </c>
      <c r="J973" s="312">
        <v>335.71</v>
      </c>
      <c r="K973" s="312">
        <v>210.10000000000002</v>
      </c>
      <c r="M973" t="s">
        <v>2737</v>
      </c>
      <c r="N973" s="312">
        <v>20444.87</v>
      </c>
      <c r="O973" s="312">
        <v>153529.87</v>
      </c>
      <c r="P973" s="312">
        <v>18296.97</v>
      </c>
      <c r="Q973" s="312">
        <v>139071.76</v>
      </c>
      <c r="R973" s="312">
        <v>57336.729999999996</v>
      </c>
    </row>
    <row r="974" spans="6:18">
      <c r="F974" t="s">
        <v>2738</v>
      </c>
      <c r="G974" s="312">
        <v>7.48</v>
      </c>
      <c r="H974" s="312">
        <v>328.85</v>
      </c>
      <c r="I974" s="312">
        <v>20.8</v>
      </c>
      <c r="J974" s="312">
        <v>333.94</v>
      </c>
      <c r="K974" s="312">
        <v>155.57</v>
      </c>
      <c r="M974" t="s">
        <v>2738</v>
      </c>
      <c r="N974" s="312">
        <v>1893.0500000000002</v>
      </c>
      <c r="O974" s="312">
        <v>214400.62</v>
      </c>
      <c r="P974" s="312">
        <v>9012.1</v>
      </c>
      <c r="Q974" s="312">
        <v>153722.1</v>
      </c>
      <c r="R974" s="312">
        <v>60152.399999999994</v>
      </c>
    </row>
    <row r="975" spans="6:18">
      <c r="F975" t="s">
        <v>2739</v>
      </c>
      <c r="G975" s="312">
        <v>35.78</v>
      </c>
      <c r="H975" s="312">
        <v>300.82</v>
      </c>
      <c r="I975" s="312">
        <v>29</v>
      </c>
      <c r="J975" s="312">
        <v>308.05</v>
      </c>
      <c r="K975" s="312">
        <v>170.14</v>
      </c>
      <c r="M975" t="s">
        <v>2739</v>
      </c>
      <c r="N975" s="312">
        <v>12119.86</v>
      </c>
      <c r="O975" s="312">
        <v>195726.02000000002</v>
      </c>
      <c r="P975" s="312">
        <v>26750.77</v>
      </c>
      <c r="Q975" s="312">
        <v>112898.72</v>
      </c>
      <c r="R975" s="312">
        <v>51984.32</v>
      </c>
    </row>
    <row r="976" spans="6:18">
      <c r="F976" t="s">
        <v>2740</v>
      </c>
      <c r="G976" s="312">
        <v>10.39</v>
      </c>
      <c r="H976" s="312">
        <v>213.99</v>
      </c>
      <c r="I976" s="312">
        <v>22.990000000000002</v>
      </c>
      <c r="J976" s="312">
        <v>131.53</v>
      </c>
      <c r="K976" s="312">
        <v>147.57</v>
      </c>
      <c r="M976" t="s">
        <v>2740</v>
      </c>
      <c r="N976" s="312">
        <v>17440.89</v>
      </c>
      <c r="O976" s="312">
        <v>126280.13</v>
      </c>
      <c r="P976" s="312">
        <v>12149.51</v>
      </c>
      <c r="Q976" s="312">
        <v>50491.16</v>
      </c>
      <c r="R976" s="312">
        <v>50447.360000000001</v>
      </c>
    </row>
    <row r="977" spans="6:18">
      <c r="F977" t="s">
        <v>2741</v>
      </c>
      <c r="G977" s="312">
        <v>6.13</v>
      </c>
      <c r="H977" s="312">
        <v>181.9</v>
      </c>
      <c r="I977" s="312">
        <v>7.87</v>
      </c>
      <c r="J977" s="312">
        <v>199.32</v>
      </c>
      <c r="K977" s="312">
        <v>70.81</v>
      </c>
      <c r="M977" t="s">
        <v>2741</v>
      </c>
      <c r="N977" s="312">
        <v>1173.6300000000001</v>
      </c>
      <c r="O977" s="312">
        <v>86106.93</v>
      </c>
      <c r="P977" s="312">
        <v>5642.41</v>
      </c>
      <c r="Q977" s="312">
        <v>104621.53</v>
      </c>
      <c r="R977" s="312">
        <v>20263.34</v>
      </c>
    </row>
    <row r="978" spans="6:18">
      <c r="F978" t="s">
        <v>2742</v>
      </c>
      <c r="G978" s="312">
        <v>38.159999999999997</v>
      </c>
      <c r="H978" s="312">
        <v>307.41000000000003</v>
      </c>
      <c r="I978" s="312">
        <v>55.970000000000006</v>
      </c>
      <c r="J978" s="312">
        <v>364.77</v>
      </c>
      <c r="K978" s="312">
        <v>164.34</v>
      </c>
      <c r="M978" t="s">
        <v>2742</v>
      </c>
      <c r="N978" s="312">
        <v>13193.91</v>
      </c>
      <c r="O978" s="312">
        <v>182586.06</v>
      </c>
      <c r="P978" s="312">
        <v>33746.639999999999</v>
      </c>
      <c r="Q978" s="312">
        <v>126655.90000000001</v>
      </c>
      <c r="R978" s="312">
        <v>46101.66</v>
      </c>
    </row>
    <row r="979" spans="6:18">
      <c r="F979" t="s">
        <v>2743</v>
      </c>
      <c r="G979" s="312">
        <v>34.770000000000003</v>
      </c>
      <c r="H979" s="312">
        <v>281.23</v>
      </c>
      <c r="I979" s="312">
        <v>35.07</v>
      </c>
      <c r="J979" s="312">
        <v>319.63</v>
      </c>
      <c r="K979" s="312">
        <v>136.11000000000001</v>
      </c>
      <c r="M979" t="s">
        <v>2743</v>
      </c>
      <c r="N979" s="312">
        <v>19349.96</v>
      </c>
      <c r="O979" s="312">
        <v>163448.19</v>
      </c>
      <c r="P979" s="312">
        <v>41887.079999999994</v>
      </c>
      <c r="Q979" s="312">
        <v>163387.4</v>
      </c>
      <c r="R979" s="312">
        <v>38118.89</v>
      </c>
    </row>
    <row r="980" spans="6:18">
      <c r="F980" t="s">
        <v>2744</v>
      </c>
      <c r="G980" s="312">
        <v>3.5</v>
      </c>
      <c r="H980" s="312">
        <v>297.64</v>
      </c>
      <c r="I980" s="312">
        <v>22</v>
      </c>
      <c r="J980" s="312">
        <v>251.18</v>
      </c>
      <c r="K980" s="312">
        <v>108.41</v>
      </c>
      <c r="M980" t="s">
        <v>2744</v>
      </c>
      <c r="N980" s="312">
        <v>2035.48</v>
      </c>
      <c r="O980" s="312">
        <v>159056.91</v>
      </c>
      <c r="P980" s="312">
        <v>21767.280000000002</v>
      </c>
      <c r="Q980" s="312">
        <v>167737.79</v>
      </c>
      <c r="R980" s="312">
        <v>25386.059999999998</v>
      </c>
    </row>
    <row r="981" spans="6:18">
      <c r="F981" t="s">
        <v>2745</v>
      </c>
      <c r="G981" s="312">
        <v>56.69</v>
      </c>
      <c r="H981" s="312">
        <v>260.64</v>
      </c>
      <c r="I981" s="312">
        <v>26.09</v>
      </c>
      <c r="J981" s="312">
        <v>284.72000000000003</v>
      </c>
      <c r="K981" s="312">
        <v>157.87</v>
      </c>
      <c r="M981" t="s">
        <v>2745</v>
      </c>
      <c r="N981" s="312">
        <v>33984.93</v>
      </c>
      <c r="O981" s="312">
        <v>141741.79</v>
      </c>
      <c r="P981" s="312">
        <v>19411.07</v>
      </c>
      <c r="Q981" s="312">
        <v>156444.26999999999</v>
      </c>
      <c r="R981" s="312">
        <v>33407.449999999997</v>
      </c>
    </row>
    <row r="982" spans="6:18">
      <c r="F982" t="s">
        <v>2746</v>
      </c>
      <c r="G982" s="312">
        <v>2.74</v>
      </c>
      <c r="H982" s="312">
        <v>242.81</v>
      </c>
      <c r="I982" s="312">
        <v>28.44</v>
      </c>
      <c r="J982" s="312">
        <v>280.52</v>
      </c>
      <c r="K982" s="312">
        <v>174.05</v>
      </c>
      <c r="M982" t="s">
        <v>2746</v>
      </c>
      <c r="N982" s="312">
        <v>950.7</v>
      </c>
      <c r="O982" s="312">
        <v>129313.92000000001</v>
      </c>
      <c r="P982" s="312">
        <v>11412.85</v>
      </c>
      <c r="Q982" s="312">
        <v>174389.94</v>
      </c>
      <c r="R982" s="312">
        <v>56172.28</v>
      </c>
    </row>
    <row r="983" spans="6:18">
      <c r="F983" t="s">
        <v>2747</v>
      </c>
      <c r="G983" s="312">
        <v>4.7</v>
      </c>
      <c r="H983" s="312">
        <v>145.94</v>
      </c>
      <c r="I983" s="312">
        <v>16.690000000000001</v>
      </c>
      <c r="J983" s="312">
        <v>134.51999999999998</v>
      </c>
      <c r="K983" s="312">
        <v>121.56</v>
      </c>
      <c r="M983" t="s">
        <v>2747</v>
      </c>
      <c r="N983" s="312">
        <v>2081.31</v>
      </c>
      <c r="O983" s="312">
        <v>70122.36</v>
      </c>
      <c r="P983" s="312">
        <v>11233.73</v>
      </c>
      <c r="Q983" s="312">
        <v>116901.1</v>
      </c>
      <c r="R983" s="312">
        <v>51020.67</v>
      </c>
    </row>
    <row r="984" spans="6:18">
      <c r="F984" t="s">
        <v>2748</v>
      </c>
      <c r="G984" s="312">
        <v>12.38</v>
      </c>
      <c r="H984" s="312">
        <v>181.01999999999998</v>
      </c>
      <c r="I984" s="312">
        <v>8.7899999999999991</v>
      </c>
      <c r="J984" s="312">
        <v>120.94999999999999</v>
      </c>
      <c r="K984" s="312">
        <v>97.64</v>
      </c>
      <c r="M984" t="s">
        <v>2748</v>
      </c>
      <c r="N984" s="312">
        <v>4806.17</v>
      </c>
      <c r="O984" s="312">
        <v>94906.1</v>
      </c>
      <c r="P984" s="312">
        <v>17865.560000000001</v>
      </c>
      <c r="Q984" s="312">
        <v>86216.55</v>
      </c>
      <c r="R984" s="312">
        <v>67733.430000000008</v>
      </c>
    </row>
    <row r="985" spans="6:18">
      <c r="F985" t="s">
        <v>2749</v>
      </c>
      <c r="G985" s="312">
        <v>35.619999999999997</v>
      </c>
      <c r="H985" s="312">
        <v>223.57</v>
      </c>
      <c r="I985" s="312">
        <v>19.68</v>
      </c>
      <c r="J985" s="312">
        <v>173.06</v>
      </c>
      <c r="K985" s="312">
        <v>132.28</v>
      </c>
      <c r="M985" t="s">
        <v>2749</v>
      </c>
      <c r="N985" s="312">
        <v>22258.800000000003</v>
      </c>
      <c r="O985" s="312">
        <v>194501.02</v>
      </c>
      <c r="P985" s="312">
        <v>31868.959999999999</v>
      </c>
      <c r="Q985" s="312">
        <v>66774.600000000006</v>
      </c>
      <c r="R985" s="312">
        <v>37678.630000000005</v>
      </c>
    </row>
    <row r="986" spans="6:18">
      <c r="F986" t="s">
        <v>2750</v>
      </c>
      <c r="G986" s="312">
        <v>20.25</v>
      </c>
      <c r="H986" s="312">
        <v>224.36</v>
      </c>
      <c r="I986" s="312">
        <v>38.120000000000005</v>
      </c>
      <c r="J986" s="312">
        <v>170.88</v>
      </c>
      <c r="K986" s="312">
        <v>161.5</v>
      </c>
      <c r="M986" t="s">
        <v>2750</v>
      </c>
      <c r="N986" s="312">
        <v>6103.81</v>
      </c>
      <c r="O986" s="312">
        <v>125554.65</v>
      </c>
      <c r="P986" s="312">
        <v>31470.63</v>
      </c>
      <c r="Q986" s="312">
        <v>73948.94</v>
      </c>
      <c r="R986" s="312">
        <v>61525.88</v>
      </c>
    </row>
    <row r="987" spans="6:18">
      <c r="F987" t="s">
        <v>2751</v>
      </c>
      <c r="G987" s="312">
        <v>12.489999999999998</v>
      </c>
      <c r="H987" s="312">
        <v>287.73</v>
      </c>
      <c r="I987" s="312">
        <v>30.59</v>
      </c>
      <c r="J987" s="312">
        <v>299.36</v>
      </c>
      <c r="K987" s="312">
        <v>126.84</v>
      </c>
      <c r="M987" t="s">
        <v>2751</v>
      </c>
      <c r="N987" s="312">
        <v>5282.42</v>
      </c>
      <c r="O987" s="312">
        <v>156694.26</v>
      </c>
      <c r="P987" s="312">
        <v>22938.98</v>
      </c>
      <c r="Q987" s="312">
        <v>139940.03</v>
      </c>
      <c r="R987" s="312">
        <v>46588.229999999996</v>
      </c>
    </row>
    <row r="988" spans="6:18">
      <c r="F988" t="s">
        <v>2752</v>
      </c>
      <c r="G988" s="312">
        <v>5.1100000000000003</v>
      </c>
      <c r="H988" s="312">
        <v>327.42</v>
      </c>
      <c r="I988" s="312">
        <v>23.41</v>
      </c>
      <c r="J988" s="312">
        <v>306.85000000000002</v>
      </c>
      <c r="K988" s="312">
        <v>251.32</v>
      </c>
      <c r="M988" t="s">
        <v>2752</v>
      </c>
      <c r="N988" s="312">
        <v>1958.31</v>
      </c>
      <c r="O988" s="312">
        <v>180004.40000000002</v>
      </c>
      <c r="P988" s="312">
        <v>8458.73</v>
      </c>
      <c r="Q988" s="312">
        <v>114635.68</v>
      </c>
      <c r="R988" s="312">
        <v>47688.72</v>
      </c>
    </row>
    <row r="989" spans="6:18">
      <c r="F989" t="s">
        <v>2753</v>
      </c>
      <c r="G989" s="312">
        <v>16.41</v>
      </c>
      <c r="H989" s="312">
        <v>283.39</v>
      </c>
      <c r="I989" s="312">
        <v>10.15</v>
      </c>
      <c r="J989" s="312">
        <v>288.14999999999998</v>
      </c>
      <c r="K989" s="312">
        <v>153.01</v>
      </c>
      <c r="M989" t="s">
        <v>2753</v>
      </c>
      <c r="N989" s="312">
        <v>6990.36</v>
      </c>
      <c r="O989" s="312">
        <v>124644.62</v>
      </c>
      <c r="P989" s="312">
        <v>6579.78</v>
      </c>
      <c r="Q989" s="312">
        <v>204158.28000000003</v>
      </c>
      <c r="R989" s="312">
        <v>36939.46</v>
      </c>
    </row>
    <row r="990" spans="6:18">
      <c r="F990" t="s">
        <v>2754</v>
      </c>
      <c r="G990" s="312">
        <v>11.79</v>
      </c>
      <c r="H990" s="312">
        <v>252.09</v>
      </c>
      <c r="I990" s="312">
        <v>40.06</v>
      </c>
      <c r="J990" s="312">
        <v>137.15</v>
      </c>
      <c r="K990" s="312">
        <v>97.62</v>
      </c>
      <c r="M990" t="s">
        <v>2754</v>
      </c>
      <c r="N990" s="312">
        <v>7801.3600000000006</v>
      </c>
      <c r="O990" s="312">
        <v>141143.83000000002</v>
      </c>
      <c r="P990" s="312">
        <v>13624.439999999999</v>
      </c>
      <c r="Q990" s="312">
        <v>76470.490000000005</v>
      </c>
      <c r="R990" s="312">
        <v>23445.27</v>
      </c>
    </row>
    <row r="991" spans="6:18">
      <c r="F991" t="s">
        <v>2755</v>
      </c>
      <c r="G991" s="312">
        <v>16.07</v>
      </c>
      <c r="H991" s="312">
        <v>124.84</v>
      </c>
      <c r="I991" s="312">
        <v>19.329999999999998</v>
      </c>
      <c r="J991" s="312">
        <v>144.77000000000001</v>
      </c>
      <c r="K991" s="312">
        <v>60.97</v>
      </c>
      <c r="M991" t="s">
        <v>2755</v>
      </c>
      <c r="N991" s="312">
        <v>5910.93</v>
      </c>
      <c r="O991" s="312">
        <v>61101.91</v>
      </c>
      <c r="P991" s="312">
        <v>6228.5599999999995</v>
      </c>
      <c r="Q991" s="312">
        <v>94264.16</v>
      </c>
      <c r="R991" s="312">
        <v>16269.14</v>
      </c>
    </row>
    <row r="992" spans="6:18">
      <c r="F992" t="s">
        <v>2756</v>
      </c>
      <c r="G992" s="312">
        <v>12.34</v>
      </c>
      <c r="H992" s="312">
        <v>268.08</v>
      </c>
      <c r="I992" s="312">
        <v>47.37</v>
      </c>
      <c r="J992" s="312">
        <v>247.19</v>
      </c>
      <c r="K992" s="312">
        <v>269.93</v>
      </c>
      <c r="M992" t="s">
        <v>2756</v>
      </c>
      <c r="N992" s="312">
        <v>11137</v>
      </c>
      <c r="O992" s="312">
        <v>164540.69</v>
      </c>
      <c r="P992" s="312">
        <v>40122.720000000001</v>
      </c>
      <c r="Q992" s="312">
        <v>148610.98000000001</v>
      </c>
      <c r="R992" s="312">
        <v>77141.76999999999</v>
      </c>
    </row>
    <row r="993" spans="6:18">
      <c r="F993" t="s">
        <v>2757</v>
      </c>
      <c r="G993" s="312">
        <v>9.2199999999999989</v>
      </c>
      <c r="H993" s="312">
        <v>341.77</v>
      </c>
      <c r="I993" s="312">
        <v>24.36</v>
      </c>
      <c r="J993" s="312">
        <v>256.76</v>
      </c>
      <c r="K993" s="312">
        <v>247.57</v>
      </c>
      <c r="M993" t="s">
        <v>2757</v>
      </c>
      <c r="N993" s="312">
        <v>5788.67</v>
      </c>
      <c r="O993" s="312">
        <v>204456.61</v>
      </c>
      <c r="P993" s="312">
        <v>12339.189999999999</v>
      </c>
      <c r="Q993" s="312">
        <v>152524.71</v>
      </c>
      <c r="R993" s="312">
        <v>81522.12</v>
      </c>
    </row>
    <row r="994" spans="6:18">
      <c r="F994" t="s">
        <v>2758</v>
      </c>
      <c r="G994" s="312">
        <v>20.25</v>
      </c>
      <c r="H994" s="312">
        <v>306.89999999999998</v>
      </c>
      <c r="I994" s="312">
        <v>37.599999999999994</v>
      </c>
      <c r="J994" s="312">
        <v>281.53000000000003</v>
      </c>
      <c r="K994" s="312">
        <v>258.91000000000003</v>
      </c>
      <c r="M994" t="s">
        <v>2758</v>
      </c>
      <c r="N994" s="312">
        <v>21803.83</v>
      </c>
      <c r="O994" s="312">
        <v>201531.25</v>
      </c>
      <c r="P994" s="312">
        <v>29024.86</v>
      </c>
      <c r="Q994" s="312">
        <v>98692.25</v>
      </c>
      <c r="R994" s="312">
        <v>125137.37</v>
      </c>
    </row>
    <row r="995" spans="6:18">
      <c r="F995" t="s">
        <v>2759</v>
      </c>
      <c r="G995" s="312">
        <v>12.850000000000001</v>
      </c>
      <c r="H995" s="312">
        <v>335.78999999999996</v>
      </c>
      <c r="I995" s="312">
        <v>38.85</v>
      </c>
      <c r="J995" s="312">
        <v>289.20999999999998</v>
      </c>
      <c r="K995" s="312">
        <v>197.73000000000002</v>
      </c>
      <c r="M995" t="s">
        <v>2759</v>
      </c>
      <c r="N995" s="312">
        <v>6653.03</v>
      </c>
      <c r="O995" s="312">
        <v>180195.19</v>
      </c>
      <c r="P995" s="312">
        <v>41951.409999999996</v>
      </c>
      <c r="Q995" s="312">
        <v>178676.78</v>
      </c>
      <c r="R995" s="312">
        <v>43897.19</v>
      </c>
    </row>
    <row r="996" spans="6:18">
      <c r="F996" t="s">
        <v>2760</v>
      </c>
      <c r="G996" s="312">
        <v>19.880000000000003</v>
      </c>
      <c r="H996" s="312">
        <v>317.45999999999998</v>
      </c>
      <c r="I996" s="312">
        <v>20.439999999999998</v>
      </c>
      <c r="J996" s="312">
        <v>238.14999999999998</v>
      </c>
      <c r="K996" s="312">
        <v>182.14999999999998</v>
      </c>
      <c r="M996" t="s">
        <v>2760</v>
      </c>
      <c r="N996" s="312">
        <v>11685.65</v>
      </c>
      <c r="O996" s="312">
        <v>155563.81</v>
      </c>
      <c r="P996" s="312">
        <v>14819.650000000001</v>
      </c>
      <c r="Q996" s="312">
        <v>160513.66</v>
      </c>
      <c r="R996" s="312">
        <v>50252.979999999996</v>
      </c>
    </row>
    <row r="997" spans="6:18">
      <c r="F997" t="s">
        <v>2761</v>
      </c>
      <c r="G997" s="312">
        <v>19.88</v>
      </c>
      <c r="H997" s="312">
        <v>239.35000000000002</v>
      </c>
      <c r="I997" s="312">
        <v>14.18</v>
      </c>
      <c r="J997" s="312">
        <v>145.11000000000001</v>
      </c>
      <c r="K997" s="312">
        <v>165.61</v>
      </c>
      <c r="M997" t="s">
        <v>2761</v>
      </c>
      <c r="N997" s="312">
        <v>8384.27</v>
      </c>
      <c r="O997" s="312">
        <v>174715.51</v>
      </c>
      <c r="P997" s="312">
        <v>9221.82</v>
      </c>
      <c r="Q997" s="312">
        <v>78139.990000000005</v>
      </c>
      <c r="R997" s="312">
        <v>47316.26</v>
      </c>
    </row>
    <row r="998" spans="6:18">
      <c r="F998" t="s">
        <v>2762</v>
      </c>
      <c r="G998" s="312">
        <v>15.799999999999999</v>
      </c>
      <c r="H998" s="312">
        <v>204.83999999999997</v>
      </c>
      <c r="I998" s="312">
        <v>14.83</v>
      </c>
      <c r="J998" s="312">
        <v>133.42000000000002</v>
      </c>
      <c r="K998" s="312">
        <v>141.5</v>
      </c>
      <c r="M998" t="s">
        <v>2762</v>
      </c>
      <c r="N998" s="312">
        <v>9320.35</v>
      </c>
      <c r="O998" s="312">
        <v>134336.39000000001</v>
      </c>
      <c r="P998" s="312">
        <v>12759.6</v>
      </c>
      <c r="Q998" s="312">
        <v>64652.710000000006</v>
      </c>
      <c r="R998" s="312">
        <v>49057.88</v>
      </c>
    </row>
    <row r="999" spans="6:18">
      <c r="F999" t="s">
        <v>2763</v>
      </c>
      <c r="G999" s="312">
        <v>14</v>
      </c>
      <c r="H999" s="312">
        <v>277.73</v>
      </c>
      <c r="I999" s="312">
        <v>15.15</v>
      </c>
      <c r="J999" s="312">
        <v>313.60000000000002</v>
      </c>
      <c r="K999" s="312">
        <v>210.26999999999998</v>
      </c>
      <c r="M999" t="s">
        <v>2763</v>
      </c>
      <c r="N999" s="312">
        <v>4908.96</v>
      </c>
      <c r="O999" s="312">
        <v>147334.65</v>
      </c>
      <c r="P999" s="312">
        <v>8624.41</v>
      </c>
      <c r="Q999" s="312">
        <v>212537.66</v>
      </c>
      <c r="R999" s="312">
        <v>61065.3</v>
      </c>
    </row>
    <row r="1000" spans="6:18">
      <c r="F1000" t="s">
        <v>2764</v>
      </c>
      <c r="G1000" s="312">
        <v>38.93</v>
      </c>
      <c r="H1000" s="312">
        <v>423.15999999999997</v>
      </c>
      <c r="I1000" s="312">
        <v>24.35</v>
      </c>
      <c r="J1000" s="312">
        <v>324.8</v>
      </c>
      <c r="K1000" s="312">
        <v>183.43</v>
      </c>
      <c r="M1000" t="s">
        <v>2764</v>
      </c>
      <c r="N1000" s="312">
        <v>28548.2</v>
      </c>
      <c r="O1000" s="312">
        <v>256792.5</v>
      </c>
      <c r="P1000" s="312">
        <v>15828.91</v>
      </c>
      <c r="Q1000" s="312">
        <v>186842.91999999998</v>
      </c>
      <c r="R1000" s="312">
        <v>48378.710000000006</v>
      </c>
    </row>
    <row r="1001" spans="6:18">
      <c r="F1001" t="s">
        <v>2765</v>
      </c>
      <c r="G1001" s="312">
        <v>15.73</v>
      </c>
      <c r="H1001" s="312">
        <v>316.64</v>
      </c>
      <c r="I1001" s="312">
        <v>45.48</v>
      </c>
      <c r="J1001" s="312">
        <v>295.82</v>
      </c>
      <c r="K1001" s="312">
        <v>177.41</v>
      </c>
      <c r="M1001" t="s">
        <v>2765</v>
      </c>
      <c r="N1001" s="312">
        <v>10537.59</v>
      </c>
      <c r="O1001" s="312">
        <v>243876.76</v>
      </c>
      <c r="P1001" s="312">
        <v>42659.43</v>
      </c>
      <c r="Q1001" s="312">
        <v>151691.65000000002</v>
      </c>
      <c r="R1001" s="312">
        <v>53560.729999999996</v>
      </c>
    </row>
    <row r="1002" spans="6:18">
      <c r="F1002" t="s">
        <v>2766</v>
      </c>
      <c r="G1002" s="312">
        <v>9.08</v>
      </c>
      <c r="H1002" s="312">
        <v>331.78999999999996</v>
      </c>
      <c r="I1002" s="312">
        <v>18.579999999999998</v>
      </c>
      <c r="J1002" s="312">
        <v>349.78999999999996</v>
      </c>
      <c r="K1002" s="312">
        <v>181.46</v>
      </c>
      <c r="M1002" t="s">
        <v>2766</v>
      </c>
      <c r="N1002" s="312">
        <v>3485.15</v>
      </c>
      <c r="O1002" s="312">
        <v>238064.78</v>
      </c>
      <c r="P1002" s="312">
        <v>32090.36</v>
      </c>
      <c r="Q1002" s="312">
        <v>136607.22</v>
      </c>
      <c r="R1002" s="312">
        <v>56411.78</v>
      </c>
    </row>
    <row r="1003" spans="6:18">
      <c r="F1003" t="s">
        <v>2767</v>
      </c>
      <c r="G1003" s="312">
        <v>9.3000000000000007</v>
      </c>
      <c r="H1003" s="312">
        <v>213.03</v>
      </c>
      <c r="I1003" s="312">
        <v>16.330000000000002</v>
      </c>
      <c r="J1003" s="312">
        <v>328.07000000000005</v>
      </c>
      <c r="K1003" s="312">
        <v>143.28</v>
      </c>
      <c r="M1003" t="s">
        <v>2767</v>
      </c>
      <c r="N1003" s="312">
        <v>3798.62</v>
      </c>
      <c r="O1003" s="312">
        <v>131846.28</v>
      </c>
      <c r="P1003" s="312">
        <v>8414.73</v>
      </c>
      <c r="Q1003" s="312">
        <v>253388.58000000002</v>
      </c>
      <c r="R1003" s="312">
        <v>43868.89</v>
      </c>
    </row>
    <row r="1004" spans="6:18">
      <c r="F1004" t="s">
        <v>2768</v>
      </c>
      <c r="G1004" s="312">
        <v>14.95</v>
      </c>
      <c r="H1004" s="312">
        <v>179.67000000000002</v>
      </c>
      <c r="I1004" s="312">
        <v>21.33</v>
      </c>
      <c r="J1004" s="312">
        <v>198.05</v>
      </c>
      <c r="K1004" s="312">
        <v>157.85000000000002</v>
      </c>
      <c r="M1004" t="s">
        <v>2768</v>
      </c>
      <c r="N1004" s="312">
        <v>5035.7699999999995</v>
      </c>
      <c r="O1004" s="312">
        <v>95024.02</v>
      </c>
      <c r="P1004" s="312">
        <v>22054.93</v>
      </c>
      <c r="Q1004" s="312">
        <v>137134.30000000002</v>
      </c>
      <c r="R1004" s="312">
        <v>45866.41</v>
      </c>
    </row>
    <row r="1005" spans="6:18">
      <c r="F1005" t="s">
        <v>2769</v>
      </c>
      <c r="G1005" s="312">
        <v>5.07</v>
      </c>
      <c r="H1005" s="312">
        <v>200.22</v>
      </c>
      <c r="I1005" s="312">
        <v>15.100000000000001</v>
      </c>
      <c r="J1005" s="312">
        <v>198.8</v>
      </c>
      <c r="K1005" s="312">
        <v>131.22999999999999</v>
      </c>
      <c r="M1005" t="s">
        <v>2769</v>
      </c>
      <c r="N1005" s="312">
        <v>2699.84</v>
      </c>
      <c r="O1005" s="312">
        <v>115142.18</v>
      </c>
      <c r="P1005" s="312">
        <v>7373.4</v>
      </c>
      <c r="Q1005" s="312">
        <v>99935.89</v>
      </c>
      <c r="R1005" s="312">
        <v>45509.15</v>
      </c>
    </row>
    <row r="1006" spans="6:18">
      <c r="F1006" t="s">
        <v>2770</v>
      </c>
      <c r="G1006" s="312">
        <v>4.3099999999999996</v>
      </c>
      <c r="H1006" s="312">
        <v>244.87</v>
      </c>
      <c r="I1006" s="312">
        <v>51.180000000000007</v>
      </c>
      <c r="J1006" s="312">
        <v>335.72999999999996</v>
      </c>
      <c r="K1006" s="312">
        <v>178.95</v>
      </c>
      <c r="M1006" t="s">
        <v>2770</v>
      </c>
      <c r="N1006" s="312">
        <v>2890.75</v>
      </c>
      <c r="O1006" s="312">
        <v>148782.13</v>
      </c>
      <c r="P1006" s="312">
        <v>45557.899999999994</v>
      </c>
      <c r="Q1006" s="312">
        <v>180856.69</v>
      </c>
      <c r="R1006" s="312">
        <v>53018.239999999998</v>
      </c>
    </row>
    <row r="1007" spans="6:18">
      <c r="F1007" t="s">
        <v>2771</v>
      </c>
      <c r="G1007" s="312">
        <v>30.62</v>
      </c>
      <c r="H1007" s="312">
        <v>392.51000000000005</v>
      </c>
      <c r="I1007" s="312">
        <v>20.38</v>
      </c>
      <c r="J1007" s="312">
        <v>203.64</v>
      </c>
      <c r="K1007" s="312">
        <v>191.34</v>
      </c>
      <c r="M1007" t="s">
        <v>2771</v>
      </c>
      <c r="N1007" s="312">
        <v>17646.29</v>
      </c>
      <c r="O1007" s="312">
        <v>202211.11</v>
      </c>
      <c r="P1007" s="312">
        <v>15999.75</v>
      </c>
      <c r="Q1007" s="312">
        <v>103075.43000000001</v>
      </c>
      <c r="R1007" s="312">
        <v>65883.569999999992</v>
      </c>
    </row>
    <row r="1008" spans="6:18">
      <c r="F1008" t="s">
        <v>2772</v>
      </c>
      <c r="G1008" s="312">
        <v>6.28</v>
      </c>
      <c r="H1008" s="312">
        <v>225.06</v>
      </c>
      <c r="I1008" s="312">
        <v>44.599999999999994</v>
      </c>
      <c r="J1008" s="312">
        <v>217.57</v>
      </c>
      <c r="K1008" s="312">
        <v>230.95</v>
      </c>
      <c r="M1008" t="s">
        <v>2772</v>
      </c>
      <c r="N1008" s="312">
        <v>2605.4299999999998</v>
      </c>
      <c r="O1008" s="312">
        <v>134933.09</v>
      </c>
      <c r="P1008" s="312">
        <v>52804.560000000005</v>
      </c>
      <c r="Q1008" s="312">
        <v>113721.44</v>
      </c>
      <c r="R1008" s="312">
        <v>100174.37</v>
      </c>
    </row>
    <row r="1009" spans="6:18">
      <c r="F1009" t="s">
        <v>2773</v>
      </c>
      <c r="G1009" s="312">
        <v>26.4</v>
      </c>
      <c r="H1009" s="312">
        <v>398.74</v>
      </c>
      <c r="I1009" s="312">
        <v>54.36</v>
      </c>
      <c r="J1009" s="312">
        <v>335.46999999999997</v>
      </c>
      <c r="K1009" s="312">
        <v>163.51999999999998</v>
      </c>
      <c r="M1009" t="s">
        <v>2773</v>
      </c>
      <c r="N1009" s="312">
        <v>16071.400000000001</v>
      </c>
      <c r="O1009" s="312">
        <v>243516.2</v>
      </c>
      <c r="P1009" s="312">
        <v>39652.32</v>
      </c>
      <c r="Q1009" s="312">
        <v>207773.5</v>
      </c>
      <c r="R1009" s="312">
        <v>55194.37</v>
      </c>
    </row>
    <row r="1010" spans="6:18">
      <c r="F1010" t="s">
        <v>2774</v>
      </c>
      <c r="G1010" s="312">
        <v>29.1</v>
      </c>
      <c r="H1010" s="312">
        <v>303.85000000000002</v>
      </c>
      <c r="I1010" s="312">
        <v>43.28</v>
      </c>
      <c r="J1010" s="312">
        <v>244.77999999999997</v>
      </c>
      <c r="K1010" s="312">
        <v>219.99</v>
      </c>
      <c r="M1010" t="s">
        <v>2774</v>
      </c>
      <c r="N1010" s="312">
        <v>21456.639999999999</v>
      </c>
      <c r="O1010" s="312">
        <v>212486.62</v>
      </c>
      <c r="P1010" s="312">
        <v>46768.77</v>
      </c>
      <c r="Q1010" s="312">
        <v>113417.95</v>
      </c>
      <c r="R1010" s="312">
        <v>57239.67</v>
      </c>
    </row>
    <row r="1011" spans="6:18">
      <c r="F1011" t="s">
        <v>2775</v>
      </c>
      <c r="G1011" s="312">
        <v>14.110000000000001</v>
      </c>
      <c r="H1011" s="312">
        <v>209</v>
      </c>
      <c r="I1011" s="312">
        <v>8.32</v>
      </c>
      <c r="J1011" s="312">
        <v>148.68</v>
      </c>
      <c r="K1011" s="312">
        <v>108.71000000000001</v>
      </c>
      <c r="M1011" t="s">
        <v>2775</v>
      </c>
      <c r="N1011" s="312">
        <v>12781.01</v>
      </c>
      <c r="O1011" s="312">
        <v>86253.489999999991</v>
      </c>
      <c r="P1011" s="312">
        <v>5062.42</v>
      </c>
      <c r="Q1011" s="312">
        <v>79787.849999999991</v>
      </c>
      <c r="R1011" s="312">
        <v>34244.94</v>
      </c>
    </row>
    <row r="1012" spans="6:18">
      <c r="F1012" t="s">
        <v>2776</v>
      </c>
      <c r="G1012" s="312">
        <v>9.2100000000000009</v>
      </c>
      <c r="H1012" s="312">
        <v>188.32999999999998</v>
      </c>
      <c r="I1012" s="312">
        <v>5.79</v>
      </c>
      <c r="J1012" s="312">
        <v>157.66</v>
      </c>
      <c r="K1012" s="312">
        <v>151.03</v>
      </c>
      <c r="M1012" t="s">
        <v>2776</v>
      </c>
      <c r="N1012" s="312">
        <v>6163.47</v>
      </c>
      <c r="O1012" s="312">
        <v>105218.72</v>
      </c>
      <c r="P1012" s="312">
        <v>5287.47</v>
      </c>
      <c r="Q1012" s="312">
        <v>71149.14</v>
      </c>
      <c r="R1012" s="312">
        <v>40791.19</v>
      </c>
    </row>
    <row r="1013" spans="6:18">
      <c r="F1013" t="s">
        <v>2777</v>
      </c>
      <c r="G1013" s="312">
        <v>10.17</v>
      </c>
      <c r="H1013" s="312">
        <v>248.88</v>
      </c>
      <c r="I1013" s="312">
        <v>22.29</v>
      </c>
      <c r="J1013" s="312">
        <v>230.83</v>
      </c>
      <c r="K1013" s="312">
        <v>224.86</v>
      </c>
      <c r="M1013" t="s">
        <v>2777</v>
      </c>
      <c r="N1013" s="312">
        <v>7321.09</v>
      </c>
      <c r="O1013" s="312">
        <v>160788.34999999998</v>
      </c>
      <c r="P1013" s="312">
        <v>27496.65</v>
      </c>
      <c r="Q1013" s="312">
        <v>89466.26999999999</v>
      </c>
      <c r="R1013" s="312">
        <v>71109.75</v>
      </c>
    </row>
    <row r="1014" spans="6:18">
      <c r="F1014" t="s">
        <v>2778</v>
      </c>
      <c r="G1014" s="312">
        <v>16.05</v>
      </c>
      <c r="H1014" s="312">
        <v>342.53</v>
      </c>
      <c r="I1014" s="312">
        <v>23.25</v>
      </c>
      <c r="J1014" s="312">
        <v>215.65</v>
      </c>
      <c r="K1014" s="312">
        <v>221.76999999999998</v>
      </c>
      <c r="M1014" t="s">
        <v>2778</v>
      </c>
      <c r="N1014" s="312">
        <v>13518.86</v>
      </c>
      <c r="O1014" s="312">
        <v>225289.11</v>
      </c>
      <c r="P1014" s="312">
        <v>23012.43</v>
      </c>
      <c r="Q1014" s="312">
        <v>126594.89</v>
      </c>
      <c r="R1014" s="312">
        <v>53696.960000000006</v>
      </c>
    </row>
    <row r="1015" spans="6:18">
      <c r="F1015" t="s">
        <v>2779</v>
      </c>
      <c r="G1015" s="312">
        <v>25.22</v>
      </c>
      <c r="H1015" s="312">
        <v>319.01</v>
      </c>
      <c r="I1015" s="312">
        <v>9.48</v>
      </c>
      <c r="J1015" s="312">
        <v>201.77</v>
      </c>
      <c r="K1015" s="312">
        <v>163.13999999999999</v>
      </c>
      <c r="M1015" t="s">
        <v>2779</v>
      </c>
      <c r="N1015" s="312">
        <v>10650.66</v>
      </c>
      <c r="O1015" s="312">
        <v>151832.39000000001</v>
      </c>
      <c r="P1015" s="312">
        <v>10502.86</v>
      </c>
      <c r="Q1015" s="312">
        <v>89426.86</v>
      </c>
      <c r="R1015" s="312">
        <v>41781.32</v>
      </c>
    </row>
    <row r="1016" spans="6:18">
      <c r="F1016" t="s">
        <v>2780</v>
      </c>
      <c r="G1016" s="312">
        <v>28.650000000000002</v>
      </c>
      <c r="H1016" s="312">
        <v>296.82</v>
      </c>
      <c r="I1016" s="312">
        <v>6.43</v>
      </c>
      <c r="J1016" s="312">
        <v>243.04000000000002</v>
      </c>
      <c r="K1016" s="312">
        <v>203.45</v>
      </c>
      <c r="M1016" t="s">
        <v>2780</v>
      </c>
      <c r="N1016" s="312">
        <v>13247.25</v>
      </c>
      <c r="O1016" s="312">
        <v>153371.16999999998</v>
      </c>
      <c r="P1016" s="312">
        <v>8136.2800000000007</v>
      </c>
      <c r="Q1016" s="312">
        <v>126102.16</v>
      </c>
      <c r="R1016" s="312">
        <v>66241.33</v>
      </c>
    </row>
    <row r="1017" spans="6:18">
      <c r="F1017" t="s">
        <v>2781</v>
      </c>
      <c r="G1017" s="312">
        <v>8.5</v>
      </c>
      <c r="H1017" s="312">
        <v>257.33999999999997</v>
      </c>
      <c r="I1017" s="312">
        <v>61.599999999999994</v>
      </c>
      <c r="J1017" s="312">
        <v>244.82999999999998</v>
      </c>
      <c r="K1017" s="312">
        <v>299.52</v>
      </c>
      <c r="M1017" t="s">
        <v>2781</v>
      </c>
      <c r="N1017" s="312">
        <v>3294.3</v>
      </c>
      <c r="O1017" s="312">
        <v>125545.64000000001</v>
      </c>
      <c r="P1017" s="312">
        <v>70640.010000000009</v>
      </c>
      <c r="Q1017" s="312">
        <v>112834.41</v>
      </c>
      <c r="R1017" s="312">
        <v>70713.36</v>
      </c>
    </row>
    <row r="1018" spans="6:18">
      <c r="F1018" t="s">
        <v>2782</v>
      </c>
      <c r="G1018" s="312">
        <v>13.91</v>
      </c>
      <c r="H1018" s="312">
        <v>136.16</v>
      </c>
      <c r="I1018" s="312">
        <v>22.59</v>
      </c>
      <c r="J1018" s="312">
        <v>97.48</v>
      </c>
      <c r="K1018" s="312">
        <v>159.06</v>
      </c>
      <c r="M1018" t="s">
        <v>2782</v>
      </c>
      <c r="N1018" s="312">
        <v>11650.2</v>
      </c>
      <c r="O1018" s="312">
        <v>75078.41</v>
      </c>
      <c r="P1018" s="312">
        <v>20805.61</v>
      </c>
      <c r="Q1018" s="312">
        <v>38526.6</v>
      </c>
      <c r="R1018" s="312">
        <v>34566.22</v>
      </c>
    </row>
    <row r="1019" spans="6:18">
      <c r="F1019" t="s">
        <v>2783</v>
      </c>
      <c r="G1019" s="312">
        <v>25.980000000000004</v>
      </c>
      <c r="H1019" s="312">
        <v>181.66</v>
      </c>
      <c r="I1019" s="312">
        <v>7.92</v>
      </c>
      <c r="J1019" s="312">
        <v>177.21</v>
      </c>
      <c r="K1019" s="312">
        <v>142.31</v>
      </c>
      <c r="M1019" t="s">
        <v>2783</v>
      </c>
      <c r="N1019" s="312">
        <v>10749.55</v>
      </c>
      <c r="O1019" s="312">
        <v>113791.58</v>
      </c>
      <c r="P1019" s="312">
        <v>12568.81</v>
      </c>
      <c r="Q1019" s="312">
        <v>122126.89</v>
      </c>
      <c r="R1019" s="312">
        <v>29715.350000000002</v>
      </c>
    </row>
    <row r="1020" spans="6:18">
      <c r="F1020" t="s">
        <v>2784</v>
      </c>
      <c r="G1020" s="312">
        <v>14.39</v>
      </c>
      <c r="H1020" s="312">
        <v>291.06</v>
      </c>
      <c r="I1020" s="312">
        <v>42.320000000000007</v>
      </c>
      <c r="J1020" s="312">
        <v>165.78</v>
      </c>
      <c r="K1020" s="312">
        <v>152.78</v>
      </c>
      <c r="M1020" t="s">
        <v>2784</v>
      </c>
      <c r="N1020" s="312">
        <v>9523.4700000000012</v>
      </c>
      <c r="O1020" s="312">
        <v>226879.32</v>
      </c>
      <c r="P1020" s="312">
        <v>35119.85</v>
      </c>
      <c r="Q1020" s="312">
        <v>57745.74</v>
      </c>
      <c r="R1020" s="312">
        <v>46175.33</v>
      </c>
    </row>
    <row r="1021" spans="6:18">
      <c r="F1021" t="s">
        <v>2785</v>
      </c>
      <c r="G1021" s="312">
        <v>18.75</v>
      </c>
      <c r="H1021" s="312">
        <v>352.02000000000004</v>
      </c>
      <c r="I1021" s="312">
        <v>42.92</v>
      </c>
      <c r="J1021" s="312">
        <v>247.8</v>
      </c>
      <c r="K1021" s="312">
        <v>182.14999999999998</v>
      </c>
      <c r="M1021" t="s">
        <v>2785</v>
      </c>
      <c r="N1021" s="312">
        <v>16335.76</v>
      </c>
      <c r="O1021" s="312">
        <v>216910.41</v>
      </c>
      <c r="P1021" s="312">
        <v>68072.63</v>
      </c>
      <c r="Q1021" s="312">
        <v>145761.5</v>
      </c>
      <c r="R1021" s="312">
        <v>55480.03</v>
      </c>
    </row>
    <row r="1022" spans="6:18">
      <c r="F1022" t="s">
        <v>2786</v>
      </c>
      <c r="G1022" s="312">
        <v>19.329999999999998</v>
      </c>
      <c r="H1022" s="312">
        <v>256.89</v>
      </c>
      <c r="I1022" s="312">
        <v>36.39</v>
      </c>
      <c r="J1022" s="312">
        <v>240.62</v>
      </c>
      <c r="K1022" s="312">
        <v>143.22</v>
      </c>
      <c r="M1022" t="s">
        <v>2786</v>
      </c>
      <c r="N1022" s="312">
        <v>9650.41</v>
      </c>
      <c r="O1022" s="312">
        <v>130051.32</v>
      </c>
      <c r="P1022" s="312">
        <v>34498.239999999998</v>
      </c>
      <c r="Q1022" s="312">
        <v>91270.99</v>
      </c>
      <c r="R1022" s="312">
        <v>57221.94</v>
      </c>
    </row>
    <row r="1023" spans="6:18">
      <c r="F1023" t="s">
        <v>2787</v>
      </c>
      <c r="G1023" s="312">
        <v>33.19</v>
      </c>
      <c r="H1023" s="312">
        <v>254.12</v>
      </c>
      <c r="I1023" s="312">
        <v>26.86</v>
      </c>
      <c r="J1023" s="312">
        <v>220.39</v>
      </c>
      <c r="K1023" s="312">
        <v>132.4</v>
      </c>
      <c r="M1023" t="s">
        <v>2787</v>
      </c>
      <c r="N1023" s="312">
        <v>15266.720000000001</v>
      </c>
      <c r="O1023" s="312">
        <v>137362.33000000002</v>
      </c>
      <c r="P1023" s="312">
        <v>17813.96</v>
      </c>
      <c r="Q1023" s="312">
        <v>106217.41</v>
      </c>
      <c r="R1023" s="312">
        <v>35980.18</v>
      </c>
    </row>
    <row r="1024" spans="6:18">
      <c r="F1024" t="s">
        <v>2788</v>
      </c>
      <c r="G1024" s="312">
        <v>24.15</v>
      </c>
      <c r="H1024" s="312">
        <v>256.97000000000003</v>
      </c>
      <c r="I1024" s="312">
        <v>8.3000000000000007</v>
      </c>
      <c r="J1024" s="312">
        <v>181.05</v>
      </c>
      <c r="K1024" s="312">
        <v>196.43</v>
      </c>
      <c r="M1024" t="s">
        <v>2788</v>
      </c>
      <c r="N1024" s="312">
        <v>9199.59</v>
      </c>
      <c r="O1024" s="312">
        <v>142993.24</v>
      </c>
      <c r="P1024" s="312">
        <v>3688.93</v>
      </c>
      <c r="Q1024" s="312">
        <v>114329.19</v>
      </c>
      <c r="R1024" s="312">
        <v>60525.060000000005</v>
      </c>
    </row>
    <row r="1025" spans="6:18">
      <c r="F1025" t="s">
        <v>2789</v>
      </c>
      <c r="G1025" s="312">
        <v>3.87</v>
      </c>
      <c r="H1025" s="312">
        <v>170.24</v>
      </c>
      <c r="I1025" s="312">
        <v>43.43</v>
      </c>
      <c r="J1025" s="312">
        <v>127.41999999999999</v>
      </c>
      <c r="K1025" s="312">
        <v>141.93</v>
      </c>
      <c r="M1025" t="s">
        <v>2789</v>
      </c>
      <c r="N1025" s="312">
        <v>2025.66</v>
      </c>
      <c r="O1025" s="312">
        <v>92607.75</v>
      </c>
      <c r="P1025" s="312">
        <v>39256.620000000003</v>
      </c>
      <c r="Q1025" s="312">
        <v>85436.34</v>
      </c>
      <c r="R1025" s="312">
        <v>38523.32</v>
      </c>
    </row>
    <row r="1026" spans="6:18">
      <c r="F1026" t="s">
        <v>2790</v>
      </c>
      <c r="G1026" s="312">
        <v>10.39</v>
      </c>
      <c r="H1026" s="312">
        <v>188.52</v>
      </c>
      <c r="I1026" s="312">
        <v>12.850000000000001</v>
      </c>
      <c r="J1026" s="312">
        <v>109.88</v>
      </c>
      <c r="K1026" s="312">
        <v>104.66</v>
      </c>
      <c r="M1026" t="s">
        <v>2790</v>
      </c>
      <c r="N1026" s="312">
        <v>8929.67</v>
      </c>
      <c r="O1026" s="312">
        <v>84600.12</v>
      </c>
      <c r="P1026" s="312">
        <v>8487.83</v>
      </c>
      <c r="Q1026" s="312">
        <v>74964.900000000009</v>
      </c>
      <c r="R1026" s="312">
        <v>38946.959999999999</v>
      </c>
    </row>
    <row r="1027" spans="6:18">
      <c r="F1027" t="s">
        <v>2791</v>
      </c>
      <c r="G1027" s="312">
        <v>17.68</v>
      </c>
      <c r="H1027" s="312">
        <v>270.33</v>
      </c>
      <c r="I1027" s="312">
        <v>17.869999999999997</v>
      </c>
      <c r="J1027" s="312">
        <v>325.76</v>
      </c>
      <c r="K1027" s="312">
        <v>231.13</v>
      </c>
      <c r="M1027" t="s">
        <v>2791</v>
      </c>
      <c r="N1027" s="312">
        <v>7480.62</v>
      </c>
      <c r="O1027" s="312">
        <v>187886.03</v>
      </c>
      <c r="P1027" s="312">
        <v>7717.54</v>
      </c>
      <c r="Q1027" s="312">
        <v>146655.79999999999</v>
      </c>
      <c r="R1027" s="312">
        <v>86653.83</v>
      </c>
    </row>
    <row r="1028" spans="6:18">
      <c r="F1028" t="s">
        <v>2792</v>
      </c>
      <c r="G1028" s="312">
        <v>22.68</v>
      </c>
      <c r="H1028" s="312">
        <v>307.46000000000004</v>
      </c>
      <c r="I1028" s="312">
        <v>41.64</v>
      </c>
      <c r="J1028" s="312">
        <v>338.29</v>
      </c>
      <c r="K1028" s="312">
        <v>162.95999999999998</v>
      </c>
      <c r="M1028" t="s">
        <v>2792</v>
      </c>
      <c r="N1028" s="312">
        <v>12685.439999999999</v>
      </c>
      <c r="O1028" s="312">
        <v>193536.46000000002</v>
      </c>
      <c r="P1028" s="312">
        <v>41929.279999999999</v>
      </c>
      <c r="Q1028" s="312">
        <v>285072.89999999997</v>
      </c>
      <c r="R1028" s="312">
        <v>68350.78</v>
      </c>
    </row>
    <row r="1029" spans="6:18">
      <c r="F1029" t="s">
        <v>2793</v>
      </c>
      <c r="G1029" s="312">
        <v>24.840000000000003</v>
      </c>
      <c r="H1029" s="312">
        <v>227.44</v>
      </c>
      <c r="I1029" s="312">
        <v>70.649999999999991</v>
      </c>
      <c r="J1029" s="312">
        <v>315.95</v>
      </c>
      <c r="K1029" s="312">
        <v>198.81</v>
      </c>
      <c r="M1029" t="s">
        <v>2793</v>
      </c>
      <c r="N1029" s="312">
        <v>30905.3</v>
      </c>
      <c r="O1029" s="312">
        <v>125879.5</v>
      </c>
      <c r="P1029" s="312">
        <v>52333.200000000004</v>
      </c>
      <c r="Q1029" s="312">
        <v>185988.84999999998</v>
      </c>
      <c r="R1029" s="312">
        <v>58798.98</v>
      </c>
    </row>
    <row r="1030" spans="6:18">
      <c r="F1030" t="s">
        <v>2794</v>
      </c>
      <c r="G1030" s="312">
        <v>8.59</v>
      </c>
      <c r="H1030" s="312">
        <v>260.84000000000003</v>
      </c>
      <c r="I1030" s="312">
        <v>6.4</v>
      </c>
      <c r="J1030" s="312">
        <v>275.58</v>
      </c>
      <c r="K1030" s="312">
        <v>126.02000000000001</v>
      </c>
      <c r="M1030" t="s">
        <v>2794</v>
      </c>
      <c r="N1030" s="312">
        <v>4631.9799999999996</v>
      </c>
      <c r="O1030" s="312">
        <v>135311.39000000001</v>
      </c>
      <c r="P1030" s="312">
        <v>4566.09</v>
      </c>
      <c r="Q1030" s="312">
        <v>128564.54</v>
      </c>
      <c r="R1030" s="312">
        <v>48822.95</v>
      </c>
    </row>
    <row r="1031" spans="6:18">
      <c r="F1031" t="s">
        <v>2795</v>
      </c>
      <c r="G1031" s="312">
        <v>18.170000000000002</v>
      </c>
      <c r="H1031" s="312">
        <v>243.92000000000002</v>
      </c>
      <c r="I1031" s="312">
        <v>18.2</v>
      </c>
      <c r="J1031" s="312">
        <v>288.11</v>
      </c>
      <c r="K1031" s="312">
        <v>169.14</v>
      </c>
      <c r="M1031" t="s">
        <v>2795</v>
      </c>
      <c r="N1031" s="312">
        <v>20044.379999999997</v>
      </c>
      <c r="O1031" s="312">
        <v>133492.32999999999</v>
      </c>
      <c r="P1031" s="312">
        <v>14590.42</v>
      </c>
      <c r="Q1031" s="312">
        <v>134039.4</v>
      </c>
      <c r="R1031" s="312">
        <v>60858.95</v>
      </c>
    </row>
    <row r="1032" spans="6:18">
      <c r="F1032" t="s">
        <v>2796</v>
      </c>
      <c r="G1032" s="312">
        <v>10.59</v>
      </c>
      <c r="H1032" s="312">
        <v>158.53</v>
      </c>
      <c r="I1032" s="312">
        <v>29.55</v>
      </c>
      <c r="J1032" s="312">
        <v>141.29000000000002</v>
      </c>
      <c r="K1032" s="312">
        <v>110.66</v>
      </c>
      <c r="M1032" t="s">
        <v>2796</v>
      </c>
      <c r="N1032" s="312">
        <v>4746.54</v>
      </c>
      <c r="O1032" s="312">
        <v>89902.74</v>
      </c>
      <c r="P1032" s="312">
        <v>26386.45</v>
      </c>
      <c r="Q1032" s="312">
        <v>90377.739999999991</v>
      </c>
      <c r="R1032" s="312">
        <v>38028.22</v>
      </c>
    </row>
    <row r="1033" spans="6:18">
      <c r="F1033" t="s">
        <v>2797</v>
      </c>
      <c r="G1033" s="312">
        <v>28.75</v>
      </c>
      <c r="H1033" s="312">
        <v>178.26</v>
      </c>
      <c r="I1033" s="312">
        <v>11.549999999999999</v>
      </c>
      <c r="J1033" s="312">
        <v>172.76999999999998</v>
      </c>
      <c r="K1033" s="312">
        <v>90.57</v>
      </c>
      <c r="M1033" t="s">
        <v>2797</v>
      </c>
      <c r="N1033" s="312">
        <v>19649.400000000001</v>
      </c>
      <c r="O1033" s="312">
        <v>138584.68</v>
      </c>
      <c r="P1033" s="312">
        <v>6974.0199999999995</v>
      </c>
      <c r="Q1033" s="312">
        <v>97739.98</v>
      </c>
      <c r="R1033" s="312">
        <v>31378.85</v>
      </c>
    </row>
    <row r="1034" spans="6:18">
      <c r="F1034" t="s">
        <v>2798</v>
      </c>
      <c r="G1034" s="312">
        <v>29.169999999999998</v>
      </c>
      <c r="H1034" s="312">
        <v>310.64999999999998</v>
      </c>
      <c r="I1034" s="312">
        <v>60.05</v>
      </c>
      <c r="J1034" s="312">
        <v>208.09</v>
      </c>
      <c r="K1034" s="312">
        <v>164.35999999999999</v>
      </c>
      <c r="M1034" t="s">
        <v>2798</v>
      </c>
      <c r="N1034" s="312">
        <v>15844.259999999998</v>
      </c>
      <c r="O1034" s="312">
        <v>204871.2</v>
      </c>
      <c r="P1034" s="312">
        <v>66555.199999999997</v>
      </c>
      <c r="Q1034" s="312">
        <v>123117.67</v>
      </c>
      <c r="R1034" s="312">
        <v>44289.32</v>
      </c>
    </row>
    <row r="1035" spans="6:18">
      <c r="F1035" t="s">
        <v>2799</v>
      </c>
      <c r="G1035" s="312">
        <v>43.57</v>
      </c>
      <c r="H1035" s="312">
        <v>284.92</v>
      </c>
      <c r="I1035" s="312">
        <v>36.31</v>
      </c>
      <c r="J1035" s="312">
        <v>324.72000000000003</v>
      </c>
      <c r="K1035" s="312">
        <v>286.41000000000003</v>
      </c>
      <c r="M1035" t="s">
        <v>2799</v>
      </c>
      <c r="N1035" s="312">
        <v>23271.48</v>
      </c>
      <c r="O1035" s="312">
        <v>142380.52000000002</v>
      </c>
      <c r="P1035" s="312">
        <v>21822.5</v>
      </c>
      <c r="Q1035" s="312">
        <v>166746.07</v>
      </c>
      <c r="R1035" s="312">
        <v>62603.990000000005</v>
      </c>
    </row>
    <row r="1036" spans="6:18">
      <c r="F1036" t="s">
        <v>2800</v>
      </c>
      <c r="G1036" s="312">
        <v>6.59</v>
      </c>
      <c r="H1036" s="312">
        <v>278.20999999999998</v>
      </c>
      <c r="I1036" s="312">
        <v>30.83</v>
      </c>
      <c r="J1036" s="312">
        <v>394.88</v>
      </c>
      <c r="K1036" s="312">
        <v>177.59</v>
      </c>
      <c r="M1036" t="s">
        <v>2800</v>
      </c>
      <c r="N1036" s="312">
        <v>3312.03</v>
      </c>
      <c r="O1036" s="312">
        <v>189873.18</v>
      </c>
      <c r="P1036" s="312">
        <v>22073.119999999999</v>
      </c>
      <c r="Q1036" s="312">
        <v>201090.55000000002</v>
      </c>
      <c r="R1036" s="312">
        <v>57031.48</v>
      </c>
    </row>
    <row r="1037" spans="6:18">
      <c r="F1037" t="s">
        <v>2801</v>
      </c>
      <c r="G1037" s="312">
        <v>28.51</v>
      </c>
      <c r="H1037" s="312">
        <v>226.92000000000002</v>
      </c>
      <c r="I1037" s="312">
        <v>28.97</v>
      </c>
      <c r="J1037" s="312">
        <v>248.67000000000002</v>
      </c>
      <c r="K1037" s="312">
        <v>201.67000000000002</v>
      </c>
      <c r="M1037" t="s">
        <v>2801</v>
      </c>
      <c r="N1037" s="312">
        <v>11724.71</v>
      </c>
      <c r="O1037" s="312">
        <v>163846.58000000002</v>
      </c>
      <c r="P1037" s="312">
        <v>19976.839999999997</v>
      </c>
      <c r="Q1037" s="312">
        <v>97766.62000000001</v>
      </c>
      <c r="R1037" s="312">
        <v>98149.68</v>
      </c>
    </row>
    <row r="1038" spans="6:18">
      <c r="F1038" t="s">
        <v>2802</v>
      </c>
      <c r="G1038" s="312">
        <v>31.86</v>
      </c>
      <c r="H1038" s="312">
        <v>222.54999999999998</v>
      </c>
      <c r="I1038" s="312">
        <v>30.009999999999998</v>
      </c>
      <c r="J1038" s="312">
        <v>359.14</v>
      </c>
      <c r="K1038" s="312">
        <v>239.49</v>
      </c>
      <c r="M1038" t="s">
        <v>2802</v>
      </c>
      <c r="N1038" s="312">
        <v>12353.820000000002</v>
      </c>
      <c r="O1038" s="312">
        <v>186860.05000000002</v>
      </c>
      <c r="P1038" s="312">
        <v>25259.59</v>
      </c>
      <c r="Q1038" s="312">
        <v>135609.12</v>
      </c>
      <c r="R1038" s="312">
        <v>66288.34</v>
      </c>
    </row>
    <row r="1039" spans="6:18">
      <c r="F1039" t="s">
        <v>2803</v>
      </c>
      <c r="G1039" s="312">
        <v>13.58</v>
      </c>
      <c r="H1039" s="312">
        <v>179.1</v>
      </c>
      <c r="I1039" s="312">
        <v>18.47</v>
      </c>
      <c r="J1039" s="312">
        <v>198.60999999999999</v>
      </c>
      <c r="K1039" s="312">
        <v>123.61</v>
      </c>
      <c r="M1039" t="s">
        <v>2803</v>
      </c>
      <c r="N1039" s="312">
        <v>6906.66</v>
      </c>
      <c r="O1039" s="312">
        <v>87341.53</v>
      </c>
      <c r="P1039" s="312">
        <v>7195.32</v>
      </c>
      <c r="Q1039" s="312">
        <v>57817.100000000006</v>
      </c>
      <c r="R1039" s="312">
        <v>32338.28</v>
      </c>
    </row>
    <row r="1040" spans="6:18">
      <c r="F1040" t="s">
        <v>2804</v>
      </c>
      <c r="G1040" s="312">
        <v>32.53</v>
      </c>
      <c r="H1040" s="312">
        <v>165.61</v>
      </c>
      <c r="I1040" s="312">
        <v>12.740000000000002</v>
      </c>
      <c r="J1040" s="312">
        <v>98.99</v>
      </c>
      <c r="K1040" s="312">
        <v>106.47</v>
      </c>
      <c r="M1040" t="s">
        <v>2804</v>
      </c>
      <c r="N1040" s="312">
        <v>17234.439999999999</v>
      </c>
      <c r="O1040" s="312">
        <v>93446.63</v>
      </c>
      <c r="P1040" s="312">
        <v>25096.449999999997</v>
      </c>
      <c r="Q1040" s="312">
        <v>70266.52</v>
      </c>
      <c r="R1040" s="312">
        <v>34077.67</v>
      </c>
    </row>
    <row r="1041" spans="6:18">
      <c r="F1041" t="s">
        <v>2805</v>
      </c>
      <c r="G1041" s="312">
        <v>73.36</v>
      </c>
      <c r="H1041" s="312">
        <v>318.75</v>
      </c>
      <c r="I1041" s="312">
        <v>37.93</v>
      </c>
      <c r="J1041" s="312">
        <v>427.40000000000003</v>
      </c>
      <c r="K1041" s="312">
        <v>185.29999999999998</v>
      </c>
      <c r="M1041" t="s">
        <v>2805</v>
      </c>
      <c r="N1041" s="312">
        <v>48562.96</v>
      </c>
      <c r="O1041" s="312">
        <v>213248</v>
      </c>
      <c r="P1041" s="312">
        <v>25885.120000000003</v>
      </c>
      <c r="Q1041" s="312">
        <v>222710.38</v>
      </c>
      <c r="R1041" s="312">
        <v>58239.35</v>
      </c>
    </row>
    <row r="1042" spans="6:18">
      <c r="F1042" t="s">
        <v>2806</v>
      </c>
      <c r="G1042" s="312">
        <v>25.59</v>
      </c>
      <c r="H1042" s="312">
        <v>213.83</v>
      </c>
      <c r="I1042" s="312">
        <v>32.51</v>
      </c>
      <c r="J1042" s="312">
        <v>176.15</v>
      </c>
      <c r="K1042" s="312">
        <v>219.68</v>
      </c>
      <c r="M1042" t="s">
        <v>2806</v>
      </c>
      <c r="N1042" s="312">
        <v>41137.64</v>
      </c>
      <c r="O1042" s="312">
        <v>102794.69</v>
      </c>
      <c r="P1042" s="312">
        <v>17174.02</v>
      </c>
      <c r="Q1042" s="312">
        <v>79549.429999999993</v>
      </c>
      <c r="R1042" s="312">
        <v>83503.95</v>
      </c>
    </row>
    <row r="1043" spans="6:18">
      <c r="F1043" t="s">
        <v>2807</v>
      </c>
      <c r="G1043" s="312">
        <v>15.36</v>
      </c>
      <c r="H1043" s="312">
        <v>210.31</v>
      </c>
      <c r="I1043" s="312">
        <v>13.25</v>
      </c>
      <c r="J1043" s="312">
        <v>277.74</v>
      </c>
      <c r="K1043" s="312">
        <v>130.78</v>
      </c>
      <c r="M1043" t="s">
        <v>2807</v>
      </c>
      <c r="N1043" s="312">
        <v>6699.86</v>
      </c>
      <c r="O1043" s="312">
        <v>128792.53</v>
      </c>
      <c r="P1043" s="312">
        <v>7438.58</v>
      </c>
      <c r="Q1043" s="312">
        <v>174391.75</v>
      </c>
      <c r="R1043" s="312">
        <v>46420.6</v>
      </c>
    </row>
    <row r="1044" spans="6:18">
      <c r="F1044" t="s">
        <v>2808</v>
      </c>
      <c r="G1044" s="312">
        <v>17.690000000000001</v>
      </c>
      <c r="H1044" s="312">
        <v>250.39999999999998</v>
      </c>
      <c r="I1044" s="312">
        <v>31.59</v>
      </c>
      <c r="J1044" s="312">
        <v>315.64</v>
      </c>
      <c r="K1044" s="312">
        <v>129.97</v>
      </c>
      <c r="M1044" t="s">
        <v>2808</v>
      </c>
      <c r="N1044" s="312">
        <v>9954.93</v>
      </c>
      <c r="O1044" s="312">
        <v>187082.34000000003</v>
      </c>
      <c r="P1044" s="312">
        <v>22677.170000000002</v>
      </c>
      <c r="Q1044" s="312">
        <v>226196.15000000002</v>
      </c>
      <c r="R1044" s="312">
        <v>55035.409999999996</v>
      </c>
    </row>
    <row r="1045" spans="6:18">
      <c r="F1045" t="s">
        <v>2809</v>
      </c>
      <c r="G1045" s="312">
        <v>32.28</v>
      </c>
      <c r="H1045" s="312">
        <v>235.67000000000002</v>
      </c>
      <c r="I1045" s="312">
        <v>19.490000000000002</v>
      </c>
      <c r="J1045" s="312">
        <v>325.73</v>
      </c>
      <c r="K1045" s="312">
        <v>172.76999999999998</v>
      </c>
      <c r="M1045" t="s">
        <v>2809</v>
      </c>
      <c r="N1045" s="312">
        <v>14846.41</v>
      </c>
      <c r="O1045" s="312">
        <v>132904.57</v>
      </c>
      <c r="P1045" s="312">
        <v>25365.629999999997</v>
      </c>
      <c r="Q1045" s="312">
        <v>107395.78</v>
      </c>
      <c r="R1045" s="312">
        <v>85793.31</v>
      </c>
    </row>
    <row r="1046" spans="6:18">
      <c r="F1046" t="s">
        <v>2810</v>
      </c>
      <c r="G1046" s="312">
        <v>23.27</v>
      </c>
      <c r="H1046" s="312">
        <v>224.66</v>
      </c>
      <c r="I1046" s="312">
        <v>20.28</v>
      </c>
      <c r="J1046" s="312">
        <v>99.64</v>
      </c>
      <c r="K1046" s="312">
        <v>93.87</v>
      </c>
      <c r="M1046" t="s">
        <v>2810</v>
      </c>
      <c r="N1046" s="312">
        <v>14007.42</v>
      </c>
      <c r="O1046" s="312">
        <v>127467.15</v>
      </c>
      <c r="P1046" s="312">
        <v>12338.3</v>
      </c>
      <c r="Q1046" s="312">
        <v>45556.69</v>
      </c>
      <c r="R1046" s="312">
        <v>28028.879999999997</v>
      </c>
    </row>
    <row r="1047" spans="6:18">
      <c r="F1047" t="s">
        <v>2811</v>
      </c>
      <c r="G1047" s="312">
        <v>13.66</v>
      </c>
      <c r="H1047" s="312">
        <v>237.57</v>
      </c>
      <c r="I1047" s="312">
        <v>9.02</v>
      </c>
      <c r="J1047" s="312">
        <v>194.34</v>
      </c>
      <c r="K1047" s="312">
        <v>100.53</v>
      </c>
      <c r="M1047" t="s">
        <v>2811</v>
      </c>
      <c r="N1047" s="312">
        <v>6945.61</v>
      </c>
      <c r="O1047" s="312">
        <v>129741.79999999999</v>
      </c>
      <c r="P1047" s="312">
        <v>4703.5600000000004</v>
      </c>
      <c r="Q1047" s="312">
        <v>111804.45999999999</v>
      </c>
      <c r="R1047" s="312">
        <v>40082.270000000004</v>
      </c>
    </row>
    <row r="1048" spans="6:18">
      <c r="F1048" t="s">
        <v>2812</v>
      </c>
      <c r="G1048" s="312">
        <v>15.48</v>
      </c>
      <c r="H1048" s="312">
        <v>313.94</v>
      </c>
      <c r="I1048" s="312">
        <v>38.85</v>
      </c>
      <c r="J1048" s="312">
        <v>450.32000000000005</v>
      </c>
      <c r="K1048" s="312">
        <v>145.09</v>
      </c>
      <c r="M1048" t="s">
        <v>2812</v>
      </c>
      <c r="N1048" s="312">
        <v>8976.91</v>
      </c>
      <c r="O1048" s="312">
        <v>233130.74000000002</v>
      </c>
      <c r="P1048" s="312">
        <v>25257.449999999997</v>
      </c>
      <c r="Q1048" s="312">
        <v>172020.94</v>
      </c>
      <c r="R1048" s="312">
        <v>51573.86</v>
      </c>
    </row>
    <row r="1049" spans="6:18">
      <c r="F1049" t="s">
        <v>2813</v>
      </c>
      <c r="G1049" s="312">
        <v>27.77</v>
      </c>
      <c r="H1049" s="312">
        <v>243.41000000000003</v>
      </c>
      <c r="I1049" s="312">
        <v>12.71</v>
      </c>
      <c r="J1049" s="312">
        <v>324.33</v>
      </c>
      <c r="K1049" s="312">
        <v>175.06</v>
      </c>
      <c r="M1049" t="s">
        <v>2813</v>
      </c>
      <c r="N1049" s="312">
        <v>11117.560000000001</v>
      </c>
      <c r="O1049" s="312">
        <v>194677.76000000001</v>
      </c>
      <c r="P1049" s="312">
        <v>14976.85</v>
      </c>
      <c r="Q1049" s="312">
        <v>131615.88</v>
      </c>
      <c r="R1049" s="312">
        <v>78268.38</v>
      </c>
    </row>
    <row r="1050" spans="6:18">
      <c r="F1050" t="s">
        <v>2814</v>
      </c>
      <c r="G1050" s="312">
        <v>26.560000000000002</v>
      </c>
      <c r="H1050" s="312">
        <v>267.35000000000002</v>
      </c>
      <c r="I1050" s="312">
        <v>14.32</v>
      </c>
      <c r="J1050" s="312">
        <v>335.01</v>
      </c>
      <c r="K1050" s="312">
        <v>193.22</v>
      </c>
      <c r="M1050" t="s">
        <v>2814</v>
      </c>
      <c r="N1050" s="312">
        <v>14786.1</v>
      </c>
      <c r="O1050" s="312">
        <v>187220.46</v>
      </c>
      <c r="P1050" s="312">
        <v>14968.48</v>
      </c>
      <c r="Q1050" s="312">
        <v>123997.26</v>
      </c>
      <c r="R1050" s="312">
        <v>80942.63</v>
      </c>
    </row>
    <row r="1051" spans="6:18">
      <c r="F1051" t="s">
        <v>2815</v>
      </c>
      <c r="G1051" s="312">
        <v>29.770000000000003</v>
      </c>
      <c r="H1051" s="312">
        <v>280.75</v>
      </c>
      <c r="I1051" s="312">
        <v>30.38</v>
      </c>
      <c r="J1051" s="312">
        <v>393.4</v>
      </c>
      <c r="K1051" s="312">
        <v>269.87</v>
      </c>
      <c r="M1051" t="s">
        <v>2815</v>
      </c>
      <c r="N1051" s="312">
        <v>22906.510000000002</v>
      </c>
      <c r="O1051" s="312">
        <v>175486.41</v>
      </c>
      <c r="P1051" s="312">
        <v>27749.38</v>
      </c>
      <c r="Q1051" s="312">
        <v>166321</v>
      </c>
      <c r="R1051" s="312">
        <v>109701.42000000001</v>
      </c>
    </row>
    <row r="1052" spans="6:18">
      <c r="F1052" t="s">
        <v>2816</v>
      </c>
      <c r="G1052" s="312">
        <v>10.17</v>
      </c>
      <c r="H1052" s="312">
        <v>290.78000000000003</v>
      </c>
      <c r="I1052" s="312">
        <v>42</v>
      </c>
      <c r="J1052" s="312">
        <v>379.2</v>
      </c>
      <c r="K1052" s="312">
        <v>168.11</v>
      </c>
      <c r="M1052" t="s">
        <v>2816</v>
      </c>
      <c r="N1052" s="312">
        <v>3401.58</v>
      </c>
      <c r="O1052" s="312">
        <v>140831.03</v>
      </c>
      <c r="P1052" s="312">
        <v>27335.86</v>
      </c>
      <c r="Q1052" s="312">
        <v>144267.29999999999</v>
      </c>
      <c r="R1052" s="312">
        <v>52009.1</v>
      </c>
    </row>
    <row r="1053" spans="6:18">
      <c r="F1053" t="s">
        <v>2817</v>
      </c>
      <c r="G1053" s="312">
        <v>13</v>
      </c>
      <c r="H1053" s="312">
        <v>192.01000000000002</v>
      </c>
      <c r="I1053" s="312">
        <v>8.9</v>
      </c>
      <c r="J1053" s="312">
        <v>165.17000000000002</v>
      </c>
      <c r="K1053" s="312">
        <v>141.82</v>
      </c>
      <c r="M1053" t="s">
        <v>2817</v>
      </c>
      <c r="N1053" s="312">
        <v>5769.73</v>
      </c>
      <c r="O1053" s="312">
        <v>115619.83</v>
      </c>
      <c r="P1053" s="312">
        <v>6839.48</v>
      </c>
      <c r="Q1053" s="312">
        <v>102026.09999999999</v>
      </c>
      <c r="R1053" s="312">
        <v>38183.4</v>
      </c>
    </row>
    <row r="1054" spans="6:18">
      <c r="F1054" t="s">
        <v>2818</v>
      </c>
      <c r="G1054" s="312">
        <v>14.93</v>
      </c>
      <c r="H1054" s="312">
        <v>210.26000000000002</v>
      </c>
      <c r="I1054" s="312">
        <v>6.23</v>
      </c>
      <c r="J1054" s="312">
        <v>179.21</v>
      </c>
      <c r="K1054" s="312">
        <v>183.83</v>
      </c>
      <c r="M1054" t="s">
        <v>2818</v>
      </c>
      <c r="N1054" s="312">
        <v>9893.84</v>
      </c>
      <c r="O1054" s="312">
        <v>101141.37</v>
      </c>
      <c r="P1054" s="312">
        <v>5025.68</v>
      </c>
      <c r="Q1054" s="312">
        <v>220116.63999999998</v>
      </c>
      <c r="R1054" s="312">
        <v>56165.43</v>
      </c>
    </row>
    <row r="1055" spans="6:18">
      <c r="F1055" t="s">
        <v>2819</v>
      </c>
      <c r="G1055" s="312">
        <v>7.4399999999999995</v>
      </c>
      <c r="H1055" s="312">
        <v>352.61</v>
      </c>
      <c r="I1055" s="312">
        <v>60.61</v>
      </c>
      <c r="J1055" s="312">
        <v>494.51</v>
      </c>
      <c r="K1055" s="312">
        <v>646.49</v>
      </c>
      <c r="M1055" t="s">
        <v>2819</v>
      </c>
      <c r="N1055" s="312">
        <v>5375.3</v>
      </c>
      <c r="O1055" s="312">
        <v>345421.44</v>
      </c>
      <c r="P1055" s="312">
        <v>69908.14</v>
      </c>
      <c r="Q1055" s="312">
        <v>180178.74000000002</v>
      </c>
      <c r="R1055" s="312">
        <v>288515.5</v>
      </c>
    </row>
    <row r="1056" spans="6:18">
      <c r="F1056" t="s">
        <v>2820</v>
      </c>
      <c r="G1056" s="312">
        <v>13.66</v>
      </c>
      <c r="H1056" s="312">
        <v>291.47000000000003</v>
      </c>
      <c r="I1056" s="312">
        <v>42.4</v>
      </c>
      <c r="J1056" s="312">
        <v>333.35</v>
      </c>
      <c r="K1056" s="312">
        <v>429.61</v>
      </c>
      <c r="M1056" t="s">
        <v>2820</v>
      </c>
      <c r="N1056" s="312">
        <v>8703.11</v>
      </c>
      <c r="O1056" s="312">
        <v>213332.46</v>
      </c>
      <c r="P1056" s="312">
        <v>44979.68</v>
      </c>
      <c r="Q1056" s="312">
        <v>134949.98000000001</v>
      </c>
      <c r="R1056" s="312">
        <v>223622.80000000002</v>
      </c>
    </row>
    <row r="1057" spans="6:18">
      <c r="F1057" t="s">
        <v>2821</v>
      </c>
      <c r="G1057" s="312">
        <v>23.61</v>
      </c>
      <c r="H1057" s="312">
        <v>368.18</v>
      </c>
      <c r="I1057" s="312">
        <v>26.68</v>
      </c>
      <c r="J1057" s="312">
        <v>395.74</v>
      </c>
      <c r="K1057" s="312">
        <v>454.45000000000005</v>
      </c>
      <c r="M1057" t="s">
        <v>2821</v>
      </c>
      <c r="N1057" s="312">
        <v>12540.320000000002</v>
      </c>
      <c r="O1057" s="312">
        <v>232046.78999999998</v>
      </c>
      <c r="P1057" s="312">
        <v>13885.45</v>
      </c>
      <c r="Q1057" s="312">
        <v>212043.5</v>
      </c>
      <c r="R1057" s="312">
        <v>155291.56</v>
      </c>
    </row>
    <row r="1058" spans="6:18">
      <c r="F1058" t="s">
        <v>2822</v>
      </c>
      <c r="G1058" s="312">
        <v>16.03</v>
      </c>
      <c r="H1058" s="312">
        <v>342.87</v>
      </c>
      <c r="I1058" s="312">
        <v>50.52</v>
      </c>
      <c r="J1058" s="312">
        <v>541.16</v>
      </c>
      <c r="K1058" s="312">
        <v>457.01</v>
      </c>
      <c r="M1058" t="s">
        <v>2822</v>
      </c>
      <c r="N1058" s="312">
        <v>7793.59</v>
      </c>
      <c r="O1058" s="312">
        <v>175279.03999999998</v>
      </c>
      <c r="P1058" s="312">
        <v>34825.35</v>
      </c>
      <c r="Q1058" s="312">
        <v>269193.39999999997</v>
      </c>
      <c r="R1058" s="312">
        <v>160698.62</v>
      </c>
    </row>
    <row r="1059" spans="6:18">
      <c r="F1059" t="s">
        <v>2823</v>
      </c>
      <c r="G1059" s="312">
        <v>33.510000000000005</v>
      </c>
      <c r="H1059" s="312">
        <v>298.35000000000002</v>
      </c>
      <c r="I1059" s="312">
        <v>42.56</v>
      </c>
      <c r="J1059" s="312">
        <v>554.41</v>
      </c>
      <c r="K1059" s="312">
        <v>611.79999999999995</v>
      </c>
      <c r="M1059" t="s">
        <v>2823</v>
      </c>
      <c r="N1059" s="312">
        <v>17006.7</v>
      </c>
      <c r="O1059" s="312">
        <v>165805.01</v>
      </c>
      <c r="P1059" s="312">
        <v>20112.189999999999</v>
      </c>
      <c r="Q1059" s="312">
        <v>268562.58</v>
      </c>
      <c r="R1059" s="312">
        <v>188120.47999999998</v>
      </c>
    </row>
    <row r="1060" spans="6:18">
      <c r="F1060" t="s">
        <v>2824</v>
      </c>
      <c r="G1060" s="312">
        <v>20.119999999999997</v>
      </c>
      <c r="H1060" s="312">
        <v>230.02999999999997</v>
      </c>
      <c r="I1060" s="312">
        <v>25.75</v>
      </c>
      <c r="J1060" s="312">
        <v>208.3</v>
      </c>
      <c r="K1060" s="312">
        <v>301.96999999999997</v>
      </c>
      <c r="M1060" t="s">
        <v>2824</v>
      </c>
      <c r="N1060" s="312">
        <v>7681.3799999999992</v>
      </c>
      <c r="O1060" s="312">
        <v>159283.56</v>
      </c>
      <c r="P1060" s="312">
        <v>15728.2</v>
      </c>
      <c r="Q1060" s="312">
        <v>96064.37999999999</v>
      </c>
      <c r="R1060" s="312">
        <v>81358.06</v>
      </c>
    </row>
    <row r="1061" spans="6:18">
      <c r="F1061" t="s">
        <v>2825</v>
      </c>
      <c r="G1061" s="312">
        <v>31.16</v>
      </c>
      <c r="H1061" s="312">
        <v>185.07</v>
      </c>
      <c r="I1061" s="312">
        <v>9.49</v>
      </c>
      <c r="J1061" s="312">
        <v>295.11</v>
      </c>
      <c r="K1061" s="312">
        <v>212.47000000000003</v>
      </c>
      <c r="M1061" t="s">
        <v>2825</v>
      </c>
      <c r="N1061" s="312">
        <v>24480.379999999997</v>
      </c>
      <c r="O1061" s="312">
        <v>99714.64</v>
      </c>
      <c r="P1061" s="312">
        <v>5145.96</v>
      </c>
      <c r="Q1061" s="312">
        <v>138291.16999999998</v>
      </c>
      <c r="R1061" s="312">
        <v>93464.36</v>
      </c>
    </row>
    <row r="1062" spans="6:18">
      <c r="F1062" t="s">
        <v>2826</v>
      </c>
      <c r="G1062" s="312">
        <v>30.61</v>
      </c>
      <c r="H1062" s="312">
        <v>481.83</v>
      </c>
      <c r="I1062" s="312">
        <v>75.430000000000007</v>
      </c>
      <c r="J1062" s="312">
        <v>510.08</v>
      </c>
      <c r="K1062" s="312">
        <v>731.37</v>
      </c>
      <c r="M1062" t="s">
        <v>2826</v>
      </c>
      <c r="N1062" s="312">
        <v>19267.099999999999</v>
      </c>
      <c r="O1062" s="312">
        <v>290568.08999999997</v>
      </c>
      <c r="P1062" s="312">
        <v>67363.600000000006</v>
      </c>
      <c r="Q1062" s="312">
        <v>237620.03</v>
      </c>
      <c r="R1062" s="312">
        <v>262742.29000000004</v>
      </c>
    </row>
    <row r="1063" spans="6:18">
      <c r="F1063" t="s">
        <v>2827</v>
      </c>
      <c r="G1063" s="312">
        <v>13.120000000000001</v>
      </c>
      <c r="H1063" s="312">
        <v>408.81000000000006</v>
      </c>
      <c r="I1063" s="312">
        <v>54.78</v>
      </c>
      <c r="J1063" s="312">
        <v>486.61</v>
      </c>
      <c r="K1063" s="312">
        <v>758.18000000000006</v>
      </c>
      <c r="M1063" t="s">
        <v>2827</v>
      </c>
      <c r="N1063" s="312">
        <v>6341.84</v>
      </c>
      <c r="O1063" s="312">
        <v>219779.31</v>
      </c>
      <c r="P1063" s="312">
        <v>29012.47</v>
      </c>
      <c r="Q1063" s="312">
        <v>266481.40999999997</v>
      </c>
      <c r="R1063" s="312">
        <v>304380.65000000002</v>
      </c>
    </row>
    <row r="1064" spans="6:18">
      <c r="F1064" t="s">
        <v>2828</v>
      </c>
      <c r="G1064" s="312">
        <v>28.93</v>
      </c>
      <c r="H1064" s="312">
        <v>379.42</v>
      </c>
      <c r="I1064" s="312">
        <v>41.3</v>
      </c>
      <c r="J1064" s="312">
        <v>544.27</v>
      </c>
      <c r="K1064" s="312">
        <v>678.29</v>
      </c>
      <c r="M1064" t="s">
        <v>2828</v>
      </c>
      <c r="N1064" s="312">
        <v>17105.489999999998</v>
      </c>
      <c r="O1064" s="312">
        <v>208838.88</v>
      </c>
      <c r="P1064" s="312">
        <v>53867.72</v>
      </c>
      <c r="Q1064" s="312">
        <v>215532.47</v>
      </c>
      <c r="R1064" s="312">
        <v>213823.85</v>
      </c>
    </row>
    <row r="1065" spans="6:18">
      <c r="F1065" t="s">
        <v>2829</v>
      </c>
      <c r="G1065" s="312">
        <v>43.95</v>
      </c>
      <c r="H1065" s="312">
        <v>709.7</v>
      </c>
      <c r="I1065" s="312">
        <v>70.040000000000006</v>
      </c>
      <c r="J1065" s="312">
        <v>218.51</v>
      </c>
      <c r="K1065" s="312">
        <v>713.02</v>
      </c>
      <c r="M1065" t="s">
        <v>2829</v>
      </c>
      <c r="N1065" s="312">
        <v>19072.93</v>
      </c>
      <c r="O1065" s="312">
        <v>356413.32</v>
      </c>
      <c r="P1065" s="312">
        <v>54051.74</v>
      </c>
      <c r="Q1065" s="312">
        <v>66383.63</v>
      </c>
      <c r="R1065" s="312">
        <v>218822.2</v>
      </c>
    </row>
    <row r="1066" spans="6:18">
      <c r="F1066" t="s">
        <v>2830</v>
      </c>
      <c r="G1066" s="312">
        <v>79.069999999999993</v>
      </c>
      <c r="H1066" s="312">
        <v>748.12</v>
      </c>
      <c r="I1066" s="312">
        <v>68.62</v>
      </c>
      <c r="J1066" s="312">
        <v>584.71</v>
      </c>
      <c r="K1066" s="312">
        <v>1427.17</v>
      </c>
      <c r="M1066" t="s">
        <v>2830</v>
      </c>
      <c r="N1066" s="312">
        <v>37032.379999999997</v>
      </c>
      <c r="O1066" s="312">
        <v>400897.49</v>
      </c>
      <c r="P1066" s="312">
        <v>28115.22</v>
      </c>
      <c r="Q1066" s="312">
        <v>170136.5</v>
      </c>
      <c r="R1066" s="312">
        <v>447141.12</v>
      </c>
    </row>
    <row r="1067" spans="6:18">
      <c r="F1067" t="s">
        <v>2831</v>
      </c>
      <c r="G1067" s="312">
        <v>43.49</v>
      </c>
      <c r="H1067" s="312">
        <v>567.36</v>
      </c>
      <c r="I1067" s="312">
        <v>52.17</v>
      </c>
      <c r="J1067" s="312">
        <v>339.85</v>
      </c>
      <c r="K1067" s="312">
        <v>965.68000000000006</v>
      </c>
      <c r="M1067" t="s">
        <v>2831</v>
      </c>
      <c r="N1067" s="312">
        <v>18029.78</v>
      </c>
      <c r="O1067" s="312">
        <v>263205.42</v>
      </c>
      <c r="P1067" s="312">
        <v>30386.05</v>
      </c>
      <c r="Q1067" s="312">
        <v>119736.13</v>
      </c>
      <c r="R1067" s="312">
        <v>288044.89</v>
      </c>
    </row>
    <row r="1068" spans="6:18">
      <c r="F1068" t="s">
        <v>2832</v>
      </c>
      <c r="G1068" s="312">
        <v>21.33</v>
      </c>
      <c r="H1068" s="312">
        <v>446.56000000000006</v>
      </c>
      <c r="I1068" s="312">
        <v>29.28</v>
      </c>
      <c r="J1068" s="312">
        <v>308.44</v>
      </c>
      <c r="K1068" s="312">
        <v>570.22</v>
      </c>
      <c r="M1068" t="s">
        <v>2832</v>
      </c>
      <c r="N1068" s="312">
        <v>13471.77</v>
      </c>
      <c r="O1068" s="312">
        <v>211907.83000000002</v>
      </c>
      <c r="P1068" s="312">
        <v>19912.84</v>
      </c>
      <c r="Q1068" s="312">
        <v>117563.31</v>
      </c>
      <c r="R1068" s="312">
        <v>171248.86</v>
      </c>
    </row>
    <row r="1069" spans="6:18">
      <c r="F1069" t="s">
        <v>2833</v>
      </c>
      <c r="G1069" s="312">
        <v>43.81</v>
      </c>
      <c r="H1069" s="312">
        <v>656.81</v>
      </c>
      <c r="I1069" s="312">
        <v>50.71</v>
      </c>
      <c r="J1069" s="312">
        <v>755.49</v>
      </c>
      <c r="K1069" s="312">
        <v>771.97</v>
      </c>
      <c r="M1069" t="s">
        <v>2833</v>
      </c>
      <c r="N1069" s="312">
        <v>16734.11</v>
      </c>
      <c r="O1069" s="312">
        <v>331503.87</v>
      </c>
      <c r="P1069" s="312">
        <v>41011.379999999997</v>
      </c>
      <c r="Q1069" s="312">
        <v>291096.25</v>
      </c>
      <c r="R1069" s="312">
        <v>232509.16</v>
      </c>
    </row>
    <row r="1070" spans="6:18">
      <c r="F1070" t="s">
        <v>2834</v>
      </c>
      <c r="G1070" s="312">
        <v>32.61</v>
      </c>
      <c r="H1070" s="312">
        <v>462.99</v>
      </c>
      <c r="I1070" s="312">
        <v>31.64</v>
      </c>
      <c r="J1070" s="312">
        <v>584.21</v>
      </c>
      <c r="K1070" s="312">
        <v>738.82</v>
      </c>
      <c r="M1070" t="s">
        <v>2834</v>
      </c>
      <c r="N1070" s="312">
        <v>23712.769999999997</v>
      </c>
      <c r="O1070" s="312">
        <v>255037.81</v>
      </c>
      <c r="P1070" s="312">
        <v>22415.030000000002</v>
      </c>
      <c r="Q1070" s="312">
        <v>206904.85</v>
      </c>
      <c r="R1070" s="312">
        <v>201377.19999999998</v>
      </c>
    </row>
    <row r="1071" spans="6:18">
      <c r="F1071" t="s">
        <v>2835</v>
      </c>
      <c r="G1071" s="312">
        <v>26.52</v>
      </c>
      <c r="H1071" s="312">
        <v>348.29</v>
      </c>
      <c r="I1071" s="312">
        <v>31.15</v>
      </c>
      <c r="J1071" s="312">
        <v>511.4</v>
      </c>
      <c r="K1071" s="312">
        <v>546.39</v>
      </c>
      <c r="M1071" t="s">
        <v>2835</v>
      </c>
      <c r="N1071" s="312">
        <v>13616.529999999999</v>
      </c>
      <c r="O1071" s="312">
        <v>148788.63</v>
      </c>
      <c r="P1071" s="312">
        <v>18822.800000000003</v>
      </c>
      <c r="Q1071" s="312">
        <v>152881.09</v>
      </c>
      <c r="R1071" s="312">
        <v>178746.21</v>
      </c>
    </row>
    <row r="1072" spans="6:18">
      <c r="F1072" t="s">
        <v>2836</v>
      </c>
      <c r="G1072" s="312">
        <v>55.84</v>
      </c>
      <c r="H1072" s="312">
        <v>347.22</v>
      </c>
      <c r="I1072" s="312">
        <v>26.43</v>
      </c>
      <c r="J1072" s="312">
        <v>638.31000000000006</v>
      </c>
      <c r="K1072" s="312">
        <v>488.24</v>
      </c>
      <c r="M1072" t="s">
        <v>2836</v>
      </c>
      <c r="N1072" s="312">
        <v>18864.55</v>
      </c>
      <c r="O1072" s="312">
        <v>150789.16999999998</v>
      </c>
      <c r="P1072" s="312">
        <v>19212.02</v>
      </c>
      <c r="Q1072" s="312">
        <v>229296.81</v>
      </c>
      <c r="R1072" s="312">
        <v>141438.13</v>
      </c>
    </row>
    <row r="1073" spans="6:18">
      <c r="F1073" t="s">
        <v>2837</v>
      </c>
      <c r="G1073" s="312">
        <v>30.47</v>
      </c>
      <c r="H1073" s="312">
        <v>365.75</v>
      </c>
      <c r="I1073" s="312">
        <v>41.319999999999993</v>
      </c>
      <c r="J1073" s="312">
        <v>599.89</v>
      </c>
      <c r="K1073" s="312">
        <v>437.42</v>
      </c>
      <c r="M1073" t="s">
        <v>2837</v>
      </c>
      <c r="N1073" s="312">
        <v>9457.24</v>
      </c>
      <c r="O1073" s="312">
        <v>208853.21000000002</v>
      </c>
      <c r="P1073" s="312">
        <v>39783.79</v>
      </c>
      <c r="Q1073" s="312">
        <v>324840.43</v>
      </c>
      <c r="R1073" s="312">
        <v>141744.71</v>
      </c>
    </row>
    <row r="1074" spans="6:18">
      <c r="F1074" t="s">
        <v>2838</v>
      </c>
      <c r="G1074" s="312">
        <v>41.19</v>
      </c>
      <c r="H1074" s="312">
        <v>251.15</v>
      </c>
      <c r="I1074" s="312">
        <v>18.170000000000002</v>
      </c>
      <c r="J1074" s="312">
        <v>281.93</v>
      </c>
      <c r="K1074" s="312">
        <v>469.54999999999995</v>
      </c>
      <c r="M1074" t="s">
        <v>2838</v>
      </c>
      <c r="N1074" s="312">
        <v>17009.72</v>
      </c>
      <c r="O1074" s="312">
        <v>125740.04</v>
      </c>
      <c r="P1074" s="312">
        <v>11929.29</v>
      </c>
      <c r="Q1074" s="312">
        <v>157907.88</v>
      </c>
      <c r="R1074" s="312">
        <v>175741.44</v>
      </c>
    </row>
    <row r="1075" spans="6:18">
      <c r="F1075" t="s">
        <v>2839</v>
      </c>
      <c r="G1075" s="312">
        <v>38.950000000000003</v>
      </c>
      <c r="H1075" s="312">
        <v>308.95</v>
      </c>
      <c r="I1075" s="312">
        <v>10.49</v>
      </c>
      <c r="J1075" s="312">
        <v>290.24</v>
      </c>
      <c r="K1075" s="312">
        <v>516.4</v>
      </c>
      <c r="M1075" t="s">
        <v>2839</v>
      </c>
      <c r="N1075" s="312">
        <v>18262.71</v>
      </c>
      <c r="O1075" s="312">
        <v>145117.52000000002</v>
      </c>
      <c r="P1075" s="312">
        <v>11390.71</v>
      </c>
      <c r="Q1075" s="312">
        <v>208969.62</v>
      </c>
      <c r="R1075" s="312">
        <v>199262.31</v>
      </c>
    </row>
    <row r="1076" spans="6:18">
      <c r="F1076" t="s">
        <v>2840</v>
      </c>
      <c r="G1076" s="312">
        <v>42.78</v>
      </c>
      <c r="H1076" s="312">
        <v>483.36</v>
      </c>
      <c r="I1076" s="312">
        <v>39.909999999999997</v>
      </c>
      <c r="J1076" s="312">
        <v>665.43000000000006</v>
      </c>
      <c r="K1076" s="312">
        <v>690.6</v>
      </c>
      <c r="M1076" t="s">
        <v>2840</v>
      </c>
      <c r="N1076" s="312">
        <v>25052.19</v>
      </c>
      <c r="O1076" s="312">
        <v>279433.73</v>
      </c>
      <c r="P1076" s="312">
        <v>40523.440000000002</v>
      </c>
      <c r="Q1076" s="312">
        <v>295093.55</v>
      </c>
      <c r="R1076" s="312">
        <v>257807.25</v>
      </c>
    </row>
    <row r="1077" spans="6:18">
      <c r="F1077" t="s">
        <v>2841</v>
      </c>
      <c r="G1077" s="312">
        <v>40.47</v>
      </c>
      <c r="H1077" s="312">
        <v>522.64</v>
      </c>
      <c r="I1077" s="312">
        <v>94.19</v>
      </c>
      <c r="J1077" s="312">
        <v>445.28999999999996</v>
      </c>
      <c r="K1077" s="312">
        <v>674.7</v>
      </c>
      <c r="M1077" t="s">
        <v>2841</v>
      </c>
      <c r="N1077" s="312">
        <v>11230.150000000001</v>
      </c>
      <c r="O1077" s="312">
        <v>280471.08</v>
      </c>
      <c r="P1077" s="312">
        <v>53638.92</v>
      </c>
      <c r="Q1077" s="312">
        <v>222110.16</v>
      </c>
      <c r="R1077" s="312">
        <v>224611.8</v>
      </c>
    </row>
    <row r="1078" spans="6:18">
      <c r="F1078" t="s">
        <v>2842</v>
      </c>
      <c r="G1078" s="312">
        <v>51.88</v>
      </c>
      <c r="H1078" s="312">
        <v>519.76</v>
      </c>
      <c r="I1078" s="312">
        <v>39.519999999999996</v>
      </c>
      <c r="J1078" s="312">
        <v>435.67</v>
      </c>
      <c r="K1078" s="312">
        <v>624.91999999999996</v>
      </c>
      <c r="M1078" t="s">
        <v>2842</v>
      </c>
      <c r="N1078" s="312">
        <v>25757.980000000003</v>
      </c>
      <c r="O1078" s="312">
        <v>276369.21000000002</v>
      </c>
      <c r="P1078" s="312">
        <v>29569.379999999997</v>
      </c>
      <c r="Q1078" s="312">
        <v>203336.36000000002</v>
      </c>
      <c r="R1078" s="312">
        <v>201395.15000000002</v>
      </c>
    </row>
    <row r="1079" spans="6:18">
      <c r="F1079" t="s">
        <v>2843</v>
      </c>
      <c r="G1079" s="312">
        <v>33.409999999999997</v>
      </c>
      <c r="H1079" s="312">
        <v>409.21</v>
      </c>
      <c r="I1079" s="312">
        <v>33.42</v>
      </c>
      <c r="J1079" s="312">
        <v>651.56000000000006</v>
      </c>
      <c r="K1079" s="312">
        <v>925.73</v>
      </c>
      <c r="M1079" t="s">
        <v>2843</v>
      </c>
      <c r="N1079" s="312">
        <v>14981.220000000001</v>
      </c>
      <c r="O1079" s="312">
        <v>259517.85</v>
      </c>
      <c r="P1079" s="312">
        <v>23054.23</v>
      </c>
      <c r="Q1079" s="312">
        <v>274553.08999999997</v>
      </c>
      <c r="R1079" s="312">
        <v>319318.58</v>
      </c>
    </row>
    <row r="1080" spans="6:18">
      <c r="F1080" t="s">
        <v>2844</v>
      </c>
      <c r="G1080" s="312">
        <v>18.27</v>
      </c>
      <c r="H1080" s="312">
        <v>521.86</v>
      </c>
      <c r="I1080" s="312">
        <v>50.489999999999995</v>
      </c>
      <c r="J1080" s="312">
        <v>520.87</v>
      </c>
      <c r="K1080" s="312">
        <v>751.67000000000007</v>
      </c>
      <c r="M1080" t="s">
        <v>2844</v>
      </c>
      <c r="N1080" s="312">
        <v>7085.25</v>
      </c>
      <c r="O1080" s="312">
        <v>235705.57</v>
      </c>
      <c r="P1080" s="312">
        <v>42754.13</v>
      </c>
      <c r="Q1080" s="312">
        <v>204538.92</v>
      </c>
      <c r="R1080" s="312">
        <v>211187.06</v>
      </c>
    </row>
    <row r="1081" spans="6:18">
      <c r="F1081" t="s">
        <v>2845</v>
      </c>
      <c r="G1081" s="312">
        <v>13.2</v>
      </c>
      <c r="H1081" s="312">
        <v>401.78000000000003</v>
      </c>
      <c r="I1081" s="312">
        <v>64.92</v>
      </c>
      <c r="J1081" s="312">
        <v>344.97</v>
      </c>
      <c r="K1081" s="312">
        <v>589.97</v>
      </c>
      <c r="M1081" t="s">
        <v>2845</v>
      </c>
      <c r="N1081" s="312">
        <v>5403.62</v>
      </c>
      <c r="O1081" s="312">
        <v>177342.71</v>
      </c>
      <c r="P1081" s="312">
        <v>72673.240000000005</v>
      </c>
      <c r="Q1081" s="312">
        <v>164786.79</v>
      </c>
      <c r="R1081" s="312">
        <v>185016.41</v>
      </c>
    </row>
    <row r="1082" spans="6:18">
      <c r="F1082" t="s">
        <v>2846</v>
      </c>
      <c r="G1082" s="312">
        <v>30.88</v>
      </c>
      <c r="H1082" s="312">
        <v>308.89999999999998</v>
      </c>
      <c r="I1082" s="312">
        <v>21.810000000000002</v>
      </c>
      <c r="J1082" s="312">
        <v>277.31</v>
      </c>
      <c r="K1082" s="312">
        <v>521.41000000000008</v>
      </c>
      <c r="M1082" t="s">
        <v>2846</v>
      </c>
      <c r="N1082" s="312">
        <v>16663.59</v>
      </c>
      <c r="O1082" s="312">
        <v>117149.26999999999</v>
      </c>
      <c r="P1082" s="312">
        <v>14164.19</v>
      </c>
      <c r="Q1082" s="312">
        <v>115382.01000000001</v>
      </c>
      <c r="R1082" s="312">
        <v>149464.52000000002</v>
      </c>
    </row>
    <row r="1083" spans="6:18">
      <c r="F1083" t="s">
        <v>2847</v>
      </c>
      <c r="G1083" s="312">
        <v>24.669999999999998</v>
      </c>
      <c r="H1083" s="312">
        <v>522.06000000000006</v>
      </c>
      <c r="I1083" s="312">
        <v>100.78999999999999</v>
      </c>
      <c r="J1083" s="312">
        <v>511.84999999999997</v>
      </c>
      <c r="K1083" s="312">
        <v>698.18000000000006</v>
      </c>
      <c r="M1083" t="s">
        <v>2847</v>
      </c>
      <c r="N1083" s="312">
        <v>10952.03</v>
      </c>
      <c r="O1083" s="312">
        <v>314758.39</v>
      </c>
      <c r="P1083" s="312">
        <v>75722.83</v>
      </c>
      <c r="Q1083" s="312">
        <v>230944.97</v>
      </c>
      <c r="R1083" s="312">
        <v>191509.79</v>
      </c>
    </row>
    <row r="1084" spans="6:18">
      <c r="F1084" t="s">
        <v>2848</v>
      </c>
      <c r="G1084" s="312">
        <v>15.88</v>
      </c>
      <c r="H1084" s="312">
        <v>516.43000000000006</v>
      </c>
      <c r="I1084" s="312">
        <v>49.06</v>
      </c>
      <c r="J1084" s="312">
        <v>531.01</v>
      </c>
      <c r="K1084" s="312">
        <v>839.73</v>
      </c>
      <c r="M1084" t="s">
        <v>2848</v>
      </c>
      <c r="N1084" s="312">
        <v>5265.24</v>
      </c>
      <c r="O1084" s="312">
        <v>280228.65000000002</v>
      </c>
      <c r="P1084" s="312">
        <v>29867.52</v>
      </c>
      <c r="Q1084" s="312">
        <v>254597.4</v>
      </c>
      <c r="R1084" s="312">
        <v>298383.35999999999</v>
      </c>
    </row>
    <row r="1085" spans="6:18">
      <c r="F1085" t="s">
        <v>2849</v>
      </c>
      <c r="G1085" s="312">
        <v>15.07</v>
      </c>
      <c r="H1085" s="312">
        <v>336.82</v>
      </c>
      <c r="I1085" s="312">
        <v>48.929999999999993</v>
      </c>
      <c r="J1085" s="312">
        <v>504.56</v>
      </c>
      <c r="K1085" s="312">
        <v>536.42000000000007</v>
      </c>
      <c r="M1085" t="s">
        <v>2849</v>
      </c>
      <c r="N1085" s="312">
        <v>9677.01</v>
      </c>
      <c r="O1085" s="312">
        <v>158122.16999999998</v>
      </c>
      <c r="P1085" s="312">
        <v>32061.72</v>
      </c>
      <c r="Q1085" s="312">
        <v>247801.36000000002</v>
      </c>
      <c r="R1085" s="312">
        <v>188109.61</v>
      </c>
    </row>
    <row r="1086" spans="6:18">
      <c r="F1086" t="s">
        <v>2850</v>
      </c>
      <c r="G1086" s="312">
        <v>8.8099999999999987</v>
      </c>
      <c r="H1086" s="312">
        <v>388.95000000000005</v>
      </c>
      <c r="I1086" s="312">
        <v>64.56</v>
      </c>
      <c r="J1086" s="312">
        <v>237.35</v>
      </c>
      <c r="K1086" s="312">
        <v>870.26</v>
      </c>
      <c r="M1086" t="s">
        <v>2850</v>
      </c>
      <c r="N1086" s="312">
        <v>3363.24</v>
      </c>
      <c r="O1086" s="312">
        <v>217918.5</v>
      </c>
      <c r="P1086" s="312">
        <v>26352.43</v>
      </c>
      <c r="Q1086" s="312">
        <v>118322.14</v>
      </c>
      <c r="R1086" s="312">
        <v>290162.81</v>
      </c>
    </row>
    <row r="1087" spans="6:18">
      <c r="F1087" t="s">
        <v>2851</v>
      </c>
      <c r="G1087" s="312">
        <v>16.14</v>
      </c>
      <c r="H1087" s="312">
        <v>400.15999999999997</v>
      </c>
      <c r="I1087" s="312">
        <v>56.32</v>
      </c>
      <c r="J1087" s="312">
        <v>384.69</v>
      </c>
      <c r="K1087" s="312">
        <v>1048.6500000000001</v>
      </c>
      <c r="M1087" t="s">
        <v>2851</v>
      </c>
      <c r="N1087" s="312">
        <v>7909.2900000000009</v>
      </c>
      <c r="O1087" s="312">
        <v>173727.08000000002</v>
      </c>
      <c r="P1087" s="312">
        <v>34129.03</v>
      </c>
      <c r="Q1087" s="312">
        <v>159039.76999999999</v>
      </c>
      <c r="R1087" s="312">
        <v>360406.47</v>
      </c>
    </row>
    <row r="1088" spans="6:18">
      <c r="F1088" t="s">
        <v>2852</v>
      </c>
      <c r="G1088" s="312">
        <v>21.37</v>
      </c>
      <c r="H1088" s="312">
        <v>289.06</v>
      </c>
      <c r="I1088" s="312">
        <v>34.769999999999996</v>
      </c>
      <c r="J1088" s="312">
        <v>363.82</v>
      </c>
      <c r="K1088" s="312">
        <v>660.33999999999992</v>
      </c>
      <c r="M1088" t="s">
        <v>2852</v>
      </c>
      <c r="N1088" s="312">
        <v>12093</v>
      </c>
      <c r="O1088" s="312">
        <v>148713.68</v>
      </c>
      <c r="P1088" s="312">
        <v>19597.910000000003</v>
      </c>
      <c r="Q1088" s="312">
        <v>197152.56</v>
      </c>
      <c r="R1088" s="312">
        <v>232657.46</v>
      </c>
    </row>
    <row r="1089" spans="6:18">
      <c r="F1089" t="s">
        <v>2853</v>
      </c>
      <c r="G1089" s="312">
        <v>13.64</v>
      </c>
      <c r="H1089" s="312">
        <v>181.03</v>
      </c>
      <c r="I1089" s="312">
        <v>11.93</v>
      </c>
      <c r="J1089" s="312">
        <v>240.07</v>
      </c>
      <c r="K1089" s="312">
        <v>485.26</v>
      </c>
      <c r="M1089" t="s">
        <v>2853</v>
      </c>
      <c r="N1089" s="312">
        <v>4212.3900000000003</v>
      </c>
      <c r="O1089" s="312">
        <v>87030</v>
      </c>
      <c r="P1089" s="312">
        <v>4158.05</v>
      </c>
      <c r="Q1089" s="312">
        <v>105127.35</v>
      </c>
      <c r="R1089" s="312">
        <v>182500.59</v>
      </c>
    </row>
    <row r="1090" spans="6:18">
      <c r="F1090" t="s">
        <v>2854</v>
      </c>
      <c r="G1090" s="312">
        <v>14.85</v>
      </c>
      <c r="H1090" s="312">
        <v>311.74</v>
      </c>
      <c r="I1090" s="312">
        <v>71.22</v>
      </c>
      <c r="J1090" s="312">
        <v>573.73</v>
      </c>
      <c r="K1090" s="312">
        <v>1620.2599999999998</v>
      </c>
      <c r="M1090" t="s">
        <v>2854</v>
      </c>
      <c r="N1090" s="312">
        <v>6973.7</v>
      </c>
      <c r="O1090" s="312">
        <v>171610.41999999998</v>
      </c>
      <c r="P1090" s="312">
        <v>50172.2</v>
      </c>
      <c r="Q1090" s="312">
        <v>230887.62</v>
      </c>
      <c r="R1090" s="312">
        <v>424584</v>
      </c>
    </row>
    <row r="1091" spans="6:18">
      <c r="F1091" t="s">
        <v>2855</v>
      </c>
      <c r="G1091" s="312">
        <v>20.759999999999998</v>
      </c>
      <c r="H1091" s="312">
        <v>343.90000000000003</v>
      </c>
      <c r="I1091" s="312">
        <v>39.14</v>
      </c>
      <c r="J1091" s="312">
        <v>441.76</v>
      </c>
      <c r="K1091" s="312">
        <v>978.28</v>
      </c>
      <c r="M1091" t="s">
        <v>2855</v>
      </c>
      <c r="N1091" s="312">
        <v>12286.55</v>
      </c>
      <c r="O1091" s="312">
        <v>186949.16999999998</v>
      </c>
      <c r="P1091" s="312">
        <v>28941.379999999997</v>
      </c>
      <c r="Q1091" s="312">
        <v>196475.42</v>
      </c>
      <c r="R1091" s="312">
        <v>329044.83</v>
      </c>
    </row>
    <row r="1092" spans="6:18">
      <c r="F1092" t="s">
        <v>2856</v>
      </c>
      <c r="G1092" s="312">
        <v>29.590000000000003</v>
      </c>
      <c r="H1092" s="312">
        <v>359.23</v>
      </c>
      <c r="I1092" s="312">
        <v>23.88</v>
      </c>
      <c r="J1092" s="312">
        <v>519.29000000000008</v>
      </c>
      <c r="K1092" s="312">
        <v>783.08</v>
      </c>
      <c r="M1092" t="s">
        <v>2856</v>
      </c>
      <c r="N1092" s="312">
        <v>9096.11</v>
      </c>
      <c r="O1092" s="312">
        <v>174808.79</v>
      </c>
      <c r="P1092" s="312">
        <v>15275.79</v>
      </c>
      <c r="Q1092" s="312">
        <v>231203.63999999998</v>
      </c>
      <c r="R1092" s="312">
        <v>267266.36</v>
      </c>
    </row>
    <row r="1093" spans="6:18">
      <c r="F1093" t="s">
        <v>2857</v>
      </c>
      <c r="G1093" s="312">
        <v>21.73</v>
      </c>
      <c r="H1093" s="312">
        <v>287.59000000000003</v>
      </c>
      <c r="I1093" s="312">
        <v>10.76</v>
      </c>
      <c r="J1093" s="312">
        <v>323.90999999999997</v>
      </c>
      <c r="K1093" s="312">
        <v>586.29</v>
      </c>
      <c r="M1093" t="s">
        <v>2857</v>
      </c>
      <c r="N1093" s="312">
        <v>10932.189999999999</v>
      </c>
      <c r="O1093" s="312">
        <v>156003.53</v>
      </c>
      <c r="P1093" s="312">
        <v>6109.59</v>
      </c>
      <c r="Q1093" s="312">
        <v>173757.34000000003</v>
      </c>
      <c r="R1093" s="312">
        <v>157763.96000000002</v>
      </c>
    </row>
    <row r="1094" spans="6:18">
      <c r="F1094" t="s">
        <v>2858</v>
      </c>
      <c r="G1094" s="312">
        <v>17.02</v>
      </c>
      <c r="H1094" s="312">
        <v>201.71</v>
      </c>
      <c r="I1094" s="312">
        <v>12.36</v>
      </c>
      <c r="J1094" s="312">
        <v>81.37</v>
      </c>
      <c r="K1094" s="312">
        <v>619.54</v>
      </c>
      <c r="M1094" t="s">
        <v>2858</v>
      </c>
      <c r="N1094" s="312">
        <v>8693.08</v>
      </c>
      <c r="O1094" s="312">
        <v>120837.9</v>
      </c>
      <c r="P1094" s="312">
        <v>8468.25</v>
      </c>
      <c r="Q1094" s="312">
        <v>23588.34</v>
      </c>
      <c r="R1094" s="312">
        <v>202167.81</v>
      </c>
    </row>
    <row r="1095" spans="6:18">
      <c r="F1095" t="s">
        <v>2859</v>
      </c>
      <c r="G1095" s="312">
        <v>15.959999999999999</v>
      </c>
      <c r="H1095" s="312">
        <v>217.33</v>
      </c>
      <c r="I1095" s="312">
        <v>31.619999999999997</v>
      </c>
      <c r="J1095" s="312">
        <v>231.34</v>
      </c>
      <c r="K1095" s="312">
        <v>541.57999999999993</v>
      </c>
      <c r="M1095" t="s">
        <v>2859</v>
      </c>
      <c r="N1095" s="312">
        <v>6745.63</v>
      </c>
      <c r="O1095" s="312">
        <v>105557.92</v>
      </c>
      <c r="P1095" s="312">
        <v>21954.639999999999</v>
      </c>
      <c r="Q1095" s="312">
        <v>158780.12</v>
      </c>
      <c r="R1095" s="312">
        <v>158431.95000000001</v>
      </c>
    </row>
    <row r="1096" spans="6:18">
      <c r="F1096" t="s">
        <v>2860</v>
      </c>
      <c r="G1096" s="312">
        <v>9.6999999999999993</v>
      </c>
      <c r="H1096" s="312">
        <v>248.08</v>
      </c>
      <c r="I1096" s="312">
        <v>62.69</v>
      </c>
      <c r="J1096" s="312">
        <v>355.29</v>
      </c>
      <c r="K1096" s="312">
        <v>744.31</v>
      </c>
      <c r="M1096" t="s">
        <v>2860</v>
      </c>
      <c r="N1096" s="312">
        <v>5592.52</v>
      </c>
      <c r="O1096" s="312">
        <v>123687.09</v>
      </c>
      <c r="P1096" s="312">
        <v>40878.86</v>
      </c>
      <c r="Q1096" s="312">
        <v>154226.43</v>
      </c>
      <c r="R1096" s="312">
        <v>227669.67</v>
      </c>
    </row>
    <row r="1097" spans="6:18">
      <c r="F1097" t="s">
        <v>2861</v>
      </c>
      <c r="G1097" s="312">
        <v>17.34</v>
      </c>
      <c r="H1097" s="312">
        <v>370.62</v>
      </c>
      <c r="I1097" s="312">
        <v>49.690000000000005</v>
      </c>
      <c r="J1097" s="312">
        <v>458.63</v>
      </c>
      <c r="K1097" s="312">
        <v>674.1</v>
      </c>
      <c r="M1097" t="s">
        <v>2861</v>
      </c>
      <c r="N1097" s="312">
        <v>8585.75</v>
      </c>
      <c r="O1097" s="312">
        <v>204421.77</v>
      </c>
      <c r="P1097" s="312">
        <v>36425.620000000003</v>
      </c>
      <c r="Q1097" s="312">
        <v>210840.44</v>
      </c>
      <c r="R1097" s="312">
        <v>223428.65</v>
      </c>
    </row>
    <row r="1098" spans="6:18">
      <c r="F1098" t="s">
        <v>2862</v>
      </c>
      <c r="G1098" s="312">
        <v>56.910000000000004</v>
      </c>
      <c r="H1098" s="312">
        <v>289.75</v>
      </c>
      <c r="I1098" s="312">
        <v>55.06</v>
      </c>
      <c r="J1098" s="312">
        <v>629.12</v>
      </c>
      <c r="K1098" s="312">
        <v>434.83000000000004</v>
      </c>
      <c r="M1098" t="s">
        <v>2862</v>
      </c>
      <c r="N1098" s="312">
        <v>37791.269999999997</v>
      </c>
      <c r="O1098" s="312">
        <v>149934.07999999999</v>
      </c>
      <c r="P1098" s="312">
        <v>51714.12</v>
      </c>
      <c r="Q1098" s="312">
        <v>216880.47999999998</v>
      </c>
      <c r="R1098" s="312">
        <v>179184.59000000003</v>
      </c>
    </row>
    <row r="1099" spans="6:18">
      <c r="F1099" t="s">
        <v>2863</v>
      </c>
      <c r="G1099" s="312">
        <v>23.34</v>
      </c>
      <c r="H1099" s="312">
        <v>295.27</v>
      </c>
      <c r="I1099" s="312">
        <v>61.929999999999993</v>
      </c>
      <c r="J1099" s="312">
        <v>442.47</v>
      </c>
      <c r="K1099" s="312">
        <v>582.91999999999996</v>
      </c>
      <c r="M1099" t="s">
        <v>2863</v>
      </c>
      <c r="N1099" s="312">
        <v>8930.4</v>
      </c>
      <c r="O1099" s="312">
        <v>152500.62</v>
      </c>
      <c r="P1099" s="312">
        <v>36125.380000000005</v>
      </c>
      <c r="Q1099" s="312">
        <v>184762.67</v>
      </c>
      <c r="R1099" s="312">
        <v>199588.5</v>
      </c>
    </row>
    <row r="1100" spans="6:18">
      <c r="F1100" t="s">
        <v>2864</v>
      </c>
      <c r="G1100" s="312">
        <v>6.37</v>
      </c>
      <c r="H1100" s="312">
        <v>262.39</v>
      </c>
      <c r="I1100" s="312">
        <v>23.23</v>
      </c>
      <c r="J1100" s="312">
        <v>464.62</v>
      </c>
      <c r="K1100" s="312">
        <v>479.51</v>
      </c>
      <c r="M1100" t="s">
        <v>2864</v>
      </c>
      <c r="N1100" s="312">
        <v>2412.9700000000003</v>
      </c>
      <c r="O1100" s="312">
        <v>115272.28</v>
      </c>
      <c r="P1100" s="312">
        <v>27567.370000000003</v>
      </c>
      <c r="Q1100" s="312">
        <v>275189.64</v>
      </c>
      <c r="R1100" s="312">
        <v>177743.63</v>
      </c>
    </row>
    <row r="1101" spans="6:18">
      <c r="F1101" t="s">
        <v>2865</v>
      </c>
      <c r="G1101" s="312">
        <v>19.57</v>
      </c>
      <c r="H1101" s="312">
        <v>192.71</v>
      </c>
      <c r="I1101" s="312">
        <v>17.059999999999999</v>
      </c>
      <c r="J1101" s="312">
        <v>167.64</v>
      </c>
      <c r="K1101" s="312">
        <v>335.75</v>
      </c>
      <c r="M1101" t="s">
        <v>2865</v>
      </c>
      <c r="N1101" s="312">
        <v>10652.65</v>
      </c>
      <c r="O1101" s="312">
        <v>106441.02</v>
      </c>
      <c r="P1101" s="312">
        <v>10500.6</v>
      </c>
      <c r="Q1101" s="312">
        <v>69531.540000000008</v>
      </c>
      <c r="R1101" s="312">
        <v>108201.65</v>
      </c>
    </row>
    <row r="1102" spans="6:18">
      <c r="F1102" t="s">
        <v>2866</v>
      </c>
      <c r="G1102" s="312">
        <v>20.009999999999998</v>
      </c>
      <c r="H1102" s="312">
        <v>246.03</v>
      </c>
      <c r="I1102" s="312">
        <v>73.099999999999994</v>
      </c>
      <c r="J1102" s="312">
        <v>184.23000000000002</v>
      </c>
      <c r="K1102" s="312">
        <v>374.89</v>
      </c>
      <c r="M1102" t="s">
        <v>2866</v>
      </c>
      <c r="N1102" s="312">
        <v>9948.2800000000007</v>
      </c>
      <c r="O1102" s="312">
        <v>144521.38</v>
      </c>
      <c r="P1102" s="312">
        <v>45287.770000000004</v>
      </c>
      <c r="Q1102" s="312">
        <v>70435.8</v>
      </c>
      <c r="R1102" s="312">
        <v>126012.83000000002</v>
      </c>
    </row>
    <row r="1103" spans="6:18">
      <c r="F1103" t="s">
        <v>2867</v>
      </c>
      <c r="G1103" s="312">
        <v>11.05</v>
      </c>
      <c r="H1103" s="312">
        <v>225.69</v>
      </c>
      <c r="I1103" s="312">
        <v>22.240000000000002</v>
      </c>
      <c r="J1103" s="312">
        <v>281.32</v>
      </c>
      <c r="K1103" s="312">
        <v>505.21999999999997</v>
      </c>
      <c r="M1103" t="s">
        <v>2867</v>
      </c>
      <c r="N1103" s="312">
        <v>7342.41</v>
      </c>
      <c r="O1103" s="312">
        <v>118375.1</v>
      </c>
      <c r="P1103" s="312">
        <v>16337.029999999999</v>
      </c>
      <c r="Q1103" s="312">
        <v>167954.34000000003</v>
      </c>
      <c r="R1103" s="312">
        <v>173267.96</v>
      </c>
    </row>
    <row r="1104" spans="6:18">
      <c r="F1104" t="s">
        <v>2868</v>
      </c>
      <c r="G1104" s="312">
        <v>38.67</v>
      </c>
      <c r="H1104" s="312">
        <v>385.82</v>
      </c>
      <c r="I1104" s="312">
        <v>70.94</v>
      </c>
      <c r="J1104" s="312">
        <v>468.18</v>
      </c>
      <c r="K1104" s="312">
        <v>621.26</v>
      </c>
      <c r="M1104" t="s">
        <v>2868</v>
      </c>
      <c r="N1104" s="312">
        <v>13317.279999999999</v>
      </c>
      <c r="O1104" s="312">
        <v>242799.22</v>
      </c>
      <c r="P1104" s="312">
        <v>38057.33</v>
      </c>
      <c r="Q1104" s="312">
        <v>246554.14</v>
      </c>
      <c r="R1104" s="312">
        <v>209573.09999999998</v>
      </c>
    </row>
    <row r="1105" spans="6:18">
      <c r="F1105" t="s">
        <v>2869</v>
      </c>
      <c r="G1105" s="312">
        <v>7.1</v>
      </c>
      <c r="H1105" s="312">
        <v>332.73</v>
      </c>
      <c r="I1105" s="312">
        <v>41.42</v>
      </c>
      <c r="J1105" s="312">
        <v>489.09000000000003</v>
      </c>
      <c r="K1105" s="312">
        <v>472.96</v>
      </c>
      <c r="M1105" t="s">
        <v>2869</v>
      </c>
      <c r="N1105" s="312">
        <v>2121.08</v>
      </c>
      <c r="O1105" s="312">
        <v>152568.39000000001</v>
      </c>
      <c r="P1105" s="312">
        <v>35219.1</v>
      </c>
      <c r="Q1105" s="312">
        <v>209209.49</v>
      </c>
      <c r="R1105" s="312">
        <v>139485.34</v>
      </c>
    </row>
    <row r="1106" spans="6:18">
      <c r="F1106" t="s">
        <v>2870</v>
      </c>
      <c r="G1106" s="312">
        <v>18.010000000000002</v>
      </c>
      <c r="H1106" s="312">
        <v>336.81000000000006</v>
      </c>
      <c r="I1106" s="312">
        <v>40.93</v>
      </c>
      <c r="J1106" s="312">
        <v>535.08000000000004</v>
      </c>
      <c r="K1106" s="312">
        <v>526.98</v>
      </c>
      <c r="M1106" t="s">
        <v>2870</v>
      </c>
      <c r="N1106" s="312">
        <v>5822.8099999999995</v>
      </c>
      <c r="O1106" s="312">
        <v>185689.28</v>
      </c>
      <c r="P1106" s="312">
        <v>34977.97</v>
      </c>
      <c r="Q1106" s="312">
        <v>197124.53</v>
      </c>
      <c r="R1106" s="312">
        <v>170350.43</v>
      </c>
    </row>
    <row r="1107" spans="6:18">
      <c r="F1107" t="s">
        <v>2871</v>
      </c>
      <c r="G1107" s="312">
        <v>38.65</v>
      </c>
      <c r="H1107" s="312">
        <v>337.47</v>
      </c>
      <c r="I1107" s="312">
        <v>46.33</v>
      </c>
      <c r="J1107" s="312">
        <v>430.42</v>
      </c>
      <c r="K1107" s="312">
        <v>532.59</v>
      </c>
      <c r="M1107" t="s">
        <v>2871</v>
      </c>
      <c r="N1107" s="312">
        <v>13357.23</v>
      </c>
      <c r="O1107" s="312">
        <v>173125.29</v>
      </c>
      <c r="P1107" s="312">
        <v>32131.739999999998</v>
      </c>
      <c r="Q1107" s="312">
        <v>178240.22</v>
      </c>
      <c r="R1107" s="312">
        <v>142444.39000000001</v>
      </c>
    </row>
    <row r="1108" spans="6:18">
      <c r="F1108" t="s">
        <v>2872</v>
      </c>
      <c r="G1108" s="312">
        <v>23.240000000000002</v>
      </c>
      <c r="H1108" s="312">
        <v>350.32000000000005</v>
      </c>
      <c r="I1108" s="312">
        <v>39.369999999999997</v>
      </c>
      <c r="J1108" s="312">
        <v>459.86</v>
      </c>
      <c r="K1108" s="312">
        <v>595.37</v>
      </c>
      <c r="M1108" t="s">
        <v>2872</v>
      </c>
      <c r="N1108" s="312">
        <v>13010.81</v>
      </c>
      <c r="O1108" s="312">
        <v>196432.34</v>
      </c>
      <c r="P1108" s="312">
        <v>33000.770000000004</v>
      </c>
      <c r="Q1108" s="312">
        <v>207046.51</v>
      </c>
      <c r="R1108" s="312">
        <v>169178.18</v>
      </c>
    </row>
    <row r="1109" spans="6:18">
      <c r="F1109" t="s">
        <v>2873</v>
      </c>
      <c r="G1109" s="312">
        <v>11.53</v>
      </c>
      <c r="H1109" s="312">
        <v>272.39999999999998</v>
      </c>
      <c r="I1109" s="312">
        <v>40.089999999999996</v>
      </c>
      <c r="J1109" s="312">
        <v>289.46000000000004</v>
      </c>
      <c r="K1109" s="312">
        <v>349.69</v>
      </c>
      <c r="M1109" t="s">
        <v>2873</v>
      </c>
      <c r="N1109" s="312">
        <v>7046.48</v>
      </c>
      <c r="O1109" s="312">
        <v>159181.37</v>
      </c>
      <c r="P1109" s="312">
        <v>22199.03</v>
      </c>
      <c r="Q1109" s="312">
        <v>190710.15999999997</v>
      </c>
      <c r="R1109" s="312">
        <v>123182.75</v>
      </c>
    </row>
    <row r="1110" spans="6:18">
      <c r="F1110" t="s">
        <v>2874</v>
      </c>
      <c r="G1110" s="312">
        <v>6.77</v>
      </c>
      <c r="H1110" s="312">
        <v>242.68</v>
      </c>
      <c r="I1110" s="312">
        <v>19.43</v>
      </c>
      <c r="J1110" s="312">
        <v>354.72</v>
      </c>
      <c r="K1110" s="312">
        <v>227.11</v>
      </c>
      <c r="M1110" t="s">
        <v>2874</v>
      </c>
      <c r="N1110" s="312">
        <v>2383.36</v>
      </c>
      <c r="O1110" s="312">
        <v>116003.61</v>
      </c>
      <c r="P1110" s="312">
        <v>12056.460000000001</v>
      </c>
      <c r="Q1110" s="312">
        <v>159123.41</v>
      </c>
      <c r="R1110" s="312">
        <v>56245.88</v>
      </c>
    </row>
    <row r="1111" spans="6:18">
      <c r="F1111" t="s">
        <v>2875</v>
      </c>
      <c r="G1111" s="312">
        <v>28.45</v>
      </c>
      <c r="H1111" s="312">
        <v>347.36</v>
      </c>
      <c r="I1111" s="312">
        <v>61.74</v>
      </c>
      <c r="J1111" s="312">
        <v>458.65</v>
      </c>
      <c r="K1111" s="312">
        <v>396.22</v>
      </c>
      <c r="M1111" t="s">
        <v>2875</v>
      </c>
      <c r="N1111" s="312">
        <v>9899.9600000000009</v>
      </c>
      <c r="O1111" s="312">
        <v>182053.43</v>
      </c>
      <c r="P1111" s="312">
        <v>45861.39</v>
      </c>
      <c r="Q1111" s="312">
        <v>169557.77</v>
      </c>
      <c r="R1111" s="312">
        <v>124908.59</v>
      </c>
    </row>
    <row r="1112" spans="6:18">
      <c r="F1112" t="s">
        <v>2876</v>
      </c>
      <c r="G1112" s="312">
        <v>23.229999999999997</v>
      </c>
      <c r="H1112" s="312">
        <v>273.77</v>
      </c>
      <c r="I1112" s="312">
        <v>44.36</v>
      </c>
      <c r="J1112" s="312">
        <v>530.49</v>
      </c>
      <c r="K1112" s="312">
        <v>593.80999999999995</v>
      </c>
      <c r="M1112" t="s">
        <v>2876</v>
      </c>
      <c r="N1112" s="312">
        <v>11545.19</v>
      </c>
      <c r="O1112" s="312">
        <v>155090.65</v>
      </c>
      <c r="P1112" s="312">
        <v>38967.360000000001</v>
      </c>
      <c r="Q1112" s="312">
        <v>242979.03999999998</v>
      </c>
      <c r="R1112" s="312">
        <v>198936.13999999998</v>
      </c>
    </row>
    <row r="1113" spans="6:18">
      <c r="F1113" t="s">
        <v>2877</v>
      </c>
      <c r="G1113" s="312">
        <v>11.77</v>
      </c>
      <c r="H1113" s="312">
        <v>342.54</v>
      </c>
      <c r="I1113" s="312">
        <v>39.730000000000004</v>
      </c>
      <c r="J1113" s="312">
        <v>523.95000000000005</v>
      </c>
      <c r="K1113" s="312">
        <v>385.22</v>
      </c>
      <c r="M1113" t="s">
        <v>2877</v>
      </c>
      <c r="N1113" s="312">
        <v>4076.48</v>
      </c>
      <c r="O1113" s="312">
        <v>177017.96</v>
      </c>
      <c r="P1113" s="312">
        <v>27581.15</v>
      </c>
      <c r="Q1113" s="312">
        <v>234952.13</v>
      </c>
      <c r="R1113" s="312">
        <v>133639.78</v>
      </c>
    </row>
    <row r="1114" spans="6:18">
      <c r="F1114" t="s">
        <v>2878</v>
      </c>
      <c r="G1114" s="312">
        <v>30.32</v>
      </c>
      <c r="H1114" s="312">
        <v>233.36</v>
      </c>
      <c r="I1114" s="312">
        <v>41.62</v>
      </c>
      <c r="J1114" s="312">
        <v>519.45000000000005</v>
      </c>
      <c r="K1114" s="312">
        <v>404.52</v>
      </c>
      <c r="M1114" t="s">
        <v>2878</v>
      </c>
      <c r="N1114" s="312">
        <v>11946.46</v>
      </c>
      <c r="O1114" s="312">
        <v>136725.49</v>
      </c>
      <c r="P1114" s="312">
        <v>28581.510000000002</v>
      </c>
      <c r="Q1114" s="312">
        <v>196264.57</v>
      </c>
      <c r="R1114" s="312">
        <v>144420.47</v>
      </c>
    </row>
    <row r="1115" spans="6:18">
      <c r="F1115" t="s">
        <v>2879</v>
      </c>
      <c r="G1115" s="312">
        <v>9.82</v>
      </c>
      <c r="H1115" s="312">
        <v>360.96000000000004</v>
      </c>
      <c r="I1115" s="312">
        <v>77.41</v>
      </c>
      <c r="J1115" s="312">
        <v>569.98</v>
      </c>
      <c r="K1115" s="312">
        <v>2210</v>
      </c>
      <c r="M1115" t="s">
        <v>2879</v>
      </c>
      <c r="N1115" s="312">
        <v>3630.92</v>
      </c>
      <c r="O1115" s="312">
        <v>159817.18</v>
      </c>
      <c r="P1115" s="312">
        <v>52737.41</v>
      </c>
      <c r="Q1115" s="312">
        <v>226829.77</v>
      </c>
      <c r="R1115" s="312">
        <v>467978.41000000003</v>
      </c>
    </row>
    <row r="1116" spans="6:18">
      <c r="F1116" t="s">
        <v>2880</v>
      </c>
      <c r="G1116" s="312">
        <v>16.5</v>
      </c>
      <c r="H1116" s="312">
        <v>152.94999999999999</v>
      </c>
      <c r="I1116" s="312">
        <v>33.85</v>
      </c>
      <c r="J1116" s="312">
        <v>346.04</v>
      </c>
      <c r="K1116" s="312">
        <v>681.75</v>
      </c>
      <c r="M1116" t="s">
        <v>2880</v>
      </c>
      <c r="N1116" s="312">
        <v>10045.14</v>
      </c>
      <c r="O1116" s="312">
        <v>114025.45</v>
      </c>
      <c r="P1116" s="312">
        <v>27223.279999999999</v>
      </c>
      <c r="Q1116" s="312">
        <v>151656.64000000001</v>
      </c>
      <c r="R1116" s="312">
        <v>159496.65</v>
      </c>
    </row>
    <row r="1117" spans="6:18">
      <c r="F1117" t="s">
        <v>2881</v>
      </c>
      <c r="G1117" s="312">
        <v>12.280000000000001</v>
      </c>
      <c r="H1117" s="312">
        <v>174.99</v>
      </c>
      <c r="I1117" s="312">
        <v>8.44</v>
      </c>
      <c r="J1117" s="312">
        <v>479.73</v>
      </c>
      <c r="K1117" s="312">
        <v>382.18</v>
      </c>
      <c r="M1117" t="s">
        <v>2881</v>
      </c>
      <c r="N1117" s="312">
        <v>5028.6100000000006</v>
      </c>
      <c r="O1117" s="312">
        <v>95758.09</v>
      </c>
      <c r="P1117" s="312">
        <v>7036.2800000000007</v>
      </c>
      <c r="Q1117" s="312">
        <v>209861.81</v>
      </c>
      <c r="R1117" s="312">
        <v>138615.14000000001</v>
      </c>
    </row>
    <row r="1118" spans="6:18">
      <c r="F1118" t="s">
        <v>2882</v>
      </c>
      <c r="G1118" s="312">
        <v>33.620000000000005</v>
      </c>
      <c r="H1118" s="312">
        <v>248.96999999999997</v>
      </c>
      <c r="I1118" s="312">
        <v>85.26</v>
      </c>
      <c r="J1118" s="312">
        <v>478.26</v>
      </c>
      <c r="K1118" s="312">
        <v>343.35</v>
      </c>
      <c r="M1118" t="s">
        <v>2882</v>
      </c>
      <c r="N1118" s="312">
        <v>15166.85</v>
      </c>
      <c r="O1118" s="312">
        <v>131753.62</v>
      </c>
      <c r="P1118" s="312">
        <v>65828.88</v>
      </c>
      <c r="Q1118" s="312">
        <v>200220.56</v>
      </c>
      <c r="R1118" s="312">
        <v>95093.260000000009</v>
      </c>
    </row>
    <row r="1119" spans="6:18">
      <c r="F1119" t="s">
        <v>2883</v>
      </c>
      <c r="G1119" s="312">
        <v>19.399999999999999</v>
      </c>
      <c r="H1119" s="312">
        <v>478.06</v>
      </c>
      <c r="I1119" s="312">
        <v>48.769999999999996</v>
      </c>
      <c r="J1119" s="312">
        <v>484.72</v>
      </c>
      <c r="K1119" s="312">
        <v>380.28000000000003</v>
      </c>
      <c r="M1119" t="s">
        <v>2883</v>
      </c>
      <c r="N1119" s="312">
        <v>9028.619999999999</v>
      </c>
      <c r="O1119" s="312">
        <v>282901.88</v>
      </c>
      <c r="P1119" s="312">
        <v>34700.239999999998</v>
      </c>
      <c r="Q1119" s="312">
        <v>177133.46</v>
      </c>
      <c r="R1119" s="312">
        <v>137395.38</v>
      </c>
    </row>
    <row r="1120" spans="6:18">
      <c r="F1120" t="s">
        <v>2884</v>
      </c>
      <c r="G1120" s="312">
        <v>8.74</v>
      </c>
      <c r="H1120" s="312">
        <v>267.49</v>
      </c>
      <c r="I1120" s="312">
        <v>54.24</v>
      </c>
      <c r="J1120" s="312">
        <v>599.12</v>
      </c>
      <c r="K1120" s="312">
        <v>366.63</v>
      </c>
      <c r="M1120" t="s">
        <v>2884</v>
      </c>
      <c r="N1120" s="312">
        <v>3885.75</v>
      </c>
      <c r="O1120" s="312">
        <v>165013.81</v>
      </c>
      <c r="P1120" s="312">
        <v>37284.71</v>
      </c>
      <c r="Q1120" s="312">
        <v>216047.78999999998</v>
      </c>
      <c r="R1120" s="312">
        <v>145355.87</v>
      </c>
    </row>
    <row r="1121" spans="6:18">
      <c r="F1121" t="s">
        <v>2885</v>
      </c>
      <c r="G1121" s="312">
        <v>14.14</v>
      </c>
      <c r="H1121" s="312">
        <v>397.06</v>
      </c>
      <c r="I1121" s="312">
        <v>77.56</v>
      </c>
      <c r="J1121" s="312">
        <v>597.59</v>
      </c>
      <c r="K1121" s="312">
        <v>432.65000000000003</v>
      </c>
      <c r="M1121" t="s">
        <v>2885</v>
      </c>
      <c r="N1121" s="312">
        <v>4559.5099999999993</v>
      </c>
      <c r="O1121" s="312">
        <v>192539.38</v>
      </c>
      <c r="P1121" s="312">
        <v>32557.7</v>
      </c>
      <c r="Q1121" s="312">
        <v>218877.2</v>
      </c>
      <c r="R1121" s="312">
        <v>139973.41999999998</v>
      </c>
    </row>
    <row r="1122" spans="6:18">
      <c r="F1122" t="s">
        <v>2886</v>
      </c>
      <c r="G1122" s="312">
        <v>12.9</v>
      </c>
      <c r="H1122" s="312">
        <v>475.51</v>
      </c>
      <c r="I1122" s="312">
        <v>73.760000000000005</v>
      </c>
      <c r="J1122" s="312">
        <v>467.03999999999996</v>
      </c>
      <c r="K1122" s="312">
        <v>615.87</v>
      </c>
      <c r="M1122" t="s">
        <v>2886</v>
      </c>
      <c r="N1122" s="312">
        <v>9303.4699999999993</v>
      </c>
      <c r="O1122" s="312">
        <v>219364.87000000002</v>
      </c>
      <c r="P1122" s="312">
        <v>38882</v>
      </c>
      <c r="Q1122" s="312">
        <v>180144.38</v>
      </c>
      <c r="R1122" s="312">
        <v>190105.08000000002</v>
      </c>
    </row>
    <row r="1123" spans="6:18">
      <c r="F1123" t="s">
        <v>2887</v>
      </c>
      <c r="G1123" s="312">
        <v>9.82</v>
      </c>
      <c r="H1123" s="312">
        <v>250.92000000000002</v>
      </c>
      <c r="I1123" s="312">
        <v>52.849999999999994</v>
      </c>
      <c r="J1123" s="312">
        <v>313.60000000000002</v>
      </c>
      <c r="K1123" s="312">
        <v>377.82</v>
      </c>
      <c r="M1123" t="s">
        <v>2887</v>
      </c>
      <c r="N1123" s="312">
        <v>2811.0699999999997</v>
      </c>
      <c r="O1123" s="312">
        <v>140221.42000000001</v>
      </c>
      <c r="P1123" s="312">
        <v>36735.85</v>
      </c>
      <c r="Q1123" s="312">
        <v>181356.78</v>
      </c>
      <c r="R1123" s="312">
        <v>115491.21</v>
      </c>
    </row>
    <row r="1124" spans="6:18">
      <c r="F1124" t="s">
        <v>2888</v>
      </c>
      <c r="G1124" s="312">
        <v>13.69</v>
      </c>
      <c r="H1124" s="312">
        <v>203.9</v>
      </c>
      <c r="I1124" s="312">
        <v>21.85</v>
      </c>
      <c r="J1124" s="312">
        <v>345.84999999999997</v>
      </c>
      <c r="K1124" s="312">
        <v>266.21999999999997</v>
      </c>
      <c r="M1124" t="s">
        <v>2888</v>
      </c>
      <c r="N1124" s="312">
        <v>5098.62</v>
      </c>
      <c r="O1124" s="312">
        <v>106502.47</v>
      </c>
      <c r="P1124" s="312">
        <v>13809.820000000002</v>
      </c>
      <c r="Q1124" s="312">
        <v>160588.34</v>
      </c>
      <c r="R1124" s="312">
        <v>86810.38</v>
      </c>
    </row>
    <row r="1125" spans="6:18">
      <c r="F1125" t="s">
        <v>2889</v>
      </c>
      <c r="G1125" s="312">
        <v>29.729999999999997</v>
      </c>
      <c r="H1125" s="312">
        <v>345.65999999999997</v>
      </c>
      <c r="I1125" s="312">
        <v>51.03</v>
      </c>
      <c r="J1125" s="312">
        <v>413.13</v>
      </c>
      <c r="K1125" s="312">
        <v>576.92000000000007</v>
      </c>
      <c r="M1125" t="s">
        <v>2889</v>
      </c>
      <c r="N1125" s="312">
        <v>11419.83</v>
      </c>
      <c r="O1125" s="312">
        <v>147220.85</v>
      </c>
      <c r="P1125" s="312">
        <v>39241.050000000003</v>
      </c>
      <c r="Q1125" s="312">
        <v>169912.34000000003</v>
      </c>
      <c r="R1125" s="312">
        <v>207049.35</v>
      </c>
    </row>
    <row r="1126" spans="6:18">
      <c r="F1126" t="s">
        <v>2890</v>
      </c>
      <c r="G1126" s="312">
        <v>9.64</v>
      </c>
      <c r="H1126" s="312">
        <v>384.01</v>
      </c>
      <c r="I1126" s="312">
        <v>46.72</v>
      </c>
      <c r="J1126" s="312">
        <v>415.03999999999996</v>
      </c>
      <c r="K1126" s="312">
        <v>490.52</v>
      </c>
      <c r="M1126" t="s">
        <v>2890</v>
      </c>
      <c r="N1126" s="312">
        <v>4084.17</v>
      </c>
      <c r="O1126" s="312">
        <v>201964.99</v>
      </c>
      <c r="P1126" s="312">
        <v>36299.449999999997</v>
      </c>
      <c r="Q1126" s="312">
        <v>150341</v>
      </c>
      <c r="R1126" s="312">
        <v>165201.12</v>
      </c>
    </row>
    <row r="1127" spans="6:18">
      <c r="F1127" t="s">
        <v>2891</v>
      </c>
      <c r="G1127" s="312">
        <v>27.57</v>
      </c>
      <c r="H1127" s="312">
        <v>314.64999999999998</v>
      </c>
      <c r="I1127" s="312">
        <v>66.099999999999994</v>
      </c>
      <c r="J1127" s="312">
        <v>556.89</v>
      </c>
      <c r="K1127" s="312">
        <v>458.74</v>
      </c>
      <c r="M1127" t="s">
        <v>2891</v>
      </c>
      <c r="N1127" s="312">
        <v>11854.69</v>
      </c>
      <c r="O1127" s="312">
        <v>175959.07</v>
      </c>
      <c r="P1127" s="312">
        <v>50116.43</v>
      </c>
      <c r="Q1127" s="312">
        <v>235560.69</v>
      </c>
      <c r="R1127" s="312">
        <v>159086.65999999997</v>
      </c>
    </row>
    <row r="1128" spans="6:18">
      <c r="F1128" t="s">
        <v>2892</v>
      </c>
      <c r="G1128" s="312">
        <v>17.27</v>
      </c>
      <c r="H1128" s="312">
        <v>320.91999999999996</v>
      </c>
      <c r="I1128" s="312">
        <v>48.74</v>
      </c>
      <c r="J1128" s="312">
        <v>546.94000000000005</v>
      </c>
      <c r="K1128" s="312">
        <v>530.23</v>
      </c>
      <c r="M1128" t="s">
        <v>2892</v>
      </c>
      <c r="N1128" s="312">
        <v>4661.79</v>
      </c>
      <c r="O1128" s="312">
        <v>145227.69</v>
      </c>
      <c r="P1128" s="312">
        <v>21956.34</v>
      </c>
      <c r="Q1128" s="312">
        <v>223547.13999999998</v>
      </c>
      <c r="R1128" s="312">
        <v>170579.47</v>
      </c>
    </row>
    <row r="1129" spans="6:18">
      <c r="F1129" t="s">
        <v>2893</v>
      </c>
      <c r="G1129" s="312">
        <v>21.61</v>
      </c>
      <c r="H1129" s="312">
        <v>332.62</v>
      </c>
      <c r="I1129" s="312">
        <v>42.49</v>
      </c>
      <c r="J1129" s="312">
        <v>520.99</v>
      </c>
      <c r="K1129" s="312">
        <v>394.09000000000003</v>
      </c>
      <c r="M1129" t="s">
        <v>2893</v>
      </c>
      <c r="N1129" s="312">
        <v>29513.52</v>
      </c>
      <c r="O1129" s="312">
        <v>169433.66</v>
      </c>
      <c r="P1129" s="312">
        <v>40527.69</v>
      </c>
      <c r="Q1129" s="312">
        <v>189313.58000000002</v>
      </c>
      <c r="R1129" s="312">
        <v>147919.12</v>
      </c>
    </row>
    <row r="1130" spans="6:18">
      <c r="F1130" t="s">
        <v>2894</v>
      </c>
      <c r="G1130" s="312">
        <v>8.2899999999999991</v>
      </c>
      <c r="H1130" s="312">
        <v>218.14</v>
      </c>
      <c r="I1130" s="312">
        <v>48.93</v>
      </c>
      <c r="J1130" s="312">
        <v>206.95</v>
      </c>
      <c r="K1130" s="312">
        <v>292.98</v>
      </c>
      <c r="M1130" t="s">
        <v>2894</v>
      </c>
      <c r="N1130" s="312">
        <v>2387.71</v>
      </c>
      <c r="O1130" s="312">
        <v>123497.14</v>
      </c>
      <c r="P1130" s="312">
        <v>24853.83</v>
      </c>
      <c r="Q1130" s="312">
        <v>98433.8</v>
      </c>
      <c r="R1130" s="312">
        <v>103849.11</v>
      </c>
    </row>
    <row r="1131" spans="6:18">
      <c r="F1131" t="s">
        <v>2895</v>
      </c>
      <c r="G1131" s="312">
        <v>14.98</v>
      </c>
      <c r="H1131" s="312">
        <v>259.20999999999998</v>
      </c>
      <c r="I1131" s="312">
        <v>38.49</v>
      </c>
      <c r="J1131" s="312">
        <v>371.28999999999996</v>
      </c>
      <c r="K1131" s="312">
        <v>316.03999999999996</v>
      </c>
      <c r="M1131" t="s">
        <v>2895</v>
      </c>
      <c r="N1131" s="312">
        <v>6457.84</v>
      </c>
      <c r="O1131" s="312">
        <v>128076.95</v>
      </c>
      <c r="P1131" s="312">
        <v>24077.67</v>
      </c>
      <c r="Q1131" s="312">
        <v>106965.91</v>
      </c>
      <c r="R1131" s="312">
        <v>71895.200000000012</v>
      </c>
    </row>
    <row r="1132" spans="6:18">
      <c r="F1132" t="s">
        <v>2896</v>
      </c>
      <c r="G1132" s="312">
        <v>31.220000000000002</v>
      </c>
      <c r="H1132" s="312">
        <v>295.16999999999996</v>
      </c>
      <c r="I1132" s="312">
        <v>53.02</v>
      </c>
      <c r="J1132" s="312">
        <v>220.01</v>
      </c>
      <c r="K1132" s="312">
        <v>433.58000000000004</v>
      </c>
      <c r="M1132" t="s">
        <v>2896</v>
      </c>
      <c r="N1132" s="312">
        <v>21556.97</v>
      </c>
      <c r="O1132" s="312">
        <v>156121.74</v>
      </c>
      <c r="P1132" s="312">
        <v>43743.5</v>
      </c>
      <c r="Q1132" s="312">
        <v>102358.38</v>
      </c>
      <c r="R1132" s="312">
        <v>137627.57</v>
      </c>
    </row>
    <row r="1133" spans="6:18">
      <c r="F1133" t="s">
        <v>2897</v>
      </c>
      <c r="G1133" s="312">
        <v>19.34</v>
      </c>
      <c r="H1133" s="312">
        <v>327.62</v>
      </c>
      <c r="I1133" s="312">
        <v>54.63</v>
      </c>
      <c r="J1133" s="312">
        <v>188.47</v>
      </c>
      <c r="K1133" s="312">
        <v>542.86</v>
      </c>
      <c r="M1133" t="s">
        <v>2897</v>
      </c>
      <c r="N1133" s="312">
        <v>5736.1900000000005</v>
      </c>
      <c r="O1133" s="312">
        <v>195004.34999999998</v>
      </c>
      <c r="P1133" s="312">
        <v>49682.92</v>
      </c>
      <c r="Q1133" s="312">
        <v>103891.23</v>
      </c>
      <c r="R1133" s="312">
        <v>146886.09</v>
      </c>
    </row>
    <row r="1134" spans="6:18">
      <c r="F1134" t="s">
        <v>2898</v>
      </c>
      <c r="G1134" s="312">
        <v>28.73</v>
      </c>
      <c r="H1134" s="312">
        <v>304.18</v>
      </c>
      <c r="I1134" s="312">
        <v>77.84</v>
      </c>
      <c r="J1134" s="312">
        <v>389.69000000000005</v>
      </c>
      <c r="K1134" s="312">
        <v>347.11</v>
      </c>
      <c r="M1134" t="s">
        <v>2898</v>
      </c>
      <c r="N1134" s="312">
        <v>17931.18</v>
      </c>
      <c r="O1134" s="312">
        <v>201111.41</v>
      </c>
      <c r="P1134" s="312">
        <v>36780.639999999999</v>
      </c>
      <c r="Q1134" s="312">
        <v>208599.24</v>
      </c>
      <c r="R1134" s="312">
        <v>106519.11</v>
      </c>
    </row>
    <row r="1135" spans="6:18">
      <c r="F1135" t="s">
        <v>2899</v>
      </c>
      <c r="G1135" s="312">
        <v>59.41</v>
      </c>
      <c r="H1135" s="312">
        <v>329.27</v>
      </c>
      <c r="I1135" s="312">
        <v>43.63</v>
      </c>
      <c r="J1135" s="312">
        <v>444.3</v>
      </c>
      <c r="K1135" s="312">
        <v>439.37</v>
      </c>
      <c r="M1135" t="s">
        <v>2899</v>
      </c>
      <c r="N1135" s="312">
        <v>23321.54</v>
      </c>
      <c r="O1135" s="312">
        <v>135180.07</v>
      </c>
      <c r="P1135" s="312">
        <v>37477.520000000004</v>
      </c>
      <c r="Q1135" s="312">
        <v>147367.67000000001</v>
      </c>
      <c r="R1135" s="312">
        <v>150977.38</v>
      </c>
    </row>
    <row r="1136" spans="6:18">
      <c r="F1136" t="s">
        <v>2900</v>
      </c>
      <c r="G1136" s="312">
        <v>38.370000000000005</v>
      </c>
      <c r="H1136" s="312">
        <v>275.64</v>
      </c>
      <c r="I1136" s="312">
        <v>99.69</v>
      </c>
      <c r="J1136" s="312">
        <v>493.03</v>
      </c>
      <c r="K1136" s="312">
        <v>431.15999999999997</v>
      </c>
      <c r="M1136" t="s">
        <v>2900</v>
      </c>
      <c r="N1136" s="312">
        <v>15641.35</v>
      </c>
      <c r="O1136" s="312">
        <v>221860.53</v>
      </c>
      <c r="P1136" s="312">
        <v>60470.969999999994</v>
      </c>
      <c r="Q1136" s="312">
        <v>194996.72</v>
      </c>
      <c r="R1136" s="312">
        <v>141523.56</v>
      </c>
    </row>
    <row r="1137" spans="6:18">
      <c r="F1137" t="s">
        <v>2901</v>
      </c>
      <c r="G1137" s="312">
        <v>20.94</v>
      </c>
      <c r="H1137" s="312">
        <v>282.07</v>
      </c>
      <c r="I1137" s="312">
        <v>68.2</v>
      </c>
      <c r="J1137" s="312">
        <v>264.16000000000003</v>
      </c>
      <c r="K1137" s="312">
        <v>281.98</v>
      </c>
      <c r="M1137" t="s">
        <v>2901</v>
      </c>
      <c r="N1137" s="312">
        <v>11129.5</v>
      </c>
      <c r="O1137" s="312">
        <v>163490.56</v>
      </c>
      <c r="P1137" s="312">
        <v>41230.149999999994</v>
      </c>
      <c r="Q1137" s="312">
        <v>84758.71</v>
      </c>
      <c r="R1137" s="312">
        <v>80634.98</v>
      </c>
    </row>
    <row r="1138" spans="6:18">
      <c r="F1138" t="s">
        <v>2902</v>
      </c>
      <c r="G1138" s="312">
        <v>31.1</v>
      </c>
      <c r="H1138" s="312">
        <v>201.85000000000002</v>
      </c>
      <c r="I1138" s="312">
        <v>14.799999999999999</v>
      </c>
      <c r="J1138" s="312">
        <v>284.73</v>
      </c>
      <c r="K1138" s="312">
        <v>257.05</v>
      </c>
      <c r="M1138" t="s">
        <v>2902</v>
      </c>
      <c r="N1138" s="312">
        <v>13792.560000000001</v>
      </c>
      <c r="O1138" s="312">
        <v>98722.91</v>
      </c>
      <c r="P1138" s="312">
        <v>7655.48</v>
      </c>
      <c r="Q1138" s="312">
        <v>132727.89000000001</v>
      </c>
      <c r="R1138" s="312">
        <v>92476.15</v>
      </c>
    </row>
    <row r="1139" spans="6:18">
      <c r="F1139" t="s">
        <v>2903</v>
      </c>
      <c r="G1139" s="312">
        <v>51.730000000000004</v>
      </c>
      <c r="H1139" s="312">
        <v>325.59000000000003</v>
      </c>
      <c r="I1139" s="312">
        <v>117.33</v>
      </c>
      <c r="J1139" s="312">
        <v>463.49</v>
      </c>
      <c r="K1139" s="312">
        <v>399.8</v>
      </c>
      <c r="M1139" t="s">
        <v>2903</v>
      </c>
      <c r="N1139" s="312">
        <v>17141.010000000002</v>
      </c>
      <c r="O1139" s="312">
        <v>178624.2</v>
      </c>
      <c r="P1139" s="312">
        <v>68147.12</v>
      </c>
      <c r="Q1139" s="312">
        <v>207951.46000000002</v>
      </c>
      <c r="R1139" s="312">
        <v>149619.85</v>
      </c>
    </row>
    <row r="1140" spans="6:18">
      <c r="F1140" t="s">
        <v>2904</v>
      </c>
      <c r="G1140" s="312">
        <v>19.82</v>
      </c>
      <c r="H1140" s="312">
        <v>351.53</v>
      </c>
      <c r="I1140" s="312">
        <v>49.18</v>
      </c>
      <c r="J1140" s="312">
        <v>420.63</v>
      </c>
      <c r="K1140" s="312">
        <v>384.40999999999997</v>
      </c>
      <c r="M1140" t="s">
        <v>2904</v>
      </c>
      <c r="N1140" s="312">
        <v>5054.03</v>
      </c>
      <c r="O1140" s="312">
        <v>173525.3</v>
      </c>
      <c r="P1140" s="312">
        <v>23247.75</v>
      </c>
      <c r="Q1140" s="312">
        <v>189008.13999999998</v>
      </c>
      <c r="R1140" s="312">
        <v>115824.75</v>
      </c>
    </row>
    <row r="1141" spans="6:18">
      <c r="F1141" t="s">
        <v>2905</v>
      </c>
      <c r="G1141" s="312">
        <v>42.1</v>
      </c>
      <c r="H1141" s="312">
        <v>218.62</v>
      </c>
      <c r="I1141" s="312">
        <v>77.42</v>
      </c>
      <c r="J1141" s="312">
        <v>387.97</v>
      </c>
      <c r="K1141" s="312">
        <v>538.63</v>
      </c>
      <c r="M1141" t="s">
        <v>2905</v>
      </c>
      <c r="N1141" s="312">
        <v>23166.129999999997</v>
      </c>
      <c r="O1141" s="312">
        <v>119895.94</v>
      </c>
      <c r="P1141" s="312">
        <v>42850.49</v>
      </c>
      <c r="Q1141" s="312">
        <v>213773.27</v>
      </c>
      <c r="R1141" s="312">
        <v>194200.55000000002</v>
      </c>
    </row>
    <row r="1142" spans="6:18">
      <c r="F1142" t="s">
        <v>2906</v>
      </c>
      <c r="G1142" s="312">
        <v>38.450000000000003</v>
      </c>
      <c r="H1142" s="312">
        <v>273.40999999999997</v>
      </c>
      <c r="I1142" s="312">
        <v>40.909999999999997</v>
      </c>
      <c r="J1142" s="312">
        <v>340.26</v>
      </c>
      <c r="K1142" s="312">
        <v>276.14</v>
      </c>
      <c r="M1142" t="s">
        <v>2906</v>
      </c>
      <c r="N1142" s="312">
        <v>12196.85</v>
      </c>
      <c r="O1142" s="312">
        <v>120944.37</v>
      </c>
      <c r="P1142" s="312">
        <v>45156.99</v>
      </c>
      <c r="Q1142" s="312">
        <v>102877.9</v>
      </c>
      <c r="R1142" s="312">
        <v>82410.880000000005</v>
      </c>
    </row>
    <row r="1143" spans="6:18">
      <c r="F1143" t="s">
        <v>2907</v>
      </c>
      <c r="G1143" s="312">
        <v>23.07</v>
      </c>
      <c r="H1143" s="312">
        <v>234.68</v>
      </c>
      <c r="I1143" s="312">
        <v>62.66</v>
      </c>
      <c r="J1143" s="312">
        <v>348.18</v>
      </c>
      <c r="K1143" s="312">
        <v>295.09000000000003</v>
      </c>
      <c r="M1143" t="s">
        <v>2907</v>
      </c>
      <c r="N1143" s="312">
        <v>12588.93</v>
      </c>
      <c r="O1143" s="312">
        <v>161703.39000000001</v>
      </c>
      <c r="P1143" s="312">
        <v>43674.68</v>
      </c>
      <c r="Q1143" s="312">
        <v>159989.25</v>
      </c>
      <c r="R1143" s="312">
        <v>119211.96</v>
      </c>
    </row>
    <row r="1144" spans="6:18">
      <c r="F1144" t="s">
        <v>2908</v>
      </c>
      <c r="G1144" s="312">
        <v>24.32</v>
      </c>
      <c r="H1144" s="312">
        <v>256.59000000000003</v>
      </c>
      <c r="I1144" s="312">
        <v>28.25</v>
      </c>
      <c r="J1144" s="312">
        <v>225.95</v>
      </c>
      <c r="K1144" s="312">
        <v>133.09</v>
      </c>
      <c r="M1144" t="s">
        <v>2908</v>
      </c>
      <c r="N1144" s="312">
        <v>10826.31</v>
      </c>
      <c r="O1144" s="312">
        <v>142049.04</v>
      </c>
      <c r="P1144" s="312">
        <v>16049.07</v>
      </c>
      <c r="Q1144" s="312">
        <v>125709.5</v>
      </c>
      <c r="R1144" s="312">
        <v>37541.020000000004</v>
      </c>
    </row>
    <row r="1145" spans="6:18">
      <c r="F1145" t="s">
        <v>2909</v>
      </c>
      <c r="G1145" s="312">
        <v>17.66</v>
      </c>
      <c r="H1145" s="312">
        <v>170.53</v>
      </c>
      <c r="I1145" s="312">
        <v>24.12</v>
      </c>
      <c r="J1145" s="312">
        <v>283.39</v>
      </c>
      <c r="K1145" s="312">
        <v>104.13</v>
      </c>
      <c r="M1145" t="s">
        <v>2909</v>
      </c>
      <c r="N1145" s="312">
        <v>7816.46</v>
      </c>
      <c r="O1145" s="312">
        <v>85181.61</v>
      </c>
      <c r="P1145" s="312">
        <v>11031.52</v>
      </c>
      <c r="Q1145" s="312">
        <v>177581.63</v>
      </c>
      <c r="R1145" s="312">
        <v>42207.58</v>
      </c>
    </row>
    <row r="1146" spans="6:18">
      <c r="F1146" t="s">
        <v>2910</v>
      </c>
      <c r="G1146" s="312">
        <v>17.939999999999998</v>
      </c>
      <c r="H1146" s="312">
        <v>244.82</v>
      </c>
      <c r="I1146" s="312">
        <v>60.56</v>
      </c>
      <c r="J1146" s="312">
        <v>384.28999999999996</v>
      </c>
      <c r="K1146" s="312">
        <v>261.57</v>
      </c>
      <c r="M1146" t="s">
        <v>2910</v>
      </c>
      <c r="N1146" s="312">
        <v>7985.4000000000005</v>
      </c>
      <c r="O1146" s="312">
        <v>138609.38</v>
      </c>
      <c r="P1146" s="312">
        <v>47253.53</v>
      </c>
      <c r="Q1146" s="312">
        <v>123561.78</v>
      </c>
      <c r="R1146" s="312">
        <v>85398.659999999989</v>
      </c>
    </row>
    <row r="1147" spans="6:18">
      <c r="F1147" t="s">
        <v>2911</v>
      </c>
      <c r="G1147" s="312">
        <v>21.23</v>
      </c>
      <c r="H1147" s="312">
        <v>288.63</v>
      </c>
      <c r="I1147" s="312">
        <v>56.53</v>
      </c>
      <c r="J1147" s="312">
        <v>311.01</v>
      </c>
      <c r="K1147" s="312">
        <v>276</v>
      </c>
      <c r="M1147" t="s">
        <v>2911</v>
      </c>
      <c r="N1147" s="312">
        <v>17031.060000000001</v>
      </c>
      <c r="O1147" s="312">
        <v>190178.81</v>
      </c>
      <c r="P1147" s="312">
        <v>36272.78</v>
      </c>
      <c r="Q1147" s="312">
        <v>156025.82</v>
      </c>
      <c r="R1147" s="312">
        <v>96463.51999999999</v>
      </c>
    </row>
    <row r="1148" spans="6:18">
      <c r="F1148" t="s">
        <v>2912</v>
      </c>
      <c r="G1148" s="312">
        <v>17.63</v>
      </c>
      <c r="H1148" s="312">
        <v>186.95</v>
      </c>
      <c r="I1148" s="312">
        <v>41.74</v>
      </c>
      <c r="J1148" s="312">
        <v>410.32</v>
      </c>
      <c r="K1148" s="312">
        <v>173.4</v>
      </c>
      <c r="M1148" t="s">
        <v>2912</v>
      </c>
      <c r="N1148" s="312">
        <v>9329.7099999999991</v>
      </c>
      <c r="O1148" s="312">
        <v>97747.75</v>
      </c>
      <c r="P1148" s="312">
        <v>31953.09</v>
      </c>
      <c r="Q1148" s="312">
        <v>165425.75</v>
      </c>
      <c r="R1148" s="312">
        <v>56361.880000000005</v>
      </c>
    </row>
    <row r="1149" spans="6:18">
      <c r="F1149" t="s">
        <v>2913</v>
      </c>
      <c r="G1149" s="312">
        <v>11.61</v>
      </c>
      <c r="H1149" s="312">
        <v>298.51</v>
      </c>
      <c r="I1149" s="312">
        <v>38.950000000000003</v>
      </c>
      <c r="J1149" s="312">
        <v>285.10000000000002</v>
      </c>
      <c r="K1149" s="312">
        <v>189.99</v>
      </c>
      <c r="M1149" t="s">
        <v>2913</v>
      </c>
      <c r="N1149" s="312">
        <v>5111.3599999999997</v>
      </c>
      <c r="O1149" s="312">
        <v>182533.53999999998</v>
      </c>
      <c r="P1149" s="312">
        <v>27186.620000000003</v>
      </c>
      <c r="Q1149" s="312">
        <v>89617.349999999991</v>
      </c>
      <c r="R1149" s="312">
        <v>55458.74</v>
      </c>
    </row>
    <row r="1150" spans="6:18">
      <c r="F1150" t="s">
        <v>2914</v>
      </c>
      <c r="G1150" s="312">
        <v>21.240000000000002</v>
      </c>
      <c r="H1150" s="312">
        <v>296.22000000000003</v>
      </c>
      <c r="I1150" s="312">
        <v>99.59</v>
      </c>
      <c r="J1150" s="312">
        <v>213.60999999999999</v>
      </c>
      <c r="K1150" s="312">
        <v>291.78000000000003</v>
      </c>
      <c r="M1150" t="s">
        <v>2914</v>
      </c>
      <c r="N1150" s="312">
        <v>7924.2000000000007</v>
      </c>
      <c r="O1150" s="312">
        <v>128258.56</v>
      </c>
      <c r="P1150" s="312">
        <v>51672.98</v>
      </c>
      <c r="Q1150" s="312">
        <v>82082.209999999992</v>
      </c>
      <c r="R1150" s="312">
        <v>63017.350000000006</v>
      </c>
    </row>
    <row r="1151" spans="6:18">
      <c r="F1151" t="s">
        <v>2915</v>
      </c>
      <c r="G1151" s="312">
        <v>13.299999999999999</v>
      </c>
      <c r="H1151" s="312">
        <v>206.49</v>
      </c>
      <c r="I1151" s="312">
        <v>19.100000000000001</v>
      </c>
      <c r="J1151" s="312">
        <v>213.57999999999998</v>
      </c>
      <c r="K1151" s="312">
        <v>283.97000000000003</v>
      </c>
      <c r="M1151" t="s">
        <v>2915</v>
      </c>
      <c r="N1151" s="312">
        <v>6615.97</v>
      </c>
      <c r="O1151" s="312">
        <v>107901.41</v>
      </c>
      <c r="P1151" s="312">
        <v>9583.48</v>
      </c>
      <c r="Q1151" s="312">
        <v>96647.05</v>
      </c>
      <c r="R1151" s="312">
        <v>72141.600000000006</v>
      </c>
    </row>
    <row r="1152" spans="6:18">
      <c r="F1152" t="s">
        <v>2916</v>
      </c>
      <c r="G1152" s="312">
        <v>41.67</v>
      </c>
      <c r="H1152" s="312">
        <v>195.19</v>
      </c>
      <c r="I1152" s="312">
        <v>9.69</v>
      </c>
      <c r="J1152" s="312">
        <v>239.44</v>
      </c>
      <c r="K1152" s="312">
        <v>169.74</v>
      </c>
      <c r="M1152" t="s">
        <v>2916</v>
      </c>
      <c r="N1152" s="312">
        <v>19017.38</v>
      </c>
      <c r="O1152" s="312">
        <v>106972.4</v>
      </c>
      <c r="P1152" s="312">
        <v>3287.31</v>
      </c>
      <c r="Q1152" s="312">
        <v>158977.96</v>
      </c>
      <c r="R1152" s="312">
        <v>36938.29</v>
      </c>
    </row>
    <row r="1153" spans="6:18">
      <c r="F1153" t="s">
        <v>2917</v>
      </c>
      <c r="G1153" s="312">
        <v>38.6</v>
      </c>
      <c r="H1153" s="312">
        <v>302.21999999999997</v>
      </c>
      <c r="I1153" s="312">
        <v>46.269999999999996</v>
      </c>
      <c r="J1153" s="312">
        <v>303.11</v>
      </c>
      <c r="K1153" s="312">
        <v>320.33</v>
      </c>
      <c r="M1153" t="s">
        <v>2917</v>
      </c>
      <c r="N1153" s="312">
        <v>13778.230000000001</v>
      </c>
      <c r="O1153" s="312">
        <v>191996.58000000002</v>
      </c>
      <c r="P1153" s="312">
        <v>30045.51</v>
      </c>
      <c r="Q1153" s="312">
        <v>124964.58</v>
      </c>
      <c r="R1153" s="312">
        <v>58936.81</v>
      </c>
    </row>
    <row r="1154" spans="6:18">
      <c r="F1154" t="s">
        <v>2918</v>
      </c>
      <c r="G1154" s="312">
        <v>31.96</v>
      </c>
      <c r="H1154" s="312">
        <v>331.64</v>
      </c>
      <c r="I1154" s="312">
        <v>68.13</v>
      </c>
      <c r="J1154" s="312">
        <v>342.19</v>
      </c>
      <c r="K1154" s="312">
        <v>212.32</v>
      </c>
      <c r="M1154" t="s">
        <v>2918</v>
      </c>
      <c r="N1154" s="312">
        <v>7721.5400000000009</v>
      </c>
      <c r="O1154" s="312">
        <v>217736.06999999998</v>
      </c>
      <c r="P1154" s="312">
        <v>46739.97</v>
      </c>
      <c r="Q1154" s="312">
        <v>118971.21</v>
      </c>
      <c r="R1154" s="312">
        <v>54822.75</v>
      </c>
    </row>
    <row r="1155" spans="6:18">
      <c r="F1155" t="s">
        <v>2919</v>
      </c>
      <c r="G1155" s="312">
        <v>15.850000000000001</v>
      </c>
      <c r="H1155" s="312">
        <v>295.96000000000004</v>
      </c>
      <c r="I1155" s="312">
        <v>27.67</v>
      </c>
      <c r="J1155" s="312">
        <v>306.10000000000002</v>
      </c>
      <c r="K1155" s="312">
        <v>172.5</v>
      </c>
      <c r="M1155" t="s">
        <v>2919</v>
      </c>
      <c r="N1155" s="312">
        <v>7335.38</v>
      </c>
      <c r="O1155" s="312">
        <v>134803.53</v>
      </c>
      <c r="P1155" s="312">
        <v>8881.49</v>
      </c>
      <c r="Q1155" s="312">
        <v>145754.95000000001</v>
      </c>
      <c r="R1155" s="312">
        <v>44990.350000000006</v>
      </c>
    </row>
    <row r="1156" spans="6:18">
      <c r="F1156" t="s">
        <v>2920</v>
      </c>
      <c r="G1156" s="312">
        <v>19.649999999999999</v>
      </c>
      <c r="H1156" s="312">
        <v>256.82</v>
      </c>
      <c r="I1156" s="312">
        <v>39.42</v>
      </c>
      <c r="J1156" s="312">
        <v>291.57</v>
      </c>
      <c r="K1156" s="312">
        <v>146.63</v>
      </c>
      <c r="M1156" t="s">
        <v>2920</v>
      </c>
      <c r="N1156" s="312">
        <v>8887.36</v>
      </c>
      <c r="O1156" s="312">
        <v>151414.14000000001</v>
      </c>
      <c r="P1156" s="312">
        <v>23171.84</v>
      </c>
      <c r="Q1156" s="312">
        <v>145214.58000000002</v>
      </c>
      <c r="R1156" s="312">
        <v>35427.75</v>
      </c>
    </row>
    <row r="1157" spans="6:18">
      <c r="F1157" t="s">
        <v>2921</v>
      </c>
      <c r="G1157" s="312">
        <v>12.219999999999999</v>
      </c>
      <c r="H1157" s="312">
        <v>223.21</v>
      </c>
      <c r="I1157" s="312">
        <v>43.18</v>
      </c>
      <c r="J1157" s="312">
        <v>452.12</v>
      </c>
      <c r="K1157" s="312">
        <v>221.56</v>
      </c>
      <c r="M1157" t="s">
        <v>2921</v>
      </c>
      <c r="N1157" s="312">
        <v>5015.92</v>
      </c>
      <c r="O1157" s="312">
        <v>134615.16</v>
      </c>
      <c r="P1157" s="312">
        <v>38458.160000000003</v>
      </c>
      <c r="Q1157" s="312">
        <v>195295.62</v>
      </c>
      <c r="R1157" s="312">
        <v>76137.42</v>
      </c>
    </row>
    <row r="1158" spans="6:18">
      <c r="F1158" t="s">
        <v>2922</v>
      </c>
      <c r="G1158" s="312">
        <v>18.61</v>
      </c>
      <c r="H1158" s="312">
        <v>159.53</v>
      </c>
      <c r="I1158" s="312">
        <v>28.65</v>
      </c>
      <c r="J1158" s="312">
        <v>269.31</v>
      </c>
      <c r="K1158" s="312">
        <v>157.35</v>
      </c>
      <c r="M1158" t="s">
        <v>2922</v>
      </c>
      <c r="N1158" s="312">
        <v>8349.76</v>
      </c>
      <c r="O1158" s="312">
        <v>102146.46</v>
      </c>
      <c r="P1158" s="312">
        <v>13828.01</v>
      </c>
      <c r="Q1158" s="312">
        <v>113766.83</v>
      </c>
      <c r="R1158" s="312">
        <v>53355.97</v>
      </c>
    </row>
    <row r="1159" spans="6:18">
      <c r="F1159" t="s">
        <v>2923</v>
      </c>
      <c r="G1159" s="312">
        <v>18.66</v>
      </c>
      <c r="H1159" s="312">
        <v>187.82</v>
      </c>
      <c r="I1159" s="312">
        <v>17.990000000000002</v>
      </c>
      <c r="J1159" s="312">
        <v>196.34</v>
      </c>
      <c r="K1159" s="312">
        <v>102.35</v>
      </c>
      <c r="M1159" t="s">
        <v>2923</v>
      </c>
      <c r="N1159" s="312">
        <v>6254.7800000000007</v>
      </c>
      <c r="O1159" s="312">
        <v>140876.63</v>
      </c>
      <c r="P1159" s="312">
        <v>5868.25</v>
      </c>
      <c r="Q1159" s="312">
        <v>91412.19</v>
      </c>
      <c r="R1159" s="312">
        <v>28162.51</v>
      </c>
    </row>
    <row r="1160" spans="6:18">
      <c r="F1160" t="s">
        <v>2924</v>
      </c>
      <c r="G1160" s="312">
        <v>14.28</v>
      </c>
      <c r="H1160" s="312">
        <v>213.34</v>
      </c>
      <c r="I1160" s="312">
        <v>61.080000000000005</v>
      </c>
      <c r="J1160" s="312">
        <v>400.5</v>
      </c>
      <c r="K1160" s="312">
        <v>114.65</v>
      </c>
      <c r="M1160" t="s">
        <v>2924</v>
      </c>
      <c r="N1160" s="312">
        <v>7776.27</v>
      </c>
      <c r="O1160" s="312">
        <v>175704.4</v>
      </c>
      <c r="P1160" s="312">
        <v>57529.18</v>
      </c>
      <c r="Q1160" s="312">
        <v>188904.21000000002</v>
      </c>
      <c r="R1160" s="312">
        <v>46672.01</v>
      </c>
    </row>
    <row r="1161" spans="6:18">
      <c r="F1161" t="s">
        <v>2925</v>
      </c>
      <c r="G1161" s="312">
        <v>31.340000000000003</v>
      </c>
      <c r="H1161" s="312">
        <v>305.62</v>
      </c>
      <c r="I1161" s="312">
        <v>73.97</v>
      </c>
      <c r="J1161" s="312">
        <v>338.09000000000003</v>
      </c>
      <c r="K1161" s="312">
        <v>99.68</v>
      </c>
      <c r="M1161" t="s">
        <v>2925</v>
      </c>
      <c r="N1161" s="312">
        <v>12225.58</v>
      </c>
      <c r="O1161" s="312">
        <v>181412.28</v>
      </c>
      <c r="P1161" s="312">
        <v>48826.080000000002</v>
      </c>
      <c r="Q1161" s="312">
        <v>160131.06</v>
      </c>
      <c r="R1161" s="312">
        <v>29255.410000000003</v>
      </c>
    </row>
    <row r="1162" spans="6:18">
      <c r="F1162" t="s">
        <v>2926</v>
      </c>
      <c r="G1162" s="312">
        <v>40.379999999999995</v>
      </c>
      <c r="H1162" s="312">
        <v>239.71</v>
      </c>
      <c r="I1162" s="312">
        <v>34.25</v>
      </c>
      <c r="J1162" s="312">
        <v>537.24</v>
      </c>
      <c r="K1162" s="312">
        <v>173.75</v>
      </c>
      <c r="M1162" t="s">
        <v>2926</v>
      </c>
      <c r="N1162" s="312">
        <v>17976.759999999998</v>
      </c>
      <c r="O1162" s="312">
        <v>132146.88</v>
      </c>
      <c r="P1162" s="312">
        <v>18179.68</v>
      </c>
      <c r="Q1162" s="312">
        <v>223881.71000000002</v>
      </c>
      <c r="R1162" s="312">
        <v>64909.74</v>
      </c>
    </row>
    <row r="1163" spans="6:18">
      <c r="F1163" t="s">
        <v>2927</v>
      </c>
      <c r="G1163" s="312">
        <v>55.36</v>
      </c>
      <c r="H1163" s="312">
        <v>335.3</v>
      </c>
      <c r="I1163" s="312">
        <v>51.33</v>
      </c>
      <c r="J1163" s="312">
        <v>342.74</v>
      </c>
      <c r="K1163" s="312">
        <v>279.96999999999997</v>
      </c>
      <c r="M1163" t="s">
        <v>2927</v>
      </c>
      <c r="N1163" s="312">
        <v>30702.36</v>
      </c>
      <c r="O1163" s="312">
        <v>249322.81</v>
      </c>
      <c r="P1163" s="312">
        <v>38009.57</v>
      </c>
      <c r="Q1163" s="312">
        <v>216850.72999999998</v>
      </c>
      <c r="R1163" s="312">
        <v>89966.42</v>
      </c>
    </row>
    <row r="1164" spans="6:18">
      <c r="F1164" t="s">
        <v>2928</v>
      </c>
      <c r="G1164" s="312">
        <v>36.53</v>
      </c>
      <c r="H1164" s="312">
        <v>270.31</v>
      </c>
      <c r="I1164" s="312">
        <v>88.74</v>
      </c>
      <c r="J1164" s="312">
        <v>305.75</v>
      </c>
      <c r="K1164" s="312">
        <v>220.14</v>
      </c>
      <c r="M1164" t="s">
        <v>2928</v>
      </c>
      <c r="N1164" s="312">
        <v>13428.099999999999</v>
      </c>
      <c r="O1164" s="312">
        <v>119943.23999999999</v>
      </c>
      <c r="P1164" s="312">
        <v>84894.319999999992</v>
      </c>
      <c r="Q1164" s="312">
        <v>119485.37</v>
      </c>
      <c r="R1164" s="312">
        <v>93618.890000000014</v>
      </c>
    </row>
    <row r="1165" spans="6:18">
      <c r="F1165" t="s">
        <v>2929</v>
      </c>
      <c r="G1165" s="312">
        <v>25.92</v>
      </c>
      <c r="H1165" s="312">
        <v>226.02999999999997</v>
      </c>
      <c r="I1165" s="312">
        <v>35.480000000000004</v>
      </c>
      <c r="J1165" s="312">
        <v>233</v>
      </c>
      <c r="K1165" s="312">
        <v>167.39</v>
      </c>
      <c r="M1165" t="s">
        <v>2929</v>
      </c>
      <c r="N1165" s="312">
        <v>9264.17</v>
      </c>
      <c r="O1165" s="312">
        <v>112818.03</v>
      </c>
      <c r="P1165" s="312">
        <v>19912.86</v>
      </c>
      <c r="Q1165" s="312">
        <v>93526.53</v>
      </c>
      <c r="R1165" s="312">
        <v>45429.05</v>
      </c>
    </row>
    <row r="1166" spans="6:18">
      <c r="F1166" t="s">
        <v>2930</v>
      </c>
      <c r="G1166" s="312">
        <v>26.14</v>
      </c>
      <c r="H1166" s="312">
        <v>162.65</v>
      </c>
      <c r="I1166" s="312">
        <v>37.409999999999997</v>
      </c>
      <c r="J1166" s="312">
        <v>206.5</v>
      </c>
      <c r="K1166" s="312">
        <v>112.24</v>
      </c>
      <c r="M1166" t="s">
        <v>2930</v>
      </c>
      <c r="N1166" s="312">
        <v>15100.509999999998</v>
      </c>
      <c r="O1166" s="312">
        <v>74442.320000000007</v>
      </c>
      <c r="P1166" s="312">
        <v>44222.33</v>
      </c>
      <c r="Q1166" s="312">
        <v>119220.62</v>
      </c>
      <c r="R1166" s="312">
        <v>29970.379999999997</v>
      </c>
    </row>
    <row r="1167" spans="6:18">
      <c r="F1167" t="s">
        <v>2931</v>
      </c>
      <c r="G1167" s="312">
        <v>32.479999999999997</v>
      </c>
      <c r="H1167" s="312">
        <v>226.6</v>
      </c>
      <c r="I1167" s="312">
        <v>55.57</v>
      </c>
      <c r="J1167" s="312">
        <v>359.23</v>
      </c>
      <c r="K1167" s="312">
        <v>196.76</v>
      </c>
      <c r="M1167" t="s">
        <v>2931</v>
      </c>
      <c r="N1167" s="312">
        <v>16456.04</v>
      </c>
      <c r="O1167" s="312">
        <v>112593.1</v>
      </c>
      <c r="P1167" s="312">
        <v>41568.339999999997</v>
      </c>
      <c r="Q1167" s="312">
        <v>156144.57999999999</v>
      </c>
      <c r="R1167" s="312">
        <v>81672.09</v>
      </c>
    </row>
    <row r="1168" spans="6:18">
      <c r="F1168" t="s">
        <v>2932</v>
      </c>
      <c r="G1168" s="312">
        <v>29.89</v>
      </c>
      <c r="H1168" s="312">
        <v>321.91999999999996</v>
      </c>
      <c r="I1168" s="312">
        <v>24.88</v>
      </c>
      <c r="J1168" s="312">
        <v>343.7</v>
      </c>
      <c r="K1168" s="312">
        <v>269.3</v>
      </c>
      <c r="M1168" t="s">
        <v>2932</v>
      </c>
      <c r="N1168" s="312">
        <v>19188.580000000002</v>
      </c>
      <c r="O1168" s="312">
        <v>186079.44</v>
      </c>
      <c r="P1168" s="312">
        <v>16093.779999999999</v>
      </c>
      <c r="Q1168" s="312">
        <v>137875.85999999999</v>
      </c>
      <c r="R1168" s="312">
        <v>66947.56</v>
      </c>
    </row>
    <row r="1169" spans="6:18">
      <c r="F1169" t="s">
        <v>2933</v>
      </c>
      <c r="G1169" s="312">
        <v>36.74</v>
      </c>
      <c r="H1169" s="312">
        <v>332.94</v>
      </c>
      <c r="I1169" s="312">
        <v>39.57</v>
      </c>
      <c r="J1169" s="312">
        <v>401.85</v>
      </c>
      <c r="K1169" s="312">
        <v>168.74</v>
      </c>
      <c r="M1169" t="s">
        <v>2933</v>
      </c>
      <c r="N1169" s="312">
        <v>22773.42</v>
      </c>
      <c r="O1169" s="312">
        <v>178687.29</v>
      </c>
      <c r="P1169" s="312">
        <v>21025.33</v>
      </c>
      <c r="Q1169" s="312">
        <v>150636.19</v>
      </c>
      <c r="R1169" s="312">
        <v>56832.19</v>
      </c>
    </row>
    <row r="1170" spans="6:18">
      <c r="F1170" t="s">
        <v>2934</v>
      </c>
      <c r="G1170" s="312">
        <v>29.12</v>
      </c>
      <c r="H1170" s="312">
        <v>316.68</v>
      </c>
      <c r="I1170" s="312">
        <v>28.490000000000002</v>
      </c>
      <c r="J1170" s="312">
        <v>455.73</v>
      </c>
      <c r="K1170" s="312">
        <v>150.87</v>
      </c>
      <c r="M1170" t="s">
        <v>2934</v>
      </c>
      <c r="N1170" s="312">
        <v>13023.85</v>
      </c>
      <c r="O1170" s="312">
        <v>182391.33000000002</v>
      </c>
      <c r="P1170" s="312">
        <v>27878.089999999997</v>
      </c>
      <c r="Q1170" s="312">
        <v>281326.34999999998</v>
      </c>
      <c r="R1170" s="312">
        <v>60074.39</v>
      </c>
    </row>
    <row r="1171" spans="6:18">
      <c r="F1171" t="s">
        <v>2935</v>
      </c>
      <c r="G1171" s="312">
        <v>16.47</v>
      </c>
      <c r="H1171" s="312">
        <v>166.3</v>
      </c>
      <c r="I1171" s="312">
        <v>57.440000000000005</v>
      </c>
      <c r="J1171" s="312">
        <v>372.38</v>
      </c>
      <c r="K1171" s="312">
        <v>275.27</v>
      </c>
      <c r="M1171" t="s">
        <v>2935</v>
      </c>
      <c r="N1171" s="312">
        <v>6421.1399999999994</v>
      </c>
      <c r="O1171" s="312">
        <v>83699.75</v>
      </c>
      <c r="P1171" s="312">
        <v>37631.89</v>
      </c>
      <c r="Q1171" s="312">
        <v>145825.56</v>
      </c>
      <c r="R1171" s="312">
        <v>81680.72</v>
      </c>
    </row>
    <row r="1172" spans="6:18">
      <c r="F1172" t="s">
        <v>2936</v>
      </c>
      <c r="G1172" s="312">
        <v>13.34</v>
      </c>
      <c r="H1172" s="312">
        <v>211.79000000000002</v>
      </c>
      <c r="I1172" s="312">
        <v>67.37</v>
      </c>
      <c r="J1172" s="312">
        <v>205.14000000000001</v>
      </c>
      <c r="K1172" s="312">
        <v>155.07</v>
      </c>
      <c r="M1172" t="s">
        <v>2936</v>
      </c>
      <c r="N1172" s="312">
        <v>5235.32</v>
      </c>
      <c r="O1172" s="312">
        <v>99301.73</v>
      </c>
      <c r="P1172" s="312">
        <v>42017.84</v>
      </c>
      <c r="Q1172" s="312">
        <v>111146.43000000001</v>
      </c>
      <c r="R1172" s="312">
        <v>54297.42</v>
      </c>
    </row>
    <row r="1173" spans="6:18">
      <c r="F1173" t="s">
        <v>2937</v>
      </c>
      <c r="G1173" s="312">
        <v>9.4600000000000009</v>
      </c>
      <c r="H1173" s="312">
        <v>241.24</v>
      </c>
      <c r="I1173" s="312">
        <v>13.04</v>
      </c>
      <c r="J1173" s="312">
        <v>188.49</v>
      </c>
      <c r="K1173" s="312">
        <v>142.61000000000001</v>
      </c>
      <c r="M1173" t="s">
        <v>2937</v>
      </c>
      <c r="N1173" s="312">
        <v>6659.8600000000006</v>
      </c>
      <c r="O1173" s="312">
        <v>151825.43</v>
      </c>
      <c r="P1173" s="312">
        <v>4840.04</v>
      </c>
      <c r="Q1173" s="312">
        <v>83002.23</v>
      </c>
      <c r="R1173" s="312">
        <v>34234.74</v>
      </c>
    </row>
    <row r="1174" spans="6:18">
      <c r="F1174" t="s">
        <v>2938</v>
      </c>
      <c r="G1174" s="312">
        <v>42.5</v>
      </c>
      <c r="H1174" s="312">
        <v>329.31</v>
      </c>
      <c r="I1174" s="312">
        <v>77.47</v>
      </c>
      <c r="J1174" s="312">
        <v>424.29</v>
      </c>
      <c r="K1174" s="312">
        <v>230.45</v>
      </c>
      <c r="M1174" t="s">
        <v>2938</v>
      </c>
      <c r="N1174" s="312">
        <v>28395.87</v>
      </c>
      <c r="O1174" s="312">
        <v>220499.97999999998</v>
      </c>
      <c r="P1174" s="312">
        <v>65438.630000000005</v>
      </c>
      <c r="Q1174" s="312">
        <v>165436.81</v>
      </c>
      <c r="R1174" s="312">
        <v>79012.76999999999</v>
      </c>
    </row>
    <row r="1175" spans="6:18">
      <c r="F1175" t="s">
        <v>2939</v>
      </c>
      <c r="G1175" s="312">
        <v>25.259999999999998</v>
      </c>
      <c r="H1175" s="312">
        <v>406.52</v>
      </c>
      <c r="I1175" s="312">
        <v>60.42</v>
      </c>
      <c r="J1175" s="312">
        <v>445.87</v>
      </c>
      <c r="K1175" s="312">
        <v>183.19</v>
      </c>
      <c r="M1175" t="s">
        <v>2939</v>
      </c>
      <c r="N1175" s="312">
        <v>9050.5</v>
      </c>
      <c r="O1175" s="312">
        <v>256840.03</v>
      </c>
      <c r="P1175" s="312">
        <v>37048.58</v>
      </c>
      <c r="Q1175" s="312">
        <v>266842.42</v>
      </c>
      <c r="R1175" s="312">
        <v>64985.31</v>
      </c>
    </row>
    <row r="1176" spans="6:18">
      <c r="F1176" t="s">
        <v>2940</v>
      </c>
      <c r="G1176" s="312">
        <v>53.97</v>
      </c>
      <c r="H1176" s="312">
        <v>497.11</v>
      </c>
      <c r="I1176" s="312">
        <v>77.05</v>
      </c>
      <c r="J1176" s="312">
        <v>467.22</v>
      </c>
      <c r="K1176" s="312">
        <v>221.61</v>
      </c>
      <c r="M1176" t="s">
        <v>2940</v>
      </c>
      <c r="N1176" s="312">
        <v>17342.25</v>
      </c>
      <c r="O1176" s="312">
        <v>272973.42000000004</v>
      </c>
      <c r="P1176" s="312">
        <v>70690.649999999994</v>
      </c>
      <c r="Q1176" s="312">
        <v>161634.47</v>
      </c>
      <c r="R1176" s="312">
        <v>66954.69</v>
      </c>
    </row>
    <row r="1177" spans="6:18">
      <c r="F1177" t="s">
        <v>2941</v>
      </c>
      <c r="G1177" s="312">
        <v>34.06</v>
      </c>
      <c r="H1177" s="312">
        <v>466.05999999999995</v>
      </c>
      <c r="I1177" s="312">
        <v>90.36999999999999</v>
      </c>
      <c r="J1177" s="312">
        <v>341.42999999999995</v>
      </c>
      <c r="K1177" s="312">
        <v>271.12</v>
      </c>
      <c r="M1177" t="s">
        <v>2941</v>
      </c>
      <c r="N1177" s="312">
        <v>15436.11</v>
      </c>
      <c r="O1177" s="312">
        <v>312094.40000000002</v>
      </c>
      <c r="P1177" s="312">
        <v>111153.28</v>
      </c>
      <c r="Q1177" s="312">
        <v>142352.61000000002</v>
      </c>
      <c r="R1177" s="312">
        <v>79089.399999999994</v>
      </c>
    </row>
    <row r="1178" spans="6:18">
      <c r="F1178" t="s">
        <v>2942</v>
      </c>
      <c r="G1178" s="312">
        <v>25.38</v>
      </c>
      <c r="H1178" s="312">
        <v>389.91</v>
      </c>
      <c r="I1178" s="312">
        <v>78.97</v>
      </c>
      <c r="J1178" s="312">
        <v>361.46999999999997</v>
      </c>
      <c r="K1178" s="312">
        <v>242.69</v>
      </c>
      <c r="M1178" t="s">
        <v>2942</v>
      </c>
      <c r="N1178" s="312">
        <v>15964.310000000001</v>
      </c>
      <c r="O1178" s="312">
        <v>211557.89</v>
      </c>
      <c r="P1178" s="312">
        <v>47431.9</v>
      </c>
      <c r="Q1178" s="312">
        <v>190480.37</v>
      </c>
      <c r="R1178" s="312">
        <v>92700.489999999991</v>
      </c>
    </row>
    <row r="1179" spans="6:18">
      <c r="F1179" t="s">
        <v>2943</v>
      </c>
      <c r="G1179" s="312">
        <v>35.15</v>
      </c>
      <c r="H1179" s="312">
        <v>285.09000000000003</v>
      </c>
      <c r="I1179" s="312">
        <v>30.76</v>
      </c>
      <c r="J1179" s="312">
        <v>272.61</v>
      </c>
      <c r="K1179" s="312">
        <v>149.63999999999999</v>
      </c>
      <c r="M1179" t="s">
        <v>2943</v>
      </c>
      <c r="N1179" s="312">
        <v>37731.229999999996</v>
      </c>
      <c r="O1179" s="312">
        <v>141835.5</v>
      </c>
      <c r="P1179" s="312">
        <v>19723.190000000002</v>
      </c>
      <c r="Q1179" s="312">
        <v>126759.95999999999</v>
      </c>
      <c r="R1179" s="312">
        <v>44527.360000000001</v>
      </c>
    </row>
    <row r="1180" spans="6:18">
      <c r="F1180" t="s">
        <v>2944</v>
      </c>
      <c r="G1180" s="312">
        <v>15.04</v>
      </c>
      <c r="H1180" s="312">
        <v>272.02</v>
      </c>
      <c r="I1180" s="312">
        <v>12.67</v>
      </c>
      <c r="J1180" s="312">
        <v>247.07999999999998</v>
      </c>
      <c r="K1180" s="312">
        <v>112.49</v>
      </c>
      <c r="M1180" t="s">
        <v>2944</v>
      </c>
      <c r="N1180" s="312">
        <v>7478.09</v>
      </c>
      <c r="O1180" s="312">
        <v>141804.38</v>
      </c>
      <c r="P1180" s="312">
        <v>6904.62</v>
      </c>
      <c r="Q1180" s="312">
        <v>93278.200000000012</v>
      </c>
      <c r="R1180" s="312">
        <v>43060.87</v>
      </c>
    </row>
    <row r="1181" spans="6:18">
      <c r="F1181" t="s">
        <v>2945</v>
      </c>
      <c r="G1181" s="312">
        <v>11.52</v>
      </c>
      <c r="H1181" s="312">
        <v>356.57</v>
      </c>
      <c r="I1181" s="312">
        <v>48.82</v>
      </c>
      <c r="J1181" s="312">
        <v>556.61</v>
      </c>
      <c r="K1181" s="312">
        <v>199.64</v>
      </c>
      <c r="M1181" t="s">
        <v>2945</v>
      </c>
      <c r="N1181" s="312">
        <v>4397.87</v>
      </c>
      <c r="O1181" s="312">
        <v>243717.94</v>
      </c>
      <c r="P1181" s="312">
        <v>64766.38</v>
      </c>
      <c r="Q1181" s="312">
        <v>219589.22</v>
      </c>
      <c r="R1181" s="312">
        <v>56451.03</v>
      </c>
    </row>
    <row r="1182" spans="6:18">
      <c r="F1182" t="s">
        <v>2946</v>
      </c>
      <c r="G1182" s="312">
        <v>24.560000000000002</v>
      </c>
      <c r="H1182" s="312">
        <v>317.68</v>
      </c>
      <c r="I1182" s="312">
        <v>55.680000000000007</v>
      </c>
      <c r="J1182" s="312">
        <v>427.5</v>
      </c>
      <c r="K1182" s="312">
        <v>209.7</v>
      </c>
      <c r="M1182" t="s">
        <v>2946</v>
      </c>
      <c r="N1182" s="312">
        <v>12908.119999999999</v>
      </c>
      <c r="O1182" s="312">
        <v>206666.4</v>
      </c>
      <c r="P1182" s="312">
        <v>38993.81</v>
      </c>
      <c r="Q1182" s="312">
        <v>216408.02999999997</v>
      </c>
      <c r="R1182" s="312">
        <v>60083.16</v>
      </c>
    </row>
    <row r="1183" spans="6:18">
      <c r="F1183" t="s">
        <v>2947</v>
      </c>
      <c r="G1183" s="312">
        <v>42.47</v>
      </c>
      <c r="H1183" s="312">
        <v>406.67999999999995</v>
      </c>
      <c r="I1183" s="312">
        <v>37.989999999999995</v>
      </c>
      <c r="J1183" s="312">
        <v>466.08000000000004</v>
      </c>
      <c r="K1183" s="312">
        <v>194.31</v>
      </c>
      <c r="M1183" t="s">
        <v>2947</v>
      </c>
      <c r="N1183" s="312">
        <v>26436.840000000004</v>
      </c>
      <c r="O1183" s="312">
        <v>185489.00999999998</v>
      </c>
      <c r="P1183" s="312">
        <v>21130.41</v>
      </c>
      <c r="Q1183" s="312">
        <v>201748.22</v>
      </c>
      <c r="R1183" s="312">
        <v>75796.759999999995</v>
      </c>
    </row>
    <row r="1184" spans="6:18">
      <c r="F1184" t="s">
        <v>2948</v>
      </c>
      <c r="G1184" s="312">
        <v>16.170000000000002</v>
      </c>
      <c r="H1184" s="312">
        <v>348.35</v>
      </c>
      <c r="I1184" s="312">
        <v>29.15</v>
      </c>
      <c r="J1184" s="312">
        <v>455.75</v>
      </c>
      <c r="K1184" s="312">
        <v>259.74</v>
      </c>
      <c r="M1184" t="s">
        <v>2948</v>
      </c>
      <c r="N1184" s="312">
        <v>8598.4699999999993</v>
      </c>
      <c r="O1184" s="312">
        <v>202865.28</v>
      </c>
      <c r="P1184" s="312">
        <v>14488.6</v>
      </c>
      <c r="Q1184" s="312">
        <v>237667.84000000003</v>
      </c>
      <c r="R1184" s="312">
        <v>121204.12</v>
      </c>
    </row>
    <row r="1185" spans="6:18">
      <c r="F1185" t="s">
        <v>2949</v>
      </c>
      <c r="G1185" s="312">
        <v>13.04</v>
      </c>
      <c r="H1185" s="312">
        <v>322.98</v>
      </c>
      <c r="I1185" s="312">
        <v>34.089999999999996</v>
      </c>
      <c r="J1185" s="312">
        <v>378.68</v>
      </c>
      <c r="K1185" s="312">
        <v>269.49</v>
      </c>
      <c r="M1185" t="s">
        <v>2949</v>
      </c>
      <c r="N1185" s="312">
        <v>4554.87</v>
      </c>
      <c r="O1185" s="312">
        <v>176582.73</v>
      </c>
      <c r="P1185" s="312">
        <v>25741.329999999998</v>
      </c>
      <c r="Q1185" s="312">
        <v>149735.93</v>
      </c>
      <c r="R1185" s="312">
        <v>73646.63</v>
      </c>
    </row>
    <row r="1186" spans="6:18">
      <c r="F1186" t="s">
        <v>2950</v>
      </c>
      <c r="G1186" s="312">
        <v>19.43</v>
      </c>
      <c r="H1186" s="312">
        <v>230.41</v>
      </c>
      <c r="I1186" s="312">
        <v>67.319999999999993</v>
      </c>
      <c r="J1186" s="312">
        <v>252.53000000000003</v>
      </c>
      <c r="K1186" s="312">
        <v>182.82</v>
      </c>
      <c r="M1186" t="s">
        <v>2950</v>
      </c>
      <c r="N1186" s="312">
        <v>7643.0399999999991</v>
      </c>
      <c r="O1186" s="312">
        <v>108029.92</v>
      </c>
      <c r="P1186" s="312">
        <v>61478.26</v>
      </c>
      <c r="Q1186" s="312">
        <v>201353.39</v>
      </c>
      <c r="R1186" s="312">
        <v>44263.65</v>
      </c>
    </row>
    <row r="1187" spans="6:18">
      <c r="F1187" t="s">
        <v>2951</v>
      </c>
      <c r="G1187" s="312">
        <v>19.07</v>
      </c>
      <c r="H1187" s="312">
        <v>210.85</v>
      </c>
      <c r="I1187" s="312">
        <v>12.47</v>
      </c>
      <c r="J1187" s="312">
        <v>213.76</v>
      </c>
      <c r="K1187" s="312">
        <v>143.06</v>
      </c>
      <c r="M1187" t="s">
        <v>2951</v>
      </c>
      <c r="N1187" s="312">
        <v>7257.8</v>
      </c>
      <c r="O1187" s="312">
        <v>119328.12</v>
      </c>
      <c r="P1187" s="312">
        <v>5811.54</v>
      </c>
      <c r="Q1187" s="312">
        <v>122954.78</v>
      </c>
      <c r="R1187" s="312">
        <v>87042.48</v>
      </c>
    </row>
    <row r="1188" spans="6:18">
      <c r="F1188" t="s">
        <v>2952</v>
      </c>
      <c r="G1188" s="312">
        <v>42.97</v>
      </c>
      <c r="H1188" s="312">
        <v>397.12</v>
      </c>
      <c r="I1188" s="312">
        <v>85.65</v>
      </c>
      <c r="J1188" s="312">
        <v>355.78999999999996</v>
      </c>
      <c r="K1188" s="312">
        <v>132.76999999999998</v>
      </c>
      <c r="M1188" t="s">
        <v>2952</v>
      </c>
      <c r="N1188" s="312">
        <v>23770.82</v>
      </c>
      <c r="O1188" s="312">
        <v>211375.88999999998</v>
      </c>
      <c r="P1188" s="312">
        <v>67810.880000000005</v>
      </c>
      <c r="Q1188" s="312">
        <v>131811.6</v>
      </c>
      <c r="R1188" s="312">
        <v>27038.909999999996</v>
      </c>
    </row>
    <row r="1189" spans="6:18">
      <c r="F1189" t="s">
        <v>2953</v>
      </c>
      <c r="G1189" s="312">
        <v>62.95</v>
      </c>
      <c r="H1189" s="312">
        <v>388.28000000000003</v>
      </c>
      <c r="I1189" s="312">
        <v>55.57</v>
      </c>
      <c r="J1189" s="312">
        <v>440.78000000000003</v>
      </c>
      <c r="K1189" s="312">
        <v>222.18</v>
      </c>
      <c r="M1189" t="s">
        <v>2953</v>
      </c>
      <c r="N1189" s="312">
        <v>28674.78</v>
      </c>
      <c r="O1189" s="312">
        <v>255181.56</v>
      </c>
      <c r="P1189" s="312">
        <v>35211.910000000003</v>
      </c>
      <c r="Q1189" s="312">
        <v>156854.09</v>
      </c>
      <c r="R1189" s="312">
        <v>79315.47</v>
      </c>
    </row>
    <row r="1190" spans="6:18">
      <c r="F1190" t="s">
        <v>2954</v>
      </c>
      <c r="G1190" s="312">
        <v>36.089999999999996</v>
      </c>
      <c r="H1190" s="312">
        <v>367.21000000000004</v>
      </c>
      <c r="I1190" s="312">
        <v>54.7</v>
      </c>
      <c r="J1190" s="312">
        <v>355.65</v>
      </c>
      <c r="K1190" s="312">
        <v>235.62</v>
      </c>
      <c r="M1190" t="s">
        <v>2954</v>
      </c>
      <c r="N1190" s="312">
        <v>12455.32</v>
      </c>
      <c r="O1190" s="312">
        <v>182646.68000000002</v>
      </c>
      <c r="P1190" s="312">
        <v>32462.2</v>
      </c>
      <c r="Q1190" s="312">
        <v>175899.25</v>
      </c>
      <c r="R1190" s="312">
        <v>84413.31</v>
      </c>
    </row>
    <row r="1191" spans="6:18">
      <c r="F1191" t="s">
        <v>2955</v>
      </c>
      <c r="G1191" s="312">
        <v>18.68</v>
      </c>
      <c r="H1191" s="312">
        <v>326.87</v>
      </c>
      <c r="I1191" s="312">
        <v>157.56</v>
      </c>
      <c r="J1191" s="312">
        <v>384.61</v>
      </c>
      <c r="K1191" s="312">
        <v>255.49</v>
      </c>
      <c r="M1191" t="s">
        <v>2955</v>
      </c>
      <c r="N1191" s="312">
        <v>6525.1200000000008</v>
      </c>
      <c r="O1191" s="312">
        <v>197880.82</v>
      </c>
      <c r="P1191" s="312">
        <v>118209.5</v>
      </c>
      <c r="Q1191" s="312">
        <v>174804.66</v>
      </c>
      <c r="R1191" s="312">
        <v>80224.399999999994</v>
      </c>
    </row>
    <row r="1192" spans="6:18">
      <c r="F1192" t="s">
        <v>2956</v>
      </c>
      <c r="G1192" s="312">
        <v>22.09</v>
      </c>
      <c r="H1192" s="312">
        <v>331.02</v>
      </c>
      <c r="I1192" s="312">
        <v>29.39</v>
      </c>
      <c r="J1192" s="312">
        <v>351.42</v>
      </c>
      <c r="K1192" s="312">
        <v>168.43</v>
      </c>
      <c r="M1192" t="s">
        <v>2956</v>
      </c>
      <c r="N1192" s="312">
        <v>6300.63</v>
      </c>
      <c r="O1192" s="312">
        <v>184317.27999999997</v>
      </c>
      <c r="P1192" s="312">
        <v>18734.87</v>
      </c>
      <c r="Q1192" s="312">
        <v>314837.98</v>
      </c>
      <c r="R1192" s="312">
        <v>66954.540000000008</v>
      </c>
    </row>
    <row r="1193" spans="6:18">
      <c r="F1193" t="s">
        <v>2957</v>
      </c>
      <c r="G1193" s="312">
        <v>15.21</v>
      </c>
      <c r="H1193" s="312">
        <v>287.61</v>
      </c>
      <c r="I1193" s="312">
        <v>78.38</v>
      </c>
      <c r="J1193" s="312">
        <v>242.92000000000002</v>
      </c>
      <c r="K1193" s="312">
        <v>121.46</v>
      </c>
      <c r="M1193" t="s">
        <v>2957</v>
      </c>
      <c r="N1193" s="312">
        <v>6676.12</v>
      </c>
      <c r="O1193" s="312">
        <v>195878.88</v>
      </c>
      <c r="P1193" s="312">
        <v>58281.47</v>
      </c>
      <c r="Q1193" s="312">
        <v>126949.9</v>
      </c>
      <c r="R1193" s="312">
        <v>27271.33</v>
      </c>
    </row>
    <row r="1194" spans="6:18">
      <c r="F1194" t="s">
        <v>2958</v>
      </c>
      <c r="G1194" s="312">
        <v>43.23</v>
      </c>
      <c r="H1194" s="312">
        <v>200.44</v>
      </c>
      <c r="I1194" s="312">
        <v>28.39</v>
      </c>
      <c r="J1194" s="312">
        <v>136.72999999999999</v>
      </c>
      <c r="K1194" s="312">
        <v>127.37</v>
      </c>
      <c r="M1194" t="s">
        <v>2958</v>
      </c>
      <c r="N1194" s="312">
        <v>16923.900000000001</v>
      </c>
      <c r="O1194" s="312">
        <v>87325.38</v>
      </c>
      <c r="P1194" s="312">
        <v>25693.659999999996</v>
      </c>
      <c r="Q1194" s="312">
        <v>81906.23000000001</v>
      </c>
      <c r="R1194" s="312">
        <v>48117.37</v>
      </c>
    </row>
    <row r="1195" spans="6:18">
      <c r="F1195" t="s">
        <v>2959</v>
      </c>
      <c r="G1195" s="312">
        <v>11.969999999999999</v>
      </c>
      <c r="H1195" s="312">
        <v>344.12</v>
      </c>
      <c r="I1195" s="312">
        <v>7.09</v>
      </c>
      <c r="J1195" s="312">
        <v>332.51</v>
      </c>
      <c r="K1195" s="312">
        <v>237.85</v>
      </c>
      <c r="M1195" t="s">
        <v>2959</v>
      </c>
      <c r="N1195" s="312">
        <v>6912.3600000000006</v>
      </c>
      <c r="O1195" s="312">
        <v>207338.23999999999</v>
      </c>
      <c r="P1195" s="312">
        <v>3374.92</v>
      </c>
      <c r="Q1195" s="312">
        <v>229886.38999999998</v>
      </c>
      <c r="R1195" s="312">
        <v>83028.460000000006</v>
      </c>
    </row>
    <row r="1196" spans="6:18">
      <c r="F1196" t="s">
        <v>2960</v>
      </c>
      <c r="G1196" s="312">
        <v>12.69</v>
      </c>
      <c r="H1196" s="312">
        <v>318.24</v>
      </c>
      <c r="I1196" s="312">
        <v>55.1</v>
      </c>
      <c r="J1196" s="312">
        <v>346.78000000000003</v>
      </c>
      <c r="K1196" s="312">
        <v>275.90999999999997</v>
      </c>
      <c r="M1196" t="s">
        <v>2960</v>
      </c>
      <c r="N1196" s="312">
        <v>5533.33</v>
      </c>
      <c r="O1196" s="312">
        <v>170881</v>
      </c>
      <c r="P1196" s="312">
        <v>58847.5</v>
      </c>
      <c r="Q1196" s="312">
        <v>136423</v>
      </c>
      <c r="R1196" s="312">
        <v>76786.200000000012</v>
      </c>
    </row>
    <row r="1197" spans="6:18">
      <c r="F1197" t="s">
        <v>2961</v>
      </c>
      <c r="G1197" s="312">
        <v>13.09</v>
      </c>
      <c r="H1197" s="312">
        <v>354.3</v>
      </c>
      <c r="I1197" s="312">
        <v>88.37</v>
      </c>
      <c r="J1197" s="312">
        <v>455.25</v>
      </c>
      <c r="K1197" s="312">
        <v>282.14999999999998</v>
      </c>
      <c r="M1197" t="s">
        <v>2961</v>
      </c>
      <c r="N1197" s="312">
        <v>6490.6100000000006</v>
      </c>
      <c r="O1197" s="312">
        <v>185455.96</v>
      </c>
      <c r="P1197" s="312">
        <v>101779.37999999999</v>
      </c>
      <c r="Q1197" s="312">
        <v>210690.92</v>
      </c>
      <c r="R1197" s="312">
        <v>87522.21</v>
      </c>
    </row>
    <row r="1198" spans="6:18">
      <c r="F1198" t="s">
        <v>2962</v>
      </c>
      <c r="G1198" s="312">
        <v>22.37</v>
      </c>
      <c r="H1198" s="312">
        <v>405.9</v>
      </c>
      <c r="I1198" s="312">
        <v>51.16</v>
      </c>
      <c r="J1198" s="312">
        <v>321.25</v>
      </c>
      <c r="K1198" s="312">
        <v>239.56</v>
      </c>
      <c r="M1198" t="s">
        <v>2962</v>
      </c>
      <c r="N1198" s="312">
        <v>15187.08</v>
      </c>
      <c r="O1198" s="312">
        <v>250834.74</v>
      </c>
      <c r="P1198" s="312">
        <v>31713.82</v>
      </c>
      <c r="Q1198" s="312">
        <v>173070.21</v>
      </c>
      <c r="R1198" s="312">
        <v>71579.33</v>
      </c>
    </row>
    <row r="1199" spans="6:18">
      <c r="F1199" t="s">
        <v>2963</v>
      </c>
      <c r="G1199" s="312">
        <v>15.08</v>
      </c>
      <c r="H1199" s="312">
        <v>361.86</v>
      </c>
      <c r="I1199" s="312">
        <v>65.710000000000008</v>
      </c>
      <c r="J1199" s="312">
        <v>262.38</v>
      </c>
      <c r="K1199" s="312">
        <v>186.35</v>
      </c>
      <c r="M1199" t="s">
        <v>2963</v>
      </c>
      <c r="N1199" s="312">
        <v>6900.74</v>
      </c>
      <c r="O1199" s="312">
        <v>161215.47</v>
      </c>
      <c r="P1199" s="312">
        <v>67334.33</v>
      </c>
      <c r="Q1199" s="312">
        <v>229199.19</v>
      </c>
      <c r="R1199" s="312">
        <v>71173.91</v>
      </c>
    </row>
    <row r="1200" spans="6:18">
      <c r="F1200" t="s">
        <v>2964</v>
      </c>
      <c r="G1200" s="312">
        <v>13.01</v>
      </c>
      <c r="H1200" s="312">
        <v>310.64</v>
      </c>
      <c r="I1200" s="312">
        <v>43.67</v>
      </c>
      <c r="J1200" s="312">
        <v>160.15</v>
      </c>
      <c r="K1200" s="312">
        <v>186.57</v>
      </c>
      <c r="M1200" t="s">
        <v>2964</v>
      </c>
      <c r="N1200" s="312">
        <v>7098.67</v>
      </c>
      <c r="O1200" s="312">
        <v>181279.68</v>
      </c>
      <c r="P1200" s="312">
        <v>33782.1</v>
      </c>
      <c r="Q1200" s="312">
        <v>103027.41</v>
      </c>
      <c r="R1200" s="312">
        <v>66796.100000000006</v>
      </c>
    </row>
    <row r="1201" spans="6:18">
      <c r="F1201" t="s">
        <v>2965</v>
      </c>
      <c r="G1201" s="312">
        <v>21.299999999999997</v>
      </c>
      <c r="H1201" s="312">
        <v>317.21000000000004</v>
      </c>
      <c r="I1201" s="312">
        <v>8.9700000000000006</v>
      </c>
      <c r="J1201" s="312">
        <v>203.62</v>
      </c>
      <c r="K1201" s="312">
        <v>152.38999999999999</v>
      </c>
      <c r="M1201" t="s">
        <v>2965</v>
      </c>
      <c r="N1201" s="312">
        <v>9270.69</v>
      </c>
      <c r="O1201" s="312">
        <v>155533.13999999998</v>
      </c>
      <c r="P1201" s="312">
        <v>5631.63</v>
      </c>
      <c r="Q1201" s="312">
        <v>93856.03</v>
      </c>
      <c r="R1201" s="312">
        <v>62805.440000000002</v>
      </c>
    </row>
    <row r="1202" spans="6:18">
      <c r="F1202" t="s">
        <v>2966</v>
      </c>
      <c r="G1202" s="312">
        <v>22.6</v>
      </c>
      <c r="H1202" s="312">
        <v>392.06</v>
      </c>
      <c r="I1202" s="312">
        <v>67.95</v>
      </c>
      <c r="J1202" s="312">
        <v>375.98</v>
      </c>
      <c r="K1202" s="312">
        <v>171.63</v>
      </c>
      <c r="M1202" t="s">
        <v>2966</v>
      </c>
      <c r="N1202" s="312">
        <v>17138.349999999999</v>
      </c>
      <c r="O1202" s="312">
        <v>208465.02</v>
      </c>
      <c r="P1202" s="312">
        <v>53029.18</v>
      </c>
      <c r="Q1202" s="312">
        <v>196275.59000000003</v>
      </c>
      <c r="R1202" s="312">
        <v>56926.23</v>
      </c>
    </row>
    <row r="1203" spans="6:18">
      <c r="F1203" t="s">
        <v>2967</v>
      </c>
      <c r="G1203" s="312">
        <v>33.64</v>
      </c>
      <c r="H1203" s="312">
        <v>455.75</v>
      </c>
      <c r="I1203" s="312">
        <v>37.71</v>
      </c>
      <c r="J1203" s="312">
        <v>390.62</v>
      </c>
      <c r="K1203" s="312">
        <v>277.85000000000002</v>
      </c>
      <c r="M1203" t="s">
        <v>2967</v>
      </c>
      <c r="N1203" s="312">
        <v>15315.66</v>
      </c>
      <c r="O1203" s="312">
        <v>262479.5</v>
      </c>
      <c r="P1203" s="312">
        <v>22325.29</v>
      </c>
      <c r="Q1203" s="312">
        <v>297092.19999999995</v>
      </c>
      <c r="R1203" s="312">
        <v>75627.010000000009</v>
      </c>
    </row>
    <row r="1204" spans="6:18">
      <c r="F1204" t="s">
        <v>2968</v>
      </c>
      <c r="G1204" s="312">
        <v>20.03</v>
      </c>
      <c r="H1204" s="312">
        <v>412.28999999999996</v>
      </c>
      <c r="I1204" s="312">
        <v>63.72</v>
      </c>
      <c r="J1204" s="312">
        <v>372.21</v>
      </c>
      <c r="K1204" s="312">
        <v>205.96</v>
      </c>
      <c r="M1204" t="s">
        <v>2968</v>
      </c>
      <c r="N1204" s="312">
        <v>7890.95</v>
      </c>
      <c r="O1204" s="312">
        <v>288420</v>
      </c>
      <c r="P1204" s="312">
        <v>30400.02</v>
      </c>
      <c r="Q1204" s="312">
        <v>186697.56</v>
      </c>
      <c r="R1204" s="312">
        <v>62434.959999999992</v>
      </c>
    </row>
    <row r="1205" spans="6:18">
      <c r="F1205" t="s">
        <v>2969</v>
      </c>
      <c r="G1205" s="312">
        <v>51.61</v>
      </c>
      <c r="H1205" s="312">
        <v>355.29999999999995</v>
      </c>
      <c r="I1205" s="312">
        <v>15.63</v>
      </c>
      <c r="J1205" s="312">
        <v>392.07000000000005</v>
      </c>
      <c r="K1205" s="312">
        <v>196.19</v>
      </c>
      <c r="M1205" t="s">
        <v>2969</v>
      </c>
      <c r="N1205" s="312">
        <v>32495.45</v>
      </c>
      <c r="O1205" s="312">
        <v>180920.17</v>
      </c>
      <c r="P1205" s="312">
        <v>17347.34</v>
      </c>
      <c r="Q1205" s="312">
        <v>221306.2</v>
      </c>
      <c r="R1205" s="312">
        <v>57683.600000000006</v>
      </c>
    </row>
    <row r="1206" spans="6:18">
      <c r="F1206" t="s">
        <v>2970</v>
      </c>
      <c r="G1206" s="312">
        <v>74.080000000000013</v>
      </c>
      <c r="H1206" s="312">
        <v>340.28000000000003</v>
      </c>
      <c r="I1206" s="312">
        <v>69.58</v>
      </c>
      <c r="J1206" s="312">
        <v>343.08000000000004</v>
      </c>
      <c r="K1206" s="312">
        <v>249.27999999999997</v>
      </c>
      <c r="M1206" t="s">
        <v>2970</v>
      </c>
      <c r="N1206" s="312">
        <v>34849.74</v>
      </c>
      <c r="O1206" s="312">
        <v>212913.38</v>
      </c>
      <c r="P1206" s="312">
        <v>41854.850000000006</v>
      </c>
      <c r="Q1206" s="312">
        <v>151223.57</v>
      </c>
      <c r="R1206" s="312">
        <v>85527.03</v>
      </c>
    </row>
    <row r="1207" spans="6:18">
      <c r="F1207" t="s">
        <v>2971</v>
      </c>
      <c r="G1207" s="312">
        <v>28.5</v>
      </c>
      <c r="H1207" s="312">
        <v>326.35000000000002</v>
      </c>
      <c r="I1207" s="312">
        <v>51.39</v>
      </c>
      <c r="J1207" s="312">
        <v>203.89999999999998</v>
      </c>
      <c r="K1207" s="312">
        <v>132.82</v>
      </c>
      <c r="M1207" t="s">
        <v>2971</v>
      </c>
      <c r="N1207" s="312">
        <v>17449.98</v>
      </c>
      <c r="O1207" s="312">
        <v>183909.39</v>
      </c>
      <c r="P1207" s="312">
        <v>32483.25</v>
      </c>
      <c r="Q1207" s="312">
        <v>93984.56</v>
      </c>
      <c r="R1207" s="312">
        <v>46851.59</v>
      </c>
    </row>
    <row r="1208" spans="6:18">
      <c r="F1208" t="s">
        <v>2972</v>
      </c>
      <c r="G1208" s="312">
        <v>6.01</v>
      </c>
      <c r="H1208" s="312">
        <v>223.14</v>
      </c>
      <c r="I1208" s="312">
        <v>15.92</v>
      </c>
      <c r="J1208" s="312">
        <v>208.94</v>
      </c>
      <c r="K1208" s="312">
        <v>133.59</v>
      </c>
      <c r="M1208" t="s">
        <v>2972</v>
      </c>
      <c r="N1208" s="312">
        <v>3406.89</v>
      </c>
      <c r="O1208" s="312">
        <v>110900.65</v>
      </c>
      <c r="P1208" s="312">
        <v>12761.96</v>
      </c>
      <c r="Q1208" s="312">
        <v>96024.3</v>
      </c>
      <c r="R1208" s="312">
        <v>41939.279999999999</v>
      </c>
    </row>
    <row r="1209" spans="6:18">
      <c r="F1209" t="s">
        <v>2973</v>
      </c>
      <c r="G1209" s="312">
        <v>26.869999999999997</v>
      </c>
      <c r="H1209" s="312">
        <v>397.28000000000003</v>
      </c>
      <c r="I1209" s="312">
        <v>55.730000000000004</v>
      </c>
      <c r="J1209" s="312">
        <v>272.85000000000002</v>
      </c>
      <c r="K1209" s="312">
        <v>393.63</v>
      </c>
      <c r="M1209" t="s">
        <v>2973</v>
      </c>
      <c r="N1209" s="312">
        <v>14020.619999999999</v>
      </c>
      <c r="O1209" s="312">
        <v>233326.61</v>
      </c>
      <c r="P1209" s="312">
        <v>45333.71</v>
      </c>
      <c r="Q1209" s="312">
        <v>112748.20999999999</v>
      </c>
      <c r="R1209" s="312">
        <v>147872.21000000002</v>
      </c>
    </row>
    <row r="1210" spans="6:18">
      <c r="F1210" t="s">
        <v>2974</v>
      </c>
      <c r="G1210" s="312">
        <v>31.869999999999997</v>
      </c>
      <c r="H1210" s="312">
        <v>383.45</v>
      </c>
      <c r="I1210" s="312">
        <v>65.22</v>
      </c>
      <c r="J1210" s="312">
        <v>429.55</v>
      </c>
      <c r="K1210" s="312">
        <v>398.41</v>
      </c>
      <c r="M1210" t="s">
        <v>2974</v>
      </c>
      <c r="N1210" s="312">
        <v>17979.440000000002</v>
      </c>
      <c r="O1210" s="312">
        <v>188993</v>
      </c>
      <c r="P1210" s="312">
        <v>40831.179999999993</v>
      </c>
      <c r="Q1210" s="312">
        <v>237839.91</v>
      </c>
      <c r="R1210" s="312">
        <v>123095.34</v>
      </c>
    </row>
    <row r="1211" spans="6:18">
      <c r="F1211" t="s">
        <v>2975</v>
      </c>
      <c r="G1211" s="312">
        <v>37.340000000000003</v>
      </c>
      <c r="H1211" s="312">
        <v>296.97000000000003</v>
      </c>
      <c r="I1211" s="312">
        <v>75.489999999999995</v>
      </c>
      <c r="J1211" s="312">
        <v>317.91000000000003</v>
      </c>
      <c r="K1211" s="312">
        <v>287.68</v>
      </c>
      <c r="M1211" t="s">
        <v>2975</v>
      </c>
      <c r="N1211" s="312">
        <v>20121.87</v>
      </c>
      <c r="O1211" s="312">
        <v>158658.34</v>
      </c>
      <c r="P1211" s="312">
        <v>61805.82</v>
      </c>
      <c r="Q1211" s="312">
        <v>151702.78</v>
      </c>
      <c r="R1211" s="312">
        <v>92561.61</v>
      </c>
    </row>
    <row r="1212" spans="6:18">
      <c r="F1212" t="s">
        <v>2976</v>
      </c>
      <c r="G1212" s="312">
        <v>50.06</v>
      </c>
      <c r="H1212" s="312">
        <v>488.11</v>
      </c>
      <c r="I1212" s="312">
        <v>75.38</v>
      </c>
      <c r="J1212" s="312">
        <v>286.71000000000004</v>
      </c>
      <c r="K1212" s="312">
        <v>355.96000000000004</v>
      </c>
      <c r="M1212" t="s">
        <v>2976</v>
      </c>
      <c r="N1212" s="312">
        <v>15130.89</v>
      </c>
      <c r="O1212" s="312">
        <v>232810.52000000002</v>
      </c>
      <c r="P1212" s="312">
        <v>60021.05</v>
      </c>
      <c r="Q1212" s="312">
        <v>135787.32</v>
      </c>
      <c r="R1212" s="312">
        <v>112782.68</v>
      </c>
    </row>
    <row r="1213" spans="6:18">
      <c r="F1213" t="s">
        <v>2977</v>
      </c>
      <c r="G1213" s="312">
        <v>38</v>
      </c>
      <c r="H1213" s="312">
        <v>402.16</v>
      </c>
      <c r="I1213" s="312">
        <v>56.39</v>
      </c>
      <c r="J1213" s="312">
        <v>359.94</v>
      </c>
      <c r="K1213" s="312">
        <v>305.8</v>
      </c>
      <c r="M1213" t="s">
        <v>2977</v>
      </c>
      <c r="N1213" s="312">
        <v>20509.400000000001</v>
      </c>
      <c r="O1213" s="312">
        <v>198310.08000000002</v>
      </c>
      <c r="P1213" s="312">
        <v>30383.89</v>
      </c>
      <c r="Q1213" s="312">
        <v>153155.04999999999</v>
      </c>
      <c r="R1213" s="312">
        <v>115254.56</v>
      </c>
    </row>
    <row r="1214" spans="6:18">
      <c r="F1214" t="s">
        <v>2978</v>
      </c>
      <c r="G1214" s="312">
        <v>34.950000000000003</v>
      </c>
      <c r="H1214" s="312">
        <v>271.51</v>
      </c>
      <c r="I1214" s="312">
        <v>17.22</v>
      </c>
      <c r="J1214" s="312">
        <v>90.240000000000009</v>
      </c>
      <c r="K1214" s="312">
        <v>237.67000000000002</v>
      </c>
      <c r="M1214" t="s">
        <v>2978</v>
      </c>
      <c r="N1214" s="312">
        <v>14813.77</v>
      </c>
      <c r="O1214" s="312">
        <v>155015.91</v>
      </c>
      <c r="P1214" s="312">
        <v>11789.95</v>
      </c>
      <c r="Q1214" s="312">
        <v>50377.439999999995</v>
      </c>
      <c r="R1214" s="312">
        <v>87219.01999999999</v>
      </c>
    </row>
    <row r="1215" spans="6:18">
      <c r="F1215" t="s">
        <v>2979</v>
      </c>
      <c r="G1215" s="312">
        <v>12.05</v>
      </c>
      <c r="H1215" s="312">
        <v>262.98</v>
      </c>
      <c r="I1215" s="312">
        <v>25.73</v>
      </c>
      <c r="J1215" s="312">
        <v>227.29000000000002</v>
      </c>
      <c r="K1215" s="312">
        <v>225.19</v>
      </c>
      <c r="M1215" t="s">
        <v>2979</v>
      </c>
      <c r="N1215" s="312">
        <v>5452.77</v>
      </c>
      <c r="O1215" s="312">
        <v>114823.56999999999</v>
      </c>
      <c r="P1215" s="312">
        <v>10663.34</v>
      </c>
      <c r="Q1215" s="312">
        <v>142669.69</v>
      </c>
      <c r="R1215" s="312">
        <v>77816.81</v>
      </c>
    </row>
    <row r="1216" spans="6:18">
      <c r="F1216" t="s">
        <v>2980</v>
      </c>
      <c r="G1216" s="312">
        <v>26.64</v>
      </c>
      <c r="H1216" s="312">
        <v>368.77</v>
      </c>
      <c r="I1216" s="312">
        <v>93.41</v>
      </c>
      <c r="J1216" s="312">
        <v>432.03999999999996</v>
      </c>
      <c r="K1216" s="312">
        <v>263.39</v>
      </c>
      <c r="M1216" t="s">
        <v>2980</v>
      </c>
      <c r="N1216" s="312">
        <v>13200.55</v>
      </c>
      <c r="O1216" s="312">
        <v>258092.13</v>
      </c>
      <c r="P1216" s="312">
        <v>81737.48</v>
      </c>
      <c r="Q1216" s="312">
        <v>188643.57</v>
      </c>
      <c r="R1216" s="312">
        <v>95355.1</v>
      </c>
    </row>
    <row r="1217" spans="6:18">
      <c r="F1217" t="s">
        <v>2981</v>
      </c>
      <c r="G1217" s="312">
        <v>67.28</v>
      </c>
      <c r="H1217" s="312">
        <v>433.17999999999995</v>
      </c>
      <c r="I1217" s="312">
        <v>22.98</v>
      </c>
      <c r="J1217" s="312">
        <v>305.10000000000002</v>
      </c>
      <c r="K1217" s="312">
        <v>273.89</v>
      </c>
      <c r="M1217" t="s">
        <v>2981</v>
      </c>
      <c r="N1217" s="312">
        <v>36763.040000000001</v>
      </c>
      <c r="O1217" s="312">
        <v>218406.13</v>
      </c>
      <c r="P1217" s="312">
        <v>12687.35</v>
      </c>
      <c r="Q1217" s="312">
        <v>188336.39</v>
      </c>
      <c r="R1217" s="312">
        <v>104734.82999999999</v>
      </c>
    </row>
    <row r="1218" spans="6:18">
      <c r="F1218" t="s">
        <v>2982</v>
      </c>
      <c r="G1218" s="312">
        <v>20.52</v>
      </c>
      <c r="H1218" s="312">
        <v>380.62</v>
      </c>
      <c r="I1218" s="312">
        <v>76.27</v>
      </c>
      <c r="J1218" s="312">
        <v>491.61</v>
      </c>
      <c r="K1218" s="312">
        <v>273.28999999999996</v>
      </c>
      <c r="M1218" t="s">
        <v>2982</v>
      </c>
      <c r="N1218" s="312">
        <v>12646.6</v>
      </c>
      <c r="O1218" s="312">
        <v>302419.39</v>
      </c>
      <c r="P1218" s="312">
        <v>47111.12</v>
      </c>
      <c r="Q1218" s="312">
        <v>226695.02</v>
      </c>
      <c r="R1218" s="312">
        <v>101091.88</v>
      </c>
    </row>
    <row r="1219" spans="6:18">
      <c r="F1219" t="s">
        <v>2983</v>
      </c>
      <c r="G1219" s="312">
        <v>4.04</v>
      </c>
      <c r="H1219" s="312">
        <v>277.33999999999997</v>
      </c>
      <c r="I1219" s="312">
        <v>65.63</v>
      </c>
      <c r="J1219" s="312">
        <v>226.26</v>
      </c>
      <c r="K1219" s="312">
        <v>226.95</v>
      </c>
      <c r="M1219" t="s">
        <v>2983</v>
      </c>
      <c r="N1219" s="312">
        <v>1190.4100000000001</v>
      </c>
      <c r="O1219" s="312">
        <v>184005.97999999998</v>
      </c>
      <c r="P1219" s="312">
        <v>42649.59</v>
      </c>
      <c r="Q1219" s="312">
        <v>116560.58</v>
      </c>
      <c r="R1219" s="312">
        <v>84934.14</v>
      </c>
    </row>
    <row r="1220" spans="6:18">
      <c r="F1220" t="s">
        <v>2984</v>
      </c>
      <c r="G1220" s="312">
        <v>42.17</v>
      </c>
      <c r="H1220" s="312">
        <v>356.99</v>
      </c>
      <c r="I1220" s="312">
        <v>65.23</v>
      </c>
      <c r="J1220" s="312">
        <v>241.1</v>
      </c>
      <c r="K1220" s="312">
        <v>307.89999999999998</v>
      </c>
      <c r="M1220" t="s">
        <v>2984</v>
      </c>
      <c r="N1220" s="312">
        <v>18382.32</v>
      </c>
      <c r="O1220" s="312">
        <v>210779.18</v>
      </c>
      <c r="P1220" s="312">
        <v>45583.53</v>
      </c>
      <c r="Q1220" s="312">
        <v>129475.06999999999</v>
      </c>
      <c r="R1220" s="312">
        <v>140127.56</v>
      </c>
    </row>
    <row r="1221" spans="6:18">
      <c r="F1221" t="s">
        <v>2985</v>
      </c>
      <c r="G1221" s="312">
        <v>18.46</v>
      </c>
      <c r="H1221" s="312">
        <v>255.16</v>
      </c>
      <c r="I1221" s="312">
        <v>10.28</v>
      </c>
      <c r="J1221" s="312">
        <v>254.23</v>
      </c>
      <c r="K1221" s="312">
        <v>237.57999999999998</v>
      </c>
      <c r="M1221" t="s">
        <v>2985</v>
      </c>
      <c r="N1221" s="312">
        <v>8304.9399999999987</v>
      </c>
      <c r="O1221" s="312">
        <v>143810.88</v>
      </c>
      <c r="P1221" s="312">
        <v>3835.23</v>
      </c>
      <c r="Q1221" s="312">
        <v>175087.31</v>
      </c>
      <c r="R1221" s="312">
        <v>98826.650000000009</v>
      </c>
    </row>
    <row r="1222" spans="6:18">
      <c r="F1222" t="s">
        <v>2986</v>
      </c>
      <c r="G1222" s="312">
        <v>31.64</v>
      </c>
      <c r="H1222" s="312">
        <v>258.73</v>
      </c>
      <c r="I1222" s="312">
        <v>26.61</v>
      </c>
      <c r="J1222" s="312">
        <v>241.37</v>
      </c>
      <c r="K1222" s="312">
        <v>250.73</v>
      </c>
      <c r="M1222" t="s">
        <v>2986</v>
      </c>
      <c r="N1222" s="312">
        <v>7327.1</v>
      </c>
      <c r="O1222" s="312">
        <v>115980.17</v>
      </c>
      <c r="P1222" s="312">
        <v>35001.79</v>
      </c>
      <c r="Q1222" s="312">
        <v>87055.8</v>
      </c>
      <c r="R1222" s="312">
        <v>78884.61</v>
      </c>
    </row>
    <row r="1223" spans="6:18">
      <c r="F1223" t="s">
        <v>2987</v>
      </c>
      <c r="G1223" s="312">
        <v>49.32</v>
      </c>
      <c r="H1223" s="312">
        <v>380.17</v>
      </c>
      <c r="I1223" s="312">
        <v>102.17</v>
      </c>
      <c r="J1223" s="312">
        <v>279.81</v>
      </c>
      <c r="K1223" s="312">
        <v>300.79000000000002</v>
      </c>
      <c r="M1223" t="s">
        <v>2987</v>
      </c>
      <c r="N1223" s="312">
        <v>32791.839999999997</v>
      </c>
      <c r="O1223" s="312">
        <v>268422.39</v>
      </c>
      <c r="P1223" s="312">
        <v>92625.41</v>
      </c>
      <c r="Q1223" s="312">
        <v>200962.96</v>
      </c>
      <c r="R1223" s="312">
        <v>119419.73999999999</v>
      </c>
    </row>
    <row r="1224" spans="6:18">
      <c r="F1224" t="s">
        <v>2988</v>
      </c>
      <c r="G1224" s="312">
        <v>34.79</v>
      </c>
      <c r="H1224" s="312">
        <v>417.39</v>
      </c>
      <c r="I1224" s="312">
        <v>80.509999999999991</v>
      </c>
      <c r="J1224" s="312">
        <v>411.85</v>
      </c>
      <c r="K1224" s="312">
        <v>183.91</v>
      </c>
      <c r="M1224" t="s">
        <v>2988</v>
      </c>
      <c r="N1224" s="312">
        <v>16959.650000000001</v>
      </c>
      <c r="O1224" s="312">
        <v>196673.16</v>
      </c>
      <c r="P1224" s="312">
        <v>48562.97</v>
      </c>
      <c r="Q1224" s="312">
        <v>216341.83000000002</v>
      </c>
      <c r="R1224" s="312">
        <v>66185.2</v>
      </c>
    </row>
    <row r="1225" spans="6:18">
      <c r="F1225" t="s">
        <v>2989</v>
      </c>
      <c r="G1225" s="312">
        <v>96.33</v>
      </c>
      <c r="H1225" s="312">
        <v>386.61</v>
      </c>
      <c r="I1225" s="312">
        <v>46.66</v>
      </c>
      <c r="J1225" s="312">
        <v>496.68</v>
      </c>
      <c r="K1225" s="312">
        <v>234.88</v>
      </c>
      <c r="M1225" t="s">
        <v>2989</v>
      </c>
      <c r="N1225" s="312">
        <v>43104.959999999999</v>
      </c>
      <c r="O1225" s="312">
        <v>241967.13999999998</v>
      </c>
      <c r="P1225" s="312">
        <v>46300.79</v>
      </c>
      <c r="Q1225" s="312">
        <v>277400.82</v>
      </c>
      <c r="R1225" s="312">
        <v>77255.75</v>
      </c>
    </row>
    <row r="1226" spans="6:18">
      <c r="F1226" t="s">
        <v>2990</v>
      </c>
      <c r="G1226" s="312">
        <v>74.44</v>
      </c>
      <c r="H1226" s="312">
        <v>332.94</v>
      </c>
      <c r="I1226" s="312">
        <v>32.840000000000003</v>
      </c>
      <c r="J1226" s="312">
        <v>400.68</v>
      </c>
      <c r="K1226" s="312">
        <v>222.84999999999997</v>
      </c>
      <c r="M1226" t="s">
        <v>2990</v>
      </c>
      <c r="N1226" s="312">
        <v>38494.28</v>
      </c>
      <c r="O1226" s="312">
        <v>215924.64</v>
      </c>
      <c r="P1226" s="312">
        <v>17793.919999999998</v>
      </c>
      <c r="Q1226" s="312">
        <v>182258.41</v>
      </c>
      <c r="R1226" s="312">
        <v>64031.519999999997</v>
      </c>
    </row>
    <row r="1227" spans="6:18">
      <c r="F1227" t="s">
        <v>2991</v>
      </c>
      <c r="G1227" s="312">
        <v>46.36</v>
      </c>
      <c r="H1227" s="312">
        <v>408.35</v>
      </c>
      <c r="I1227" s="312">
        <v>72.42</v>
      </c>
      <c r="J1227" s="312">
        <v>278.10000000000002</v>
      </c>
      <c r="K1227" s="312">
        <v>169.48000000000002</v>
      </c>
      <c r="M1227" t="s">
        <v>2991</v>
      </c>
      <c r="N1227" s="312">
        <v>19091.580000000002</v>
      </c>
      <c r="O1227" s="312">
        <v>253995.09</v>
      </c>
      <c r="P1227" s="312">
        <v>43854.939999999995</v>
      </c>
      <c r="Q1227" s="312">
        <v>136852.19</v>
      </c>
      <c r="R1227" s="312">
        <v>74116.97</v>
      </c>
    </row>
    <row r="1228" spans="6:18">
      <c r="F1228" t="s">
        <v>2992</v>
      </c>
      <c r="G1228" s="312">
        <v>32.93</v>
      </c>
      <c r="H1228" s="312">
        <v>201.85</v>
      </c>
      <c r="I1228" s="312">
        <v>40.21</v>
      </c>
      <c r="J1228" s="312">
        <v>143.31</v>
      </c>
      <c r="K1228" s="312">
        <v>134.94999999999999</v>
      </c>
      <c r="M1228" t="s">
        <v>2992</v>
      </c>
      <c r="N1228" s="312">
        <v>14333.92</v>
      </c>
      <c r="O1228" s="312">
        <v>119967.81</v>
      </c>
      <c r="P1228" s="312">
        <v>29029.93</v>
      </c>
      <c r="Q1228" s="312">
        <v>71163.7</v>
      </c>
      <c r="R1228" s="312">
        <v>42894.99</v>
      </c>
    </row>
    <row r="1229" spans="6:18">
      <c r="F1229" t="s">
        <v>2993</v>
      </c>
      <c r="G1229" s="312">
        <v>35.150000000000006</v>
      </c>
      <c r="H1229" s="312">
        <v>236.3</v>
      </c>
      <c r="I1229" s="312">
        <v>4.72</v>
      </c>
      <c r="J1229" s="312">
        <v>193.35</v>
      </c>
      <c r="K1229" s="312">
        <v>69.540000000000006</v>
      </c>
      <c r="M1229" t="s">
        <v>2993</v>
      </c>
      <c r="N1229" s="312">
        <v>13565.97</v>
      </c>
      <c r="O1229" s="312">
        <v>105410.1</v>
      </c>
      <c r="P1229" s="312">
        <v>6358.83</v>
      </c>
      <c r="Q1229" s="312">
        <v>142286.16</v>
      </c>
      <c r="R1229" s="312">
        <v>31361.39</v>
      </c>
    </row>
    <row r="1230" spans="6:18">
      <c r="F1230" t="s">
        <v>2994</v>
      </c>
      <c r="G1230" s="312">
        <v>27.49</v>
      </c>
      <c r="H1230" s="312">
        <v>421.19</v>
      </c>
      <c r="I1230" s="312">
        <v>97.61</v>
      </c>
      <c r="J1230" s="312">
        <v>536.82999999999993</v>
      </c>
      <c r="K1230" s="312">
        <v>259.45999999999998</v>
      </c>
      <c r="M1230" t="s">
        <v>2994</v>
      </c>
      <c r="N1230" s="312">
        <v>10476.94</v>
      </c>
      <c r="O1230" s="312">
        <v>272388.96999999997</v>
      </c>
      <c r="P1230" s="312">
        <v>78304.59</v>
      </c>
      <c r="Q1230" s="312">
        <v>233288.12</v>
      </c>
      <c r="R1230" s="312">
        <v>112261.73999999999</v>
      </c>
    </row>
    <row r="1231" spans="6:18">
      <c r="F1231" t="s">
        <v>2995</v>
      </c>
      <c r="G1231" s="312">
        <v>43.019999999999996</v>
      </c>
      <c r="H1231" s="312">
        <v>600.08000000000004</v>
      </c>
      <c r="I1231" s="312">
        <v>34.93</v>
      </c>
      <c r="J1231" s="312">
        <v>377.53</v>
      </c>
      <c r="K1231" s="312">
        <v>303.04000000000002</v>
      </c>
      <c r="M1231" t="s">
        <v>2995</v>
      </c>
      <c r="N1231" s="312">
        <v>16983.25</v>
      </c>
      <c r="O1231" s="312">
        <v>424396.88</v>
      </c>
      <c r="P1231" s="312">
        <v>27098.43</v>
      </c>
      <c r="Q1231" s="312">
        <v>199184.78000000003</v>
      </c>
      <c r="R1231" s="312">
        <v>134286.34</v>
      </c>
    </row>
    <row r="1232" spans="6:18">
      <c r="F1232" t="s">
        <v>2996</v>
      </c>
      <c r="G1232" s="312">
        <v>55.38</v>
      </c>
      <c r="H1232" s="312">
        <v>594.24</v>
      </c>
      <c r="I1232" s="312">
        <v>37.14</v>
      </c>
      <c r="J1232" s="312">
        <v>263.03999999999996</v>
      </c>
      <c r="K1232" s="312">
        <v>413.32</v>
      </c>
      <c r="M1232" t="s">
        <v>2996</v>
      </c>
      <c r="N1232" s="312">
        <v>28252.79</v>
      </c>
      <c r="O1232" s="312">
        <v>364405.51</v>
      </c>
      <c r="P1232" s="312">
        <v>24213.329999999998</v>
      </c>
      <c r="Q1232" s="312">
        <v>160130.94</v>
      </c>
      <c r="R1232" s="312">
        <v>168617.03</v>
      </c>
    </row>
    <row r="1233" spans="6:18">
      <c r="F1233" t="s">
        <v>2997</v>
      </c>
      <c r="G1233" s="312">
        <v>45.45</v>
      </c>
      <c r="H1233" s="312">
        <v>422.24</v>
      </c>
      <c r="I1233" s="312">
        <v>39.17</v>
      </c>
      <c r="J1233" s="312">
        <v>245.62</v>
      </c>
      <c r="K1233" s="312">
        <v>374.09</v>
      </c>
      <c r="M1233" t="s">
        <v>2997</v>
      </c>
      <c r="N1233" s="312">
        <v>13706.03</v>
      </c>
      <c r="O1233" s="312">
        <v>252881.51</v>
      </c>
      <c r="P1233" s="312">
        <v>26076.5</v>
      </c>
      <c r="Q1233" s="312">
        <v>199872.48</v>
      </c>
      <c r="R1233" s="312">
        <v>134112.44</v>
      </c>
    </row>
    <row r="1234" spans="6:18">
      <c r="F1234" t="s">
        <v>2998</v>
      </c>
      <c r="G1234" s="312">
        <v>34.26</v>
      </c>
      <c r="H1234" s="312">
        <v>366.44</v>
      </c>
      <c r="I1234" s="312">
        <v>71.06</v>
      </c>
      <c r="J1234" s="312">
        <v>499.14</v>
      </c>
      <c r="K1234" s="312">
        <v>1093.6500000000001</v>
      </c>
      <c r="M1234" t="s">
        <v>2998</v>
      </c>
      <c r="N1234" s="312">
        <v>13655.08</v>
      </c>
      <c r="O1234" s="312">
        <v>280609.18</v>
      </c>
      <c r="P1234" s="312">
        <v>44211.229999999996</v>
      </c>
      <c r="Q1234" s="312">
        <v>236781.65</v>
      </c>
      <c r="R1234" s="312">
        <v>262117.73</v>
      </c>
    </row>
    <row r="1235" spans="6:18">
      <c r="F1235" t="s">
        <v>2999</v>
      </c>
      <c r="G1235" s="312">
        <v>33.14</v>
      </c>
      <c r="H1235" s="312">
        <v>236.41000000000003</v>
      </c>
      <c r="I1235" s="312">
        <v>58.099999999999994</v>
      </c>
      <c r="J1235" s="312">
        <v>118.8</v>
      </c>
      <c r="K1235" s="312">
        <v>252.29000000000002</v>
      </c>
      <c r="M1235" t="s">
        <v>2999</v>
      </c>
      <c r="N1235" s="312">
        <v>16682.66</v>
      </c>
      <c r="O1235" s="312">
        <v>140430.62</v>
      </c>
      <c r="P1235" s="312">
        <v>49996.62</v>
      </c>
      <c r="Q1235" s="312">
        <v>93045.78</v>
      </c>
      <c r="R1235" s="312">
        <v>74591.899999999994</v>
      </c>
    </row>
    <row r="1236" spans="6:18">
      <c r="F1236" t="s">
        <v>3000</v>
      </c>
      <c r="G1236" s="312">
        <v>44.82</v>
      </c>
      <c r="H1236" s="312">
        <v>282.52</v>
      </c>
      <c r="I1236" s="312">
        <v>13.36</v>
      </c>
      <c r="J1236" s="312">
        <v>196.98000000000002</v>
      </c>
      <c r="K1236" s="312">
        <v>253.56</v>
      </c>
      <c r="M1236" t="s">
        <v>3000</v>
      </c>
      <c r="N1236" s="312">
        <v>36483.480000000003</v>
      </c>
      <c r="O1236" s="312">
        <v>163180.62</v>
      </c>
      <c r="P1236" s="312">
        <v>11696.59</v>
      </c>
      <c r="Q1236" s="312">
        <v>102148.70999999999</v>
      </c>
      <c r="R1236" s="312">
        <v>68959.510000000009</v>
      </c>
    </row>
    <row r="1237" spans="6:18">
      <c r="F1237" t="s">
        <v>3001</v>
      </c>
      <c r="G1237" s="312">
        <v>46.89</v>
      </c>
      <c r="H1237" s="312">
        <v>474.76</v>
      </c>
      <c r="I1237" s="312">
        <v>80.22999999999999</v>
      </c>
      <c r="J1237" s="312">
        <v>442.81</v>
      </c>
      <c r="K1237" s="312">
        <v>803.44</v>
      </c>
      <c r="M1237" t="s">
        <v>3001</v>
      </c>
      <c r="N1237" s="312">
        <v>20284.87</v>
      </c>
      <c r="O1237" s="312">
        <v>252762.15</v>
      </c>
      <c r="P1237" s="312">
        <v>56933.29</v>
      </c>
      <c r="Q1237" s="312">
        <v>233485.28</v>
      </c>
      <c r="R1237" s="312">
        <v>267073.27</v>
      </c>
    </row>
    <row r="1238" spans="6:18">
      <c r="F1238" t="s">
        <v>3002</v>
      </c>
      <c r="G1238" s="312">
        <v>51.769999999999996</v>
      </c>
      <c r="H1238" s="312">
        <v>519.67999999999995</v>
      </c>
      <c r="I1238" s="312">
        <v>63.300000000000004</v>
      </c>
      <c r="J1238" s="312">
        <v>306.31000000000006</v>
      </c>
      <c r="K1238" s="312">
        <v>697.98</v>
      </c>
      <c r="M1238" t="s">
        <v>3002</v>
      </c>
      <c r="N1238" s="312">
        <v>23303.22</v>
      </c>
      <c r="O1238" s="312">
        <v>263525.21999999997</v>
      </c>
      <c r="P1238" s="312">
        <v>68868.25</v>
      </c>
      <c r="Q1238" s="312">
        <v>138217.96</v>
      </c>
      <c r="R1238" s="312">
        <v>235850.57</v>
      </c>
    </row>
    <row r="1239" spans="6:18">
      <c r="F1239" t="s">
        <v>3003</v>
      </c>
      <c r="G1239" s="312">
        <v>77.070000000000007</v>
      </c>
      <c r="H1239" s="312">
        <v>403.66</v>
      </c>
      <c r="I1239" s="312">
        <v>26.25</v>
      </c>
      <c r="J1239" s="312">
        <v>448.54</v>
      </c>
      <c r="K1239" s="312">
        <v>528.23</v>
      </c>
      <c r="M1239" t="s">
        <v>3003</v>
      </c>
      <c r="N1239" s="312">
        <v>29641.35</v>
      </c>
      <c r="O1239" s="312">
        <v>248899.03000000003</v>
      </c>
      <c r="P1239" s="312">
        <v>12382.98</v>
      </c>
      <c r="Q1239" s="312">
        <v>211539.49</v>
      </c>
      <c r="R1239" s="312">
        <v>164857.99</v>
      </c>
    </row>
    <row r="1240" spans="6:18">
      <c r="F1240" t="s">
        <v>3004</v>
      </c>
      <c r="G1240" s="312">
        <v>20.64</v>
      </c>
      <c r="H1240" s="312">
        <v>514.51</v>
      </c>
      <c r="I1240" s="312">
        <v>71.52</v>
      </c>
      <c r="J1240" s="312">
        <v>449.4</v>
      </c>
      <c r="K1240" s="312">
        <v>525.78</v>
      </c>
      <c r="M1240" t="s">
        <v>3004</v>
      </c>
      <c r="N1240" s="312">
        <v>8833.2800000000007</v>
      </c>
      <c r="O1240" s="312">
        <v>293970.25</v>
      </c>
      <c r="P1240" s="312">
        <v>36081.769999999997</v>
      </c>
      <c r="Q1240" s="312">
        <v>227736.38</v>
      </c>
      <c r="R1240" s="312">
        <v>179375.03</v>
      </c>
    </row>
    <row r="1241" spans="6:18">
      <c r="F1241" t="s">
        <v>3005</v>
      </c>
      <c r="G1241" s="312">
        <v>39.450000000000003</v>
      </c>
      <c r="H1241" s="312">
        <v>502.81</v>
      </c>
      <c r="I1241" s="312">
        <v>66.75</v>
      </c>
      <c r="J1241" s="312">
        <v>349.22</v>
      </c>
      <c r="K1241" s="312">
        <v>673.46</v>
      </c>
      <c r="M1241" t="s">
        <v>3005</v>
      </c>
      <c r="N1241" s="312">
        <v>13078.49</v>
      </c>
      <c r="O1241" s="312">
        <v>346868.64</v>
      </c>
      <c r="P1241" s="312">
        <v>47615.09</v>
      </c>
      <c r="Q1241" s="312">
        <v>223859.68</v>
      </c>
      <c r="R1241" s="312">
        <v>224521.09</v>
      </c>
    </row>
    <row r="1242" spans="6:18">
      <c r="F1242" t="s">
        <v>3006</v>
      </c>
      <c r="G1242" s="312">
        <v>34.21</v>
      </c>
      <c r="H1242" s="312">
        <v>374.26</v>
      </c>
      <c r="I1242" s="312">
        <v>37.03</v>
      </c>
      <c r="J1242" s="312">
        <v>212.21</v>
      </c>
      <c r="K1242" s="312">
        <v>340.19</v>
      </c>
      <c r="M1242" t="s">
        <v>3006</v>
      </c>
      <c r="N1242" s="312">
        <v>14731.32</v>
      </c>
      <c r="O1242" s="312">
        <v>214494.8</v>
      </c>
      <c r="P1242" s="312">
        <v>23455.62</v>
      </c>
      <c r="Q1242" s="312">
        <v>115933.18</v>
      </c>
      <c r="R1242" s="312">
        <v>111946.89</v>
      </c>
    </row>
    <row r="1243" spans="6:18">
      <c r="F1243" t="s">
        <v>3007</v>
      </c>
      <c r="G1243" s="312">
        <v>18.399999999999999</v>
      </c>
      <c r="H1243" s="312">
        <v>319.23</v>
      </c>
      <c r="I1243" s="312">
        <v>31.99</v>
      </c>
      <c r="J1243" s="312">
        <v>249.18</v>
      </c>
      <c r="K1243" s="312">
        <v>298.62</v>
      </c>
      <c r="M1243" t="s">
        <v>3007</v>
      </c>
      <c r="N1243" s="312">
        <v>8157.6</v>
      </c>
      <c r="O1243" s="312">
        <v>142110.04999999999</v>
      </c>
      <c r="P1243" s="312">
        <v>18992.25</v>
      </c>
      <c r="Q1243" s="312">
        <v>140706.54999999999</v>
      </c>
      <c r="R1243" s="312">
        <v>90947.44</v>
      </c>
    </row>
    <row r="1244" spans="6:18">
      <c r="F1244" t="s">
        <v>3008</v>
      </c>
      <c r="G1244" s="312">
        <v>18.47</v>
      </c>
      <c r="H1244" s="312">
        <v>497.73</v>
      </c>
      <c r="I1244" s="312">
        <v>15.86</v>
      </c>
      <c r="J1244" s="312">
        <v>400.16</v>
      </c>
      <c r="K1244" s="312">
        <v>339.86</v>
      </c>
      <c r="M1244" t="s">
        <v>3008</v>
      </c>
      <c r="N1244" s="312">
        <v>8499.89</v>
      </c>
      <c r="O1244" s="312">
        <v>325939.14</v>
      </c>
      <c r="P1244" s="312">
        <v>10072.700000000001</v>
      </c>
      <c r="Q1244" s="312">
        <v>241589.71999999997</v>
      </c>
      <c r="R1244" s="312">
        <v>131570.12</v>
      </c>
    </row>
    <row r="1245" spans="6:18">
      <c r="F1245" t="s">
        <v>3009</v>
      </c>
      <c r="G1245" s="312">
        <v>17.61</v>
      </c>
      <c r="H1245" s="312">
        <v>440.67</v>
      </c>
      <c r="I1245" s="312">
        <v>78.010000000000005</v>
      </c>
      <c r="J1245" s="312">
        <v>342.17999999999995</v>
      </c>
      <c r="K1245" s="312">
        <v>468.6</v>
      </c>
      <c r="M1245" t="s">
        <v>3009</v>
      </c>
      <c r="N1245" s="312">
        <v>6868.4</v>
      </c>
      <c r="O1245" s="312">
        <v>308502.03999999998</v>
      </c>
      <c r="P1245" s="312">
        <v>60688.950000000004</v>
      </c>
      <c r="Q1245" s="312">
        <v>193793.15999999997</v>
      </c>
      <c r="R1245" s="312">
        <v>160148.79999999999</v>
      </c>
    </row>
    <row r="1246" spans="6:18">
      <c r="F1246" t="s">
        <v>3010</v>
      </c>
      <c r="G1246" s="312">
        <v>10.100000000000001</v>
      </c>
      <c r="H1246" s="312">
        <v>468.33000000000004</v>
      </c>
      <c r="I1246" s="312">
        <v>68.42</v>
      </c>
      <c r="J1246" s="312">
        <v>411.72</v>
      </c>
      <c r="K1246" s="312">
        <v>357.43</v>
      </c>
      <c r="M1246" t="s">
        <v>3010</v>
      </c>
      <c r="N1246" s="312">
        <v>4098.68</v>
      </c>
      <c r="O1246" s="312">
        <v>262925.75</v>
      </c>
      <c r="P1246" s="312">
        <v>47181.120000000003</v>
      </c>
      <c r="Q1246" s="312">
        <v>179165.93</v>
      </c>
      <c r="R1246" s="312">
        <v>121960.70999999999</v>
      </c>
    </row>
    <row r="1247" spans="6:18">
      <c r="F1247" t="s">
        <v>3011</v>
      </c>
      <c r="G1247" s="312">
        <v>58.04</v>
      </c>
      <c r="H1247" s="312">
        <v>470.34000000000003</v>
      </c>
      <c r="I1247" s="312">
        <v>117.83</v>
      </c>
      <c r="J1247" s="312">
        <v>344.04</v>
      </c>
      <c r="K1247" s="312">
        <v>470.84000000000003</v>
      </c>
      <c r="M1247" t="s">
        <v>3011</v>
      </c>
      <c r="N1247" s="312">
        <v>30428.239999999998</v>
      </c>
      <c r="O1247" s="312">
        <v>221272.15999999997</v>
      </c>
      <c r="P1247" s="312">
        <v>98298.040000000008</v>
      </c>
      <c r="Q1247" s="312">
        <v>197108.95</v>
      </c>
      <c r="R1247" s="312">
        <v>192590.16</v>
      </c>
    </row>
    <row r="1248" spans="6:18">
      <c r="F1248" t="s">
        <v>3012</v>
      </c>
      <c r="G1248" s="312">
        <v>62.179999999999993</v>
      </c>
      <c r="H1248" s="312">
        <v>421.29999999999995</v>
      </c>
      <c r="I1248" s="312">
        <v>98.78</v>
      </c>
      <c r="J1248" s="312">
        <v>505.46999999999997</v>
      </c>
      <c r="K1248" s="312">
        <v>450.41</v>
      </c>
      <c r="M1248" t="s">
        <v>3012</v>
      </c>
      <c r="N1248" s="312">
        <v>27321.239999999998</v>
      </c>
      <c r="O1248" s="312">
        <v>208133.40999999997</v>
      </c>
      <c r="P1248" s="312">
        <v>95288.36</v>
      </c>
      <c r="Q1248" s="312">
        <v>218535.03</v>
      </c>
      <c r="R1248" s="312">
        <v>164026.40000000002</v>
      </c>
    </row>
    <row r="1249" spans="6:18">
      <c r="F1249" t="s">
        <v>3013</v>
      </c>
      <c r="G1249" s="312">
        <v>15.75</v>
      </c>
      <c r="H1249" s="312">
        <v>334.63</v>
      </c>
      <c r="I1249" s="312">
        <v>79.56</v>
      </c>
      <c r="J1249" s="312">
        <v>398.23</v>
      </c>
      <c r="K1249" s="312">
        <v>368.47</v>
      </c>
      <c r="M1249" t="s">
        <v>3013</v>
      </c>
      <c r="N1249" s="312">
        <v>6059.59</v>
      </c>
      <c r="O1249" s="312">
        <v>134567.41</v>
      </c>
      <c r="P1249" s="312">
        <v>41640.14</v>
      </c>
      <c r="Q1249" s="312">
        <v>180267.03999999998</v>
      </c>
      <c r="R1249" s="312">
        <v>139090.1</v>
      </c>
    </row>
    <row r="1250" spans="6:18">
      <c r="F1250" t="s">
        <v>3014</v>
      </c>
      <c r="G1250" s="312">
        <v>21.84</v>
      </c>
      <c r="H1250" s="312">
        <v>366.21000000000004</v>
      </c>
      <c r="I1250" s="312">
        <v>10.41</v>
      </c>
      <c r="J1250" s="312">
        <v>282.89</v>
      </c>
      <c r="K1250" s="312">
        <v>277.03999999999996</v>
      </c>
      <c r="M1250" t="s">
        <v>3014</v>
      </c>
      <c r="N1250" s="312">
        <v>15183.4</v>
      </c>
      <c r="O1250" s="312">
        <v>193059.79</v>
      </c>
      <c r="P1250" s="312">
        <v>5309.48</v>
      </c>
      <c r="Q1250" s="312">
        <v>142835.4</v>
      </c>
      <c r="R1250" s="312">
        <v>75729.58</v>
      </c>
    </row>
    <row r="1251" spans="6:18">
      <c r="F1251" t="s">
        <v>3015</v>
      </c>
      <c r="G1251" s="312">
        <v>36.349999999999994</v>
      </c>
      <c r="H1251" s="312">
        <v>361.67</v>
      </c>
      <c r="I1251" s="312">
        <v>125.73</v>
      </c>
      <c r="J1251" s="312">
        <v>441.69000000000005</v>
      </c>
      <c r="K1251" s="312">
        <v>502.38</v>
      </c>
      <c r="M1251" t="s">
        <v>3015</v>
      </c>
      <c r="N1251" s="312">
        <v>17497.87</v>
      </c>
      <c r="O1251" s="312">
        <v>218989.13999999998</v>
      </c>
      <c r="P1251" s="312">
        <v>109278.26000000001</v>
      </c>
      <c r="Q1251" s="312">
        <v>273056.81</v>
      </c>
      <c r="R1251" s="312">
        <v>160064.56</v>
      </c>
    </row>
    <row r="1252" spans="6:18">
      <c r="F1252" t="s">
        <v>3016</v>
      </c>
      <c r="G1252" s="312">
        <v>46.64</v>
      </c>
      <c r="H1252" s="312">
        <v>438.79999999999995</v>
      </c>
      <c r="I1252" s="312">
        <v>34.26</v>
      </c>
      <c r="J1252" s="312">
        <v>343.18</v>
      </c>
      <c r="K1252" s="312">
        <v>369.77</v>
      </c>
      <c r="M1252" t="s">
        <v>3016</v>
      </c>
      <c r="N1252" s="312">
        <v>55051.01</v>
      </c>
      <c r="O1252" s="312">
        <v>225124.11000000002</v>
      </c>
      <c r="P1252" s="312">
        <v>31969.29</v>
      </c>
      <c r="Q1252" s="312">
        <v>189513.31</v>
      </c>
      <c r="R1252" s="312">
        <v>116661.82</v>
      </c>
    </row>
    <row r="1253" spans="6:18">
      <c r="F1253" t="s">
        <v>3017</v>
      </c>
      <c r="G1253" s="312">
        <v>15.98</v>
      </c>
      <c r="H1253" s="312">
        <v>427.46000000000004</v>
      </c>
      <c r="I1253" s="312">
        <v>30.88</v>
      </c>
      <c r="J1253" s="312">
        <v>435.19</v>
      </c>
      <c r="K1253" s="312">
        <v>463.5</v>
      </c>
      <c r="M1253" t="s">
        <v>3017</v>
      </c>
      <c r="N1253" s="312">
        <v>6425.66</v>
      </c>
      <c r="O1253" s="312">
        <v>282986.59999999998</v>
      </c>
      <c r="P1253" s="312">
        <v>23804.82</v>
      </c>
      <c r="Q1253" s="312">
        <v>205593.81</v>
      </c>
      <c r="R1253" s="312">
        <v>163758.91999999998</v>
      </c>
    </row>
    <row r="1254" spans="6:18">
      <c r="F1254" t="s">
        <v>3018</v>
      </c>
      <c r="G1254" s="312">
        <v>73.179999999999993</v>
      </c>
      <c r="H1254" s="312">
        <v>454.33000000000004</v>
      </c>
      <c r="I1254" s="312">
        <v>26.95</v>
      </c>
      <c r="J1254" s="312">
        <v>545.66999999999996</v>
      </c>
      <c r="K1254" s="312">
        <v>353.78999999999996</v>
      </c>
      <c r="M1254" t="s">
        <v>3018</v>
      </c>
      <c r="N1254" s="312">
        <v>43508.45</v>
      </c>
      <c r="O1254" s="312">
        <v>216222.96</v>
      </c>
      <c r="P1254" s="312">
        <v>18606.27</v>
      </c>
      <c r="Q1254" s="312">
        <v>388132.54000000004</v>
      </c>
      <c r="R1254" s="312">
        <v>155742.57999999999</v>
      </c>
    </row>
    <row r="1255" spans="6:18">
      <c r="F1255" t="s">
        <v>3019</v>
      </c>
      <c r="G1255" s="312">
        <v>54.75</v>
      </c>
      <c r="H1255" s="312">
        <v>378.11</v>
      </c>
      <c r="I1255" s="312">
        <v>71.97</v>
      </c>
      <c r="J1255" s="312">
        <v>700.8</v>
      </c>
      <c r="K1255" s="312">
        <v>1205.76</v>
      </c>
      <c r="M1255" t="s">
        <v>3019</v>
      </c>
      <c r="N1255" s="312">
        <v>39552.04</v>
      </c>
      <c r="O1255" s="312">
        <v>211143.39</v>
      </c>
      <c r="P1255" s="312">
        <v>58541.039999999994</v>
      </c>
      <c r="Q1255" s="312">
        <v>365268.94</v>
      </c>
      <c r="R1255" s="312">
        <v>326490.73</v>
      </c>
    </row>
    <row r="1256" spans="6:18">
      <c r="F1256" t="s">
        <v>3020</v>
      </c>
      <c r="G1256" s="312">
        <v>23.33</v>
      </c>
      <c r="H1256" s="312">
        <v>308.7</v>
      </c>
      <c r="I1256" s="312">
        <v>133.62</v>
      </c>
      <c r="J1256" s="312">
        <v>361.27</v>
      </c>
      <c r="K1256" s="312">
        <v>327.57</v>
      </c>
      <c r="M1256" t="s">
        <v>3020</v>
      </c>
      <c r="N1256" s="312">
        <v>11867.11</v>
      </c>
      <c r="O1256" s="312">
        <v>159062.72999999998</v>
      </c>
      <c r="P1256" s="312">
        <v>121264.39</v>
      </c>
      <c r="Q1256" s="312">
        <v>161615.26</v>
      </c>
      <c r="R1256" s="312">
        <v>108001.94</v>
      </c>
    </row>
    <row r="1257" spans="6:18">
      <c r="F1257" t="s">
        <v>3021</v>
      </c>
      <c r="G1257" s="312">
        <v>13.260000000000002</v>
      </c>
      <c r="H1257" s="312">
        <v>309.89</v>
      </c>
      <c r="I1257" s="312">
        <v>23.090000000000003</v>
      </c>
      <c r="J1257" s="312">
        <v>235.86</v>
      </c>
      <c r="K1257" s="312">
        <v>344.87</v>
      </c>
      <c r="M1257" t="s">
        <v>3021</v>
      </c>
      <c r="N1257" s="312">
        <v>5715.5999999999995</v>
      </c>
      <c r="O1257" s="312">
        <v>181828.94999999998</v>
      </c>
      <c r="P1257" s="312">
        <v>13661.650000000001</v>
      </c>
      <c r="Q1257" s="312">
        <v>99556.76</v>
      </c>
      <c r="R1257" s="312">
        <v>112877.1</v>
      </c>
    </row>
    <row r="1258" spans="6:18">
      <c r="F1258" t="s">
        <v>3022</v>
      </c>
      <c r="G1258" s="312">
        <v>33.520000000000003</v>
      </c>
      <c r="H1258" s="312">
        <v>528.49</v>
      </c>
      <c r="I1258" s="312">
        <v>80.78</v>
      </c>
      <c r="J1258" s="312">
        <v>620.83999999999992</v>
      </c>
      <c r="K1258" s="312">
        <v>374.9</v>
      </c>
      <c r="M1258" t="s">
        <v>3022</v>
      </c>
      <c r="N1258" s="312">
        <v>17501.36</v>
      </c>
      <c r="O1258" s="312">
        <v>348947.70999999996</v>
      </c>
      <c r="P1258" s="312">
        <v>64374.44</v>
      </c>
      <c r="Q1258" s="312">
        <v>292226.17</v>
      </c>
      <c r="R1258" s="312">
        <v>134935.72</v>
      </c>
    </row>
    <row r="1259" spans="6:18">
      <c r="F1259" t="s">
        <v>3023</v>
      </c>
      <c r="G1259" s="312">
        <v>31.03</v>
      </c>
      <c r="H1259" s="312">
        <v>413.81000000000006</v>
      </c>
      <c r="I1259" s="312">
        <v>97.580000000000013</v>
      </c>
      <c r="J1259" s="312">
        <v>531.99</v>
      </c>
      <c r="K1259" s="312">
        <v>505.52</v>
      </c>
      <c r="M1259" t="s">
        <v>3023</v>
      </c>
      <c r="N1259" s="312">
        <v>13100.61</v>
      </c>
      <c r="O1259" s="312">
        <v>253790.65</v>
      </c>
      <c r="P1259" s="312">
        <v>66193.69</v>
      </c>
      <c r="Q1259" s="312">
        <v>355225.13</v>
      </c>
      <c r="R1259" s="312">
        <v>173155.46000000002</v>
      </c>
    </row>
    <row r="1260" spans="6:18">
      <c r="F1260" t="s">
        <v>3024</v>
      </c>
      <c r="G1260" s="312">
        <v>45.6</v>
      </c>
      <c r="H1260" s="312">
        <v>393.81</v>
      </c>
      <c r="I1260" s="312">
        <v>42.9</v>
      </c>
      <c r="J1260" s="312">
        <v>461.40999999999997</v>
      </c>
      <c r="K1260" s="312">
        <v>358.99</v>
      </c>
      <c r="M1260" t="s">
        <v>3024</v>
      </c>
      <c r="N1260" s="312">
        <v>19545.3</v>
      </c>
      <c r="O1260" s="312">
        <v>207517.31</v>
      </c>
      <c r="P1260" s="312">
        <v>37005.449999999997</v>
      </c>
      <c r="Q1260" s="312">
        <v>284827.82</v>
      </c>
      <c r="R1260" s="312">
        <v>113631.29999999999</v>
      </c>
    </row>
    <row r="1261" spans="6:18">
      <c r="F1261" t="s">
        <v>3025</v>
      </c>
      <c r="G1261" s="312">
        <v>57.5</v>
      </c>
      <c r="H1261" s="312">
        <v>439.32</v>
      </c>
      <c r="I1261" s="312">
        <v>72.64</v>
      </c>
      <c r="J1261" s="312">
        <v>851.54000000000008</v>
      </c>
      <c r="K1261" s="312">
        <v>363.38</v>
      </c>
      <c r="M1261" t="s">
        <v>3025</v>
      </c>
      <c r="N1261" s="312">
        <v>27195.88</v>
      </c>
      <c r="O1261" s="312">
        <v>226898.65999999997</v>
      </c>
      <c r="P1261" s="312">
        <v>47956.57</v>
      </c>
      <c r="Q1261" s="312">
        <v>403678.52999999997</v>
      </c>
      <c r="R1261" s="312">
        <v>127800.17</v>
      </c>
    </row>
    <row r="1262" spans="6:18">
      <c r="F1262" t="s">
        <v>3026</v>
      </c>
      <c r="G1262" s="312">
        <v>41.769999999999996</v>
      </c>
      <c r="H1262" s="312">
        <v>435.7</v>
      </c>
      <c r="I1262" s="312">
        <v>36.36</v>
      </c>
      <c r="J1262" s="312">
        <v>579.63</v>
      </c>
      <c r="K1262" s="312">
        <v>392.26</v>
      </c>
      <c r="M1262" t="s">
        <v>3026</v>
      </c>
      <c r="N1262" s="312">
        <v>21006.44</v>
      </c>
      <c r="O1262" s="312">
        <v>429017.49</v>
      </c>
      <c r="P1262" s="312">
        <v>34171.19</v>
      </c>
      <c r="Q1262" s="312">
        <v>258273.5</v>
      </c>
      <c r="R1262" s="312">
        <v>116847.84</v>
      </c>
    </row>
    <row r="1263" spans="6:18">
      <c r="F1263" t="s">
        <v>3027</v>
      </c>
      <c r="G1263" s="312">
        <v>29.740000000000002</v>
      </c>
      <c r="H1263" s="312">
        <v>371.97</v>
      </c>
      <c r="I1263" s="312">
        <v>50.97</v>
      </c>
      <c r="J1263" s="312">
        <v>412.29</v>
      </c>
      <c r="K1263" s="312">
        <v>315.79000000000002</v>
      </c>
      <c r="M1263" t="s">
        <v>3027</v>
      </c>
      <c r="N1263" s="312">
        <v>13863.95</v>
      </c>
      <c r="O1263" s="312">
        <v>186615.27</v>
      </c>
      <c r="P1263" s="312">
        <v>32343.66</v>
      </c>
      <c r="Q1263" s="312">
        <v>259663.58000000002</v>
      </c>
      <c r="R1263" s="312">
        <v>119315.41</v>
      </c>
    </row>
    <row r="1264" spans="6:18">
      <c r="F1264" t="s">
        <v>3028</v>
      </c>
      <c r="G1264" s="312">
        <v>19.75</v>
      </c>
      <c r="H1264" s="312">
        <v>330.35</v>
      </c>
      <c r="I1264" s="312">
        <v>12.68</v>
      </c>
      <c r="J1264" s="312">
        <v>397.02</v>
      </c>
      <c r="K1264" s="312">
        <v>202.97</v>
      </c>
      <c r="M1264" t="s">
        <v>3028</v>
      </c>
      <c r="N1264" s="312">
        <v>6828.75</v>
      </c>
      <c r="O1264" s="312">
        <v>169507.4</v>
      </c>
      <c r="P1264" s="312">
        <v>12252.64</v>
      </c>
      <c r="Q1264" s="312">
        <v>196435.28999999998</v>
      </c>
      <c r="R1264" s="312">
        <v>78186.350000000006</v>
      </c>
    </row>
    <row r="1265" spans="6:18">
      <c r="F1265" t="s">
        <v>3029</v>
      </c>
      <c r="G1265" s="312">
        <v>20.54</v>
      </c>
      <c r="H1265" s="312">
        <v>587.70000000000005</v>
      </c>
      <c r="I1265" s="312">
        <v>47.62</v>
      </c>
      <c r="J1265" s="312">
        <v>571.88</v>
      </c>
      <c r="K1265" s="312">
        <v>468.26</v>
      </c>
      <c r="M1265" t="s">
        <v>3029</v>
      </c>
      <c r="N1265" s="312">
        <v>11577.779999999999</v>
      </c>
      <c r="O1265" s="312">
        <v>302342.71000000002</v>
      </c>
      <c r="P1265" s="312">
        <v>34190.15</v>
      </c>
      <c r="Q1265" s="312">
        <v>278638.7</v>
      </c>
      <c r="R1265" s="312">
        <v>164659.93</v>
      </c>
    </row>
    <row r="1266" spans="6:18">
      <c r="F1266" t="s">
        <v>3030</v>
      </c>
      <c r="G1266" s="312">
        <v>66.98</v>
      </c>
      <c r="H1266" s="312">
        <v>442.5</v>
      </c>
      <c r="I1266" s="312">
        <v>79.95</v>
      </c>
      <c r="J1266" s="312">
        <v>406.82</v>
      </c>
      <c r="K1266" s="312">
        <v>409.62</v>
      </c>
      <c r="M1266" t="s">
        <v>3030</v>
      </c>
      <c r="N1266" s="312">
        <v>25706.37</v>
      </c>
      <c r="O1266" s="312">
        <v>261602.49000000002</v>
      </c>
      <c r="P1266" s="312">
        <v>51492.56</v>
      </c>
      <c r="Q1266" s="312">
        <v>204464.98</v>
      </c>
      <c r="R1266" s="312">
        <v>128952.54999999999</v>
      </c>
    </row>
    <row r="1267" spans="6:18">
      <c r="F1267" t="s">
        <v>3031</v>
      </c>
      <c r="G1267" s="312">
        <v>76.239999999999995</v>
      </c>
      <c r="H1267" s="312">
        <v>396.02</v>
      </c>
      <c r="I1267" s="312">
        <v>45.269999999999996</v>
      </c>
      <c r="J1267" s="312">
        <v>502.02</v>
      </c>
      <c r="K1267" s="312">
        <v>369.54</v>
      </c>
      <c r="M1267" t="s">
        <v>3031</v>
      </c>
      <c r="N1267" s="312">
        <v>36999.78</v>
      </c>
      <c r="O1267" s="312">
        <v>237447.39</v>
      </c>
      <c r="P1267" s="312">
        <v>28597.279999999999</v>
      </c>
      <c r="Q1267" s="312">
        <v>235162.15</v>
      </c>
      <c r="R1267" s="312">
        <v>143800.1</v>
      </c>
    </row>
    <row r="1268" spans="6:18">
      <c r="F1268" t="s">
        <v>3032</v>
      </c>
      <c r="G1268" s="312">
        <v>14.89</v>
      </c>
      <c r="H1268" s="312">
        <v>471</v>
      </c>
      <c r="I1268" s="312">
        <v>55.17</v>
      </c>
      <c r="J1268" s="312">
        <v>537.85</v>
      </c>
      <c r="K1268" s="312">
        <v>372.93</v>
      </c>
      <c r="M1268" t="s">
        <v>3032</v>
      </c>
      <c r="N1268" s="312">
        <v>8581.619999999999</v>
      </c>
      <c r="O1268" s="312">
        <v>284625.33999999997</v>
      </c>
      <c r="P1268" s="312">
        <v>41775.89</v>
      </c>
      <c r="Q1268" s="312">
        <v>292097.45</v>
      </c>
      <c r="R1268" s="312">
        <v>111151.32999999999</v>
      </c>
    </row>
    <row r="1269" spans="6:18">
      <c r="F1269" t="s">
        <v>3033</v>
      </c>
      <c r="G1269" s="312">
        <v>36.92</v>
      </c>
      <c r="H1269" s="312">
        <v>522.89</v>
      </c>
      <c r="I1269" s="312">
        <v>63.01</v>
      </c>
      <c r="J1269" s="312">
        <v>458.81</v>
      </c>
      <c r="K1269" s="312">
        <v>405.26</v>
      </c>
      <c r="M1269" t="s">
        <v>3033</v>
      </c>
      <c r="N1269" s="312">
        <v>15449.07</v>
      </c>
      <c r="O1269" s="312">
        <v>251091.9</v>
      </c>
      <c r="P1269" s="312">
        <v>36476.85</v>
      </c>
      <c r="Q1269" s="312">
        <v>234496.65999999997</v>
      </c>
      <c r="R1269" s="312">
        <v>144455.12</v>
      </c>
    </row>
    <row r="1270" spans="6:18">
      <c r="F1270" t="s">
        <v>3034</v>
      </c>
      <c r="G1270" s="312">
        <v>20.16</v>
      </c>
      <c r="H1270" s="312">
        <v>287.76</v>
      </c>
      <c r="I1270" s="312">
        <v>73.75</v>
      </c>
      <c r="J1270" s="312">
        <v>291.91000000000003</v>
      </c>
      <c r="K1270" s="312">
        <v>208.62</v>
      </c>
      <c r="M1270" t="s">
        <v>3034</v>
      </c>
      <c r="N1270" s="312">
        <v>8867.7200000000012</v>
      </c>
      <c r="O1270" s="312">
        <v>153293.64000000001</v>
      </c>
      <c r="P1270" s="312">
        <v>35440.870000000003</v>
      </c>
      <c r="Q1270" s="312">
        <v>151402.90999999997</v>
      </c>
      <c r="R1270" s="312">
        <v>76961.239999999991</v>
      </c>
    </row>
    <row r="1271" spans="6:18">
      <c r="F1271" t="s">
        <v>3035</v>
      </c>
      <c r="G1271" s="312">
        <v>25.41</v>
      </c>
      <c r="H1271" s="312">
        <v>280.85000000000002</v>
      </c>
      <c r="I1271" s="312">
        <v>10.130000000000001</v>
      </c>
      <c r="J1271" s="312">
        <v>261.07</v>
      </c>
      <c r="K1271" s="312">
        <v>184.57999999999998</v>
      </c>
      <c r="M1271" t="s">
        <v>3035</v>
      </c>
      <c r="N1271" s="312">
        <v>14473.45</v>
      </c>
      <c r="O1271" s="312">
        <v>124732.57</v>
      </c>
      <c r="P1271" s="312">
        <v>6787.91</v>
      </c>
      <c r="Q1271" s="312">
        <v>147527.09</v>
      </c>
      <c r="R1271" s="312">
        <v>59639.729999999996</v>
      </c>
    </row>
    <row r="1272" spans="6:18">
      <c r="F1272" t="s">
        <v>3036</v>
      </c>
      <c r="G1272" s="312">
        <v>33.26</v>
      </c>
      <c r="H1272" s="312">
        <v>420.28999999999996</v>
      </c>
      <c r="I1272" s="312">
        <v>102.96</v>
      </c>
      <c r="J1272" s="312">
        <v>542.76</v>
      </c>
      <c r="K1272" s="312">
        <v>423.57</v>
      </c>
      <c r="M1272" t="s">
        <v>3036</v>
      </c>
      <c r="N1272" s="312">
        <v>18806.55</v>
      </c>
      <c r="O1272" s="312">
        <v>244751.26</v>
      </c>
      <c r="P1272" s="312">
        <v>72045.430000000008</v>
      </c>
      <c r="Q1272" s="312">
        <v>264595.65000000002</v>
      </c>
      <c r="R1272" s="312">
        <v>140890.19</v>
      </c>
    </row>
    <row r="1273" spans="6:18">
      <c r="F1273" t="s">
        <v>3037</v>
      </c>
      <c r="G1273" s="312">
        <v>29.92</v>
      </c>
      <c r="H1273" s="312">
        <v>492</v>
      </c>
      <c r="I1273" s="312">
        <v>83.61999999999999</v>
      </c>
      <c r="J1273" s="312">
        <v>464.13</v>
      </c>
      <c r="K1273" s="312">
        <v>350.97</v>
      </c>
      <c r="M1273" t="s">
        <v>3037</v>
      </c>
      <c r="N1273" s="312">
        <v>12601.8</v>
      </c>
      <c r="O1273" s="312">
        <v>245237.02</v>
      </c>
      <c r="P1273" s="312">
        <v>64731.420000000006</v>
      </c>
      <c r="Q1273" s="312">
        <v>219417.44</v>
      </c>
      <c r="R1273" s="312">
        <v>148872.08000000002</v>
      </c>
    </row>
    <row r="1274" spans="6:18">
      <c r="F1274" t="s">
        <v>3038</v>
      </c>
      <c r="G1274" s="312">
        <v>33.54</v>
      </c>
      <c r="H1274" s="312">
        <v>517.20000000000005</v>
      </c>
      <c r="I1274" s="312">
        <v>61.86</v>
      </c>
      <c r="J1274" s="312">
        <v>547.16</v>
      </c>
      <c r="K1274" s="312">
        <v>315.36</v>
      </c>
      <c r="M1274" t="s">
        <v>3038</v>
      </c>
      <c r="N1274" s="312">
        <v>12618.130000000001</v>
      </c>
      <c r="O1274" s="312">
        <v>252496.23</v>
      </c>
      <c r="P1274" s="312">
        <v>44863.23</v>
      </c>
      <c r="Q1274" s="312">
        <v>251236.98</v>
      </c>
      <c r="R1274" s="312">
        <v>141776.46</v>
      </c>
    </row>
    <row r="1275" spans="6:18">
      <c r="F1275" t="s">
        <v>3039</v>
      </c>
      <c r="G1275" s="312">
        <v>49.05</v>
      </c>
      <c r="H1275" s="312">
        <v>482.15999999999997</v>
      </c>
      <c r="I1275" s="312">
        <v>80.25</v>
      </c>
      <c r="J1275" s="312">
        <v>564.44999999999993</v>
      </c>
      <c r="K1275" s="312">
        <v>355.8</v>
      </c>
      <c r="M1275" t="s">
        <v>3039</v>
      </c>
      <c r="N1275" s="312">
        <v>22870.52</v>
      </c>
      <c r="O1275" s="312">
        <v>255730.39</v>
      </c>
      <c r="P1275" s="312">
        <v>54266.83</v>
      </c>
      <c r="Q1275" s="312">
        <v>205622.53</v>
      </c>
      <c r="R1275" s="312">
        <v>116398.04</v>
      </c>
    </row>
    <row r="1276" spans="6:18">
      <c r="F1276" t="s">
        <v>3040</v>
      </c>
      <c r="G1276" s="312">
        <v>30.34</v>
      </c>
      <c r="H1276" s="312">
        <v>478.34000000000003</v>
      </c>
      <c r="I1276" s="312">
        <v>43.5</v>
      </c>
      <c r="J1276" s="312">
        <v>523.03</v>
      </c>
      <c r="K1276" s="312">
        <v>320.11</v>
      </c>
      <c r="M1276" t="s">
        <v>3040</v>
      </c>
      <c r="N1276" s="312">
        <v>12966.2</v>
      </c>
      <c r="O1276" s="312">
        <v>254964.19</v>
      </c>
      <c r="P1276" s="312">
        <v>24095.48</v>
      </c>
      <c r="Q1276" s="312">
        <v>286789.84000000003</v>
      </c>
      <c r="R1276" s="312">
        <v>107258.79999999999</v>
      </c>
    </row>
    <row r="1277" spans="6:18">
      <c r="F1277" t="s">
        <v>3041</v>
      </c>
      <c r="G1277" s="312">
        <v>18.61</v>
      </c>
      <c r="H1277" s="312">
        <v>263.78999999999996</v>
      </c>
      <c r="I1277" s="312">
        <v>38.33</v>
      </c>
      <c r="J1277" s="312">
        <v>427.48</v>
      </c>
      <c r="K1277" s="312">
        <v>309.81</v>
      </c>
      <c r="M1277" t="s">
        <v>3041</v>
      </c>
      <c r="N1277" s="312">
        <v>11518.71</v>
      </c>
      <c r="O1277" s="312">
        <v>158314</v>
      </c>
      <c r="P1277" s="312">
        <v>38610.009999999995</v>
      </c>
      <c r="Q1277" s="312">
        <v>173531.30000000002</v>
      </c>
      <c r="R1277" s="312">
        <v>98806.569999999992</v>
      </c>
    </row>
    <row r="1278" spans="6:18">
      <c r="F1278" t="s">
        <v>3042</v>
      </c>
      <c r="G1278" s="312">
        <v>5.32</v>
      </c>
      <c r="H1278" s="312">
        <v>234.5</v>
      </c>
      <c r="I1278" s="312">
        <v>19.02</v>
      </c>
      <c r="J1278" s="312">
        <v>312.74</v>
      </c>
      <c r="K1278" s="312">
        <v>265.64</v>
      </c>
      <c r="M1278" t="s">
        <v>3042</v>
      </c>
      <c r="N1278" s="312">
        <v>2482.64</v>
      </c>
      <c r="O1278" s="312">
        <v>117220.85</v>
      </c>
      <c r="P1278" s="312">
        <v>9151.7999999999993</v>
      </c>
      <c r="Q1278" s="312">
        <v>135894.88</v>
      </c>
      <c r="R1278" s="312">
        <v>85386.89</v>
      </c>
    </row>
    <row r="1279" spans="6:18">
      <c r="F1279" t="s">
        <v>3043</v>
      </c>
      <c r="G1279" s="312">
        <v>8.8000000000000007</v>
      </c>
      <c r="H1279" s="312">
        <v>528.23</v>
      </c>
      <c r="I1279" s="312">
        <v>41.239999999999995</v>
      </c>
      <c r="J1279" s="312">
        <v>365.44</v>
      </c>
      <c r="K1279" s="312">
        <v>419.6</v>
      </c>
      <c r="M1279" t="s">
        <v>3043</v>
      </c>
      <c r="N1279" s="312">
        <v>2966.71</v>
      </c>
      <c r="O1279" s="312">
        <v>268668.5</v>
      </c>
      <c r="P1279" s="312">
        <v>33584.26</v>
      </c>
      <c r="Q1279" s="312">
        <v>164572.15</v>
      </c>
      <c r="R1279" s="312">
        <v>133296.71</v>
      </c>
    </row>
    <row r="1280" spans="6:18">
      <c r="F1280" t="s">
        <v>3044</v>
      </c>
      <c r="G1280" s="312">
        <v>15.44</v>
      </c>
      <c r="H1280" s="312">
        <v>416.89</v>
      </c>
      <c r="I1280" s="312">
        <v>71.52</v>
      </c>
      <c r="J1280" s="312">
        <v>478.57</v>
      </c>
      <c r="K1280" s="312">
        <v>494.01</v>
      </c>
      <c r="M1280" t="s">
        <v>3044</v>
      </c>
      <c r="N1280" s="312">
        <v>6830.25</v>
      </c>
      <c r="O1280" s="312">
        <v>205718.07</v>
      </c>
      <c r="P1280" s="312">
        <v>35963.049999999996</v>
      </c>
      <c r="Q1280" s="312">
        <v>313478.48</v>
      </c>
      <c r="R1280" s="312">
        <v>197657.57</v>
      </c>
    </row>
    <row r="1281" spans="6:18">
      <c r="F1281" t="s">
        <v>3045</v>
      </c>
      <c r="G1281" s="312">
        <v>40.730000000000004</v>
      </c>
      <c r="H1281" s="312">
        <v>357.15999999999997</v>
      </c>
      <c r="I1281" s="312">
        <v>43.21</v>
      </c>
      <c r="J1281" s="312">
        <v>650.09</v>
      </c>
      <c r="K1281" s="312">
        <v>545.11</v>
      </c>
      <c r="M1281" t="s">
        <v>3045</v>
      </c>
      <c r="N1281" s="312">
        <v>21389.23</v>
      </c>
      <c r="O1281" s="312">
        <v>199586.57</v>
      </c>
      <c r="P1281" s="312">
        <v>32018.61</v>
      </c>
      <c r="Q1281" s="312">
        <v>289992.76</v>
      </c>
      <c r="R1281" s="312">
        <v>221479.36</v>
      </c>
    </row>
    <row r="1282" spans="6:18">
      <c r="F1282" t="s">
        <v>3046</v>
      </c>
      <c r="G1282" s="312">
        <v>40.96</v>
      </c>
      <c r="H1282" s="312">
        <v>454.34</v>
      </c>
      <c r="I1282" s="312">
        <v>52.24</v>
      </c>
      <c r="J1282" s="312">
        <v>390.88</v>
      </c>
      <c r="K1282" s="312">
        <v>380.57</v>
      </c>
      <c r="M1282" t="s">
        <v>3046</v>
      </c>
      <c r="N1282" s="312">
        <v>13246.199999999999</v>
      </c>
      <c r="O1282" s="312">
        <v>244307.16</v>
      </c>
      <c r="P1282" s="312">
        <v>39114.83</v>
      </c>
      <c r="Q1282" s="312">
        <v>176393.58000000002</v>
      </c>
      <c r="R1282" s="312">
        <v>158877.97</v>
      </c>
    </row>
    <row r="1283" spans="6:18">
      <c r="F1283" t="s">
        <v>3047</v>
      </c>
      <c r="G1283" s="312">
        <v>25.25</v>
      </c>
      <c r="H1283" s="312">
        <v>484.70000000000005</v>
      </c>
      <c r="I1283" s="312">
        <v>105.33</v>
      </c>
      <c r="J1283" s="312">
        <v>510.48</v>
      </c>
      <c r="K1283" s="312">
        <v>398.11</v>
      </c>
      <c r="M1283" t="s">
        <v>3047</v>
      </c>
      <c r="N1283" s="312">
        <v>9530.23</v>
      </c>
      <c r="O1283" s="312">
        <v>305277.17</v>
      </c>
      <c r="P1283" s="312">
        <v>84196.590000000011</v>
      </c>
      <c r="Q1283" s="312">
        <v>246575.52999999997</v>
      </c>
      <c r="R1283" s="312">
        <v>169775.77000000002</v>
      </c>
    </row>
    <row r="1284" spans="6:18">
      <c r="F1284" t="s">
        <v>3048</v>
      </c>
      <c r="G1284" s="312">
        <v>31.75</v>
      </c>
      <c r="H1284" s="312">
        <v>320.7</v>
      </c>
      <c r="I1284" s="312">
        <v>65.64</v>
      </c>
      <c r="J1284" s="312">
        <v>446.57000000000005</v>
      </c>
      <c r="K1284" s="312">
        <v>465.41999999999996</v>
      </c>
      <c r="M1284" t="s">
        <v>3048</v>
      </c>
      <c r="N1284" s="312">
        <v>14875.83</v>
      </c>
      <c r="O1284" s="312">
        <v>186427.84</v>
      </c>
      <c r="P1284" s="312">
        <v>39274.69</v>
      </c>
      <c r="Q1284" s="312">
        <v>189255.19</v>
      </c>
      <c r="R1284" s="312">
        <v>216605.66</v>
      </c>
    </row>
    <row r="1285" spans="6:18">
      <c r="F1285" t="s">
        <v>3049</v>
      </c>
      <c r="G1285" s="312">
        <v>40.299999999999997</v>
      </c>
      <c r="H1285" s="312">
        <v>254.57</v>
      </c>
      <c r="I1285" s="312">
        <v>9.39</v>
      </c>
      <c r="J1285" s="312">
        <v>271.23</v>
      </c>
      <c r="K1285" s="312">
        <v>348.03999999999996</v>
      </c>
      <c r="M1285" t="s">
        <v>3049</v>
      </c>
      <c r="N1285" s="312">
        <v>12684.22</v>
      </c>
      <c r="O1285" s="312">
        <v>133441.03999999998</v>
      </c>
      <c r="P1285" s="312">
        <v>4027.1</v>
      </c>
      <c r="Q1285" s="312">
        <v>148541.53</v>
      </c>
      <c r="R1285" s="312">
        <v>233238.92</v>
      </c>
    </row>
    <row r="1286" spans="6:18">
      <c r="F1286" t="s">
        <v>3050</v>
      </c>
      <c r="G1286" s="312">
        <v>33.47</v>
      </c>
      <c r="H1286" s="312">
        <v>323.05</v>
      </c>
      <c r="I1286" s="312">
        <v>72.45</v>
      </c>
      <c r="J1286" s="312">
        <v>421.46999999999997</v>
      </c>
      <c r="K1286" s="312">
        <v>455.68</v>
      </c>
      <c r="M1286" t="s">
        <v>3050</v>
      </c>
      <c r="N1286" s="312">
        <v>20055.36</v>
      </c>
      <c r="O1286" s="312">
        <v>199195.96</v>
      </c>
      <c r="P1286" s="312">
        <v>50363.12</v>
      </c>
      <c r="Q1286" s="312">
        <v>183448.12</v>
      </c>
      <c r="R1286" s="312">
        <v>145799.51999999999</v>
      </c>
    </row>
    <row r="1287" spans="6:18">
      <c r="F1287" t="s">
        <v>3051</v>
      </c>
      <c r="G1287" s="312">
        <v>22.6</v>
      </c>
      <c r="H1287" s="312">
        <v>411.87</v>
      </c>
      <c r="I1287" s="312">
        <v>62.57</v>
      </c>
      <c r="J1287" s="312">
        <v>302.12</v>
      </c>
      <c r="K1287" s="312">
        <v>565.75</v>
      </c>
      <c r="M1287" t="s">
        <v>3051</v>
      </c>
      <c r="N1287" s="312">
        <v>7506.8</v>
      </c>
      <c r="O1287" s="312">
        <v>184096.49</v>
      </c>
      <c r="P1287" s="312">
        <v>41569.979999999996</v>
      </c>
      <c r="Q1287" s="312">
        <v>127392.53</v>
      </c>
      <c r="R1287" s="312">
        <v>234755.31</v>
      </c>
    </row>
    <row r="1288" spans="6:18">
      <c r="F1288" t="s">
        <v>3052</v>
      </c>
      <c r="G1288" s="312">
        <v>38.989999999999995</v>
      </c>
      <c r="H1288" s="312">
        <v>506.73</v>
      </c>
      <c r="I1288" s="312">
        <v>117.75999999999999</v>
      </c>
      <c r="J1288" s="312">
        <v>487.54999999999995</v>
      </c>
      <c r="K1288" s="312">
        <v>313.78000000000003</v>
      </c>
      <c r="M1288" t="s">
        <v>3052</v>
      </c>
      <c r="N1288" s="312">
        <v>21417.62</v>
      </c>
      <c r="O1288" s="312">
        <v>273542</v>
      </c>
      <c r="P1288" s="312">
        <v>114398.79</v>
      </c>
      <c r="Q1288" s="312">
        <v>383844.52999999997</v>
      </c>
      <c r="R1288" s="312">
        <v>102873.65</v>
      </c>
    </row>
    <row r="1289" spans="6:18">
      <c r="F1289" t="s">
        <v>3053</v>
      </c>
      <c r="G1289" s="312">
        <v>28.41</v>
      </c>
      <c r="H1289" s="312">
        <v>422.16999999999996</v>
      </c>
      <c r="I1289" s="312">
        <v>65.72999999999999</v>
      </c>
      <c r="J1289" s="312">
        <v>625.76</v>
      </c>
      <c r="K1289" s="312">
        <v>489.85</v>
      </c>
      <c r="M1289" t="s">
        <v>3053</v>
      </c>
      <c r="N1289" s="312">
        <v>15015.119999999999</v>
      </c>
      <c r="O1289" s="312">
        <v>229651.05000000002</v>
      </c>
      <c r="P1289" s="312">
        <v>56536.560000000005</v>
      </c>
      <c r="Q1289" s="312">
        <v>331969.11</v>
      </c>
      <c r="R1289" s="312">
        <v>172560.12</v>
      </c>
    </row>
    <row r="1290" spans="6:18">
      <c r="F1290" t="s">
        <v>3054</v>
      </c>
      <c r="G1290" s="312">
        <v>16.39</v>
      </c>
      <c r="H1290" s="312">
        <v>339.81</v>
      </c>
      <c r="I1290" s="312">
        <v>75.56</v>
      </c>
      <c r="J1290" s="312">
        <v>517.92999999999995</v>
      </c>
      <c r="K1290" s="312">
        <v>521.28</v>
      </c>
      <c r="M1290" t="s">
        <v>3054</v>
      </c>
      <c r="N1290" s="312">
        <v>6304.66</v>
      </c>
      <c r="O1290" s="312">
        <v>174119.44</v>
      </c>
      <c r="P1290" s="312">
        <v>49053.460000000006</v>
      </c>
      <c r="Q1290" s="312">
        <v>255347.49</v>
      </c>
      <c r="R1290" s="312">
        <v>180538.23</v>
      </c>
    </row>
    <row r="1291" spans="6:18">
      <c r="F1291" t="s">
        <v>3055</v>
      </c>
      <c r="G1291" s="312">
        <v>9.98</v>
      </c>
      <c r="H1291" s="312">
        <v>302.17</v>
      </c>
      <c r="I1291" s="312">
        <v>82.51</v>
      </c>
      <c r="J1291" s="312">
        <v>308.89</v>
      </c>
      <c r="K1291" s="312">
        <v>375.21</v>
      </c>
      <c r="M1291" t="s">
        <v>3055</v>
      </c>
      <c r="N1291" s="312">
        <v>4124.12</v>
      </c>
      <c r="O1291" s="312">
        <v>165281.56</v>
      </c>
      <c r="P1291" s="312">
        <v>50787.07</v>
      </c>
      <c r="Q1291" s="312">
        <v>153496.20000000001</v>
      </c>
      <c r="R1291" s="312">
        <v>182673.63</v>
      </c>
    </row>
    <row r="1292" spans="6:18">
      <c r="F1292" t="s">
        <v>3056</v>
      </c>
      <c r="G1292" s="312">
        <v>23.97</v>
      </c>
      <c r="H1292" s="312">
        <v>289.24</v>
      </c>
      <c r="I1292" s="312">
        <v>17.14</v>
      </c>
      <c r="J1292" s="312">
        <v>262.88</v>
      </c>
      <c r="K1292" s="312">
        <v>320.74</v>
      </c>
      <c r="M1292" t="s">
        <v>3056</v>
      </c>
      <c r="N1292" s="312">
        <v>8203.83</v>
      </c>
      <c r="O1292" s="312">
        <v>156494.04</v>
      </c>
      <c r="P1292" s="312">
        <v>17205.59</v>
      </c>
      <c r="Q1292" s="312">
        <v>104080.94</v>
      </c>
      <c r="R1292" s="312">
        <v>122543.97</v>
      </c>
    </row>
    <row r="1293" spans="6:18">
      <c r="F1293" t="s">
        <v>3057</v>
      </c>
      <c r="G1293" s="312">
        <v>23.34</v>
      </c>
      <c r="H1293" s="312">
        <v>407.38</v>
      </c>
      <c r="I1293" s="312">
        <v>142.68</v>
      </c>
      <c r="J1293" s="312">
        <v>633.22</v>
      </c>
      <c r="K1293" s="312">
        <v>444.99</v>
      </c>
      <c r="M1293" t="s">
        <v>3057</v>
      </c>
      <c r="N1293" s="312">
        <v>7570.1100000000006</v>
      </c>
      <c r="O1293" s="312">
        <v>202243.03000000003</v>
      </c>
      <c r="P1293" s="312">
        <v>184840.9</v>
      </c>
      <c r="Q1293" s="312">
        <v>289582.98</v>
      </c>
      <c r="R1293" s="312">
        <v>164561.70000000001</v>
      </c>
    </row>
    <row r="1294" spans="6:18">
      <c r="F1294" t="s">
        <v>3058</v>
      </c>
      <c r="G1294" s="312">
        <v>25.03</v>
      </c>
      <c r="H1294" s="312">
        <v>315.68</v>
      </c>
      <c r="I1294" s="312">
        <v>72.930000000000007</v>
      </c>
      <c r="J1294" s="312">
        <v>462.09</v>
      </c>
      <c r="K1294" s="312">
        <v>411.07</v>
      </c>
      <c r="M1294" t="s">
        <v>3058</v>
      </c>
      <c r="N1294" s="312">
        <v>17561.72</v>
      </c>
      <c r="O1294" s="312">
        <v>218278.46000000002</v>
      </c>
      <c r="P1294" s="312">
        <v>49335.93</v>
      </c>
      <c r="Q1294" s="312">
        <v>225836.65</v>
      </c>
      <c r="R1294" s="312">
        <v>188675.41</v>
      </c>
    </row>
    <row r="1295" spans="6:18">
      <c r="F1295" t="s">
        <v>3059</v>
      </c>
      <c r="G1295" s="312">
        <v>35.230000000000004</v>
      </c>
      <c r="H1295" s="312">
        <v>375.25</v>
      </c>
      <c r="I1295" s="312">
        <v>86.62</v>
      </c>
      <c r="J1295" s="312">
        <v>352.88</v>
      </c>
      <c r="K1295" s="312">
        <v>437.65999999999997</v>
      </c>
      <c r="M1295" t="s">
        <v>3059</v>
      </c>
      <c r="N1295" s="312">
        <v>19866.98</v>
      </c>
      <c r="O1295" s="312">
        <v>199471.32</v>
      </c>
      <c r="P1295" s="312">
        <v>69021.5</v>
      </c>
      <c r="Q1295" s="312">
        <v>233356.96</v>
      </c>
      <c r="R1295" s="312">
        <v>144993.01999999999</v>
      </c>
    </row>
    <row r="1296" spans="6:18">
      <c r="F1296" t="s">
        <v>3060</v>
      </c>
      <c r="G1296" s="312">
        <v>25.759999999999998</v>
      </c>
      <c r="H1296" s="312">
        <v>382.27</v>
      </c>
      <c r="I1296" s="312">
        <v>66.38</v>
      </c>
      <c r="J1296" s="312">
        <v>507.19</v>
      </c>
      <c r="K1296" s="312">
        <v>358.89</v>
      </c>
      <c r="M1296" t="s">
        <v>3060</v>
      </c>
      <c r="N1296" s="312">
        <v>15885.150000000001</v>
      </c>
      <c r="O1296" s="312">
        <v>191531.30000000002</v>
      </c>
      <c r="P1296" s="312">
        <v>37567.83</v>
      </c>
      <c r="Q1296" s="312">
        <v>231827.99</v>
      </c>
      <c r="R1296" s="312">
        <v>126705.25</v>
      </c>
    </row>
    <row r="1297" spans="6:18">
      <c r="F1297" t="s">
        <v>3061</v>
      </c>
      <c r="G1297" s="312">
        <v>94.960000000000008</v>
      </c>
      <c r="H1297" s="312">
        <v>529.82999999999993</v>
      </c>
      <c r="I1297" s="312">
        <v>82.68</v>
      </c>
      <c r="J1297" s="312">
        <v>501.69</v>
      </c>
      <c r="K1297" s="312">
        <v>404.25</v>
      </c>
      <c r="M1297" t="s">
        <v>3061</v>
      </c>
      <c r="N1297" s="312">
        <v>48338.689999999995</v>
      </c>
      <c r="O1297" s="312">
        <v>269995.73</v>
      </c>
      <c r="P1297" s="312">
        <v>57125.88</v>
      </c>
      <c r="Q1297" s="312">
        <v>196258.49</v>
      </c>
      <c r="R1297" s="312">
        <v>169701.96</v>
      </c>
    </row>
    <row r="1298" spans="6:18">
      <c r="F1298" t="s">
        <v>3062</v>
      </c>
      <c r="G1298" s="312">
        <v>16.52</v>
      </c>
      <c r="H1298" s="312">
        <v>317.26</v>
      </c>
      <c r="I1298" s="312">
        <v>71.070000000000007</v>
      </c>
      <c r="J1298" s="312">
        <v>292.09000000000003</v>
      </c>
      <c r="K1298" s="312">
        <v>256.84000000000003</v>
      </c>
      <c r="M1298" t="s">
        <v>3062</v>
      </c>
      <c r="N1298" s="312">
        <v>6524.95</v>
      </c>
      <c r="O1298" s="312">
        <v>177439.28</v>
      </c>
      <c r="P1298" s="312">
        <v>37451.370000000003</v>
      </c>
      <c r="Q1298" s="312">
        <v>186256.31</v>
      </c>
      <c r="R1298" s="312">
        <v>89792.180000000008</v>
      </c>
    </row>
    <row r="1299" spans="6:18">
      <c r="F1299" t="s">
        <v>3063</v>
      </c>
      <c r="G1299" s="312">
        <v>37.72</v>
      </c>
      <c r="H1299" s="312">
        <v>305.51</v>
      </c>
      <c r="I1299" s="312">
        <v>21.32</v>
      </c>
      <c r="J1299" s="312">
        <v>315.82</v>
      </c>
      <c r="K1299" s="312">
        <v>247.2</v>
      </c>
      <c r="M1299" t="s">
        <v>3063</v>
      </c>
      <c r="N1299" s="312">
        <v>25016.850000000002</v>
      </c>
      <c r="O1299" s="312">
        <v>139028.10999999999</v>
      </c>
      <c r="P1299" s="312">
        <v>15739.150000000001</v>
      </c>
      <c r="Q1299" s="312">
        <v>143877.89000000001</v>
      </c>
      <c r="R1299" s="312">
        <v>106580.16</v>
      </c>
    </row>
    <row r="1300" spans="6:18">
      <c r="F1300" t="s">
        <v>3064</v>
      </c>
      <c r="G1300" s="312">
        <v>21.95</v>
      </c>
      <c r="H1300" s="312">
        <v>351.09</v>
      </c>
      <c r="I1300" s="312">
        <v>71.72</v>
      </c>
      <c r="J1300" s="312">
        <v>455.83</v>
      </c>
      <c r="K1300" s="312">
        <v>369.59</v>
      </c>
      <c r="M1300" t="s">
        <v>3064</v>
      </c>
      <c r="N1300" s="312">
        <v>15967.070000000002</v>
      </c>
      <c r="O1300" s="312">
        <v>203672.21</v>
      </c>
      <c r="P1300" s="312">
        <v>37946.840000000004</v>
      </c>
      <c r="Q1300" s="312">
        <v>218950.91</v>
      </c>
      <c r="R1300" s="312">
        <v>124922.23999999999</v>
      </c>
    </row>
    <row r="1301" spans="6:18">
      <c r="F1301" t="s">
        <v>3065</v>
      </c>
      <c r="G1301" s="312">
        <v>27.669999999999998</v>
      </c>
      <c r="H1301" s="312">
        <v>334.22</v>
      </c>
      <c r="I1301" s="312">
        <v>62.739999999999995</v>
      </c>
      <c r="J1301" s="312">
        <v>490.61</v>
      </c>
      <c r="K1301" s="312">
        <v>375.91</v>
      </c>
      <c r="M1301" t="s">
        <v>3065</v>
      </c>
      <c r="N1301" s="312">
        <v>15018.550000000001</v>
      </c>
      <c r="O1301" s="312">
        <v>179402.71</v>
      </c>
      <c r="P1301" s="312">
        <v>48383.34</v>
      </c>
      <c r="Q1301" s="312">
        <v>214554.62999999998</v>
      </c>
      <c r="R1301" s="312">
        <v>141352.88</v>
      </c>
    </row>
    <row r="1302" spans="6:18">
      <c r="F1302" t="s">
        <v>3066</v>
      </c>
      <c r="G1302" s="312">
        <v>45.32</v>
      </c>
      <c r="H1302" s="312">
        <v>382.02</v>
      </c>
      <c r="I1302" s="312">
        <v>61.089999999999996</v>
      </c>
      <c r="J1302" s="312">
        <v>430.78999999999996</v>
      </c>
      <c r="K1302" s="312">
        <v>485.76</v>
      </c>
      <c r="M1302" t="s">
        <v>3066</v>
      </c>
      <c r="N1302" s="312">
        <v>30918.46</v>
      </c>
      <c r="O1302" s="312">
        <v>263720.82</v>
      </c>
      <c r="P1302" s="312">
        <v>35552.99</v>
      </c>
      <c r="Q1302" s="312">
        <v>210605.44</v>
      </c>
      <c r="R1302" s="312">
        <v>183449.49</v>
      </c>
    </row>
    <row r="1303" spans="6:18">
      <c r="F1303" t="s">
        <v>3067</v>
      </c>
      <c r="G1303" s="312">
        <v>35.92</v>
      </c>
      <c r="H1303" s="312">
        <v>423.53</v>
      </c>
      <c r="I1303" s="312">
        <v>72.98</v>
      </c>
      <c r="J1303" s="312">
        <v>504.07</v>
      </c>
      <c r="K1303" s="312">
        <v>285.73</v>
      </c>
      <c r="M1303" t="s">
        <v>3067</v>
      </c>
      <c r="N1303" s="312">
        <v>18443.09</v>
      </c>
      <c r="O1303" s="312">
        <v>208341.8</v>
      </c>
      <c r="P1303" s="312">
        <v>36510.57</v>
      </c>
      <c r="Q1303" s="312">
        <v>269624.62</v>
      </c>
      <c r="R1303" s="312">
        <v>107252.81</v>
      </c>
    </row>
    <row r="1304" spans="6:18">
      <c r="F1304" t="s">
        <v>3068</v>
      </c>
      <c r="G1304" s="312">
        <v>10.65</v>
      </c>
      <c r="H1304" s="312">
        <v>477.08</v>
      </c>
      <c r="I1304" s="312">
        <v>51.78</v>
      </c>
      <c r="J1304" s="312">
        <v>533.95000000000005</v>
      </c>
      <c r="K1304" s="312">
        <v>375.85</v>
      </c>
      <c r="M1304" t="s">
        <v>3068</v>
      </c>
      <c r="N1304" s="312">
        <v>4327.32</v>
      </c>
      <c r="O1304" s="312">
        <v>203256.87</v>
      </c>
      <c r="P1304" s="312">
        <v>48777.41</v>
      </c>
      <c r="Q1304" s="312">
        <v>279448.17000000004</v>
      </c>
      <c r="R1304" s="312">
        <v>146126.39000000001</v>
      </c>
    </row>
    <row r="1305" spans="6:18">
      <c r="F1305" t="s">
        <v>3069</v>
      </c>
      <c r="G1305" s="312">
        <v>23.25</v>
      </c>
      <c r="H1305" s="312">
        <v>303.45000000000005</v>
      </c>
      <c r="I1305" s="312">
        <v>18.240000000000002</v>
      </c>
      <c r="J1305" s="312">
        <v>345</v>
      </c>
      <c r="K1305" s="312">
        <v>341.08000000000004</v>
      </c>
      <c r="M1305" t="s">
        <v>3069</v>
      </c>
      <c r="N1305" s="312">
        <v>7983.0599999999995</v>
      </c>
      <c r="O1305" s="312">
        <v>172924.33000000002</v>
      </c>
      <c r="P1305" s="312">
        <v>16141.130000000001</v>
      </c>
      <c r="Q1305" s="312">
        <v>168893.44</v>
      </c>
      <c r="R1305" s="312">
        <v>128929.93</v>
      </c>
    </row>
    <row r="1306" spans="6:18">
      <c r="F1306" t="s">
        <v>3070</v>
      </c>
      <c r="G1306" s="312">
        <v>24.76</v>
      </c>
      <c r="H1306" s="312">
        <v>329.9</v>
      </c>
      <c r="I1306" s="312">
        <v>12.989999999999998</v>
      </c>
      <c r="J1306" s="312">
        <v>304.15999999999997</v>
      </c>
      <c r="K1306" s="312">
        <v>192.07999999999998</v>
      </c>
      <c r="M1306" t="s">
        <v>3070</v>
      </c>
      <c r="N1306" s="312">
        <v>11280.560000000001</v>
      </c>
      <c r="O1306" s="312">
        <v>198586.03000000003</v>
      </c>
      <c r="P1306" s="312">
        <v>7672.57</v>
      </c>
      <c r="Q1306" s="312">
        <v>124353.2</v>
      </c>
      <c r="R1306" s="312">
        <v>83624.89</v>
      </c>
    </row>
    <row r="1307" spans="6:18">
      <c r="F1307" t="s">
        <v>3071</v>
      </c>
      <c r="G1307" s="312">
        <v>18.52</v>
      </c>
      <c r="H1307" s="312">
        <v>469.79999999999995</v>
      </c>
      <c r="I1307" s="312">
        <v>61.36</v>
      </c>
      <c r="J1307" s="312">
        <v>566.14</v>
      </c>
      <c r="K1307" s="312">
        <v>412.63</v>
      </c>
      <c r="M1307" t="s">
        <v>3071</v>
      </c>
      <c r="N1307" s="312">
        <v>8882.32</v>
      </c>
      <c r="O1307" s="312">
        <v>273737.82</v>
      </c>
      <c r="P1307" s="312">
        <v>78424.78</v>
      </c>
      <c r="Q1307" s="312">
        <v>246775.31</v>
      </c>
      <c r="R1307" s="312">
        <v>164784.29999999999</v>
      </c>
    </row>
    <row r="1308" spans="6:18">
      <c r="F1308" t="s">
        <v>3072</v>
      </c>
      <c r="G1308" s="312">
        <v>29.93</v>
      </c>
      <c r="H1308" s="312">
        <v>380.68</v>
      </c>
      <c r="I1308" s="312">
        <v>65.489999999999995</v>
      </c>
      <c r="J1308" s="312">
        <v>442.71</v>
      </c>
      <c r="K1308" s="312">
        <v>431.27000000000004</v>
      </c>
      <c r="M1308" t="s">
        <v>3072</v>
      </c>
      <c r="N1308" s="312">
        <v>12251.119999999999</v>
      </c>
      <c r="O1308" s="312">
        <v>179711.89</v>
      </c>
      <c r="P1308" s="312">
        <v>40290.370000000003</v>
      </c>
      <c r="Q1308" s="312">
        <v>210307.69999999998</v>
      </c>
      <c r="R1308" s="312">
        <v>184000.25</v>
      </c>
    </row>
    <row r="1309" spans="6:18">
      <c r="F1309" t="s">
        <v>3073</v>
      </c>
      <c r="G1309" s="312">
        <v>31.18</v>
      </c>
      <c r="H1309" s="312">
        <v>474.5</v>
      </c>
      <c r="I1309" s="312">
        <v>62.83</v>
      </c>
      <c r="J1309" s="312">
        <v>570.19000000000005</v>
      </c>
      <c r="K1309" s="312">
        <v>298.48</v>
      </c>
      <c r="M1309" t="s">
        <v>3073</v>
      </c>
      <c r="N1309" s="312">
        <v>19684.41</v>
      </c>
      <c r="O1309" s="312">
        <v>286588.96000000002</v>
      </c>
      <c r="P1309" s="312">
        <v>43151.72</v>
      </c>
      <c r="Q1309" s="312">
        <v>293941.87</v>
      </c>
      <c r="R1309" s="312">
        <v>104379.32</v>
      </c>
    </row>
    <row r="1310" spans="6:18">
      <c r="F1310" t="s">
        <v>3074</v>
      </c>
      <c r="G1310" s="312">
        <v>15.61</v>
      </c>
      <c r="H1310" s="312">
        <v>422.32</v>
      </c>
      <c r="I1310" s="312">
        <v>69.900000000000006</v>
      </c>
      <c r="J1310" s="312">
        <v>498.04</v>
      </c>
      <c r="K1310" s="312">
        <v>481.3</v>
      </c>
      <c r="M1310" t="s">
        <v>3074</v>
      </c>
      <c r="N1310" s="312">
        <v>5363.3200000000006</v>
      </c>
      <c r="O1310" s="312">
        <v>243483.61</v>
      </c>
      <c r="P1310" s="312">
        <v>68785.09</v>
      </c>
      <c r="Q1310" s="312">
        <v>305441.95</v>
      </c>
      <c r="R1310" s="312">
        <v>318313.37</v>
      </c>
    </row>
    <row r="1311" spans="6:18">
      <c r="F1311" t="s">
        <v>3075</v>
      </c>
      <c r="G1311" s="312">
        <v>28.41</v>
      </c>
      <c r="H1311" s="312">
        <v>415.59000000000003</v>
      </c>
      <c r="I1311" s="312">
        <v>44.43</v>
      </c>
      <c r="J1311" s="312">
        <v>283.64</v>
      </c>
      <c r="K1311" s="312">
        <v>352.82</v>
      </c>
      <c r="M1311" t="s">
        <v>3075</v>
      </c>
      <c r="N1311" s="312">
        <v>19718.810000000001</v>
      </c>
      <c r="O1311" s="312">
        <v>259679.62000000002</v>
      </c>
      <c r="P1311" s="312">
        <v>27660.920000000002</v>
      </c>
      <c r="Q1311" s="312">
        <v>124532.72</v>
      </c>
      <c r="R1311" s="312">
        <v>142200.09</v>
      </c>
    </row>
    <row r="1312" spans="6:18">
      <c r="F1312" t="s">
        <v>3076</v>
      </c>
      <c r="G1312" s="312">
        <v>11.39</v>
      </c>
      <c r="H1312" s="312">
        <v>253.21</v>
      </c>
      <c r="I1312" s="312">
        <v>13.02</v>
      </c>
      <c r="J1312" s="312">
        <v>152.02000000000001</v>
      </c>
      <c r="K1312" s="312">
        <v>265.07</v>
      </c>
      <c r="M1312" t="s">
        <v>3076</v>
      </c>
      <c r="N1312" s="312">
        <v>4324.3500000000004</v>
      </c>
      <c r="O1312" s="312">
        <v>133066.34</v>
      </c>
      <c r="P1312" s="312">
        <v>6289.1500000000005</v>
      </c>
      <c r="Q1312" s="312">
        <v>54293.98</v>
      </c>
      <c r="R1312" s="312">
        <v>88093.83</v>
      </c>
    </row>
    <row r="1313" spans="6:18">
      <c r="F1313" t="s">
        <v>3077</v>
      </c>
      <c r="G1313" s="312">
        <v>20.92</v>
      </c>
      <c r="H1313" s="312">
        <v>285.77999999999997</v>
      </c>
      <c r="I1313" s="312">
        <v>6.75</v>
      </c>
      <c r="J1313" s="312">
        <v>174.55</v>
      </c>
      <c r="K1313" s="312">
        <v>240.41</v>
      </c>
      <c r="M1313" t="s">
        <v>3077</v>
      </c>
      <c r="N1313" s="312">
        <v>17261.129999999997</v>
      </c>
      <c r="O1313" s="312">
        <v>144498.09</v>
      </c>
      <c r="P1313" s="312">
        <v>3601.84</v>
      </c>
      <c r="Q1313" s="312">
        <v>111032.15999999999</v>
      </c>
      <c r="R1313" s="312">
        <v>102373.29000000001</v>
      </c>
    </row>
    <row r="1314" spans="6:18">
      <c r="F1314" t="s">
        <v>3078</v>
      </c>
      <c r="G1314" s="312">
        <v>26.81</v>
      </c>
      <c r="H1314" s="312">
        <v>442.89</v>
      </c>
      <c r="I1314" s="312">
        <v>32.409999999999997</v>
      </c>
      <c r="J1314" s="312">
        <v>568.72</v>
      </c>
      <c r="K1314" s="312">
        <v>519.85</v>
      </c>
      <c r="M1314" t="s">
        <v>3078</v>
      </c>
      <c r="N1314" s="312">
        <v>11231.029999999999</v>
      </c>
      <c r="O1314" s="312">
        <v>304655.82</v>
      </c>
      <c r="P1314" s="312">
        <v>36656.39</v>
      </c>
      <c r="Q1314" s="312">
        <v>297919.89</v>
      </c>
      <c r="R1314" s="312">
        <v>178168.95</v>
      </c>
    </row>
    <row r="1315" spans="6:18">
      <c r="F1315" t="s">
        <v>3079</v>
      </c>
      <c r="G1315" s="312">
        <v>29.88</v>
      </c>
      <c r="H1315" s="312">
        <v>423.84999999999997</v>
      </c>
      <c r="I1315" s="312">
        <v>38.129999999999995</v>
      </c>
      <c r="J1315" s="312">
        <v>617.47</v>
      </c>
      <c r="K1315" s="312">
        <v>418.42</v>
      </c>
      <c r="M1315" t="s">
        <v>3079</v>
      </c>
      <c r="N1315" s="312">
        <v>13276.64</v>
      </c>
      <c r="O1315" s="312">
        <v>223238.69</v>
      </c>
      <c r="P1315" s="312">
        <v>28824.71</v>
      </c>
      <c r="Q1315" s="312">
        <v>475549.17000000004</v>
      </c>
      <c r="R1315" s="312">
        <v>148908.71</v>
      </c>
    </row>
    <row r="1316" spans="6:18">
      <c r="F1316" t="s">
        <v>3080</v>
      </c>
      <c r="G1316" s="312">
        <v>36.919999999999995</v>
      </c>
      <c r="H1316" s="312">
        <v>408.77</v>
      </c>
      <c r="I1316" s="312">
        <v>62.58</v>
      </c>
      <c r="J1316" s="312">
        <v>524.61</v>
      </c>
      <c r="K1316" s="312">
        <v>402.26</v>
      </c>
      <c r="M1316" t="s">
        <v>3080</v>
      </c>
      <c r="N1316" s="312">
        <v>16913.810000000001</v>
      </c>
      <c r="O1316" s="312">
        <v>204006.78999999998</v>
      </c>
      <c r="P1316" s="312">
        <v>49310.67</v>
      </c>
      <c r="Q1316" s="312">
        <v>298445.25</v>
      </c>
      <c r="R1316" s="312">
        <v>162427.85999999999</v>
      </c>
    </row>
    <row r="1317" spans="6:18">
      <c r="F1317" t="s">
        <v>3081</v>
      </c>
      <c r="G1317" s="312">
        <v>39.03</v>
      </c>
      <c r="H1317" s="312">
        <v>406.26</v>
      </c>
      <c r="I1317" s="312">
        <v>40.1</v>
      </c>
      <c r="J1317" s="312">
        <v>564.21</v>
      </c>
      <c r="K1317" s="312">
        <v>455.78999999999996</v>
      </c>
      <c r="M1317" t="s">
        <v>3081</v>
      </c>
      <c r="N1317" s="312">
        <v>18342.96</v>
      </c>
      <c r="O1317" s="312">
        <v>231989.95</v>
      </c>
      <c r="P1317" s="312">
        <v>27628.32</v>
      </c>
      <c r="Q1317" s="312">
        <v>302357.92000000004</v>
      </c>
      <c r="R1317" s="312">
        <v>180103.19999999998</v>
      </c>
    </row>
    <row r="1318" spans="6:18">
      <c r="F1318" t="s">
        <v>3082</v>
      </c>
      <c r="G1318" s="312">
        <v>90.97999999999999</v>
      </c>
      <c r="H1318" s="312">
        <v>470.78</v>
      </c>
      <c r="I1318" s="312">
        <v>50.25</v>
      </c>
      <c r="J1318" s="312">
        <v>419.57</v>
      </c>
      <c r="K1318" s="312">
        <v>373.58</v>
      </c>
      <c r="M1318" t="s">
        <v>3082</v>
      </c>
      <c r="N1318" s="312">
        <v>50956.18</v>
      </c>
      <c r="O1318" s="312">
        <v>241072.54</v>
      </c>
      <c r="P1318" s="312">
        <v>26872.959999999999</v>
      </c>
      <c r="Q1318" s="312">
        <v>207054.07999999999</v>
      </c>
      <c r="R1318" s="312">
        <v>138979.20000000001</v>
      </c>
    </row>
    <row r="1319" spans="6:18">
      <c r="F1319" t="s">
        <v>3083</v>
      </c>
      <c r="G1319" s="312">
        <v>29.659999999999997</v>
      </c>
      <c r="H1319" s="312">
        <v>305.01</v>
      </c>
      <c r="I1319" s="312">
        <v>39.58</v>
      </c>
      <c r="J1319" s="312">
        <v>245.96</v>
      </c>
      <c r="K1319" s="312">
        <v>304.62</v>
      </c>
      <c r="M1319" t="s">
        <v>3083</v>
      </c>
      <c r="N1319" s="312">
        <v>14254.89</v>
      </c>
      <c r="O1319" s="312">
        <v>162148.37</v>
      </c>
      <c r="P1319" s="312">
        <v>21801.120000000003</v>
      </c>
      <c r="Q1319" s="312">
        <v>159438.28</v>
      </c>
      <c r="R1319" s="312">
        <v>103910.04000000001</v>
      </c>
    </row>
    <row r="1320" spans="6:18">
      <c r="F1320" t="s">
        <v>3084</v>
      </c>
      <c r="G1320" s="312">
        <v>30.79</v>
      </c>
      <c r="H1320" s="312">
        <v>315.82</v>
      </c>
      <c r="I1320" s="312">
        <v>2.91</v>
      </c>
      <c r="J1320" s="312">
        <v>171.43</v>
      </c>
      <c r="K1320" s="312">
        <v>208.59000000000003</v>
      </c>
      <c r="M1320" t="s">
        <v>3084</v>
      </c>
      <c r="N1320" s="312">
        <v>22629.25</v>
      </c>
      <c r="O1320" s="312">
        <v>167860.91</v>
      </c>
      <c r="P1320" s="312">
        <v>2152.5</v>
      </c>
      <c r="Q1320" s="312">
        <v>134541.71</v>
      </c>
      <c r="R1320" s="312">
        <v>64791.839999999997</v>
      </c>
    </row>
    <row r="1321" spans="6:18">
      <c r="F1321" t="s">
        <v>3085</v>
      </c>
      <c r="G1321" s="312">
        <v>11.17</v>
      </c>
      <c r="H1321" s="312">
        <v>503.89</v>
      </c>
      <c r="I1321" s="312">
        <v>89.26</v>
      </c>
      <c r="J1321" s="312">
        <v>519.63</v>
      </c>
      <c r="K1321" s="312">
        <v>488.55999999999995</v>
      </c>
      <c r="M1321" t="s">
        <v>3085</v>
      </c>
      <c r="N1321" s="312">
        <v>4104.43</v>
      </c>
      <c r="O1321" s="312">
        <v>300863.83</v>
      </c>
      <c r="P1321" s="312">
        <v>58964.23</v>
      </c>
      <c r="Q1321" s="312">
        <v>275233.67</v>
      </c>
      <c r="R1321" s="312">
        <v>159229.43</v>
      </c>
    </row>
    <row r="1322" spans="6:18">
      <c r="F1322" t="s">
        <v>3086</v>
      </c>
      <c r="G1322" s="312">
        <v>37.21</v>
      </c>
      <c r="H1322" s="312">
        <v>461.51</v>
      </c>
      <c r="I1322" s="312">
        <v>65.39</v>
      </c>
      <c r="J1322" s="312">
        <v>490.59</v>
      </c>
      <c r="K1322" s="312">
        <v>493.65</v>
      </c>
      <c r="M1322" t="s">
        <v>3086</v>
      </c>
      <c r="N1322" s="312">
        <v>22494.71</v>
      </c>
      <c r="O1322" s="312">
        <v>331380.76</v>
      </c>
      <c r="P1322" s="312">
        <v>65528.24</v>
      </c>
      <c r="Q1322" s="312">
        <v>226631.75999999998</v>
      </c>
      <c r="R1322" s="312">
        <v>189482.27</v>
      </c>
    </row>
    <row r="1323" spans="6:18">
      <c r="F1323" t="s">
        <v>3087</v>
      </c>
      <c r="G1323" s="312">
        <v>27.939999999999998</v>
      </c>
      <c r="H1323" s="312">
        <v>429.77</v>
      </c>
      <c r="I1323" s="312">
        <v>45.86</v>
      </c>
      <c r="J1323" s="312">
        <v>502.68</v>
      </c>
      <c r="K1323" s="312">
        <v>387.96000000000004</v>
      </c>
      <c r="M1323" t="s">
        <v>3087</v>
      </c>
      <c r="N1323" s="312">
        <v>11933.25</v>
      </c>
      <c r="O1323" s="312">
        <v>280431.13</v>
      </c>
      <c r="P1323" s="312">
        <v>43688.31</v>
      </c>
      <c r="Q1323" s="312">
        <v>347194.06</v>
      </c>
      <c r="R1323" s="312">
        <v>158024.56</v>
      </c>
    </row>
    <row r="1324" spans="6:18">
      <c r="F1324" t="s">
        <v>3088</v>
      </c>
      <c r="G1324" s="312">
        <v>83.740000000000009</v>
      </c>
      <c r="H1324" s="312">
        <v>424.86</v>
      </c>
      <c r="I1324" s="312">
        <v>77.069999999999993</v>
      </c>
      <c r="J1324" s="312">
        <v>561.98</v>
      </c>
      <c r="K1324" s="312">
        <v>426.14</v>
      </c>
      <c r="M1324" t="s">
        <v>3088</v>
      </c>
      <c r="N1324" s="312">
        <v>79255.069999999992</v>
      </c>
      <c r="O1324" s="312">
        <v>185510.65000000002</v>
      </c>
      <c r="P1324" s="312">
        <v>39857.919999999998</v>
      </c>
      <c r="Q1324" s="312">
        <v>257373.57</v>
      </c>
      <c r="R1324" s="312">
        <v>129021.29000000001</v>
      </c>
    </row>
    <row r="1325" spans="6:18">
      <c r="F1325" t="s">
        <v>3089</v>
      </c>
      <c r="G1325" s="312">
        <v>47.830000000000005</v>
      </c>
      <c r="H1325" s="312">
        <v>372.52</v>
      </c>
      <c r="I1325" s="312">
        <v>56.28</v>
      </c>
      <c r="J1325" s="312">
        <v>418.48</v>
      </c>
      <c r="K1325" s="312">
        <v>371.4</v>
      </c>
      <c r="M1325" t="s">
        <v>3089</v>
      </c>
      <c r="N1325" s="312">
        <v>27857.43</v>
      </c>
      <c r="O1325" s="312">
        <v>165860.60999999999</v>
      </c>
      <c r="P1325" s="312">
        <v>27790.25</v>
      </c>
      <c r="Q1325" s="312">
        <v>200230.99</v>
      </c>
      <c r="R1325" s="312">
        <v>120395.60999999999</v>
      </c>
    </row>
    <row r="1326" spans="6:18">
      <c r="F1326" t="s">
        <v>3090</v>
      </c>
      <c r="G1326" s="312">
        <v>16</v>
      </c>
      <c r="H1326" s="312">
        <v>271.14</v>
      </c>
      <c r="I1326" s="312">
        <v>22.369999999999997</v>
      </c>
      <c r="J1326" s="312">
        <v>262.11</v>
      </c>
      <c r="K1326" s="312">
        <v>346.52</v>
      </c>
      <c r="M1326" t="s">
        <v>3090</v>
      </c>
      <c r="N1326" s="312">
        <v>5872.24</v>
      </c>
      <c r="O1326" s="312">
        <v>111623.13</v>
      </c>
      <c r="P1326" s="312">
        <v>23069.57</v>
      </c>
      <c r="Q1326" s="312">
        <v>155103.72</v>
      </c>
      <c r="R1326" s="312">
        <v>120003.92</v>
      </c>
    </row>
    <row r="1327" spans="6:18">
      <c r="F1327" t="s">
        <v>3091</v>
      </c>
      <c r="G1327" s="312">
        <v>31.310000000000002</v>
      </c>
      <c r="H1327" s="312">
        <v>276.59000000000003</v>
      </c>
      <c r="I1327" s="312">
        <v>4.08</v>
      </c>
      <c r="J1327" s="312">
        <v>183.12</v>
      </c>
      <c r="K1327" s="312">
        <v>271.72000000000003</v>
      </c>
      <c r="M1327" t="s">
        <v>3091</v>
      </c>
      <c r="N1327" s="312">
        <v>8696.7099999999991</v>
      </c>
      <c r="O1327" s="312">
        <v>126978.91999999998</v>
      </c>
      <c r="P1327" s="312">
        <v>2546.0500000000002</v>
      </c>
      <c r="Q1327" s="312">
        <v>112324.42</v>
      </c>
      <c r="R1327" s="312">
        <v>84036.45</v>
      </c>
    </row>
    <row r="1328" spans="6:18">
      <c r="F1328" t="s">
        <v>3092</v>
      </c>
      <c r="G1328" s="312">
        <v>52.8</v>
      </c>
      <c r="H1328" s="312">
        <v>340.22</v>
      </c>
      <c r="I1328" s="312">
        <v>65.25</v>
      </c>
      <c r="J1328" s="312">
        <v>543.56999999999994</v>
      </c>
      <c r="K1328" s="312">
        <v>403.94</v>
      </c>
      <c r="M1328" t="s">
        <v>3092</v>
      </c>
      <c r="N1328" s="312">
        <v>22497.3</v>
      </c>
      <c r="O1328" s="312">
        <v>209438.69</v>
      </c>
      <c r="P1328" s="312">
        <v>38445.120000000003</v>
      </c>
      <c r="Q1328" s="312">
        <v>240025.39</v>
      </c>
      <c r="R1328" s="312">
        <v>157134.41999999998</v>
      </c>
    </row>
    <row r="1329" spans="6:18">
      <c r="F1329" t="s">
        <v>3093</v>
      </c>
      <c r="G1329" s="312">
        <v>69.48</v>
      </c>
      <c r="H1329" s="312">
        <v>360.5</v>
      </c>
      <c r="I1329" s="312">
        <v>64.73</v>
      </c>
      <c r="J1329" s="312">
        <v>391.6</v>
      </c>
      <c r="K1329" s="312">
        <v>366.52</v>
      </c>
      <c r="M1329" t="s">
        <v>3093</v>
      </c>
      <c r="N1329" s="312">
        <v>23812.29</v>
      </c>
      <c r="O1329" s="312">
        <v>196366.19</v>
      </c>
      <c r="P1329" s="312">
        <v>47033</v>
      </c>
      <c r="Q1329" s="312">
        <v>250876.26</v>
      </c>
      <c r="R1329" s="312">
        <v>146476.32</v>
      </c>
    </row>
    <row r="1330" spans="6:18">
      <c r="F1330" t="s">
        <v>3094</v>
      </c>
      <c r="G1330" s="312">
        <v>21.22</v>
      </c>
      <c r="H1330" s="312">
        <v>334.45</v>
      </c>
      <c r="I1330" s="312">
        <v>73.23</v>
      </c>
      <c r="J1330" s="312">
        <v>339.78999999999996</v>
      </c>
      <c r="K1330" s="312">
        <v>406.58</v>
      </c>
      <c r="M1330" t="s">
        <v>3094</v>
      </c>
      <c r="N1330" s="312">
        <v>15494.849999999999</v>
      </c>
      <c r="O1330" s="312">
        <v>222024.33</v>
      </c>
      <c r="P1330" s="312">
        <v>50138.020000000004</v>
      </c>
      <c r="Q1330" s="312">
        <v>245906.35</v>
      </c>
      <c r="R1330" s="312">
        <v>122822.56999999999</v>
      </c>
    </row>
    <row r="1331" spans="6:18">
      <c r="F1331" t="s">
        <v>3095</v>
      </c>
      <c r="G1331" s="312">
        <v>62.239999999999995</v>
      </c>
      <c r="H1331" s="312">
        <v>446.35</v>
      </c>
      <c r="I1331" s="312">
        <v>98.02</v>
      </c>
      <c r="J1331" s="312">
        <v>380.16999999999996</v>
      </c>
      <c r="K1331" s="312">
        <v>457.02000000000004</v>
      </c>
      <c r="M1331" t="s">
        <v>3095</v>
      </c>
      <c r="N1331" s="312">
        <v>34888.68</v>
      </c>
      <c r="O1331" s="312">
        <v>206623.41999999998</v>
      </c>
      <c r="P1331" s="312">
        <v>89815.400000000009</v>
      </c>
      <c r="Q1331" s="312">
        <v>180878.51</v>
      </c>
      <c r="R1331" s="312">
        <v>166403.66</v>
      </c>
    </row>
    <row r="1332" spans="6:18">
      <c r="F1332" t="s">
        <v>3096</v>
      </c>
      <c r="G1332" s="312">
        <v>43.370000000000005</v>
      </c>
      <c r="H1332" s="312">
        <v>369.45</v>
      </c>
      <c r="I1332" s="312">
        <v>40.269999999999996</v>
      </c>
      <c r="J1332" s="312">
        <v>458.4</v>
      </c>
      <c r="K1332" s="312">
        <v>506.21999999999997</v>
      </c>
      <c r="M1332" t="s">
        <v>3096</v>
      </c>
      <c r="N1332" s="312">
        <v>19784</v>
      </c>
      <c r="O1332" s="312">
        <v>191142.06</v>
      </c>
      <c r="P1332" s="312">
        <v>15992.71</v>
      </c>
      <c r="Q1332" s="312">
        <v>226670.98</v>
      </c>
      <c r="R1332" s="312">
        <v>173760.57</v>
      </c>
    </row>
    <row r="1333" spans="6:18">
      <c r="F1333" t="s">
        <v>3097</v>
      </c>
      <c r="G1333" s="312">
        <v>20.759999999999998</v>
      </c>
      <c r="H1333" s="312">
        <v>266.77</v>
      </c>
      <c r="I1333" s="312">
        <v>43.489999999999995</v>
      </c>
      <c r="J1333" s="312">
        <v>187.56</v>
      </c>
      <c r="K1333" s="312">
        <v>230.82</v>
      </c>
      <c r="M1333" t="s">
        <v>3097</v>
      </c>
      <c r="N1333" s="312">
        <v>8610.74</v>
      </c>
      <c r="O1333" s="312">
        <v>186857.65000000002</v>
      </c>
      <c r="P1333" s="312">
        <v>42186.559999999998</v>
      </c>
      <c r="Q1333" s="312">
        <v>114552.6</v>
      </c>
      <c r="R1333" s="312">
        <v>82669.78</v>
      </c>
    </row>
    <row r="1334" spans="6:18">
      <c r="F1334" t="s">
        <v>3098</v>
      </c>
      <c r="G1334" s="312">
        <v>37.14</v>
      </c>
      <c r="H1334" s="312">
        <v>209.17000000000002</v>
      </c>
      <c r="I1334" s="312">
        <v>5.69</v>
      </c>
      <c r="J1334" s="312">
        <v>160.07</v>
      </c>
      <c r="K1334" s="312">
        <v>381.56</v>
      </c>
      <c r="M1334" t="s">
        <v>3098</v>
      </c>
      <c r="N1334" s="312">
        <v>24987.489999999998</v>
      </c>
      <c r="O1334" s="312">
        <v>92078.45</v>
      </c>
      <c r="P1334" s="312">
        <v>5778.02</v>
      </c>
      <c r="Q1334" s="312">
        <v>80276.2</v>
      </c>
      <c r="R1334" s="312">
        <v>138438.49</v>
      </c>
    </row>
    <row r="1335" spans="6:18">
      <c r="F1335" t="s">
        <v>3099</v>
      </c>
      <c r="G1335" s="312">
        <v>44.38</v>
      </c>
      <c r="H1335" s="312">
        <v>328.40999999999997</v>
      </c>
      <c r="I1335" s="312">
        <v>78.72</v>
      </c>
      <c r="J1335" s="312">
        <v>348.42</v>
      </c>
      <c r="K1335" s="312">
        <v>357.49</v>
      </c>
      <c r="M1335" t="s">
        <v>3099</v>
      </c>
      <c r="N1335" s="312">
        <v>23244.260000000002</v>
      </c>
      <c r="O1335" s="312">
        <v>160509.91999999998</v>
      </c>
      <c r="P1335" s="312">
        <v>76065.599999999991</v>
      </c>
      <c r="Q1335" s="312">
        <v>186028.97000000003</v>
      </c>
      <c r="R1335" s="312">
        <v>116564.99</v>
      </c>
    </row>
    <row r="1336" spans="6:18">
      <c r="F1336" t="s">
        <v>3100</v>
      </c>
      <c r="G1336" s="312">
        <v>36.659999999999997</v>
      </c>
      <c r="H1336" s="312">
        <v>286.33</v>
      </c>
      <c r="I1336" s="312">
        <v>41.52</v>
      </c>
      <c r="J1336" s="312">
        <v>387.78999999999996</v>
      </c>
      <c r="K1336" s="312">
        <v>440.81000000000006</v>
      </c>
      <c r="M1336" t="s">
        <v>3100</v>
      </c>
      <c r="N1336" s="312">
        <v>24726.73</v>
      </c>
      <c r="O1336" s="312">
        <v>159365.70000000001</v>
      </c>
      <c r="P1336" s="312">
        <v>36498.35</v>
      </c>
      <c r="Q1336" s="312">
        <v>196230.86</v>
      </c>
      <c r="R1336" s="312">
        <v>159350.51</v>
      </c>
    </row>
    <row r="1337" spans="6:18">
      <c r="F1337" t="s">
        <v>3101</v>
      </c>
      <c r="G1337" s="312">
        <v>47.83</v>
      </c>
      <c r="H1337" s="312">
        <v>366.75</v>
      </c>
      <c r="I1337" s="312">
        <v>42.230000000000004</v>
      </c>
      <c r="J1337" s="312">
        <v>399.19000000000005</v>
      </c>
      <c r="K1337" s="312">
        <v>355.03999999999996</v>
      </c>
      <c r="M1337" t="s">
        <v>3101</v>
      </c>
      <c r="N1337" s="312">
        <v>30743</v>
      </c>
      <c r="O1337" s="312">
        <v>234935.06</v>
      </c>
      <c r="P1337" s="312">
        <v>34732.51</v>
      </c>
      <c r="Q1337" s="312">
        <v>190673.53</v>
      </c>
      <c r="R1337" s="312">
        <v>110711.23</v>
      </c>
    </row>
    <row r="1338" spans="6:18">
      <c r="F1338" t="s">
        <v>3102</v>
      </c>
      <c r="G1338" s="312">
        <v>32.989999999999995</v>
      </c>
      <c r="H1338" s="312">
        <v>345.98</v>
      </c>
      <c r="I1338" s="312">
        <v>130.32</v>
      </c>
      <c r="J1338" s="312">
        <v>438.35</v>
      </c>
      <c r="K1338" s="312">
        <v>262.10000000000002</v>
      </c>
      <c r="M1338" t="s">
        <v>3102</v>
      </c>
      <c r="N1338" s="312">
        <v>15955.53</v>
      </c>
      <c r="O1338" s="312">
        <v>208675.39</v>
      </c>
      <c r="P1338" s="312">
        <v>71536.69</v>
      </c>
      <c r="Q1338" s="312">
        <v>213876.88999999998</v>
      </c>
      <c r="R1338" s="312">
        <v>72377.78</v>
      </c>
    </row>
    <row r="1339" spans="6:18">
      <c r="F1339" t="s">
        <v>3103</v>
      </c>
      <c r="G1339" s="312">
        <v>75.88000000000001</v>
      </c>
      <c r="H1339" s="312">
        <v>307.37</v>
      </c>
      <c r="I1339" s="312">
        <v>136.81</v>
      </c>
      <c r="J1339" s="312">
        <v>210.35999999999999</v>
      </c>
      <c r="K1339" s="312">
        <v>328.32</v>
      </c>
      <c r="M1339" t="s">
        <v>3103</v>
      </c>
      <c r="N1339" s="312">
        <v>31873.4</v>
      </c>
      <c r="O1339" s="312">
        <v>140634.60999999999</v>
      </c>
      <c r="P1339" s="312">
        <v>125127.11</v>
      </c>
      <c r="Q1339" s="312">
        <v>95784.45</v>
      </c>
      <c r="R1339" s="312">
        <v>102333.51000000001</v>
      </c>
    </row>
    <row r="1340" spans="6:18">
      <c r="F1340" t="s">
        <v>3104</v>
      </c>
      <c r="G1340" s="312">
        <v>25.24</v>
      </c>
      <c r="H1340" s="312">
        <v>283.27</v>
      </c>
      <c r="I1340" s="312">
        <v>59.3</v>
      </c>
      <c r="J1340" s="312">
        <v>232.01999999999998</v>
      </c>
      <c r="K1340" s="312">
        <v>323.10000000000002</v>
      </c>
      <c r="M1340" t="s">
        <v>3104</v>
      </c>
      <c r="N1340" s="312">
        <v>14444.58</v>
      </c>
      <c r="O1340" s="312">
        <v>134763.12</v>
      </c>
      <c r="P1340" s="312">
        <v>39472.720000000001</v>
      </c>
      <c r="Q1340" s="312">
        <v>118723.84</v>
      </c>
      <c r="R1340" s="312">
        <v>120599.25</v>
      </c>
    </row>
    <row r="1341" spans="6:18">
      <c r="F1341" t="s">
        <v>3105</v>
      </c>
      <c r="G1341" s="312">
        <v>39.519999999999996</v>
      </c>
      <c r="H1341" s="312">
        <v>282.83</v>
      </c>
      <c r="I1341" s="312">
        <v>27.39</v>
      </c>
      <c r="J1341" s="312">
        <v>234.14000000000001</v>
      </c>
      <c r="K1341" s="312">
        <v>265.24</v>
      </c>
      <c r="M1341" t="s">
        <v>3105</v>
      </c>
      <c r="N1341" s="312">
        <v>22387.74</v>
      </c>
      <c r="O1341" s="312">
        <v>156764.48000000001</v>
      </c>
      <c r="P1341" s="312">
        <v>17163.64</v>
      </c>
      <c r="Q1341" s="312">
        <v>138291.47</v>
      </c>
      <c r="R1341" s="312">
        <v>106293.69</v>
      </c>
    </row>
    <row r="1342" spans="6:18">
      <c r="F1342" t="s">
        <v>3106</v>
      </c>
      <c r="G1342" s="312">
        <v>43.67</v>
      </c>
      <c r="H1342" s="312">
        <v>340.89</v>
      </c>
      <c r="I1342" s="312">
        <v>48.550000000000004</v>
      </c>
      <c r="J1342" s="312">
        <v>308.13</v>
      </c>
      <c r="K1342" s="312">
        <v>359.82</v>
      </c>
      <c r="M1342" t="s">
        <v>3106</v>
      </c>
      <c r="N1342" s="312">
        <v>15770.97</v>
      </c>
      <c r="O1342" s="312">
        <v>196146.34</v>
      </c>
      <c r="P1342" s="312">
        <v>43714.3</v>
      </c>
      <c r="Q1342" s="312">
        <v>184545.51</v>
      </c>
      <c r="R1342" s="312">
        <v>131056.39</v>
      </c>
    </row>
    <row r="1343" spans="6:18">
      <c r="F1343" t="s">
        <v>3107</v>
      </c>
      <c r="G1343" s="312">
        <v>23.86</v>
      </c>
      <c r="H1343" s="312">
        <v>389.23</v>
      </c>
      <c r="I1343" s="312">
        <v>37.36</v>
      </c>
      <c r="J1343" s="312">
        <v>307.45999999999998</v>
      </c>
      <c r="K1343" s="312">
        <v>449.38</v>
      </c>
      <c r="M1343" t="s">
        <v>3107</v>
      </c>
      <c r="N1343" s="312">
        <v>15416.289999999999</v>
      </c>
      <c r="O1343" s="312">
        <v>202608.04</v>
      </c>
      <c r="P1343" s="312">
        <v>28941.27</v>
      </c>
      <c r="Q1343" s="312">
        <v>201462.88999999998</v>
      </c>
      <c r="R1343" s="312">
        <v>153657.09</v>
      </c>
    </row>
    <row r="1344" spans="6:18">
      <c r="F1344" t="s">
        <v>3108</v>
      </c>
      <c r="G1344" s="312">
        <v>33.450000000000003</v>
      </c>
      <c r="H1344" s="312">
        <v>358.18</v>
      </c>
      <c r="I1344" s="312">
        <v>39.730000000000004</v>
      </c>
      <c r="J1344" s="312">
        <v>277.18</v>
      </c>
      <c r="K1344" s="312">
        <v>451.26</v>
      </c>
      <c r="M1344" t="s">
        <v>3108</v>
      </c>
      <c r="N1344" s="312">
        <v>20585.349999999999</v>
      </c>
      <c r="O1344" s="312">
        <v>196162.25</v>
      </c>
      <c r="P1344" s="312">
        <v>19008.71</v>
      </c>
      <c r="Q1344" s="312">
        <v>152902.20000000001</v>
      </c>
      <c r="R1344" s="312">
        <v>173746.59</v>
      </c>
    </row>
    <row r="1345" spans="6:18">
      <c r="F1345" t="s">
        <v>3109</v>
      </c>
      <c r="G1345" s="312">
        <v>50.010000000000005</v>
      </c>
      <c r="H1345" s="312">
        <v>399.55999999999995</v>
      </c>
      <c r="I1345" s="312">
        <v>66.72</v>
      </c>
      <c r="J1345" s="312">
        <v>321.81</v>
      </c>
      <c r="K1345" s="312">
        <v>200.23</v>
      </c>
      <c r="M1345" t="s">
        <v>3109</v>
      </c>
      <c r="N1345" s="312">
        <v>21785.39</v>
      </c>
      <c r="O1345" s="312">
        <v>206990.19</v>
      </c>
      <c r="P1345" s="312">
        <v>46580.68</v>
      </c>
      <c r="Q1345" s="312">
        <v>188147.73</v>
      </c>
      <c r="R1345" s="312">
        <v>73514.13</v>
      </c>
    </row>
    <row r="1346" spans="6:18">
      <c r="F1346" t="s">
        <v>3110</v>
      </c>
      <c r="G1346" s="312">
        <v>15.27</v>
      </c>
      <c r="H1346" s="312">
        <v>385.43</v>
      </c>
      <c r="I1346" s="312">
        <v>55.06</v>
      </c>
      <c r="J1346" s="312">
        <v>213.71</v>
      </c>
      <c r="K1346" s="312">
        <v>1853.09</v>
      </c>
      <c r="M1346" t="s">
        <v>3110</v>
      </c>
      <c r="N1346" s="312">
        <v>8430.48</v>
      </c>
      <c r="O1346" s="312">
        <v>222139.66999999998</v>
      </c>
      <c r="P1346" s="312">
        <v>28323.530000000002</v>
      </c>
      <c r="Q1346" s="312">
        <v>125277.42</v>
      </c>
      <c r="R1346" s="312">
        <v>557311.05000000005</v>
      </c>
    </row>
    <row r="1347" spans="6:18">
      <c r="F1347" t="s">
        <v>3111</v>
      </c>
      <c r="G1347" s="312">
        <v>26.479999999999997</v>
      </c>
      <c r="H1347" s="312">
        <v>297.39</v>
      </c>
      <c r="I1347" s="312">
        <v>28.84</v>
      </c>
      <c r="J1347" s="312">
        <v>194.2</v>
      </c>
      <c r="K1347" s="312">
        <v>328.73</v>
      </c>
      <c r="M1347" t="s">
        <v>3111</v>
      </c>
      <c r="N1347" s="312">
        <v>12390.150000000001</v>
      </c>
      <c r="O1347" s="312">
        <v>158688.34</v>
      </c>
      <c r="P1347" s="312">
        <v>31299.18</v>
      </c>
      <c r="Q1347" s="312">
        <v>94422.099999999991</v>
      </c>
      <c r="R1347" s="312">
        <v>80128.14</v>
      </c>
    </row>
    <row r="1348" spans="6:18">
      <c r="F1348" t="s">
        <v>3112</v>
      </c>
      <c r="G1348" s="312">
        <v>27.6</v>
      </c>
      <c r="H1348" s="312">
        <v>241.1</v>
      </c>
      <c r="I1348" s="312">
        <v>10.52</v>
      </c>
      <c r="J1348" s="312">
        <v>169.53</v>
      </c>
      <c r="K1348" s="312">
        <v>253.66000000000003</v>
      </c>
      <c r="M1348" t="s">
        <v>3112</v>
      </c>
      <c r="N1348" s="312">
        <v>13488.07</v>
      </c>
      <c r="O1348" s="312">
        <v>124300.86000000002</v>
      </c>
      <c r="P1348" s="312">
        <v>7731.52</v>
      </c>
      <c r="Q1348" s="312">
        <v>80421.76999999999</v>
      </c>
      <c r="R1348" s="312">
        <v>71750.740000000005</v>
      </c>
    </row>
    <row r="1349" spans="6:18">
      <c r="F1349" t="s">
        <v>3113</v>
      </c>
      <c r="G1349" s="312">
        <v>19.28</v>
      </c>
      <c r="H1349" s="312">
        <v>630.54</v>
      </c>
      <c r="I1349" s="312">
        <v>34.07</v>
      </c>
      <c r="J1349" s="312">
        <v>202.8</v>
      </c>
      <c r="K1349" s="312">
        <v>197.51999999999998</v>
      </c>
      <c r="M1349" t="s">
        <v>3113</v>
      </c>
      <c r="N1349" s="312">
        <v>9124.07</v>
      </c>
      <c r="O1349" s="312">
        <v>429270.33999999997</v>
      </c>
      <c r="P1349" s="312">
        <v>18952.63</v>
      </c>
      <c r="Q1349" s="312">
        <v>115611.13</v>
      </c>
      <c r="R1349" s="312">
        <v>56108.78</v>
      </c>
    </row>
    <row r="1350" spans="6:18">
      <c r="F1350" t="s">
        <v>3114</v>
      </c>
      <c r="G1350" s="312">
        <v>42.769999999999996</v>
      </c>
      <c r="H1350" s="312">
        <v>518.79</v>
      </c>
      <c r="I1350" s="312">
        <v>6.98</v>
      </c>
      <c r="J1350" s="312">
        <v>178.4</v>
      </c>
      <c r="K1350" s="312">
        <v>325.82</v>
      </c>
      <c r="M1350" t="s">
        <v>3114</v>
      </c>
      <c r="N1350" s="312">
        <v>15528.03</v>
      </c>
      <c r="O1350" s="312">
        <v>282539.44</v>
      </c>
      <c r="P1350" s="312">
        <v>4724.91</v>
      </c>
      <c r="Q1350" s="312">
        <v>115911.01</v>
      </c>
      <c r="R1350" s="312">
        <v>105437.51</v>
      </c>
    </row>
    <row r="1351" spans="6:18">
      <c r="F1351" t="s">
        <v>3115</v>
      </c>
      <c r="G1351" s="312">
        <v>13.93</v>
      </c>
      <c r="H1351" s="312">
        <v>577.11</v>
      </c>
      <c r="I1351" s="312">
        <v>75.13000000000001</v>
      </c>
      <c r="J1351" s="312">
        <v>300.84999999999997</v>
      </c>
      <c r="K1351" s="312">
        <v>233.25</v>
      </c>
      <c r="M1351" t="s">
        <v>3115</v>
      </c>
      <c r="N1351" s="312">
        <v>5334.76</v>
      </c>
      <c r="O1351" s="312">
        <v>349232.92</v>
      </c>
      <c r="P1351" s="312">
        <v>58110.100000000006</v>
      </c>
      <c r="Q1351" s="312">
        <v>159110.77000000002</v>
      </c>
      <c r="R1351" s="312">
        <v>76899.930000000008</v>
      </c>
    </row>
    <row r="1352" spans="6:18">
      <c r="F1352" t="s">
        <v>3116</v>
      </c>
      <c r="G1352" s="312">
        <v>39.549999999999997</v>
      </c>
      <c r="H1352" s="312">
        <v>418.12</v>
      </c>
      <c r="I1352" s="312">
        <v>46.04</v>
      </c>
      <c r="J1352" s="312">
        <v>209.61</v>
      </c>
      <c r="K1352" s="312">
        <v>249.03</v>
      </c>
      <c r="M1352" t="s">
        <v>3116</v>
      </c>
      <c r="N1352" s="312">
        <v>34417.47</v>
      </c>
      <c r="O1352" s="312">
        <v>200173.26</v>
      </c>
      <c r="P1352" s="312">
        <v>37837.15</v>
      </c>
      <c r="Q1352" s="312">
        <v>121243.95000000001</v>
      </c>
      <c r="R1352" s="312">
        <v>68290.27</v>
      </c>
    </row>
    <row r="1353" spans="6:18">
      <c r="F1353" t="s">
        <v>3117</v>
      </c>
      <c r="G1353" s="312">
        <v>80.81</v>
      </c>
      <c r="H1353" s="312">
        <v>521.93999999999994</v>
      </c>
      <c r="I1353" s="312">
        <v>50.56</v>
      </c>
      <c r="J1353" s="312">
        <v>209.06</v>
      </c>
      <c r="K1353" s="312">
        <v>305.58999999999997</v>
      </c>
      <c r="M1353" t="s">
        <v>3117</v>
      </c>
      <c r="N1353" s="312">
        <v>42104.29</v>
      </c>
      <c r="O1353" s="312">
        <v>363117.07</v>
      </c>
      <c r="P1353" s="312">
        <v>46586.25</v>
      </c>
      <c r="Q1353" s="312">
        <v>102228.48</v>
      </c>
      <c r="R1353" s="312">
        <v>83300.75</v>
      </c>
    </row>
    <row r="1354" spans="6:18">
      <c r="F1354" t="s">
        <v>3118</v>
      </c>
      <c r="G1354" s="312">
        <v>33.24</v>
      </c>
      <c r="H1354" s="312">
        <v>264.67</v>
      </c>
      <c r="I1354" s="312">
        <v>37.239999999999995</v>
      </c>
      <c r="J1354" s="312">
        <v>154.78</v>
      </c>
      <c r="K1354" s="312">
        <v>212.99</v>
      </c>
      <c r="M1354" t="s">
        <v>3118</v>
      </c>
      <c r="N1354" s="312">
        <v>21020.48</v>
      </c>
      <c r="O1354" s="312">
        <v>129466.23999999999</v>
      </c>
      <c r="P1354" s="312">
        <v>25629.68</v>
      </c>
      <c r="Q1354" s="312">
        <v>91834.840000000011</v>
      </c>
      <c r="R1354" s="312">
        <v>67777.959999999992</v>
      </c>
    </row>
    <row r="1355" spans="6:18">
      <c r="F1355" t="s">
        <v>3119</v>
      </c>
      <c r="G1355" s="312">
        <v>23.04</v>
      </c>
      <c r="H1355" s="312">
        <v>294.91000000000003</v>
      </c>
      <c r="I1355" s="312">
        <v>8.69</v>
      </c>
      <c r="J1355" s="312">
        <v>205.82</v>
      </c>
      <c r="K1355" s="312">
        <v>152.94999999999999</v>
      </c>
      <c r="M1355" t="s">
        <v>3119</v>
      </c>
      <c r="N1355" s="312">
        <v>14657.85</v>
      </c>
      <c r="O1355" s="312">
        <v>204747.24</v>
      </c>
      <c r="P1355" s="312">
        <v>5985.54</v>
      </c>
      <c r="Q1355" s="312">
        <v>125373.04000000001</v>
      </c>
      <c r="R1355" s="312">
        <v>53128.160000000003</v>
      </c>
    </row>
    <row r="1356" spans="6:18">
      <c r="F1356" t="s">
        <v>3120</v>
      </c>
      <c r="G1356" s="312">
        <v>15.990000000000002</v>
      </c>
      <c r="H1356" s="312">
        <v>378.92</v>
      </c>
      <c r="I1356" s="312">
        <v>50.98</v>
      </c>
      <c r="J1356" s="312">
        <v>227.41000000000003</v>
      </c>
      <c r="K1356" s="312">
        <v>306.56</v>
      </c>
      <c r="M1356" t="s">
        <v>3120</v>
      </c>
      <c r="N1356" s="312">
        <v>4326.95</v>
      </c>
      <c r="O1356" s="312">
        <v>292405.55</v>
      </c>
      <c r="P1356" s="312">
        <v>43862.96</v>
      </c>
      <c r="Q1356" s="312">
        <v>161641.91</v>
      </c>
      <c r="R1356" s="312">
        <v>90756.22</v>
      </c>
    </row>
    <row r="1357" spans="6:18">
      <c r="F1357" t="s">
        <v>3121</v>
      </c>
      <c r="G1357" s="312">
        <v>48.25</v>
      </c>
      <c r="H1357" s="312">
        <v>387.42</v>
      </c>
      <c r="I1357" s="312">
        <v>53.78</v>
      </c>
      <c r="J1357" s="312">
        <v>204.94</v>
      </c>
      <c r="K1357" s="312">
        <v>307.52</v>
      </c>
      <c r="M1357" t="s">
        <v>3121</v>
      </c>
      <c r="N1357" s="312">
        <v>16411.93</v>
      </c>
      <c r="O1357" s="312">
        <v>259469.37</v>
      </c>
      <c r="P1357" s="312">
        <v>50199.229999999996</v>
      </c>
      <c r="Q1357" s="312">
        <v>176387.93000000002</v>
      </c>
      <c r="R1357" s="312">
        <v>81346.34</v>
      </c>
    </row>
    <row r="1358" spans="6:18">
      <c r="F1358" t="s">
        <v>3122</v>
      </c>
      <c r="G1358" s="312">
        <v>38.449999999999996</v>
      </c>
      <c r="H1358" s="312">
        <v>319.77</v>
      </c>
      <c r="I1358" s="312">
        <v>42.85</v>
      </c>
      <c r="J1358" s="312">
        <v>220.64000000000001</v>
      </c>
      <c r="K1358" s="312">
        <v>255.64</v>
      </c>
      <c r="M1358" t="s">
        <v>3122</v>
      </c>
      <c r="N1358" s="312">
        <v>17539.93</v>
      </c>
      <c r="O1358" s="312">
        <v>226370.7</v>
      </c>
      <c r="P1358" s="312">
        <v>17475.32</v>
      </c>
      <c r="Q1358" s="312">
        <v>139400.44</v>
      </c>
      <c r="R1358" s="312">
        <v>90235.16</v>
      </c>
    </row>
    <row r="1359" spans="6:18">
      <c r="F1359" t="s">
        <v>3123</v>
      </c>
      <c r="G1359" s="312">
        <v>79.3</v>
      </c>
      <c r="H1359" s="312">
        <v>381.01</v>
      </c>
      <c r="I1359" s="312">
        <v>34.07</v>
      </c>
      <c r="J1359" s="312">
        <v>324.95000000000005</v>
      </c>
      <c r="K1359" s="312">
        <v>316.89999999999998</v>
      </c>
      <c r="M1359" t="s">
        <v>3123</v>
      </c>
      <c r="N1359" s="312">
        <v>35534.99</v>
      </c>
      <c r="O1359" s="312">
        <v>175772.68</v>
      </c>
      <c r="P1359" s="312">
        <v>40819.379999999997</v>
      </c>
      <c r="Q1359" s="312">
        <v>232875.56</v>
      </c>
      <c r="R1359" s="312">
        <v>79400.55</v>
      </c>
    </row>
    <row r="1360" spans="6:18">
      <c r="F1360" t="s">
        <v>3124</v>
      </c>
      <c r="G1360" s="312">
        <v>50.54</v>
      </c>
      <c r="H1360" s="312">
        <v>376.68</v>
      </c>
      <c r="I1360" s="312">
        <v>53.44</v>
      </c>
      <c r="J1360" s="312">
        <v>273.06</v>
      </c>
      <c r="K1360" s="312">
        <v>294.27</v>
      </c>
      <c r="M1360" t="s">
        <v>3124</v>
      </c>
      <c r="N1360" s="312">
        <v>29692.83</v>
      </c>
      <c r="O1360" s="312">
        <v>240021.12</v>
      </c>
      <c r="P1360" s="312">
        <v>43342.049999999996</v>
      </c>
      <c r="Q1360" s="312">
        <v>215988.88</v>
      </c>
      <c r="R1360" s="312">
        <v>67073.69</v>
      </c>
    </row>
    <row r="1361" spans="6:18">
      <c r="F1361" t="s">
        <v>3125</v>
      </c>
      <c r="G1361" s="312">
        <v>43.69</v>
      </c>
      <c r="H1361" s="312">
        <v>304.86</v>
      </c>
      <c r="I1361" s="312">
        <v>52.45</v>
      </c>
      <c r="J1361" s="312">
        <v>173.28</v>
      </c>
      <c r="K1361" s="312">
        <v>161.18</v>
      </c>
      <c r="M1361" t="s">
        <v>3125</v>
      </c>
      <c r="N1361" s="312">
        <v>24162.33</v>
      </c>
      <c r="O1361" s="312">
        <v>183306.07</v>
      </c>
      <c r="P1361" s="312">
        <v>44534.43</v>
      </c>
      <c r="Q1361" s="312">
        <v>101344.58</v>
      </c>
      <c r="R1361" s="312">
        <v>49825.22</v>
      </c>
    </row>
    <row r="1362" spans="6:18">
      <c r="F1362" t="s">
        <v>3126</v>
      </c>
      <c r="G1362" s="312">
        <v>29.65</v>
      </c>
      <c r="H1362" s="312">
        <v>285.84000000000003</v>
      </c>
      <c r="I1362" s="312">
        <v>15.780000000000001</v>
      </c>
      <c r="J1362" s="312">
        <v>154.75</v>
      </c>
      <c r="K1362" s="312">
        <v>209.52</v>
      </c>
      <c r="M1362" t="s">
        <v>3126</v>
      </c>
      <c r="N1362" s="312">
        <v>11294.730000000001</v>
      </c>
      <c r="O1362" s="312">
        <v>196443.84</v>
      </c>
      <c r="P1362" s="312">
        <v>15331.62</v>
      </c>
      <c r="Q1362" s="312">
        <v>100054.68000000001</v>
      </c>
      <c r="R1362" s="312">
        <v>65231.159999999996</v>
      </c>
    </row>
    <row r="1363" spans="6:18">
      <c r="F1363" t="s">
        <v>3127</v>
      </c>
      <c r="G1363" s="312">
        <v>29.27</v>
      </c>
      <c r="H1363" s="312">
        <v>414.52</v>
      </c>
      <c r="I1363" s="312">
        <v>70.25</v>
      </c>
      <c r="J1363" s="312">
        <v>242.85</v>
      </c>
      <c r="K1363" s="312">
        <v>402.7</v>
      </c>
      <c r="M1363" t="s">
        <v>3127</v>
      </c>
      <c r="N1363" s="312">
        <v>15805.63</v>
      </c>
      <c r="O1363" s="312">
        <v>261650</v>
      </c>
      <c r="P1363" s="312">
        <v>67286.59</v>
      </c>
      <c r="Q1363" s="312">
        <v>165488.4</v>
      </c>
      <c r="R1363" s="312">
        <v>113325.26000000001</v>
      </c>
    </row>
    <row r="1364" spans="6:18">
      <c r="F1364" t="s">
        <v>3128</v>
      </c>
      <c r="G1364" s="312">
        <v>33.630000000000003</v>
      </c>
      <c r="H1364" s="312">
        <v>371.98</v>
      </c>
      <c r="I1364" s="312">
        <v>65.72</v>
      </c>
      <c r="J1364" s="312">
        <v>182.51</v>
      </c>
      <c r="K1364" s="312">
        <v>315.74</v>
      </c>
      <c r="M1364" t="s">
        <v>3128</v>
      </c>
      <c r="N1364" s="312">
        <v>13089.52</v>
      </c>
      <c r="O1364" s="312">
        <v>244356.18000000002</v>
      </c>
      <c r="P1364" s="312">
        <v>79000.209999999992</v>
      </c>
      <c r="Q1364" s="312">
        <v>106840.36</v>
      </c>
      <c r="R1364" s="312">
        <v>97192.920000000013</v>
      </c>
    </row>
    <row r="1365" spans="6:18">
      <c r="F1365" t="s">
        <v>3129</v>
      </c>
      <c r="G1365" s="312">
        <v>41.27</v>
      </c>
      <c r="H1365" s="312">
        <v>472.73</v>
      </c>
      <c r="I1365" s="312">
        <v>58.46</v>
      </c>
      <c r="J1365" s="312">
        <v>305.74</v>
      </c>
      <c r="K1365" s="312">
        <v>306.53999999999996</v>
      </c>
      <c r="M1365" t="s">
        <v>3129</v>
      </c>
      <c r="N1365" s="312">
        <v>13396.800000000001</v>
      </c>
      <c r="O1365" s="312">
        <v>225141.24</v>
      </c>
      <c r="P1365" s="312">
        <v>44354.03</v>
      </c>
      <c r="Q1365" s="312">
        <v>215909.24</v>
      </c>
      <c r="R1365" s="312">
        <v>76210.23</v>
      </c>
    </row>
    <row r="1366" spans="6:18">
      <c r="F1366" t="s">
        <v>3130</v>
      </c>
      <c r="G1366" s="312">
        <v>60.82</v>
      </c>
      <c r="H1366" s="312">
        <v>366.81000000000006</v>
      </c>
      <c r="I1366" s="312">
        <v>72.399999999999991</v>
      </c>
      <c r="J1366" s="312">
        <v>331.59000000000003</v>
      </c>
      <c r="K1366" s="312">
        <v>309.51</v>
      </c>
      <c r="M1366" t="s">
        <v>3130</v>
      </c>
      <c r="N1366" s="312">
        <v>32748.920000000002</v>
      </c>
      <c r="O1366" s="312">
        <v>225826.89</v>
      </c>
      <c r="P1366" s="312">
        <v>76724.08</v>
      </c>
      <c r="Q1366" s="312">
        <v>210240.42</v>
      </c>
      <c r="R1366" s="312">
        <v>104813.54000000001</v>
      </c>
    </row>
    <row r="1367" spans="6:18">
      <c r="F1367" t="s">
        <v>3131</v>
      </c>
      <c r="G1367" s="312">
        <v>25.16</v>
      </c>
      <c r="H1367" s="312">
        <v>326.54999999999995</v>
      </c>
      <c r="I1367" s="312">
        <v>45.54</v>
      </c>
      <c r="J1367" s="312">
        <v>206.68</v>
      </c>
      <c r="K1367" s="312">
        <v>307.77</v>
      </c>
      <c r="M1367" t="s">
        <v>3131</v>
      </c>
      <c r="N1367" s="312">
        <v>10185.290000000001</v>
      </c>
      <c r="O1367" s="312">
        <v>203196.08000000002</v>
      </c>
      <c r="P1367" s="312">
        <v>26193.97</v>
      </c>
      <c r="Q1367" s="312">
        <v>115857.26000000001</v>
      </c>
      <c r="R1367" s="312">
        <v>91550.06</v>
      </c>
    </row>
    <row r="1368" spans="6:18">
      <c r="F1368" t="s">
        <v>3132</v>
      </c>
      <c r="G1368" s="312">
        <v>19.649999999999999</v>
      </c>
      <c r="H1368" s="312">
        <v>276.01</v>
      </c>
      <c r="I1368" s="312">
        <v>26.09</v>
      </c>
      <c r="J1368" s="312">
        <v>137.76</v>
      </c>
      <c r="K1368" s="312">
        <v>296.83000000000004</v>
      </c>
      <c r="M1368" t="s">
        <v>3132</v>
      </c>
      <c r="N1368" s="312">
        <v>8936.0600000000013</v>
      </c>
      <c r="O1368" s="312">
        <v>156256.22</v>
      </c>
      <c r="P1368" s="312">
        <v>27010.190000000002</v>
      </c>
      <c r="Q1368" s="312">
        <v>122408.81</v>
      </c>
      <c r="R1368" s="312">
        <v>90344.56</v>
      </c>
    </row>
    <row r="1369" spans="6:18">
      <c r="F1369" t="s">
        <v>3133</v>
      </c>
      <c r="G1369" s="312">
        <v>48.47</v>
      </c>
      <c r="H1369" s="312">
        <v>277.07</v>
      </c>
      <c r="I1369" s="312">
        <v>9.5299999999999994</v>
      </c>
      <c r="J1369" s="312">
        <v>185.76000000000002</v>
      </c>
      <c r="K1369" s="312">
        <v>168.05</v>
      </c>
      <c r="M1369" t="s">
        <v>3133</v>
      </c>
      <c r="N1369" s="312">
        <v>14646.73</v>
      </c>
      <c r="O1369" s="312">
        <v>150451.91999999998</v>
      </c>
      <c r="P1369" s="312">
        <v>7721.96</v>
      </c>
      <c r="Q1369" s="312">
        <v>161443.41999999998</v>
      </c>
      <c r="R1369" s="312">
        <v>68291.34</v>
      </c>
    </row>
    <row r="1370" spans="6:18">
      <c r="F1370" t="s">
        <v>3134</v>
      </c>
      <c r="G1370" s="312">
        <v>22.47</v>
      </c>
      <c r="H1370" s="312">
        <v>466.95</v>
      </c>
      <c r="I1370" s="312">
        <v>65.320000000000007</v>
      </c>
      <c r="J1370" s="312">
        <v>134.08000000000001</v>
      </c>
      <c r="K1370" s="312">
        <v>398.35999999999996</v>
      </c>
      <c r="M1370" t="s">
        <v>3134</v>
      </c>
      <c r="N1370" s="312">
        <v>10202.14</v>
      </c>
      <c r="O1370" s="312">
        <v>334037.45</v>
      </c>
      <c r="P1370" s="312">
        <v>44332.87</v>
      </c>
      <c r="Q1370" s="312">
        <v>119883.76999999999</v>
      </c>
      <c r="R1370" s="312">
        <v>140046.14000000001</v>
      </c>
    </row>
    <row r="1371" spans="6:18">
      <c r="F1371" t="s">
        <v>3135</v>
      </c>
      <c r="G1371" s="312">
        <v>74.59</v>
      </c>
      <c r="H1371" s="312">
        <v>393.49</v>
      </c>
      <c r="I1371" s="312">
        <v>48.18</v>
      </c>
      <c r="J1371" s="312">
        <v>220.54999999999998</v>
      </c>
      <c r="K1371" s="312">
        <v>269.10000000000002</v>
      </c>
      <c r="M1371" t="s">
        <v>3135</v>
      </c>
      <c r="N1371" s="312">
        <v>48866.28</v>
      </c>
      <c r="O1371" s="312">
        <v>220953.03</v>
      </c>
      <c r="P1371" s="312">
        <v>40516.85</v>
      </c>
      <c r="Q1371" s="312">
        <v>158953.26999999999</v>
      </c>
      <c r="R1371" s="312">
        <v>76253.279999999999</v>
      </c>
    </row>
    <row r="1372" spans="6:18">
      <c r="F1372" t="s">
        <v>3136</v>
      </c>
      <c r="G1372" s="312">
        <v>71.08</v>
      </c>
      <c r="H1372" s="312">
        <v>327.63</v>
      </c>
      <c r="I1372" s="312">
        <v>38.74</v>
      </c>
      <c r="J1372" s="312">
        <v>281.3</v>
      </c>
      <c r="K1372" s="312">
        <v>293.39</v>
      </c>
      <c r="M1372" t="s">
        <v>3136</v>
      </c>
      <c r="N1372" s="312">
        <v>28414.42</v>
      </c>
      <c r="O1372" s="312">
        <v>213590.58</v>
      </c>
      <c r="P1372" s="312">
        <v>43132.44</v>
      </c>
      <c r="Q1372" s="312">
        <v>158769.86000000002</v>
      </c>
      <c r="R1372" s="312">
        <v>73808.37</v>
      </c>
    </row>
    <row r="1373" spans="6:18">
      <c r="F1373" t="s">
        <v>3137</v>
      </c>
      <c r="G1373" s="312">
        <v>37.42</v>
      </c>
      <c r="H1373" s="312">
        <v>359.53999999999996</v>
      </c>
      <c r="I1373" s="312">
        <v>54.03</v>
      </c>
      <c r="J1373" s="312">
        <v>234.69</v>
      </c>
      <c r="K1373" s="312">
        <v>349.35</v>
      </c>
      <c r="M1373" t="s">
        <v>3137</v>
      </c>
      <c r="N1373" s="312">
        <v>22055.3</v>
      </c>
      <c r="O1373" s="312">
        <v>183787.21</v>
      </c>
      <c r="P1373" s="312">
        <v>75549.23</v>
      </c>
      <c r="Q1373" s="312">
        <v>179381.66999999998</v>
      </c>
      <c r="R1373" s="312">
        <v>84741.440000000002</v>
      </c>
    </row>
    <row r="1374" spans="6:18">
      <c r="F1374" t="s">
        <v>3138</v>
      </c>
      <c r="G1374" s="312">
        <v>34.769999999999996</v>
      </c>
      <c r="H1374" s="312">
        <v>343.83000000000004</v>
      </c>
      <c r="I1374" s="312">
        <v>47.870000000000005</v>
      </c>
      <c r="J1374" s="312">
        <v>261.45</v>
      </c>
      <c r="K1374" s="312">
        <v>327.25</v>
      </c>
      <c r="M1374" t="s">
        <v>3138</v>
      </c>
      <c r="N1374" s="312">
        <v>21298.09</v>
      </c>
      <c r="O1374" s="312">
        <v>238832.25999999998</v>
      </c>
      <c r="P1374" s="312">
        <v>27140.799999999999</v>
      </c>
      <c r="Q1374" s="312">
        <v>165631.43000000002</v>
      </c>
      <c r="R1374" s="312">
        <v>94266.900000000009</v>
      </c>
    </row>
    <row r="1375" spans="6:18">
      <c r="F1375" t="s">
        <v>3139</v>
      </c>
      <c r="G1375" s="312">
        <v>37.660000000000004</v>
      </c>
      <c r="H1375" s="312">
        <v>197.21</v>
      </c>
      <c r="I1375" s="312">
        <v>27.61</v>
      </c>
      <c r="J1375" s="312">
        <v>134.18</v>
      </c>
      <c r="K1375" s="312">
        <v>178.91</v>
      </c>
      <c r="M1375" t="s">
        <v>3139</v>
      </c>
      <c r="N1375" s="312">
        <v>16413.38</v>
      </c>
      <c r="O1375" s="312">
        <v>125916.56</v>
      </c>
      <c r="P1375" s="312">
        <v>32983.86</v>
      </c>
      <c r="Q1375" s="312">
        <v>78670.38</v>
      </c>
      <c r="R1375" s="312">
        <v>56755.839999999997</v>
      </c>
    </row>
    <row r="1376" spans="6:18">
      <c r="F1376" t="s">
        <v>3140</v>
      </c>
      <c r="G1376" s="312">
        <v>23.549999999999997</v>
      </c>
      <c r="H1376" s="312">
        <v>202.45999999999998</v>
      </c>
      <c r="I1376" s="312">
        <v>15.55</v>
      </c>
      <c r="J1376" s="312">
        <v>159.19</v>
      </c>
      <c r="K1376" s="312">
        <v>177.33999999999997</v>
      </c>
      <c r="M1376" t="s">
        <v>3140</v>
      </c>
      <c r="N1376" s="312">
        <v>8505.2999999999993</v>
      </c>
      <c r="O1376" s="312">
        <v>114695.54</v>
      </c>
      <c r="P1376" s="312">
        <v>13550.42</v>
      </c>
      <c r="Q1376" s="312">
        <v>107831.53</v>
      </c>
      <c r="R1376" s="312">
        <v>57177.850000000006</v>
      </c>
    </row>
    <row r="1377" spans="6:18">
      <c r="F1377" t="s">
        <v>3141</v>
      </c>
      <c r="G1377" s="312">
        <v>48.769999999999996</v>
      </c>
      <c r="H1377" s="312">
        <v>321.47000000000003</v>
      </c>
      <c r="I1377" s="312">
        <v>100.47</v>
      </c>
      <c r="J1377" s="312">
        <v>233.82</v>
      </c>
      <c r="K1377" s="312">
        <v>287.78999999999996</v>
      </c>
      <c r="M1377" t="s">
        <v>3141</v>
      </c>
      <c r="N1377" s="312">
        <v>26102.959999999999</v>
      </c>
      <c r="O1377" s="312">
        <v>213870.59000000003</v>
      </c>
      <c r="P1377" s="312">
        <v>82277.48</v>
      </c>
      <c r="Q1377" s="312">
        <v>172999.43</v>
      </c>
      <c r="R1377" s="312">
        <v>120710.20999999999</v>
      </c>
    </row>
    <row r="1378" spans="6:18">
      <c r="F1378" t="s">
        <v>3142</v>
      </c>
      <c r="G1378" s="312">
        <v>46.89</v>
      </c>
      <c r="H1378" s="312">
        <v>246.81</v>
      </c>
      <c r="I1378" s="312">
        <v>43.07</v>
      </c>
      <c r="J1378" s="312">
        <v>164.53</v>
      </c>
      <c r="K1378" s="312">
        <v>291.43</v>
      </c>
      <c r="M1378" t="s">
        <v>3142</v>
      </c>
      <c r="N1378" s="312">
        <v>16850.189999999999</v>
      </c>
      <c r="O1378" s="312">
        <v>140368.59</v>
      </c>
      <c r="P1378" s="312">
        <v>31010.18</v>
      </c>
      <c r="Q1378" s="312">
        <v>111107.91</v>
      </c>
      <c r="R1378" s="312">
        <v>98033.68</v>
      </c>
    </row>
    <row r="1379" spans="6:18">
      <c r="F1379" t="s">
        <v>3143</v>
      </c>
      <c r="G1379" s="312">
        <v>61.930000000000007</v>
      </c>
      <c r="H1379" s="312">
        <v>320.35000000000002</v>
      </c>
      <c r="I1379" s="312">
        <v>40.17</v>
      </c>
      <c r="J1379" s="312">
        <v>160.5</v>
      </c>
      <c r="K1379" s="312">
        <v>215.07000000000002</v>
      </c>
      <c r="M1379" t="s">
        <v>3143</v>
      </c>
      <c r="N1379" s="312">
        <v>39512.58</v>
      </c>
      <c r="O1379" s="312">
        <v>181045.03</v>
      </c>
      <c r="P1379" s="312">
        <v>43682.45</v>
      </c>
      <c r="Q1379" s="312">
        <v>109649.41</v>
      </c>
      <c r="R1379" s="312">
        <v>64660.409999999996</v>
      </c>
    </row>
    <row r="1380" spans="6:18">
      <c r="F1380" t="s">
        <v>3144</v>
      </c>
      <c r="G1380" s="312">
        <v>78.88</v>
      </c>
      <c r="H1380" s="312">
        <v>296.71000000000004</v>
      </c>
      <c r="I1380" s="312">
        <v>8.120000000000001</v>
      </c>
      <c r="J1380" s="312">
        <v>192.74</v>
      </c>
      <c r="K1380" s="312">
        <v>315.85000000000002</v>
      </c>
      <c r="M1380" t="s">
        <v>3144</v>
      </c>
      <c r="N1380" s="312">
        <v>57393.49</v>
      </c>
      <c r="O1380" s="312">
        <v>183895.22999999998</v>
      </c>
      <c r="P1380" s="312">
        <v>10669.91</v>
      </c>
      <c r="Q1380" s="312">
        <v>113491.68000000001</v>
      </c>
      <c r="R1380" s="312">
        <v>109749.29000000001</v>
      </c>
    </row>
    <row r="1381" spans="6:18">
      <c r="F1381" t="s">
        <v>3145</v>
      </c>
      <c r="G1381" s="312">
        <v>53.089999999999996</v>
      </c>
      <c r="H1381" s="312">
        <v>411.51</v>
      </c>
      <c r="I1381" s="312">
        <v>63.99</v>
      </c>
      <c r="J1381" s="312">
        <v>199.82</v>
      </c>
      <c r="K1381" s="312">
        <v>219.48000000000002</v>
      </c>
      <c r="M1381" t="s">
        <v>3145</v>
      </c>
      <c r="N1381" s="312">
        <v>26050.799999999999</v>
      </c>
      <c r="O1381" s="312">
        <v>261194.63</v>
      </c>
      <c r="P1381" s="312">
        <v>70134.2</v>
      </c>
      <c r="Q1381" s="312">
        <v>138114.19</v>
      </c>
      <c r="R1381" s="312">
        <v>79381.61</v>
      </c>
    </row>
    <row r="1382" spans="6:18">
      <c r="F1382" t="s">
        <v>3146</v>
      </c>
      <c r="G1382" s="312">
        <v>35.46</v>
      </c>
      <c r="H1382" s="312">
        <v>184.60000000000002</v>
      </c>
      <c r="I1382" s="312">
        <v>37</v>
      </c>
      <c r="J1382" s="312">
        <v>194.65</v>
      </c>
      <c r="K1382" s="312">
        <v>262.11</v>
      </c>
      <c r="M1382" t="s">
        <v>3146</v>
      </c>
      <c r="N1382" s="312">
        <v>16942.3</v>
      </c>
      <c r="O1382" s="312">
        <v>121165.8</v>
      </c>
      <c r="P1382" s="312">
        <v>32214.22</v>
      </c>
      <c r="Q1382" s="312">
        <v>147869.56</v>
      </c>
      <c r="R1382" s="312">
        <v>132359.39000000001</v>
      </c>
    </row>
    <row r="1383" spans="6:18">
      <c r="F1383" t="s">
        <v>3147</v>
      </c>
      <c r="G1383" s="312">
        <v>22.62</v>
      </c>
      <c r="H1383" s="312">
        <v>174.53</v>
      </c>
      <c r="I1383" s="312">
        <v>11.46</v>
      </c>
      <c r="J1383" s="312">
        <v>166.95</v>
      </c>
      <c r="K1383" s="312">
        <v>265.73</v>
      </c>
      <c r="M1383" t="s">
        <v>3147</v>
      </c>
      <c r="N1383" s="312">
        <v>10762.55</v>
      </c>
      <c r="O1383" s="312">
        <v>135222.38</v>
      </c>
      <c r="P1383" s="312">
        <v>8727.18</v>
      </c>
      <c r="Q1383" s="312">
        <v>104309.36</v>
      </c>
      <c r="R1383" s="312">
        <v>113362.49</v>
      </c>
    </row>
    <row r="1384" spans="6:18">
      <c r="F1384" t="s">
        <v>3148</v>
      </c>
      <c r="G1384" s="312">
        <v>65.31</v>
      </c>
      <c r="H1384" s="312">
        <v>315.68</v>
      </c>
      <c r="I1384" s="312">
        <v>32.32</v>
      </c>
      <c r="J1384" s="312">
        <v>196.42000000000002</v>
      </c>
      <c r="K1384" s="312">
        <v>153.19</v>
      </c>
      <c r="M1384" t="s">
        <v>3148</v>
      </c>
      <c r="N1384" s="312">
        <v>38473.24</v>
      </c>
      <c r="O1384" s="312">
        <v>183770.4</v>
      </c>
      <c r="P1384" s="312">
        <v>24564</v>
      </c>
      <c r="Q1384" s="312">
        <v>101899.87</v>
      </c>
      <c r="R1384" s="312">
        <v>55132.63</v>
      </c>
    </row>
    <row r="1385" spans="6:18">
      <c r="F1385" t="s">
        <v>3149</v>
      </c>
      <c r="G1385" s="312">
        <v>30.11</v>
      </c>
      <c r="H1385" s="312">
        <v>298.34000000000003</v>
      </c>
      <c r="I1385" s="312">
        <v>38.43</v>
      </c>
      <c r="J1385" s="312">
        <v>231.08</v>
      </c>
      <c r="K1385" s="312">
        <v>274.25</v>
      </c>
      <c r="M1385" t="s">
        <v>3149</v>
      </c>
      <c r="N1385" s="312">
        <v>30179.200000000001</v>
      </c>
      <c r="O1385" s="312">
        <v>183884.28</v>
      </c>
      <c r="P1385" s="312">
        <v>21159.599999999999</v>
      </c>
      <c r="Q1385" s="312">
        <v>170854.87</v>
      </c>
      <c r="R1385" s="312">
        <v>73085.010000000009</v>
      </c>
    </row>
    <row r="1386" spans="6:18">
      <c r="F1386" t="s">
        <v>3150</v>
      </c>
      <c r="G1386" s="312">
        <v>14.52</v>
      </c>
      <c r="H1386" s="312">
        <v>350.78</v>
      </c>
      <c r="I1386" s="312">
        <v>63.470000000000006</v>
      </c>
      <c r="J1386" s="312">
        <v>185.38</v>
      </c>
      <c r="K1386" s="312">
        <v>203.3</v>
      </c>
      <c r="M1386" t="s">
        <v>3150</v>
      </c>
      <c r="N1386" s="312">
        <v>11266.7</v>
      </c>
      <c r="O1386" s="312">
        <v>264435.25</v>
      </c>
      <c r="P1386" s="312">
        <v>61482.29</v>
      </c>
      <c r="Q1386" s="312">
        <v>186545.2</v>
      </c>
      <c r="R1386" s="312">
        <v>94455.86</v>
      </c>
    </row>
    <row r="1387" spans="6:18">
      <c r="F1387" t="s">
        <v>3151</v>
      </c>
      <c r="G1387" s="312">
        <v>26.47</v>
      </c>
      <c r="H1387" s="312">
        <v>319.62</v>
      </c>
      <c r="I1387" s="312">
        <v>51.03</v>
      </c>
      <c r="J1387" s="312">
        <v>202.32</v>
      </c>
      <c r="K1387" s="312">
        <v>205.45</v>
      </c>
      <c r="M1387" t="s">
        <v>3151</v>
      </c>
      <c r="N1387" s="312">
        <v>14221.880000000001</v>
      </c>
      <c r="O1387" s="312">
        <v>188591.25</v>
      </c>
      <c r="P1387" s="312">
        <v>39061.729999999996</v>
      </c>
      <c r="Q1387" s="312">
        <v>107160.35999999999</v>
      </c>
      <c r="R1387" s="312">
        <v>75205.34</v>
      </c>
    </row>
    <row r="1388" spans="6:18">
      <c r="F1388" t="s">
        <v>3152</v>
      </c>
      <c r="G1388" s="312">
        <v>28.9</v>
      </c>
      <c r="H1388" s="312">
        <v>357.72</v>
      </c>
      <c r="I1388" s="312">
        <v>36.75</v>
      </c>
      <c r="J1388" s="312">
        <v>171.91</v>
      </c>
      <c r="K1388" s="312">
        <v>192.83999999999997</v>
      </c>
      <c r="M1388" t="s">
        <v>3152</v>
      </c>
      <c r="N1388" s="312">
        <v>9863.08</v>
      </c>
      <c r="O1388" s="312">
        <v>204691.54</v>
      </c>
      <c r="P1388" s="312">
        <v>64481.440000000002</v>
      </c>
      <c r="Q1388" s="312">
        <v>92585.44</v>
      </c>
      <c r="R1388" s="312">
        <v>48196.729999999996</v>
      </c>
    </row>
    <row r="1389" spans="6:18">
      <c r="F1389" t="s">
        <v>3153</v>
      </c>
      <c r="G1389" s="312">
        <v>10.54</v>
      </c>
      <c r="H1389" s="312">
        <v>194.29</v>
      </c>
      <c r="I1389" s="312">
        <v>21.27</v>
      </c>
      <c r="J1389" s="312">
        <v>146.53</v>
      </c>
      <c r="K1389" s="312">
        <v>238.37</v>
      </c>
      <c r="M1389" t="s">
        <v>3153</v>
      </c>
      <c r="N1389" s="312">
        <v>4725.1399999999994</v>
      </c>
      <c r="O1389" s="312">
        <v>130146.38</v>
      </c>
      <c r="P1389" s="312">
        <v>15417.14</v>
      </c>
      <c r="Q1389" s="312">
        <v>121679.17</v>
      </c>
      <c r="R1389" s="312">
        <v>51858.75</v>
      </c>
    </row>
    <row r="1390" spans="6:18">
      <c r="F1390" t="s">
        <v>3154</v>
      </c>
      <c r="G1390" s="312">
        <v>17.2</v>
      </c>
      <c r="H1390" s="312">
        <v>168.26</v>
      </c>
      <c r="I1390" s="312">
        <v>13.420000000000002</v>
      </c>
      <c r="J1390" s="312">
        <v>177.99</v>
      </c>
      <c r="K1390" s="312">
        <v>196.9</v>
      </c>
      <c r="M1390" t="s">
        <v>3154</v>
      </c>
      <c r="N1390" s="312">
        <v>9518.67</v>
      </c>
      <c r="O1390" s="312">
        <v>93825.08</v>
      </c>
      <c r="P1390" s="312">
        <v>18599.96</v>
      </c>
      <c r="Q1390" s="312">
        <v>93101.83</v>
      </c>
      <c r="R1390" s="312">
        <v>52763.509999999995</v>
      </c>
    </row>
    <row r="1391" spans="6:18">
      <c r="F1391" t="s">
        <v>3155</v>
      </c>
      <c r="G1391" s="312">
        <v>90.050000000000011</v>
      </c>
      <c r="H1391" s="312">
        <v>321.26</v>
      </c>
      <c r="I1391" s="312">
        <v>69.819999999999993</v>
      </c>
      <c r="J1391" s="312">
        <v>267.93</v>
      </c>
      <c r="K1391" s="312">
        <v>460.90999999999997</v>
      </c>
      <c r="M1391" t="s">
        <v>3155</v>
      </c>
      <c r="N1391" s="312">
        <v>60945.2</v>
      </c>
      <c r="O1391" s="312">
        <v>214502.54</v>
      </c>
      <c r="P1391" s="312">
        <v>50149.549999999996</v>
      </c>
      <c r="Q1391" s="312">
        <v>186826.84999999998</v>
      </c>
      <c r="R1391" s="312">
        <v>147896.41</v>
      </c>
    </row>
    <row r="1392" spans="6:18">
      <c r="F1392" t="s">
        <v>3156</v>
      </c>
      <c r="G1392" s="312">
        <v>75.259999999999991</v>
      </c>
      <c r="H1392" s="312">
        <v>401.27</v>
      </c>
      <c r="I1392" s="312">
        <v>65.11</v>
      </c>
      <c r="J1392" s="312">
        <v>169.39000000000001</v>
      </c>
      <c r="K1392" s="312">
        <v>446.39</v>
      </c>
      <c r="M1392" t="s">
        <v>3156</v>
      </c>
      <c r="N1392" s="312">
        <v>39845.289999999994</v>
      </c>
      <c r="O1392" s="312">
        <v>244808.87</v>
      </c>
      <c r="P1392" s="312">
        <v>35468.080000000002</v>
      </c>
      <c r="Q1392" s="312">
        <v>136310.53</v>
      </c>
      <c r="R1392" s="312">
        <v>163075.54999999999</v>
      </c>
    </row>
    <row r="1393" spans="6:18">
      <c r="F1393" t="s">
        <v>3157</v>
      </c>
      <c r="G1393" s="312">
        <v>43.8</v>
      </c>
      <c r="H1393" s="312">
        <v>369.14</v>
      </c>
      <c r="I1393" s="312">
        <v>29.15</v>
      </c>
      <c r="J1393" s="312">
        <v>231.37</v>
      </c>
      <c r="K1393" s="312">
        <v>386.90999999999997</v>
      </c>
      <c r="M1393" t="s">
        <v>3157</v>
      </c>
      <c r="N1393" s="312">
        <v>18713.489999999998</v>
      </c>
      <c r="O1393" s="312">
        <v>204907.73</v>
      </c>
      <c r="P1393" s="312">
        <v>27347.48</v>
      </c>
      <c r="Q1393" s="312">
        <v>141138.54999999999</v>
      </c>
      <c r="R1393" s="312">
        <v>132987.22</v>
      </c>
    </row>
    <row r="1394" spans="6:18">
      <c r="F1394" t="s">
        <v>3158</v>
      </c>
      <c r="G1394" s="312">
        <v>58.01</v>
      </c>
      <c r="H1394" s="312">
        <v>267.27</v>
      </c>
      <c r="I1394" s="312">
        <v>38.31</v>
      </c>
      <c r="J1394" s="312">
        <v>216.94</v>
      </c>
      <c r="K1394" s="312">
        <v>293.57</v>
      </c>
      <c r="M1394" t="s">
        <v>3158</v>
      </c>
      <c r="N1394" s="312">
        <v>40003.129999999997</v>
      </c>
      <c r="O1394" s="312">
        <v>169459.28000000003</v>
      </c>
      <c r="P1394" s="312">
        <v>26126.339999999997</v>
      </c>
      <c r="Q1394" s="312">
        <v>121323.7</v>
      </c>
      <c r="R1394" s="312">
        <v>120570.72</v>
      </c>
    </row>
    <row r="1395" spans="6:18">
      <c r="F1395" t="s">
        <v>3159</v>
      </c>
      <c r="G1395" s="312">
        <v>17.37</v>
      </c>
      <c r="H1395" s="312">
        <v>249.07999999999998</v>
      </c>
      <c r="I1395" s="312">
        <v>26.490000000000002</v>
      </c>
      <c r="J1395" s="312">
        <v>310.21999999999997</v>
      </c>
      <c r="K1395" s="312">
        <v>234.22</v>
      </c>
      <c r="M1395" t="s">
        <v>3159</v>
      </c>
      <c r="N1395" s="312">
        <v>8483.369999999999</v>
      </c>
      <c r="O1395" s="312">
        <v>184427.79</v>
      </c>
      <c r="P1395" s="312">
        <v>18167.43</v>
      </c>
      <c r="Q1395" s="312">
        <v>186102.25999999998</v>
      </c>
      <c r="R1395" s="312">
        <v>84373.3</v>
      </c>
    </row>
    <row r="1396" spans="6:18">
      <c r="F1396" t="s">
        <v>3160</v>
      </c>
      <c r="G1396" s="312">
        <v>55.96</v>
      </c>
      <c r="H1396" s="312">
        <v>184.07</v>
      </c>
      <c r="I1396" s="312">
        <v>54.129999999999995</v>
      </c>
      <c r="J1396" s="312">
        <v>183.19</v>
      </c>
      <c r="K1396" s="312">
        <v>220.60999999999999</v>
      </c>
      <c r="M1396" t="s">
        <v>3160</v>
      </c>
      <c r="N1396" s="312">
        <v>22690.75</v>
      </c>
      <c r="O1396" s="312">
        <v>106341.85999999999</v>
      </c>
      <c r="P1396" s="312">
        <v>50054.54</v>
      </c>
      <c r="Q1396" s="312">
        <v>158248.69999999998</v>
      </c>
      <c r="R1396" s="312">
        <v>72367.929999999993</v>
      </c>
    </row>
    <row r="1397" spans="6:18">
      <c r="F1397" t="s">
        <v>3161</v>
      </c>
      <c r="G1397" s="312">
        <v>28.36</v>
      </c>
      <c r="H1397" s="312">
        <v>253.18</v>
      </c>
      <c r="I1397" s="312">
        <v>27.5</v>
      </c>
      <c r="J1397" s="312">
        <v>158.05000000000001</v>
      </c>
      <c r="K1397" s="312">
        <v>232.83999999999997</v>
      </c>
      <c r="M1397" t="s">
        <v>3161</v>
      </c>
      <c r="N1397" s="312">
        <v>20420.93</v>
      </c>
      <c r="O1397" s="312">
        <v>154762.03</v>
      </c>
      <c r="P1397" s="312">
        <v>9197.4600000000009</v>
      </c>
      <c r="Q1397" s="312">
        <v>75698.600000000006</v>
      </c>
      <c r="R1397" s="312">
        <v>82595.5</v>
      </c>
    </row>
    <row r="1398" spans="6:18">
      <c r="F1398" t="s">
        <v>3162</v>
      </c>
      <c r="G1398" s="312">
        <v>47.74</v>
      </c>
      <c r="H1398" s="312">
        <v>239.3</v>
      </c>
      <c r="I1398" s="312">
        <v>59.18</v>
      </c>
      <c r="J1398" s="312">
        <v>279.69</v>
      </c>
      <c r="K1398" s="312">
        <v>368.31</v>
      </c>
      <c r="M1398" t="s">
        <v>3162</v>
      </c>
      <c r="N1398" s="312">
        <v>28080.590000000004</v>
      </c>
      <c r="O1398" s="312">
        <v>149631.97</v>
      </c>
      <c r="P1398" s="312">
        <v>78822.510000000009</v>
      </c>
      <c r="Q1398" s="312">
        <v>236651.72</v>
      </c>
      <c r="R1398" s="312">
        <v>139671.75</v>
      </c>
    </row>
    <row r="1399" spans="6:18">
      <c r="F1399" t="s">
        <v>3163</v>
      </c>
      <c r="G1399" s="312">
        <v>84.98</v>
      </c>
      <c r="H1399" s="312">
        <v>247.58</v>
      </c>
      <c r="I1399" s="312">
        <v>32.03</v>
      </c>
      <c r="J1399" s="312">
        <v>246.61</v>
      </c>
      <c r="K1399" s="312">
        <v>402.54</v>
      </c>
      <c r="M1399" t="s">
        <v>3163</v>
      </c>
      <c r="N1399" s="312">
        <v>57871.66</v>
      </c>
      <c r="O1399" s="312">
        <v>193343.16</v>
      </c>
      <c r="P1399" s="312">
        <v>27783.379999999997</v>
      </c>
      <c r="Q1399" s="312">
        <v>120188.86</v>
      </c>
      <c r="R1399" s="312">
        <v>151274.54999999999</v>
      </c>
    </row>
    <row r="1400" spans="6:18">
      <c r="F1400" t="s">
        <v>3164</v>
      </c>
      <c r="G1400" s="312">
        <v>85.28</v>
      </c>
      <c r="H1400" s="312">
        <v>235.96</v>
      </c>
      <c r="I1400" s="312">
        <v>53.04</v>
      </c>
      <c r="J1400" s="312">
        <v>220.91</v>
      </c>
      <c r="K1400" s="312">
        <v>329.15999999999997</v>
      </c>
      <c r="M1400" t="s">
        <v>3164</v>
      </c>
      <c r="N1400" s="312">
        <v>47185.91</v>
      </c>
      <c r="O1400" s="312">
        <v>154857.56</v>
      </c>
      <c r="P1400" s="312">
        <v>64019.519999999997</v>
      </c>
      <c r="Q1400" s="312">
        <v>107885.29000000001</v>
      </c>
      <c r="R1400" s="312">
        <v>110638.25</v>
      </c>
    </row>
    <row r="1401" spans="6:18">
      <c r="F1401" t="s">
        <v>3165</v>
      </c>
      <c r="G1401" s="312">
        <v>43.97</v>
      </c>
      <c r="H1401" s="312">
        <v>297.89999999999998</v>
      </c>
      <c r="I1401" s="312">
        <v>44.739999999999995</v>
      </c>
      <c r="J1401" s="312">
        <v>226.62</v>
      </c>
      <c r="K1401" s="312">
        <v>374.58</v>
      </c>
      <c r="M1401" t="s">
        <v>3165</v>
      </c>
      <c r="N1401" s="312">
        <v>17661.36</v>
      </c>
      <c r="O1401" s="312">
        <v>233666.71999999997</v>
      </c>
      <c r="P1401" s="312">
        <v>30738.52</v>
      </c>
      <c r="Q1401" s="312">
        <v>168511.71000000002</v>
      </c>
      <c r="R1401" s="312">
        <v>140667.35999999999</v>
      </c>
    </row>
    <row r="1402" spans="6:18">
      <c r="F1402" t="s">
        <v>3166</v>
      </c>
      <c r="G1402" s="312">
        <v>34.74</v>
      </c>
      <c r="H1402" s="312">
        <v>306.39</v>
      </c>
      <c r="I1402" s="312">
        <v>63.55</v>
      </c>
      <c r="J1402" s="312">
        <v>156.12</v>
      </c>
      <c r="K1402" s="312">
        <v>360.96999999999997</v>
      </c>
      <c r="M1402" t="s">
        <v>3166</v>
      </c>
      <c r="N1402" s="312">
        <v>16445.760000000002</v>
      </c>
      <c r="O1402" s="312">
        <v>189349.93</v>
      </c>
      <c r="P1402" s="312">
        <v>47965.65</v>
      </c>
      <c r="Q1402" s="312">
        <v>68991.509999999995</v>
      </c>
      <c r="R1402" s="312">
        <v>137093.32</v>
      </c>
    </row>
    <row r="1403" spans="6:18">
      <c r="F1403" t="s">
        <v>3167</v>
      </c>
      <c r="G1403" s="312">
        <v>50.74</v>
      </c>
      <c r="H1403" s="312">
        <v>196.44</v>
      </c>
      <c r="I1403" s="312">
        <v>18.09</v>
      </c>
      <c r="J1403" s="312">
        <v>127.47</v>
      </c>
      <c r="K1403" s="312">
        <v>316.86</v>
      </c>
      <c r="M1403" t="s">
        <v>3167</v>
      </c>
      <c r="N1403" s="312">
        <v>23594.739999999998</v>
      </c>
      <c r="O1403" s="312">
        <v>107606.23</v>
      </c>
      <c r="P1403" s="312">
        <v>13550.62</v>
      </c>
      <c r="Q1403" s="312">
        <v>80311.649999999994</v>
      </c>
      <c r="R1403" s="312">
        <v>110932.24</v>
      </c>
    </row>
    <row r="1404" spans="6:18">
      <c r="F1404" t="s">
        <v>3168</v>
      </c>
      <c r="G1404" s="312">
        <v>49</v>
      </c>
      <c r="H1404" s="312">
        <v>253.60000000000002</v>
      </c>
      <c r="I1404" s="312">
        <v>8.09</v>
      </c>
      <c r="J1404" s="312">
        <v>115.37</v>
      </c>
      <c r="K1404" s="312">
        <v>256.89999999999998</v>
      </c>
      <c r="M1404" t="s">
        <v>3168</v>
      </c>
      <c r="N1404" s="312">
        <v>24835.910000000003</v>
      </c>
      <c r="O1404" s="312">
        <v>129592.65</v>
      </c>
      <c r="P1404" s="312">
        <v>8228.01</v>
      </c>
      <c r="Q1404" s="312">
        <v>77276.37</v>
      </c>
      <c r="R1404" s="312">
        <v>110434.22</v>
      </c>
    </row>
    <row r="1405" spans="6:18">
      <c r="F1405" t="s">
        <v>3169</v>
      </c>
      <c r="G1405" s="312">
        <v>37.409999999999997</v>
      </c>
      <c r="H1405" s="312">
        <v>242.19</v>
      </c>
      <c r="I1405" s="312">
        <v>43.96</v>
      </c>
      <c r="J1405" s="312">
        <v>229.96999999999997</v>
      </c>
      <c r="K1405" s="312">
        <v>356.71999999999997</v>
      </c>
      <c r="M1405" t="s">
        <v>3169</v>
      </c>
      <c r="N1405" s="312">
        <v>22203.75</v>
      </c>
      <c r="O1405" s="312">
        <v>164421.45000000001</v>
      </c>
      <c r="P1405" s="312">
        <v>32508.31</v>
      </c>
      <c r="Q1405" s="312">
        <v>111639.34</v>
      </c>
      <c r="R1405" s="312">
        <v>138541.47</v>
      </c>
    </row>
    <row r="1406" spans="6:18">
      <c r="F1406" t="s">
        <v>3170</v>
      </c>
      <c r="G1406" s="312">
        <v>29.5</v>
      </c>
      <c r="H1406" s="312">
        <v>263.7</v>
      </c>
      <c r="I1406" s="312">
        <v>38.78</v>
      </c>
      <c r="J1406" s="312">
        <v>228.72</v>
      </c>
      <c r="K1406" s="312">
        <v>238.24</v>
      </c>
      <c r="M1406" t="s">
        <v>3170</v>
      </c>
      <c r="N1406" s="312">
        <v>12483.24</v>
      </c>
      <c r="O1406" s="312">
        <v>147936.63</v>
      </c>
      <c r="P1406" s="312">
        <v>42668.65</v>
      </c>
      <c r="Q1406" s="312">
        <v>175716.78</v>
      </c>
      <c r="R1406" s="312">
        <v>138310.81</v>
      </c>
    </row>
    <row r="1407" spans="6:18">
      <c r="F1407" t="s">
        <v>3171</v>
      </c>
      <c r="G1407" s="312">
        <v>81.459999999999994</v>
      </c>
      <c r="H1407" s="312">
        <v>347.32</v>
      </c>
      <c r="I1407" s="312">
        <v>65.569999999999993</v>
      </c>
      <c r="J1407" s="312">
        <v>247.45</v>
      </c>
      <c r="K1407" s="312">
        <v>165.47</v>
      </c>
      <c r="M1407" t="s">
        <v>3171</v>
      </c>
      <c r="N1407" s="312">
        <v>36360.33</v>
      </c>
      <c r="O1407" s="312">
        <v>224974.66999999998</v>
      </c>
      <c r="P1407" s="312">
        <v>74558.399999999994</v>
      </c>
      <c r="Q1407" s="312">
        <v>250226.2</v>
      </c>
      <c r="R1407" s="312">
        <v>72292.14</v>
      </c>
    </row>
    <row r="1408" spans="6:18">
      <c r="F1408" t="s">
        <v>3172</v>
      </c>
      <c r="G1408" s="312">
        <v>35.61</v>
      </c>
      <c r="H1408" s="312">
        <v>303.17</v>
      </c>
      <c r="I1408" s="312">
        <v>39.6</v>
      </c>
      <c r="J1408" s="312">
        <v>247.76000000000002</v>
      </c>
      <c r="K1408" s="312">
        <v>182.78</v>
      </c>
      <c r="M1408" t="s">
        <v>3172</v>
      </c>
      <c r="N1408" s="312">
        <v>19740.919999999998</v>
      </c>
      <c r="O1408" s="312">
        <v>181281.09000000003</v>
      </c>
      <c r="P1408" s="312">
        <v>36611.300000000003</v>
      </c>
      <c r="Q1408" s="312">
        <v>164449.42000000001</v>
      </c>
      <c r="R1408" s="312">
        <v>59473.229999999996</v>
      </c>
    </row>
    <row r="1409" spans="6:18">
      <c r="F1409" t="s">
        <v>3173</v>
      </c>
      <c r="G1409" s="312">
        <v>46.43</v>
      </c>
      <c r="H1409" s="312">
        <v>297.44</v>
      </c>
      <c r="I1409" s="312">
        <v>65.19</v>
      </c>
      <c r="J1409" s="312">
        <v>180.7</v>
      </c>
      <c r="K1409" s="312">
        <v>220.45000000000002</v>
      </c>
      <c r="M1409" t="s">
        <v>3173</v>
      </c>
      <c r="N1409" s="312">
        <v>35566.340000000004</v>
      </c>
      <c r="O1409" s="312">
        <v>176262.01</v>
      </c>
      <c r="P1409" s="312">
        <v>61800.25</v>
      </c>
      <c r="Q1409" s="312">
        <v>104595.82999999999</v>
      </c>
      <c r="R1409" s="312">
        <v>83165.429999999993</v>
      </c>
    </row>
    <row r="1410" spans="6:18">
      <c r="F1410" t="s">
        <v>3174</v>
      </c>
      <c r="G1410" s="312">
        <v>47.24</v>
      </c>
      <c r="H1410" s="312">
        <v>232.03</v>
      </c>
      <c r="I1410" s="312">
        <v>25.89</v>
      </c>
      <c r="J1410" s="312">
        <v>128.02000000000001</v>
      </c>
      <c r="K1410" s="312">
        <v>180.72</v>
      </c>
      <c r="M1410" t="s">
        <v>3174</v>
      </c>
      <c r="N1410" s="312">
        <v>28076.629999999997</v>
      </c>
      <c r="O1410" s="312">
        <v>152671.91999999998</v>
      </c>
      <c r="P1410" s="312">
        <v>25544.74</v>
      </c>
      <c r="Q1410" s="312">
        <v>109208.1</v>
      </c>
      <c r="R1410" s="312">
        <v>67079.179999999993</v>
      </c>
    </row>
    <row r="1411" spans="6:18">
      <c r="F1411" t="s">
        <v>3175</v>
      </c>
      <c r="G1411" s="312">
        <v>26.79</v>
      </c>
      <c r="H1411" s="312">
        <v>247.24</v>
      </c>
      <c r="I1411" s="312">
        <v>14.219999999999999</v>
      </c>
      <c r="J1411" s="312">
        <v>150.57999999999998</v>
      </c>
      <c r="K1411" s="312">
        <v>152.38</v>
      </c>
      <c r="M1411" t="s">
        <v>3175</v>
      </c>
      <c r="N1411" s="312">
        <v>14276.43</v>
      </c>
      <c r="O1411" s="312">
        <v>137440.95000000001</v>
      </c>
      <c r="P1411" s="312">
        <v>14523.89</v>
      </c>
      <c r="Q1411" s="312">
        <v>120502.19</v>
      </c>
      <c r="R1411" s="312">
        <v>42577.770000000004</v>
      </c>
    </row>
    <row r="1412" spans="6:18">
      <c r="F1412" t="s">
        <v>3176</v>
      </c>
      <c r="G1412" s="312">
        <v>81.14</v>
      </c>
      <c r="H1412" s="312">
        <v>391.51</v>
      </c>
      <c r="I1412" s="312">
        <v>70.569999999999993</v>
      </c>
      <c r="J1412" s="312">
        <v>258.64</v>
      </c>
      <c r="K1412" s="312">
        <v>182.22</v>
      </c>
      <c r="M1412" t="s">
        <v>3176</v>
      </c>
      <c r="N1412" s="312">
        <v>53476.570000000007</v>
      </c>
      <c r="O1412" s="312">
        <v>256895.69</v>
      </c>
      <c r="P1412" s="312">
        <v>77285.75</v>
      </c>
      <c r="Q1412" s="312">
        <v>154834.18</v>
      </c>
      <c r="R1412" s="312">
        <v>67929.490000000005</v>
      </c>
    </row>
    <row r="1413" spans="6:18">
      <c r="F1413" t="s">
        <v>3177</v>
      </c>
      <c r="G1413" s="312">
        <v>49.629999999999995</v>
      </c>
      <c r="H1413" s="312">
        <v>466.61</v>
      </c>
      <c r="I1413" s="312">
        <v>50.17</v>
      </c>
      <c r="J1413" s="312">
        <v>212.55</v>
      </c>
      <c r="K1413" s="312">
        <v>197.82999999999998</v>
      </c>
      <c r="M1413" t="s">
        <v>3177</v>
      </c>
      <c r="N1413" s="312">
        <v>30138.850000000002</v>
      </c>
      <c r="O1413" s="312">
        <v>251131.88</v>
      </c>
      <c r="P1413" s="312">
        <v>33976.619999999995</v>
      </c>
      <c r="Q1413" s="312">
        <v>178872.15</v>
      </c>
      <c r="R1413" s="312">
        <v>69871.360000000001</v>
      </c>
    </row>
    <row r="1414" spans="6:18">
      <c r="F1414" t="s">
        <v>3178</v>
      </c>
      <c r="G1414" s="312">
        <v>71.36</v>
      </c>
      <c r="H1414" s="312">
        <v>494.15999999999997</v>
      </c>
      <c r="I1414" s="312">
        <v>72.929999999999993</v>
      </c>
      <c r="J1414" s="312">
        <v>252.07999999999998</v>
      </c>
      <c r="K1414" s="312">
        <v>222.04</v>
      </c>
      <c r="M1414" t="s">
        <v>3178</v>
      </c>
      <c r="N1414" s="312">
        <v>41164.46</v>
      </c>
      <c r="O1414" s="312">
        <v>295581.7</v>
      </c>
      <c r="P1414" s="312">
        <v>59810.94</v>
      </c>
      <c r="Q1414" s="312">
        <v>198391.44999999998</v>
      </c>
      <c r="R1414" s="312">
        <v>71488.740000000005</v>
      </c>
    </row>
    <row r="1415" spans="6:18">
      <c r="F1415" t="s">
        <v>3179</v>
      </c>
      <c r="G1415" s="312">
        <v>75.19</v>
      </c>
      <c r="H1415" s="312">
        <v>429.91999999999996</v>
      </c>
      <c r="I1415" s="312">
        <v>44.35</v>
      </c>
      <c r="J1415" s="312">
        <v>159.08000000000001</v>
      </c>
      <c r="K1415" s="312">
        <v>176.37</v>
      </c>
      <c r="M1415" t="s">
        <v>3179</v>
      </c>
      <c r="N1415" s="312">
        <v>31663.06</v>
      </c>
      <c r="O1415" s="312">
        <v>221834.16999999998</v>
      </c>
      <c r="P1415" s="312">
        <v>39660.25</v>
      </c>
      <c r="Q1415" s="312">
        <v>143920.15</v>
      </c>
      <c r="R1415" s="312">
        <v>56731</v>
      </c>
    </row>
    <row r="1416" spans="6:18">
      <c r="F1416" t="s">
        <v>3180</v>
      </c>
      <c r="G1416" s="312">
        <v>53.14</v>
      </c>
      <c r="H1416" s="312">
        <v>351.77</v>
      </c>
      <c r="I1416" s="312">
        <v>48.35</v>
      </c>
      <c r="J1416" s="312">
        <v>166.60000000000002</v>
      </c>
      <c r="K1416" s="312">
        <v>221.98</v>
      </c>
      <c r="M1416" t="s">
        <v>3180</v>
      </c>
      <c r="N1416" s="312">
        <v>19433.23</v>
      </c>
      <c r="O1416" s="312">
        <v>300143.55</v>
      </c>
      <c r="P1416" s="312">
        <v>38699.71</v>
      </c>
      <c r="Q1416" s="312">
        <v>153487.87</v>
      </c>
      <c r="R1416" s="312">
        <v>83697</v>
      </c>
    </row>
    <row r="1417" spans="6:18">
      <c r="F1417" t="s">
        <v>3181</v>
      </c>
      <c r="G1417" s="312">
        <v>40.64</v>
      </c>
      <c r="H1417" s="312">
        <v>247.98</v>
      </c>
      <c r="I1417" s="312">
        <v>14.629999999999999</v>
      </c>
      <c r="J1417" s="312">
        <v>194.12</v>
      </c>
      <c r="K1417" s="312">
        <v>104.16</v>
      </c>
      <c r="M1417" t="s">
        <v>3181</v>
      </c>
      <c r="N1417" s="312">
        <v>24610.6</v>
      </c>
      <c r="O1417" s="312">
        <v>152008.79999999999</v>
      </c>
      <c r="P1417" s="312">
        <v>19334.05</v>
      </c>
      <c r="Q1417" s="312">
        <v>134613.17000000001</v>
      </c>
      <c r="R1417" s="312">
        <v>25159.34</v>
      </c>
    </row>
    <row r="1418" spans="6:18">
      <c r="F1418" t="s">
        <v>3182</v>
      </c>
      <c r="G1418" s="312">
        <v>28.060000000000002</v>
      </c>
      <c r="H1418" s="312">
        <v>218.56</v>
      </c>
      <c r="I1418" s="312">
        <v>13.52</v>
      </c>
      <c r="J1418" s="312">
        <v>151.12</v>
      </c>
      <c r="K1418" s="312">
        <v>162.41</v>
      </c>
      <c r="M1418" t="s">
        <v>3182</v>
      </c>
      <c r="N1418" s="312">
        <v>12774.55</v>
      </c>
      <c r="O1418" s="312">
        <v>214366.04</v>
      </c>
      <c r="P1418" s="312">
        <v>11185.880000000001</v>
      </c>
      <c r="Q1418" s="312">
        <v>84930.72</v>
      </c>
      <c r="R1418" s="312">
        <v>51933.24</v>
      </c>
    </row>
    <row r="1419" spans="6:18">
      <c r="F1419" t="s">
        <v>3183</v>
      </c>
      <c r="G1419" s="312">
        <v>51.180000000000007</v>
      </c>
      <c r="H1419" s="312">
        <v>317.85000000000002</v>
      </c>
      <c r="I1419" s="312">
        <v>115.81</v>
      </c>
      <c r="J1419" s="312">
        <v>182.6</v>
      </c>
      <c r="K1419" s="312">
        <v>544.54999999999995</v>
      </c>
      <c r="M1419" t="s">
        <v>3183</v>
      </c>
      <c r="N1419" s="312">
        <v>30100.670000000002</v>
      </c>
      <c r="O1419" s="312">
        <v>219629.63999999998</v>
      </c>
      <c r="P1419" s="312">
        <v>119462.20000000001</v>
      </c>
      <c r="Q1419" s="312">
        <v>133341.25</v>
      </c>
      <c r="R1419" s="312">
        <v>214139.81</v>
      </c>
    </row>
    <row r="1420" spans="6:18">
      <c r="F1420" t="s">
        <v>3184</v>
      </c>
      <c r="G1420" s="312">
        <v>65.17</v>
      </c>
      <c r="H1420" s="312">
        <v>244.12</v>
      </c>
      <c r="I1420" s="312">
        <v>57.47</v>
      </c>
      <c r="J1420" s="312">
        <v>318.99</v>
      </c>
      <c r="K1420" s="312">
        <v>568.84</v>
      </c>
      <c r="M1420" t="s">
        <v>3184</v>
      </c>
      <c r="N1420" s="312">
        <v>29266.739999999998</v>
      </c>
      <c r="O1420" s="312">
        <v>145270.04</v>
      </c>
      <c r="P1420" s="312">
        <v>68944.740000000005</v>
      </c>
      <c r="Q1420" s="312">
        <v>190748.13</v>
      </c>
      <c r="R1420" s="312">
        <v>251094.1</v>
      </c>
    </row>
    <row r="1421" spans="6:18">
      <c r="F1421" t="s">
        <v>3185</v>
      </c>
      <c r="G1421" s="312">
        <v>48.7</v>
      </c>
      <c r="H1421" s="312">
        <v>308.09000000000003</v>
      </c>
      <c r="I1421" s="312">
        <v>60.48</v>
      </c>
      <c r="J1421" s="312">
        <v>194.5</v>
      </c>
      <c r="K1421" s="312">
        <v>365.92</v>
      </c>
      <c r="M1421" t="s">
        <v>3185</v>
      </c>
      <c r="N1421" s="312">
        <v>34755.630000000005</v>
      </c>
      <c r="O1421" s="312">
        <v>187017.06</v>
      </c>
      <c r="P1421" s="312">
        <v>58758.94</v>
      </c>
      <c r="Q1421" s="312">
        <v>162276.67000000001</v>
      </c>
      <c r="R1421" s="312">
        <v>161920.26</v>
      </c>
    </row>
    <row r="1422" spans="6:18">
      <c r="F1422" t="s">
        <v>3186</v>
      </c>
      <c r="G1422" s="312">
        <v>71.17</v>
      </c>
      <c r="H1422" s="312">
        <v>414.77</v>
      </c>
      <c r="I1422" s="312">
        <v>58.05</v>
      </c>
      <c r="J1422" s="312">
        <v>243.98000000000002</v>
      </c>
      <c r="K1422" s="312">
        <v>448.15999999999997</v>
      </c>
      <c r="M1422" t="s">
        <v>3186</v>
      </c>
      <c r="N1422" s="312">
        <v>21373.06</v>
      </c>
      <c r="O1422" s="312">
        <v>226493.84</v>
      </c>
      <c r="P1422" s="312">
        <v>34441.94</v>
      </c>
      <c r="Q1422" s="312">
        <v>162448.75</v>
      </c>
      <c r="R1422" s="312">
        <v>182097.75</v>
      </c>
    </row>
    <row r="1423" spans="6:18">
      <c r="F1423" t="s">
        <v>3187</v>
      </c>
      <c r="G1423" s="312">
        <v>76.259999999999991</v>
      </c>
      <c r="H1423" s="312">
        <v>301.14999999999998</v>
      </c>
      <c r="I1423" s="312">
        <v>35.67</v>
      </c>
      <c r="J1423" s="312">
        <v>188.59</v>
      </c>
      <c r="K1423" s="312">
        <v>367.59000000000003</v>
      </c>
      <c r="M1423" t="s">
        <v>3187</v>
      </c>
      <c r="N1423" s="312">
        <v>41019.29</v>
      </c>
      <c r="O1423" s="312">
        <v>176723.81</v>
      </c>
      <c r="P1423" s="312">
        <v>29448.37</v>
      </c>
      <c r="Q1423" s="312">
        <v>106764.22</v>
      </c>
      <c r="R1423" s="312">
        <v>138220.91</v>
      </c>
    </row>
    <row r="1424" spans="6:18">
      <c r="F1424" t="s">
        <v>3188</v>
      </c>
      <c r="G1424" s="312">
        <v>51.17</v>
      </c>
      <c r="H1424" s="312">
        <v>303.5</v>
      </c>
      <c r="I1424" s="312">
        <v>42.56</v>
      </c>
      <c r="J1424" s="312">
        <v>179.73</v>
      </c>
      <c r="K1424" s="312">
        <v>389.74</v>
      </c>
      <c r="M1424" t="s">
        <v>3188</v>
      </c>
      <c r="N1424" s="312">
        <v>19242.14</v>
      </c>
      <c r="O1424" s="312">
        <v>211385.11</v>
      </c>
      <c r="P1424" s="312">
        <v>28714.519999999997</v>
      </c>
      <c r="Q1424" s="312">
        <v>112579.28</v>
      </c>
      <c r="R1424" s="312">
        <v>206543.97</v>
      </c>
    </row>
    <row r="1425" spans="6:18">
      <c r="F1425" t="s">
        <v>3189</v>
      </c>
      <c r="G1425" s="312">
        <v>41.25</v>
      </c>
      <c r="H1425" s="312">
        <v>300.3</v>
      </c>
      <c r="I1425" s="312">
        <v>20.21</v>
      </c>
      <c r="J1425" s="312">
        <v>156.51999999999998</v>
      </c>
      <c r="K1425" s="312">
        <v>243.94</v>
      </c>
      <c r="M1425" t="s">
        <v>3189</v>
      </c>
      <c r="N1425" s="312">
        <v>15603.58</v>
      </c>
      <c r="O1425" s="312">
        <v>158633.33000000002</v>
      </c>
      <c r="P1425" s="312">
        <v>10381.69</v>
      </c>
      <c r="Q1425" s="312">
        <v>142207.70000000001</v>
      </c>
      <c r="R1425" s="312">
        <v>120682.57</v>
      </c>
    </row>
    <row r="1426" spans="6:18">
      <c r="F1426" t="s">
        <v>3190</v>
      </c>
      <c r="G1426" s="312">
        <v>80.809999999999988</v>
      </c>
      <c r="H1426" s="312">
        <v>521.09</v>
      </c>
      <c r="I1426" s="312">
        <v>72.33</v>
      </c>
      <c r="J1426" s="312">
        <v>239.37</v>
      </c>
      <c r="K1426" s="312">
        <v>707.16</v>
      </c>
      <c r="M1426" t="s">
        <v>3190</v>
      </c>
      <c r="N1426" s="312">
        <v>40586.06</v>
      </c>
      <c r="O1426" s="312">
        <v>317373.21999999997</v>
      </c>
      <c r="P1426" s="312">
        <v>55415.47</v>
      </c>
      <c r="Q1426" s="312">
        <v>225016.74</v>
      </c>
      <c r="R1426" s="312">
        <v>270331.63</v>
      </c>
    </row>
    <row r="1427" spans="6:18">
      <c r="F1427" t="s">
        <v>3191</v>
      </c>
      <c r="G1427" s="312">
        <v>53.45</v>
      </c>
      <c r="H1427" s="312">
        <v>352.78</v>
      </c>
      <c r="I1427" s="312">
        <v>175.28</v>
      </c>
      <c r="J1427" s="312">
        <v>258.72000000000003</v>
      </c>
      <c r="K1427" s="312">
        <v>848.80000000000007</v>
      </c>
      <c r="M1427" t="s">
        <v>3191</v>
      </c>
      <c r="N1427" s="312">
        <v>36798.86</v>
      </c>
      <c r="O1427" s="312">
        <v>209782.34999999998</v>
      </c>
      <c r="P1427" s="312">
        <v>142549.31999999998</v>
      </c>
      <c r="Q1427" s="312">
        <v>125751.72</v>
      </c>
      <c r="R1427" s="312">
        <v>245769.09</v>
      </c>
    </row>
    <row r="1428" spans="6:18">
      <c r="F1428" t="s">
        <v>3192</v>
      </c>
      <c r="G1428" s="312">
        <v>113.65</v>
      </c>
      <c r="H1428" s="312">
        <v>611.98</v>
      </c>
      <c r="I1428" s="312">
        <v>86.38</v>
      </c>
      <c r="J1428" s="312">
        <v>391.13</v>
      </c>
      <c r="K1428" s="312">
        <v>672.71</v>
      </c>
      <c r="M1428" t="s">
        <v>3192</v>
      </c>
      <c r="N1428" s="312">
        <v>71768.19</v>
      </c>
      <c r="O1428" s="312">
        <v>370604.74</v>
      </c>
      <c r="P1428" s="312">
        <v>85198.52</v>
      </c>
      <c r="Q1428" s="312">
        <v>212387.87</v>
      </c>
      <c r="R1428" s="312">
        <v>230721</v>
      </c>
    </row>
    <row r="1429" spans="6:18">
      <c r="F1429" t="s">
        <v>3193</v>
      </c>
      <c r="G1429" s="312">
        <v>133.28</v>
      </c>
      <c r="H1429" s="312">
        <v>694.52</v>
      </c>
      <c r="I1429" s="312">
        <v>95.23</v>
      </c>
      <c r="J1429" s="312">
        <v>253.87</v>
      </c>
      <c r="K1429" s="312">
        <v>780.23</v>
      </c>
      <c r="M1429" t="s">
        <v>3193</v>
      </c>
      <c r="N1429" s="312">
        <v>100680.56999999999</v>
      </c>
      <c r="O1429" s="312">
        <v>355899.05999999994</v>
      </c>
      <c r="P1429" s="312">
        <v>55705.3</v>
      </c>
      <c r="Q1429" s="312">
        <v>188919.08000000002</v>
      </c>
      <c r="R1429" s="312">
        <v>254411.15000000002</v>
      </c>
    </row>
    <row r="1430" spans="6:18">
      <c r="F1430" t="s">
        <v>3194</v>
      </c>
      <c r="G1430" s="312">
        <v>178.82</v>
      </c>
      <c r="H1430" s="312">
        <v>851.17</v>
      </c>
      <c r="I1430" s="312">
        <v>96.13</v>
      </c>
      <c r="J1430" s="312">
        <v>455.70000000000005</v>
      </c>
      <c r="K1430" s="312">
        <v>1747.33</v>
      </c>
      <c r="M1430" t="s">
        <v>3194</v>
      </c>
      <c r="N1430" s="312">
        <v>116869.28</v>
      </c>
      <c r="O1430" s="312">
        <v>433465.66000000003</v>
      </c>
      <c r="P1430" s="312">
        <v>55549.04</v>
      </c>
      <c r="Q1430" s="312">
        <v>244709.68</v>
      </c>
      <c r="R1430" s="312">
        <v>550312.29</v>
      </c>
    </row>
    <row r="1431" spans="6:18">
      <c r="F1431" t="s">
        <v>3195</v>
      </c>
      <c r="G1431" s="312">
        <v>117.95</v>
      </c>
      <c r="H1431" s="312">
        <v>635.39</v>
      </c>
      <c r="I1431" s="312">
        <v>50.339999999999996</v>
      </c>
      <c r="J1431" s="312">
        <v>315.48</v>
      </c>
      <c r="K1431" s="312">
        <v>1206.27</v>
      </c>
      <c r="M1431" t="s">
        <v>3195</v>
      </c>
      <c r="N1431" s="312">
        <v>73318.48</v>
      </c>
      <c r="O1431" s="312">
        <v>338185.81</v>
      </c>
      <c r="P1431" s="312">
        <v>57971.920000000006</v>
      </c>
      <c r="Q1431" s="312">
        <v>138575.06</v>
      </c>
      <c r="R1431" s="312">
        <v>374962.03</v>
      </c>
    </row>
    <row r="1432" spans="6:18">
      <c r="F1432" t="s">
        <v>3196</v>
      </c>
      <c r="G1432" s="312">
        <v>115.44</v>
      </c>
      <c r="H1432" s="312">
        <v>694.81999999999994</v>
      </c>
      <c r="I1432" s="312">
        <v>17.11</v>
      </c>
      <c r="J1432" s="312">
        <v>333.15999999999997</v>
      </c>
      <c r="K1432" s="312">
        <v>1192.46</v>
      </c>
      <c r="M1432" t="s">
        <v>3196</v>
      </c>
      <c r="N1432" s="312">
        <v>50544.94</v>
      </c>
      <c r="O1432" s="312">
        <v>351876.55</v>
      </c>
      <c r="P1432" s="312">
        <v>10059.990000000002</v>
      </c>
      <c r="Q1432" s="312">
        <v>181704.02</v>
      </c>
      <c r="R1432" s="312">
        <v>359139.88</v>
      </c>
    </row>
    <row r="1433" spans="6:18">
      <c r="F1433" t="s">
        <v>3197</v>
      </c>
      <c r="G1433" s="312">
        <v>213.24</v>
      </c>
      <c r="H1433" s="312">
        <v>697.67</v>
      </c>
      <c r="I1433" s="312">
        <v>119.57000000000001</v>
      </c>
      <c r="J1433" s="312">
        <v>455.96000000000004</v>
      </c>
      <c r="K1433" s="312">
        <v>1939.7399999999998</v>
      </c>
      <c r="M1433" t="s">
        <v>3197</v>
      </c>
      <c r="N1433" s="312">
        <v>94141.15</v>
      </c>
      <c r="O1433" s="312">
        <v>375060.01</v>
      </c>
      <c r="P1433" s="312">
        <v>113932.91</v>
      </c>
      <c r="Q1433" s="312">
        <v>212076.77000000002</v>
      </c>
      <c r="R1433" s="312">
        <v>619991.63</v>
      </c>
    </row>
    <row r="1434" spans="6:18">
      <c r="F1434" t="s">
        <v>3198</v>
      </c>
      <c r="G1434" s="312">
        <v>109.28</v>
      </c>
      <c r="H1434" s="312">
        <v>664.45</v>
      </c>
      <c r="I1434" s="312">
        <v>52.77</v>
      </c>
      <c r="J1434" s="312">
        <v>521.67000000000007</v>
      </c>
      <c r="K1434" s="312">
        <v>1115.6600000000001</v>
      </c>
      <c r="M1434" t="s">
        <v>3198</v>
      </c>
      <c r="N1434" s="312">
        <v>60408.76</v>
      </c>
      <c r="O1434" s="312">
        <v>336592.72000000003</v>
      </c>
      <c r="P1434" s="312">
        <v>56505.08</v>
      </c>
      <c r="Q1434" s="312">
        <v>280895.42000000004</v>
      </c>
      <c r="R1434" s="312">
        <v>311972.25</v>
      </c>
    </row>
    <row r="1435" spans="6:18">
      <c r="F1435" t="s">
        <v>3199</v>
      </c>
      <c r="G1435" s="312">
        <v>95.27</v>
      </c>
      <c r="H1435" s="312">
        <v>547.80000000000007</v>
      </c>
      <c r="I1435" s="312">
        <v>84.52</v>
      </c>
      <c r="J1435" s="312">
        <v>605.80999999999995</v>
      </c>
      <c r="K1435" s="312">
        <v>809.67000000000007</v>
      </c>
      <c r="M1435" t="s">
        <v>3199</v>
      </c>
      <c r="N1435" s="312">
        <v>54029.51</v>
      </c>
      <c r="O1435" s="312">
        <v>277369.03000000003</v>
      </c>
      <c r="P1435" s="312">
        <v>79427.099999999991</v>
      </c>
      <c r="Q1435" s="312">
        <v>298573.71000000002</v>
      </c>
      <c r="R1435" s="312">
        <v>278243.42</v>
      </c>
    </row>
    <row r="1436" spans="6:18">
      <c r="F1436" t="s">
        <v>3200</v>
      </c>
      <c r="G1436" s="312">
        <v>58.519999999999996</v>
      </c>
      <c r="H1436" s="312">
        <v>538.11</v>
      </c>
      <c r="I1436" s="312">
        <v>59.35</v>
      </c>
      <c r="J1436" s="312">
        <v>426.85</v>
      </c>
      <c r="K1436" s="312">
        <v>751.11999999999989</v>
      </c>
      <c r="M1436" t="s">
        <v>3200</v>
      </c>
      <c r="N1436" s="312">
        <v>33637.68</v>
      </c>
      <c r="O1436" s="312">
        <v>315983.98</v>
      </c>
      <c r="P1436" s="312">
        <v>56313.63</v>
      </c>
      <c r="Q1436" s="312">
        <v>267303.11</v>
      </c>
      <c r="R1436" s="312">
        <v>284162.20999999996</v>
      </c>
    </row>
    <row r="1437" spans="6:18">
      <c r="F1437" t="s">
        <v>3201</v>
      </c>
      <c r="G1437" s="312">
        <v>65.88</v>
      </c>
      <c r="H1437" s="312">
        <v>470.3</v>
      </c>
      <c r="I1437" s="312">
        <v>68.3</v>
      </c>
      <c r="J1437" s="312">
        <v>511.86</v>
      </c>
      <c r="K1437" s="312">
        <v>816.22</v>
      </c>
      <c r="M1437" t="s">
        <v>3201</v>
      </c>
      <c r="N1437" s="312">
        <v>38806.31</v>
      </c>
      <c r="O1437" s="312">
        <v>284240.61</v>
      </c>
      <c r="P1437" s="312">
        <v>37877.770000000004</v>
      </c>
      <c r="Q1437" s="312">
        <v>231118.18</v>
      </c>
      <c r="R1437" s="312">
        <v>287934.68</v>
      </c>
    </row>
    <row r="1438" spans="6:18">
      <c r="F1438" t="s">
        <v>3202</v>
      </c>
      <c r="G1438" s="312">
        <v>33.450000000000003</v>
      </c>
      <c r="H1438" s="312">
        <v>271.89</v>
      </c>
      <c r="I1438" s="312">
        <v>35.32</v>
      </c>
      <c r="J1438" s="312">
        <v>385.45000000000005</v>
      </c>
      <c r="K1438" s="312">
        <v>547.14</v>
      </c>
      <c r="M1438" t="s">
        <v>3202</v>
      </c>
      <c r="N1438" s="312">
        <v>23874.6</v>
      </c>
      <c r="O1438" s="312">
        <v>123446.31</v>
      </c>
      <c r="P1438" s="312">
        <v>29908.959999999999</v>
      </c>
      <c r="Q1438" s="312">
        <v>358630.54</v>
      </c>
      <c r="R1438" s="312">
        <v>203173.36</v>
      </c>
    </row>
    <row r="1439" spans="6:18">
      <c r="F1439" t="s">
        <v>3203</v>
      </c>
      <c r="G1439" s="312">
        <v>47.63</v>
      </c>
      <c r="H1439" s="312">
        <v>285.06</v>
      </c>
      <c r="I1439" s="312">
        <v>33.28</v>
      </c>
      <c r="J1439" s="312">
        <v>285.45</v>
      </c>
      <c r="K1439" s="312">
        <v>626.12</v>
      </c>
      <c r="M1439" t="s">
        <v>3203</v>
      </c>
      <c r="N1439" s="312">
        <v>32648.31</v>
      </c>
      <c r="O1439" s="312">
        <v>174763.25</v>
      </c>
      <c r="P1439" s="312">
        <v>25458.240000000002</v>
      </c>
      <c r="Q1439" s="312">
        <v>147041.57</v>
      </c>
      <c r="R1439" s="312">
        <v>236067.42</v>
      </c>
    </row>
    <row r="1440" spans="6:18">
      <c r="F1440" t="s">
        <v>3204</v>
      </c>
      <c r="G1440" s="312">
        <v>78.28</v>
      </c>
      <c r="H1440" s="312">
        <v>722.54</v>
      </c>
      <c r="I1440" s="312">
        <v>68.679999999999993</v>
      </c>
      <c r="J1440" s="312">
        <v>469.1</v>
      </c>
      <c r="K1440" s="312">
        <v>705.76</v>
      </c>
      <c r="M1440" t="s">
        <v>3204</v>
      </c>
      <c r="N1440" s="312">
        <v>39500.44</v>
      </c>
      <c r="O1440" s="312">
        <v>376080.08</v>
      </c>
      <c r="P1440" s="312">
        <v>55930.12</v>
      </c>
      <c r="Q1440" s="312">
        <v>212706.22</v>
      </c>
      <c r="R1440" s="312">
        <v>229503.33</v>
      </c>
    </row>
    <row r="1441" spans="6:18">
      <c r="F1441" t="s">
        <v>3205</v>
      </c>
      <c r="G1441" s="312">
        <v>54.78</v>
      </c>
      <c r="H1441" s="312">
        <v>886</v>
      </c>
      <c r="I1441" s="312">
        <v>74.91</v>
      </c>
      <c r="J1441" s="312">
        <v>263.32</v>
      </c>
      <c r="K1441" s="312">
        <v>886.86</v>
      </c>
      <c r="M1441" t="s">
        <v>3205</v>
      </c>
      <c r="N1441" s="312">
        <v>35460.94</v>
      </c>
      <c r="O1441" s="312">
        <v>498563.9</v>
      </c>
      <c r="P1441" s="312">
        <v>39197.340000000004</v>
      </c>
      <c r="Q1441" s="312">
        <v>145098.54</v>
      </c>
      <c r="R1441" s="312">
        <v>316258.42</v>
      </c>
    </row>
    <row r="1442" spans="6:18">
      <c r="F1442" t="s">
        <v>3206</v>
      </c>
      <c r="G1442" s="312">
        <v>74.78</v>
      </c>
      <c r="H1442" s="312">
        <v>774.08</v>
      </c>
      <c r="I1442" s="312">
        <v>77.89</v>
      </c>
      <c r="J1442" s="312">
        <v>339.26</v>
      </c>
      <c r="K1442" s="312">
        <v>908.82</v>
      </c>
      <c r="M1442" t="s">
        <v>3206</v>
      </c>
      <c r="N1442" s="312">
        <v>42949.51</v>
      </c>
      <c r="O1442" s="312">
        <v>368949.77</v>
      </c>
      <c r="P1442" s="312">
        <v>53884.47</v>
      </c>
      <c r="Q1442" s="312">
        <v>168118.16999999998</v>
      </c>
      <c r="R1442" s="312">
        <v>339187.51</v>
      </c>
    </row>
    <row r="1443" spans="6:18">
      <c r="F1443" t="s">
        <v>3207</v>
      </c>
      <c r="G1443" s="312">
        <v>51.64</v>
      </c>
      <c r="H1443" s="312">
        <v>670.92000000000007</v>
      </c>
      <c r="I1443" s="312">
        <v>72.710000000000008</v>
      </c>
      <c r="J1443" s="312">
        <v>478.62</v>
      </c>
      <c r="K1443" s="312">
        <v>867.4</v>
      </c>
      <c r="M1443" t="s">
        <v>3207</v>
      </c>
      <c r="N1443" s="312">
        <v>20817.050000000003</v>
      </c>
      <c r="O1443" s="312">
        <v>334981.62</v>
      </c>
      <c r="P1443" s="312">
        <v>59250.460000000006</v>
      </c>
      <c r="Q1443" s="312">
        <v>216943.69999999998</v>
      </c>
      <c r="R1443" s="312">
        <v>266713.5</v>
      </c>
    </row>
    <row r="1444" spans="6:18">
      <c r="F1444" t="s">
        <v>3208</v>
      </c>
      <c r="G1444" s="312">
        <v>46.05</v>
      </c>
      <c r="H1444" s="312">
        <v>744.15</v>
      </c>
      <c r="I1444" s="312">
        <v>99.15</v>
      </c>
      <c r="J1444" s="312">
        <v>364.91</v>
      </c>
      <c r="K1444" s="312">
        <v>4165.24</v>
      </c>
      <c r="M1444" t="s">
        <v>3208</v>
      </c>
      <c r="N1444" s="312">
        <v>15747.09</v>
      </c>
      <c r="O1444" s="312">
        <v>385288.77</v>
      </c>
      <c r="P1444" s="312">
        <v>71269.279999999999</v>
      </c>
      <c r="Q1444" s="312">
        <v>295021.24</v>
      </c>
      <c r="R1444" s="312">
        <v>969907.60000000009</v>
      </c>
    </row>
    <row r="1445" spans="6:18">
      <c r="F1445" t="s">
        <v>3209</v>
      </c>
      <c r="G1445" s="312">
        <v>53.93</v>
      </c>
      <c r="H1445" s="312">
        <v>375.27</v>
      </c>
      <c r="I1445" s="312">
        <v>48.91</v>
      </c>
      <c r="J1445" s="312">
        <v>394.29999999999995</v>
      </c>
      <c r="K1445" s="312">
        <v>953.81</v>
      </c>
      <c r="M1445" t="s">
        <v>3209</v>
      </c>
      <c r="N1445" s="312">
        <v>28229.38</v>
      </c>
      <c r="O1445" s="312">
        <v>185123.99</v>
      </c>
      <c r="P1445" s="312">
        <v>26201.800000000003</v>
      </c>
      <c r="Q1445" s="312">
        <v>194777.76</v>
      </c>
      <c r="R1445" s="312">
        <v>285553.08</v>
      </c>
    </row>
    <row r="1446" spans="6:18">
      <c r="F1446" t="s">
        <v>3210</v>
      </c>
      <c r="G1446" s="312">
        <v>115.72</v>
      </c>
      <c r="H1446" s="312">
        <v>473.69</v>
      </c>
      <c r="I1446" s="312">
        <v>20</v>
      </c>
      <c r="J1446" s="312">
        <v>267.32</v>
      </c>
      <c r="K1446" s="312">
        <v>891.18000000000006</v>
      </c>
      <c r="M1446" t="s">
        <v>3210</v>
      </c>
      <c r="N1446" s="312">
        <v>58330.62</v>
      </c>
      <c r="O1446" s="312">
        <v>253651.45</v>
      </c>
      <c r="P1446" s="312">
        <v>8467.880000000001</v>
      </c>
      <c r="Q1446" s="312">
        <v>118355.66</v>
      </c>
      <c r="R1446" s="312">
        <v>333555.45</v>
      </c>
    </row>
    <row r="1447" spans="6:18">
      <c r="F1447" t="s">
        <v>3211</v>
      </c>
      <c r="G1447" s="312">
        <v>54.32</v>
      </c>
      <c r="H1447" s="312">
        <v>523</v>
      </c>
      <c r="I1447" s="312">
        <v>107.84</v>
      </c>
      <c r="J1447" s="312">
        <v>364.93</v>
      </c>
      <c r="K1447" s="312">
        <v>1048.3499999999999</v>
      </c>
      <c r="M1447" t="s">
        <v>3211</v>
      </c>
      <c r="N1447" s="312">
        <v>20892.739999999998</v>
      </c>
      <c r="O1447" s="312">
        <v>279348.08</v>
      </c>
      <c r="P1447" s="312">
        <v>71984.710000000006</v>
      </c>
      <c r="Q1447" s="312">
        <v>158004.91</v>
      </c>
      <c r="R1447" s="312">
        <v>344912.8</v>
      </c>
    </row>
    <row r="1448" spans="6:18">
      <c r="F1448" t="s">
        <v>3212</v>
      </c>
      <c r="G1448" s="312">
        <v>54.79</v>
      </c>
      <c r="H1448" s="312">
        <v>675.51</v>
      </c>
      <c r="I1448" s="312">
        <v>95.05</v>
      </c>
      <c r="J1448" s="312">
        <v>460.26</v>
      </c>
      <c r="K1448" s="312">
        <v>1074.7</v>
      </c>
      <c r="M1448" t="s">
        <v>3212</v>
      </c>
      <c r="N1448" s="312">
        <v>31577.199999999997</v>
      </c>
      <c r="O1448" s="312">
        <v>444918.58</v>
      </c>
      <c r="P1448" s="312">
        <v>58246.570000000007</v>
      </c>
      <c r="Q1448" s="312">
        <v>233603.87</v>
      </c>
      <c r="R1448" s="312">
        <v>351374.51</v>
      </c>
    </row>
    <row r="1449" spans="6:18">
      <c r="F1449" t="s">
        <v>3213</v>
      </c>
      <c r="G1449" s="312">
        <v>37.93</v>
      </c>
      <c r="H1449" s="312">
        <v>656.97</v>
      </c>
      <c r="I1449" s="312">
        <v>96.22</v>
      </c>
      <c r="J1449" s="312">
        <v>466.20000000000005</v>
      </c>
      <c r="K1449" s="312">
        <v>977.64</v>
      </c>
      <c r="M1449" t="s">
        <v>3213</v>
      </c>
      <c r="N1449" s="312">
        <v>13063.52</v>
      </c>
      <c r="O1449" s="312">
        <v>410350.67000000004</v>
      </c>
      <c r="P1449" s="312">
        <v>89737</v>
      </c>
      <c r="Q1449" s="312">
        <v>291309.43000000005</v>
      </c>
      <c r="R1449" s="312">
        <v>317094.7</v>
      </c>
    </row>
    <row r="1450" spans="6:18">
      <c r="F1450" t="s">
        <v>3214</v>
      </c>
      <c r="G1450" s="312">
        <v>35.160000000000004</v>
      </c>
      <c r="H1450" s="312">
        <v>434.75</v>
      </c>
      <c r="I1450" s="312">
        <v>114.62</v>
      </c>
      <c r="J1450" s="312">
        <v>523.91</v>
      </c>
      <c r="K1450" s="312">
        <v>860.5</v>
      </c>
      <c r="M1450" t="s">
        <v>3214</v>
      </c>
      <c r="N1450" s="312">
        <v>17675.09</v>
      </c>
      <c r="O1450" s="312">
        <v>212062.31</v>
      </c>
      <c r="P1450" s="312">
        <v>76048.44</v>
      </c>
      <c r="Q1450" s="312">
        <v>231073.21</v>
      </c>
      <c r="R1450" s="312">
        <v>258525.80000000002</v>
      </c>
    </row>
    <row r="1451" spans="6:18">
      <c r="F1451" t="s">
        <v>3215</v>
      </c>
      <c r="G1451" s="312">
        <v>55.19</v>
      </c>
      <c r="H1451" s="312">
        <v>428.32000000000005</v>
      </c>
      <c r="I1451" s="312">
        <v>64.03</v>
      </c>
      <c r="J1451" s="312">
        <v>312.10000000000002</v>
      </c>
      <c r="K1451" s="312">
        <v>926.61000000000013</v>
      </c>
      <c r="M1451" t="s">
        <v>3215</v>
      </c>
      <c r="N1451" s="312">
        <v>30068.29</v>
      </c>
      <c r="O1451" s="312">
        <v>216918.88999999998</v>
      </c>
      <c r="P1451" s="312">
        <v>37448.22</v>
      </c>
      <c r="Q1451" s="312">
        <v>208801.88</v>
      </c>
      <c r="R1451" s="312">
        <v>331763.17000000004</v>
      </c>
    </row>
    <row r="1452" spans="6:18">
      <c r="F1452" t="s">
        <v>3216</v>
      </c>
      <c r="G1452" s="312">
        <v>60.03</v>
      </c>
      <c r="H1452" s="312">
        <v>372.24</v>
      </c>
      <c r="I1452" s="312">
        <v>35.770000000000003</v>
      </c>
      <c r="J1452" s="312">
        <v>342.43</v>
      </c>
      <c r="K1452" s="312">
        <v>708.8</v>
      </c>
      <c r="M1452" t="s">
        <v>3216</v>
      </c>
      <c r="N1452" s="312">
        <v>32078.25</v>
      </c>
      <c r="O1452" s="312">
        <v>178938.22999999998</v>
      </c>
      <c r="P1452" s="312">
        <v>20941.940000000002</v>
      </c>
      <c r="Q1452" s="312">
        <v>171777.15999999997</v>
      </c>
      <c r="R1452" s="312">
        <v>192289.09999999998</v>
      </c>
    </row>
    <row r="1453" spans="6:18">
      <c r="F1453" t="s">
        <v>3217</v>
      </c>
      <c r="G1453" s="312">
        <v>51.59</v>
      </c>
      <c r="H1453" s="312">
        <v>299.60000000000002</v>
      </c>
      <c r="I1453" s="312">
        <v>50.849999999999994</v>
      </c>
      <c r="J1453" s="312">
        <v>221.82</v>
      </c>
      <c r="K1453" s="312">
        <v>686.78</v>
      </c>
      <c r="M1453" t="s">
        <v>3217</v>
      </c>
      <c r="N1453" s="312">
        <v>42734.75</v>
      </c>
      <c r="O1453" s="312">
        <v>152755.25</v>
      </c>
      <c r="P1453" s="312">
        <v>52493.32</v>
      </c>
      <c r="Q1453" s="312">
        <v>108792.28</v>
      </c>
      <c r="R1453" s="312">
        <v>200649.98</v>
      </c>
    </row>
    <row r="1454" spans="6:18">
      <c r="F1454" t="s">
        <v>3218</v>
      </c>
      <c r="G1454" s="312">
        <v>86.94</v>
      </c>
      <c r="H1454" s="312">
        <v>555.34</v>
      </c>
      <c r="I1454" s="312">
        <v>131.02000000000001</v>
      </c>
      <c r="J1454" s="312">
        <v>349.95</v>
      </c>
      <c r="K1454" s="312">
        <v>1003.0699999999999</v>
      </c>
      <c r="M1454" t="s">
        <v>3218</v>
      </c>
      <c r="N1454" s="312">
        <v>42707.87</v>
      </c>
      <c r="O1454" s="312">
        <v>291271.81</v>
      </c>
      <c r="P1454" s="312">
        <v>112217.87</v>
      </c>
      <c r="Q1454" s="312">
        <v>194871.29</v>
      </c>
      <c r="R1454" s="312">
        <v>323565.32999999996</v>
      </c>
    </row>
    <row r="1455" spans="6:18">
      <c r="F1455" t="s">
        <v>3219</v>
      </c>
      <c r="G1455" s="312">
        <v>36.200000000000003</v>
      </c>
      <c r="H1455" s="312">
        <v>428.69</v>
      </c>
      <c r="I1455" s="312">
        <v>91.360000000000014</v>
      </c>
      <c r="J1455" s="312">
        <v>487.22</v>
      </c>
      <c r="K1455" s="312">
        <v>938.86</v>
      </c>
      <c r="M1455" t="s">
        <v>3219</v>
      </c>
      <c r="N1455" s="312">
        <v>15221.630000000001</v>
      </c>
      <c r="O1455" s="312">
        <v>211926.97</v>
      </c>
      <c r="P1455" s="312">
        <v>51542.32</v>
      </c>
      <c r="Q1455" s="312">
        <v>252471.15</v>
      </c>
      <c r="R1455" s="312">
        <v>271803.93</v>
      </c>
    </row>
    <row r="1456" spans="6:18">
      <c r="F1456" t="s">
        <v>3220</v>
      </c>
      <c r="G1456" s="312">
        <v>76.67</v>
      </c>
      <c r="H1456" s="312">
        <v>321.27</v>
      </c>
      <c r="I1456" s="312">
        <v>55.53</v>
      </c>
      <c r="J1456" s="312">
        <v>421.28999999999996</v>
      </c>
      <c r="K1456" s="312">
        <v>942.22</v>
      </c>
      <c r="M1456" t="s">
        <v>3220</v>
      </c>
      <c r="N1456" s="312">
        <v>39800.81</v>
      </c>
      <c r="O1456" s="312">
        <v>175179.41999999998</v>
      </c>
      <c r="P1456" s="312">
        <v>25441.870000000003</v>
      </c>
      <c r="Q1456" s="312">
        <v>316336.96999999997</v>
      </c>
      <c r="R1456" s="312">
        <v>309640.57</v>
      </c>
    </row>
    <row r="1457" spans="6:18">
      <c r="F1457" t="s">
        <v>3221</v>
      </c>
      <c r="G1457" s="312">
        <v>56.26</v>
      </c>
      <c r="H1457" s="312">
        <v>450.52000000000004</v>
      </c>
      <c r="I1457" s="312">
        <v>87</v>
      </c>
      <c r="J1457" s="312">
        <v>339.65999999999997</v>
      </c>
      <c r="K1457" s="312">
        <v>858.57999999999993</v>
      </c>
      <c r="M1457" t="s">
        <v>3221</v>
      </c>
      <c r="N1457" s="312">
        <v>35947.89</v>
      </c>
      <c r="O1457" s="312">
        <v>233938.25</v>
      </c>
      <c r="P1457" s="312">
        <v>66470.28</v>
      </c>
      <c r="Q1457" s="312">
        <v>154298.64000000001</v>
      </c>
      <c r="R1457" s="312">
        <v>281964.06</v>
      </c>
    </row>
    <row r="1458" spans="6:18">
      <c r="F1458" t="s">
        <v>3222</v>
      </c>
      <c r="G1458" s="312">
        <v>54.309999999999995</v>
      </c>
      <c r="H1458" s="312">
        <v>317.08</v>
      </c>
      <c r="I1458" s="312">
        <v>46.17</v>
      </c>
      <c r="J1458" s="312">
        <v>331.34</v>
      </c>
      <c r="K1458" s="312">
        <v>637.38</v>
      </c>
      <c r="M1458" t="s">
        <v>3222</v>
      </c>
      <c r="N1458" s="312">
        <v>37389.090000000004</v>
      </c>
      <c r="O1458" s="312">
        <v>177558.43</v>
      </c>
      <c r="P1458" s="312">
        <v>40495.699999999997</v>
      </c>
      <c r="Q1458" s="312">
        <v>143955.33000000002</v>
      </c>
      <c r="R1458" s="312">
        <v>215212.66999999998</v>
      </c>
    </row>
    <row r="1459" spans="6:18">
      <c r="F1459" t="s">
        <v>3223</v>
      </c>
      <c r="G1459" s="312">
        <v>59.709999999999994</v>
      </c>
      <c r="H1459" s="312">
        <v>175.91</v>
      </c>
      <c r="I1459" s="312">
        <v>8.42</v>
      </c>
      <c r="J1459" s="312">
        <v>115.00999999999999</v>
      </c>
      <c r="K1459" s="312">
        <v>811.04</v>
      </c>
      <c r="M1459" t="s">
        <v>3223</v>
      </c>
      <c r="N1459" s="312">
        <v>19360.849999999999</v>
      </c>
      <c r="O1459" s="312">
        <v>92519.1</v>
      </c>
      <c r="P1459" s="312">
        <v>6092.68</v>
      </c>
      <c r="Q1459" s="312">
        <v>59083.29</v>
      </c>
      <c r="R1459" s="312">
        <v>248787.69</v>
      </c>
    </row>
    <row r="1460" spans="6:18">
      <c r="F1460" t="s">
        <v>3224</v>
      </c>
      <c r="G1460" s="312">
        <v>77.34</v>
      </c>
      <c r="H1460" s="312">
        <v>229.07999999999998</v>
      </c>
      <c r="I1460" s="312">
        <v>12.5</v>
      </c>
      <c r="J1460" s="312">
        <v>242.04</v>
      </c>
      <c r="K1460" s="312">
        <v>996.33999999999992</v>
      </c>
      <c r="M1460" t="s">
        <v>3224</v>
      </c>
      <c r="N1460" s="312">
        <v>49497.170000000006</v>
      </c>
      <c r="O1460" s="312">
        <v>109064.97</v>
      </c>
      <c r="P1460" s="312">
        <v>9110.76</v>
      </c>
      <c r="Q1460" s="312">
        <v>95688.53</v>
      </c>
      <c r="R1460" s="312">
        <v>348254.82</v>
      </c>
    </row>
    <row r="1461" spans="6:18">
      <c r="F1461" t="s">
        <v>3225</v>
      </c>
      <c r="G1461" s="312">
        <v>47.64</v>
      </c>
      <c r="H1461" s="312">
        <v>363.46</v>
      </c>
      <c r="I1461" s="312">
        <v>177.17000000000002</v>
      </c>
      <c r="J1461" s="312">
        <v>338.45</v>
      </c>
      <c r="K1461" s="312">
        <v>1126.52</v>
      </c>
      <c r="M1461" t="s">
        <v>3225</v>
      </c>
      <c r="N1461" s="312">
        <v>16551.54</v>
      </c>
      <c r="O1461" s="312">
        <v>206936.06</v>
      </c>
      <c r="P1461" s="312">
        <v>159168.07</v>
      </c>
      <c r="Q1461" s="312">
        <v>145546.91</v>
      </c>
      <c r="R1461" s="312">
        <v>400041.05</v>
      </c>
    </row>
    <row r="1462" spans="6:18">
      <c r="F1462" t="s">
        <v>3226</v>
      </c>
      <c r="G1462" s="312">
        <v>21.96</v>
      </c>
      <c r="H1462" s="312">
        <v>426.91999999999996</v>
      </c>
      <c r="I1462" s="312">
        <v>81.47</v>
      </c>
      <c r="J1462" s="312">
        <v>381.62</v>
      </c>
      <c r="K1462" s="312">
        <v>877.49</v>
      </c>
      <c r="M1462" t="s">
        <v>3226</v>
      </c>
      <c r="N1462" s="312">
        <v>15029.61</v>
      </c>
      <c r="O1462" s="312">
        <v>244429.91</v>
      </c>
      <c r="P1462" s="312">
        <v>52175.7</v>
      </c>
      <c r="Q1462" s="312">
        <v>173342.82</v>
      </c>
      <c r="R1462" s="312">
        <v>321946.65000000002</v>
      </c>
    </row>
    <row r="1463" spans="6:18">
      <c r="F1463" t="s">
        <v>3227</v>
      </c>
      <c r="G1463" s="312">
        <v>54.870000000000005</v>
      </c>
      <c r="H1463" s="312">
        <v>481.87</v>
      </c>
      <c r="I1463" s="312">
        <v>156.54000000000002</v>
      </c>
      <c r="J1463" s="312">
        <v>413.83</v>
      </c>
      <c r="K1463" s="312">
        <v>782.81999999999994</v>
      </c>
      <c r="M1463" t="s">
        <v>3227</v>
      </c>
      <c r="N1463" s="312">
        <v>41785.75</v>
      </c>
      <c r="O1463" s="312">
        <v>214915.23</v>
      </c>
      <c r="P1463" s="312">
        <v>106704.59999999999</v>
      </c>
      <c r="Q1463" s="312">
        <v>215011.43</v>
      </c>
      <c r="R1463" s="312">
        <v>255631.87</v>
      </c>
    </row>
    <row r="1464" spans="6:18">
      <c r="F1464" t="s">
        <v>3228</v>
      </c>
      <c r="G1464" s="312">
        <v>54.17</v>
      </c>
      <c r="H1464" s="312">
        <v>401.46000000000004</v>
      </c>
      <c r="I1464" s="312">
        <v>85.449999999999989</v>
      </c>
      <c r="J1464" s="312">
        <v>425.83</v>
      </c>
      <c r="K1464" s="312">
        <v>805.59999999999991</v>
      </c>
      <c r="M1464" t="s">
        <v>3228</v>
      </c>
      <c r="N1464" s="312">
        <v>28169.41</v>
      </c>
      <c r="O1464" s="312">
        <v>219628</v>
      </c>
      <c r="P1464" s="312">
        <v>61415.43</v>
      </c>
      <c r="Q1464" s="312">
        <v>165648.85</v>
      </c>
      <c r="R1464" s="312">
        <v>314280.25</v>
      </c>
    </row>
    <row r="1465" spans="6:18">
      <c r="F1465" t="s">
        <v>3229</v>
      </c>
      <c r="G1465" s="312">
        <v>62.9</v>
      </c>
      <c r="H1465" s="312">
        <v>242.17000000000002</v>
      </c>
      <c r="I1465" s="312">
        <v>33.010000000000005</v>
      </c>
      <c r="J1465" s="312">
        <v>363.42</v>
      </c>
      <c r="K1465" s="312">
        <v>593.82000000000005</v>
      </c>
      <c r="M1465" t="s">
        <v>3229</v>
      </c>
      <c r="N1465" s="312">
        <v>28184.880000000001</v>
      </c>
      <c r="O1465" s="312">
        <v>122258.47</v>
      </c>
      <c r="P1465" s="312">
        <v>31606.899999999998</v>
      </c>
      <c r="Q1465" s="312">
        <v>153886.35999999999</v>
      </c>
      <c r="R1465" s="312">
        <v>217735.72999999998</v>
      </c>
    </row>
    <row r="1466" spans="6:18">
      <c r="F1466" t="s">
        <v>3230</v>
      </c>
      <c r="G1466" s="312">
        <v>28.12</v>
      </c>
      <c r="H1466" s="312">
        <v>154.63</v>
      </c>
      <c r="I1466" s="312">
        <v>21.36</v>
      </c>
      <c r="J1466" s="312">
        <v>231.70000000000002</v>
      </c>
      <c r="K1466" s="312">
        <v>561.73</v>
      </c>
      <c r="M1466" t="s">
        <v>3230</v>
      </c>
      <c r="N1466" s="312">
        <v>11133.369999999999</v>
      </c>
      <c r="O1466" s="312">
        <v>92062.299999999988</v>
      </c>
      <c r="P1466" s="312">
        <v>13041.43</v>
      </c>
      <c r="Q1466" s="312">
        <v>81201.58</v>
      </c>
      <c r="R1466" s="312">
        <v>204826.26</v>
      </c>
    </row>
    <row r="1467" spans="6:18">
      <c r="F1467" t="s">
        <v>3231</v>
      </c>
      <c r="G1467" s="312">
        <v>23.49</v>
      </c>
      <c r="H1467" s="312">
        <v>259.72000000000003</v>
      </c>
      <c r="I1467" s="312">
        <v>13.51</v>
      </c>
      <c r="J1467" s="312">
        <v>219.68</v>
      </c>
      <c r="K1467" s="312">
        <v>504.90999999999997</v>
      </c>
      <c r="M1467" t="s">
        <v>3231</v>
      </c>
      <c r="N1467" s="312">
        <v>12364.84</v>
      </c>
      <c r="O1467" s="312">
        <v>182078.41</v>
      </c>
      <c r="P1467" s="312">
        <v>5249.1399999999994</v>
      </c>
      <c r="Q1467" s="312">
        <v>98064.21</v>
      </c>
      <c r="R1467" s="312">
        <v>176695.41999999998</v>
      </c>
    </row>
    <row r="1468" spans="6:18">
      <c r="F1468" t="s">
        <v>3232</v>
      </c>
      <c r="G1468" s="312">
        <v>60.08</v>
      </c>
      <c r="H1468" s="312">
        <v>405.92</v>
      </c>
      <c r="I1468" s="312">
        <v>168.96</v>
      </c>
      <c r="J1468" s="312">
        <v>289.65999999999997</v>
      </c>
      <c r="K1468" s="312">
        <v>836.51</v>
      </c>
      <c r="M1468" t="s">
        <v>3232</v>
      </c>
      <c r="N1468" s="312">
        <v>29039.57</v>
      </c>
      <c r="O1468" s="312">
        <v>280697.97000000003</v>
      </c>
      <c r="P1468" s="312">
        <v>131868.69</v>
      </c>
      <c r="Q1468" s="312">
        <v>135994.39000000001</v>
      </c>
      <c r="R1468" s="312">
        <v>252567.32</v>
      </c>
    </row>
    <row r="1469" spans="6:18">
      <c r="F1469" t="s">
        <v>3233</v>
      </c>
      <c r="G1469" s="312">
        <v>45.83</v>
      </c>
      <c r="H1469" s="312">
        <v>336.52</v>
      </c>
      <c r="I1469" s="312">
        <v>95.960000000000008</v>
      </c>
      <c r="J1469" s="312">
        <v>425.35</v>
      </c>
      <c r="K1469" s="312">
        <v>638.31999999999994</v>
      </c>
      <c r="M1469" t="s">
        <v>3233</v>
      </c>
      <c r="N1469" s="312">
        <v>22455.75</v>
      </c>
      <c r="O1469" s="312">
        <v>172666.4</v>
      </c>
      <c r="P1469" s="312">
        <v>60025.490000000005</v>
      </c>
      <c r="Q1469" s="312">
        <v>188844.73</v>
      </c>
      <c r="R1469" s="312">
        <v>192666.77000000002</v>
      </c>
    </row>
    <row r="1470" spans="6:18">
      <c r="F1470" t="s">
        <v>3234</v>
      </c>
      <c r="G1470" s="312">
        <v>51.379999999999995</v>
      </c>
      <c r="H1470" s="312">
        <v>360.69</v>
      </c>
      <c r="I1470" s="312">
        <v>91.960000000000008</v>
      </c>
      <c r="J1470" s="312">
        <v>377.77</v>
      </c>
      <c r="K1470" s="312">
        <v>851.59999999999991</v>
      </c>
      <c r="M1470" t="s">
        <v>3234</v>
      </c>
      <c r="N1470" s="312">
        <v>30957.350000000002</v>
      </c>
      <c r="O1470" s="312">
        <v>218125.73</v>
      </c>
      <c r="P1470" s="312">
        <v>59945.22</v>
      </c>
      <c r="Q1470" s="312">
        <v>175729.43</v>
      </c>
      <c r="R1470" s="312">
        <v>275930.53999999998</v>
      </c>
    </row>
    <row r="1471" spans="6:18">
      <c r="F1471" t="s">
        <v>3235</v>
      </c>
      <c r="G1471" s="312">
        <v>83.12</v>
      </c>
      <c r="H1471" s="312">
        <v>269.17</v>
      </c>
      <c r="I1471" s="312">
        <v>90.640000000000015</v>
      </c>
      <c r="J1471" s="312">
        <v>387.02</v>
      </c>
      <c r="K1471" s="312">
        <v>847.17000000000007</v>
      </c>
      <c r="M1471" t="s">
        <v>3235</v>
      </c>
      <c r="N1471" s="312">
        <v>45927.66</v>
      </c>
      <c r="O1471" s="312">
        <v>105616.38</v>
      </c>
      <c r="P1471" s="312">
        <v>64755.780000000006</v>
      </c>
      <c r="Q1471" s="312">
        <v>224499.73</v>
      </c>
      <c r="R1471" s="312">
        <v>239900.14</v>
      </c>
    </row>
    <row r="1472" spans="6:18">
      <c r="F1472" t="s">
        <v>3236</v>
      </c>
      <c r="G1472" s="312">
        <v>63.44</v>
      </c>
      <c r="H1472" s="312">
        <v>363.59</v>
      </c>
      <c r="I1472" s="312">
        <v>74.41</v>
      </c>
      <c r="J1472" s="312">
        <v>293.5</v>
      </c>
      <c r="K1472" s="312">
        <v>832.83</v>
      </c>
      <c r="M1472" t="s">
        <v>3236</v>
      </c>
      <c r="N1472" s="312">
        <v>36046.94</v>
      </c>
      <c r="O1472" s="312">
        <v>150887.99</v>
      </c>
      <c r="P1472" s="312">
        <v>55101.02</v>
      </c>
      <c r="Q1472" s="312">
        <v>200332.12999999998</v>
      </c>
      <c r="R1472" s="312">
        <v>258618.63</v>
      </c>
    </row>
    <row r="1473" spans="6:18">
      <c r="F1473" t="s">
        <v>3237</v>
      </c>
      <c r="G1473" s="312">
        <v>32.700000000000003</v>
      </c>
      <c r="H1473" s="312">
        <v>289.47000000000003</v>
      </c>
      <c r="I1473" s="312">
        <v>31.4</v>
      </c>
      <c r="J1473" s="312">
        <v>342.23</v>
      </c>
      <c r="K1473" s="312">
        <v>634.01</v>
      </c>
      <c r="M1473" t="s">
        <v>3237</v>
      </c>
      <c r="N1473" s="312">
        <v>13337.4</v>
      </c>
      <c r="O1473" s="312">
        <v>155095.62</v>
      </c>
      <c r="P1473" s="312">
        <v>26144.9</v>
      </c>
      <c r="Q1473" s="312">
        <v>146585.99</v>
      </c>
      <c r="R1473" s="312">
        <v>219062.94</v>
      </c>
    </row>
    <row r="1474" spans="6:18">
      <c r="F1474" t="s">
        <v>3238</v>
      </c>
      <c r="G1474" s="312">
        <v>25.53</v>
      </c>
      <c r="H1474" s="312">
        <v>239.45999999999998</v>
      </c>
      <c r="I1474" s="312">
        <v>14.91</v>
      </c>
      <c r="J1474" s="312">
        <v>182.48000000000002</v>
      </c>
      <c r="K1474" s="312">
        <v>505.55</v>
      </c>
      <c r="M1474" t="s">
        <v>3238</v>
      </c>
      <c r="N1474" s="312">
        <v>10301.93</v>
      </c>
      <c r="O1474" s="312">
        <v>109174.71</v>
      </c>
      <c r="P1474" s="312">
        <v>9847.82</v>
      </c>
      <c r="Q1474" s="312">
        <v>175504.6</v>
      </c>
      <c r="R1474" s="312">
        <v>178061.48</v>
      </c>
    </row>
    <row r="1475" spans="6:18">
      <c r="F1475" t="s">
        <v>3239</v>
      </c>
      <c r="G1475" s="312">
        <v>71.98</v>
      </c>
      <c r="H1475" s="312">
        <v>382.29</v>
      </c>
      <c r="I1475" s="312">
        <v>126.55999999999999</v>
      </c>
      <c r="J1475" s="312">
        <v>381.25</v>
      </c>
      <c r="K1475" s="312">
        <v>665.4</v>
      </c>
      <c r="M1475" t="s">
        <v>3239</v>
      </c>
      <c r="N1475" s="312">
        <v>42971.64</v>
      </c>
      <c r="O1475" s="312">
        <v>223479.24</v>
      </c>
      <c r="P1475" s="312">
        <v>100828.51000000001</v>
      </c>
      <c r="Q1475" s="312">
        <v>186114.86000000002</v>
      </c>
      <c r="R1475" s="312">
        <v>235707.81</v>
      </c>
    </row>
    <row r="1476" spans="6:18">
      <c r="F1476" t="s">
        <v>3240</v>
      </c>
      <c r="G1476" s="312">
        <v>45.83</v>
      </c>
      <c r="H1476" s="312">
        <v>421.13</v>
      </c>
      <c r="I1476" s="312">
        <v>77.22999999999999</v>
      </c>
      <c r="J1476" s="312">
        <v>436.15</v>
      </c>
      <c r="K1476" s="312">
        <v>810.32999999999993</v>
      </c>
      <c r="M1476" t="s">
        <v>3240</v>
      </c>
      <c r="N1476" s="312">
        <v>18820.169999999998</v>
      </c>
      <c r="O1476" s="312">
        <v>245230.74</v>
      </c>
      <c r="P1476" s="312">
        <v>60928.94</v>
      </c>
      <c r="Q1476" s="312">
        <v>188171.1</v>
      </c>
      <c r="R1476" s="312">
        <v>245382.16</v>
      </c>
    </row>
    <row r="1477" spans="6:18">
      <c r="F1477" t="s">
        <v>3241</v>
      </c>
      <c r="G1477" s="312">
        <v>80</v>
      </c>
      <c r="H1477" s="312">
        <v>397.82</v>
      </c>
      <c r="I1477" s="312">
        <v>84.72999999999999</v>
      </c>
      <c r="J1477" s="312">
        <v>508.89</v>
      </c>
      <c r="K1477" s="312">
        <v>720.11999999999989</v>
      </c>
      <c r="M1477" t="s">
        <v>3241</v>
      </c>
      <c r="N1477" s="312">
        <v>37013.93</v>
      </c>
      <c r="O1477" s="312">
        <v>181716.11</v>
      </c>
      <c r="P1477" s="312">
        <v>43045.04</v>
      </c>
      <c r="Q1477" s="312">
        <v>296050.41000000003</v>
      </c>
      <c r="R1477" s="312">
        <v>244486.85</v>
      </c>
    </row>
    <row r="1478" spans="6:18">
      <c r="F1478" t="s">
        <v>3242</v>
      </c>
      <c r="G1478" s="312">
        <v>67.11</v>
      </c>
      <c r="H1478" s="312">
        <v>440.57</v>
      </c>
      <c r="I1478" s="312">
        <v>54.320000000000007</v>
      </c>
      <c r="J1478" s="312">
        <v>487.51</v>
      </c>
      <c r="K1478" s="312">
        <v>613.38</v>
      </c>
      <c r="M1478" t="s">
        <v>3242</v>
      </c>
      <c r="N1478" s="312">
        <v>31797.129999999997</v>
      </c>
      <c r="O1478" s="312">
        <v>209830.69999999998</v>
      </c>
      <c r="P1478" s="312">
        <v>41902.6</v>
      </c>
      <c r="Q1478" s="312">
        <v>205197.49000000002</v>
      </c>
      <c r="R1478" s="312">
        <v>187797.00999999998</v>
      </c>
    </row>
    <row r="1479" spans="6:18">
      <c r="F1479" t="s">
        <v>3243</v>
      </c>
      <c r="G1479" s="312">
        <v>35.39</v>
      </c>
      <c r="H1479" s="312">
        <v>335.44</v>
      </c>
      <c r="I1479" s="312">
        <v>119.33</v>
      </c>
      <c r="J1479" s="312">
        <v>412.88</v>
      </c>
      <c r="K1479" s="312">
        <v>498.3</v>
      </c>
      <c r="M1479" t="s">
        <v>3243</v>
      </c>
      <c r="N1479" s="312">
        <v>15571.400000000001</v>
      </c>
      <c r="O1479" s="312">
        <v>185654.56</v>
      </c>
      <c r="P1479" s="312">
        <v>70800.819999999992</v>
      </c>
      <c r="Q1479" s="312">
        <v>164807.76999999999</v>
      </c>
      <c r="R1479" s="312">
        <v>168935.27000000002</v>
      </c>
    </row>
    <row r="1480" spans="6:18">
      <c r="F1480" t="s">
        <v>3244</v>
      </c>
      <c r="G1480" s="312">
        <v>27.340000000000003</v>
      </c>
      <c r="H1480" s="312">
        <v>339.40999999999997</v>
      </c>
      <c r="I1480" s="312">
        <v>45.010000000000005</v>
      </c>
      <c r="J1480" s="312">
        <v>350.47999999999996</v>
      </c>
      <c r="K1480" s="312">
        <v>413.9</v>
      </c>
      <c r="M1480" t="s">
        <v>3244</v>
      </c>
      <c r="N1480" s="312">
        <v>12991.06</v>
      </c>
      <c r="O1480" s="312">
        <v>189847.13</v>
      </c>
      <c r="P1480" s="312">
        <v>36110.080000000002</v>
      </c>
      <c r="Q1480" s="312">
        <v>213979.99</v>
      </c>
      <c r="R1480" s="312">
        <v>116099.01000000001</v>
      </c>
    </row>
    <row r="1481" spans="6:18">
      <c r="F1481" t="s">
        <v>3245</v>
      </c>
      <c r="G1481" s="312">
        <v>77.47999999999999</v>
      </c>
      <c r="H1481" s="312">
        <v>225.04999999999998</v>
      </c>
      <c r="I1481" s="312">
        <v>10.59</v>
      </c>
      <c r="J1481" s="312">
        <v>182.10999999999999</v>
      </c>
      <c r="K1481" s="312">
        <v>393.94</v>
      </c>
      <c r="M1481" t="s">
        <v>3245</v>
      </c>
      <c r="N1481" s="312">
        <v>37624</v>
      </c>
      <c r="O1481" s="312">
        <v>133646.88999999998</v>
      </c>
      <c r="P1481" s="312">
        <v>6241.31</v>
      </c>
      <c r="Q1481" s="312">
        <v>71768.009999999995</v>
      </c>
      <c r="R1481" s="312">
        <v>149309.79</v>
      </c>
    </row>
    <row r="1482" spans="6:18">
      <c r="F1482" t="s">
        <v>3246</v>
      </c>
      <c r="G1482" s="312">
        <v>71.069999999999993</v>
      </c>
      <c r="H1482" s="312">
        <v>461.03</v>
      </c>
      <c r="I1482" s="312">
        <v>81.150000000000006</v>
      </c>
      <c r="J1482" s="312">
        <v>301.14</v>
      </c>
      <c r="K1482" s="312">
        <v>378.69</v>
      </c>
      <c r="M1482" t="s">
        <v>3246</v>
      </c>
      <c r="N1482" s="312">
        <v>28396.33</v>
      </c>
      <c r="O1482" s="312">
        <v>249974.99</v>
      </c>
      <c r="P1482" s="312">
        <v>69458.350000000006</v>
      </c>
      <c r="Q1482" s="312">
        <v>120833.4</v>
      </c>
      <c r="R1482" s="312">
        <v>119033.16</v>
      </c>
    </row>
    <row r="1483" spans="6:18">
      <c r="F1483" t="s">
        <v>3247</v>
      </c>
      <c r="G1483" s="312">
        <v>90.53</v>
      </c>
      <c r="H1483" s="312">
        <v>479.77</v>
      </c>
      <c r="I1483" s="312">
        <v>94.72</v>
      </c>
      <c r="J1483" s="312">
        <v>478.38</v>
      </c>
      <c r="K1483" s="312">
        <v>515.11</v>
      </c>
      <c r="M1483" t="s">
        <v>3247</v>
      </c>
      <c r="N1483" s="312">
        <v>47599.81</v>
      </c>
      <c r="O1483" s="312">
        <v>316328.24</v>
      </c>
      <c r="P1483" s="312">
        <v>65751.990000000005</v>
      </c>
      <c r="Q1483" s="312">
        <v>183618.46000000002</v>
      </c>
      <c r="R1483" s="312">
        <v>164157.76000000001</v>
      </c>
    </row>
    <row r="1484" spans="6:18">
      <c r="F1484" t="s">
        <v>3248</v>
      </c>
      <c r="G1484" s="312">
        <v>28.61</v>
      </c>
      <c r="H1484" s="312">
        <v>493.53999999999996</v>
      </c>
      <c r="I1484" s="312">
        <v>85.03</v>
      </c>
      <c r="J1484" s="312">
        <v>504.83</v>
      </c>
      <c r="K1484" s="312">
        <v>603.06999999999994</v>
      </c>
      <c r="M1484" t="s">
        <v>3248</v>
      </c>
      <c r="N1484" s="312">
        <v>9524.1500000000015</v>
      </c>
      <c r="O1484" s="312">
        <v>232916.78</v>
      </c>
      <c r="P1484" s="312">
        <v>91569.03</v>
      </c>
      <c r="Q1484" s="312">
        <v>270999.76</v>
      </c>
      <c r="R1484" s="312">
        <v>208572.92</v>
      </c>
    </row>
    <row r="1485" spans="6:18">
      <c r="F1485" t="s">
        <v>3249</v>
      </c>
      <c r="G1485" s="312">
        <v>49.7</v>
      </c>
      <c r="H1485" s="312">
        <v>361.38</v>
      </c>
      <c r="I1485" s="312">
        <v>143.32999999999998</v>
      </c>
      <c r="J1485" s="312">
        <v>409.24</v>
      </c>
      <c r="K1485" s="312">
        <v>435.15</v>
      </c>
      <c r="M1485" t="s">
        <v>3249</v>
      </c>
      <c r="N1485" s="312">
        <v>18017.89</v>
      </c>
      <c r="O1485" s="312">
        <v>231394.05</v>
      </c>
      <c r="P1485" s="312">
        <v>114777.87</v>
      </c>
      <c r="Q1485" s="312">
        <v>194577.09</v>
      </c>
      <c r="R1485" s="312">
        <v>147267.09999999998</v>
      </c>
    </row>
    <row r="1486" spans="6:18">
      <c r="F1486" t="s">
        <v>3250</v>
      </c>
      <c r="G1486" s="312">
        <v>64.84</v>
      </c>
      <c r="H1486" s="312">
        <v>422.55</v>
      </c>
      <c r="I1486" s="312">
        <v>38.409999999999997</v>
      </c>
      <c r="J1486" s="312">
        <v>479.12</v>
      </c>
      <c r="K1486" s="312">
        <v>592.26</v>
      </c>
      <c r="M1486" t="s">
        <v>3250</v>
      </c>
      <c r="N1486" s="312">
        <v>43040.53</v>
      </c>
      <c r="O1486" s="312">
        <v>230151.02</v>
      </c>
      <c r="P1486" s="312">
        <v>16273.76</v>
      </c>
      <c r="Q1486" s="312">
        <v>207739.09999999998</v>
      </c>
      <c r="R1486" s="312">
        <v>212468.71</v>
      </c>
    </row>
    <row r="1487" spans="6:18">
      <c r="F1487" t="s">
        <v>3251</v>
      </c>
      <c r="G1487" s="312">
        <v>55.35</v>
      </c>
      <c r="H1487" s="312">
        <v>348.33</v>
      </c>
      <c r="I1487" s="312">
        <v>53.64</v>
      </c>
      <c r="J1487" s="312">
        <v>349.25</v>
      </c>
      <c r="K1487" s="312">
        <v>322.02</v>
      </c>
      <c r="M1487" t="s">
        <v>3251</v>
      </c>
      <c r="N1487" s="312">
        <v>57667.25</v>
      </c>
      <c r="O1487" s="312">
        <v>352710.56</v>
      </c>
      <c r="P1487" s="312">
        <v>32842.639999999999</v>
      </c>
      <c r="Q1487" s="312">
        <v>214686.21000000002</v>
      </c>
      <c r="R1487" s="312">
        <v>88480.290000000008</v>
      </c>
    </row>
    <row r="1488" spans="6:18">
      <c r="F1488" t="s">
        <v>3252</v>
      </c>
      <c r="G1488" s="312">
        <v>68.349999999999994</v>
      </c>
      <c r="H1488" s="312">
        <v>229.95</v>
      </c>
      <c r="I1488" s="312">
        <v>15.9</v>
      </c>
      <c r="J1488" s="312">
        <v>317.76</v>
      </c>
      <c r="K1488" s="312">
        <v>360.25</v>
      </c>
      <c r="M1488" t="s">
        <v>3252</v>
      </c>
      <c r="N1488" s="312">
        <v>61852.7</v>
      </c>
      <c r="O1488" s="312">
        <v>149787.71</v>
      </c>
      <c r="P1488" s="312">
        <v>9665.7900000000009</v>
      </c>
      <c r="Q1488" s="312">
        <v>176230.32</v>
      </c>
      <c r="R1488" s="312">
        <v>129708.76</v>
      </c>
    </row>
    <row r="1489" spans="6:18">
      <c r="F1489" t="s">
        <v>3253</v>
      </c>
      <c r="G1489" s="312">
        <v>32.590000000000003</v>
      </c>
      <c r="H1489" s="312">
        <v>339.95</v>
      </c>
      <c r="I1489" s="312">
        <v>146.39999999999998</v>
      </c>
      <c r="J1489" s="312">
        <v>552.65</v>
      </c>
      <c r="K1489" s="312">
        <v>555.54999999999995</v>
      </c>
      <c r="M1489" t="s">
        <v>3253</v>
      </c>
      <c r="N1489" s="312">
        <v>19494.59</v>
      </c>
      <c r="O1489" s="312">
        <v>164205.57999999999</v>
      </c>
      <c r="P1489" s="312">
        <v>119950.43</v>
      </c>
      <c r="Q1489" s="312">
        <v>221854.07999999999</v>
      </c>
      <c r="R1489" s="312">
        <v>187112.49000000002</v>
      </c>
    </row>
    <row r="1490" spans="6:18">
      <c r="F1490" t="s">
        <v>3254</v>
      </c>
      <c r="G1490" s="312">
        <v>15.13</v>
      </c>
      <c r="H1490" s="312">
        <v>381.26</v>
      </c>
      <c r="I1490" s="312">
        <v>97.550000000000011</v>
      </c>
      <c r="J1490" s="312">
        <v>467.03</v>
      </c>
      <c r="K1490" s="312">
        <v>466.28</v>
      </c>
      <c r="M1490" t="s">
        <v>3254</v>
      </c>
      <c r="N1490" s="312">
        <v>7454.24</v>
      </c>
      <c r="O1490" s="312">
        <v>270823.24</v>
      </c>
      <c r="P1490" s="312">
        <v>58996.78</v>
      </c>
      <c r="Q1490" s="312">
        <v>235992.27</v>
      </c>
      <c r="R1490" s="312">
        <v>138521.21000000002</v>
      </c>
    </row>
    <row r="1491" spans="6:18">
      <c r="F1491" t="s">
        <v>3255</v>
      </c>
      <c r="G1491" s="312">
        <v>41.56</v>
      </c>
      <c r="H1491" s="312">
        <v>296.02</v>
      </c>
      <c r="I1491" s="312">
        <v>116.36</v>
      </c>
      <c r="J1491" s="312">
        <v>559.87</v>
      </c>
      <c r="K1491" s="312">
        <v>818.53</v>
      </c>
      <c r="M1491" t="s">
        <v>3255</v>
      </c>
      <c r="N1491" s="312">
        <v>27925.739999999998</v>
      </c>
      <c r="O1491" s="312">
        <v>186311.30000000002</v>
      </c>
      <c r="P1491" s="312">
        <v>71147.210000000006</v>
      </c>
      <c r="Q1491" s="312">
        <v>297026.37</v>
      </c>
      <c r="R1491" s="312">
        <v>267610.08</v>
      </c>
    </row>
    <row r="1492" spans="6:18">
      <c r="F1492" t="s">
        <v>3256</v>
      </c>
      <c r="G1492" s="312">
        <v>59.98</v>
      </c>
      <c r="H1492" s="312">
        <v>328.24</v>
      </c>
      <c r="I1492" s="312">
        <v>99.17</v>
      </c>
      <c r="J1492" s="312">
        <v>416.4</v>
      </c>
      <c r="K1492" s="312">
        <v>555.98</v>
      </c>
      <c r="M1492" t="s">
        <v>3256</v>
      </c>
      <c r="N1492" s="312">
        <v>49424.04</v>
      </c>
      <c r="O1492" s="312">
        <v>149717.93</v>
      </c>
      <c r="P1492" s="312">
        <v>53697.539999999994</v>
      </c>
      <c r="Q1492" s="312">
        <v>228088.24</v>
      </c>
      <c r="R1492" s="312">
        <v>178829.35</v>
      </c>
    </row>
    <row r="1493" spans="6:18">
      <c r="F1493" t="s">
        <v>3257</v>
      </c>
      <c r="G1493" s="312">
        <v>41.739999999999995</v>
      </c>
      <c r="H1493" s="312">
        <v>311.7</v>
      </c>
      <c r="I1493" s="312">
        <v>104.33</v>
      </c>
      <c r="J1493" s="312">
        <v>520.12</v>
      </c>
      <c r="K1493" s="312">
        <v>573.27</v>
      </c>
      <c r="M1493" t="s">
        <v>3257</v>
      </c>
      <c r="N1493" s="312">
        <v>15781.2</v>
      </c>
      <c r="O1493" s="312">
        <v>221374.14</v>
      </c>
      <c r="P1493" s="312">
        <v>51368.79</v>
      </c>
      <c r="Q1493" s="312">
        <v>265582.39</v>
      </c>
      <c r="R1493" s="312">
        <v>180933.12</v>
      </c>
    </row>
    <row r="1494" spans="6:18">
      <c r="F1494" t="s">
        <v>3258</v>
      </c>
      <c r="G1494" s="312">
        <v>43.379999999999995</v>
      </c>
      <c r="H1494" s="312">
        <v>185.72</v>
      </c>
      <c r="I1494" s="312">
        <v>103.57000000000001</v>
      </c>
      <c r="J1494" s="312">
        <v>121.63</v>
      </c>
      <c r="K1494" s="312">
        <v>371.35</v>
      </c>
      <c r="M1494" t="s">
        <v>3258</v>
      </c>
      <c r="N1494" s="312">
        <v>20952.060000000001</v>
      </c>
      <c r="O1494" s="312">
        <v>102510.84</v>
      </c>
      <c r="P1494" s="312">
        <v>61867.38</v>
      </c>
      <c r="Q1494" s="312">
        <v>72611.39</v>
      </c>
      <c r="R1494" s="312">
        <v>92789.81</v>
      </c>
    </row>
    <row r="1495" spans="6:18">
      <c r="F1495" t="s">
        <v>3259</v>
      </c>
      <c r="G1495" s="312">
        <v>31.02</v>
      </c>
      <c r="H1495" s="312">
        <v>186.63</v>
      </c>
      <c r="I1495" s="312">
        <v>35.86</v>
      </c>
      <c r="J1495" s="312">
        <v>243</v>
      </c>
      <c r="K1495" s="312">
        <v>292.16000000000003</v>
      </c>
      <c r="M1495" t="s">
        <v>3259</v>
      </c>
      <c r="N1495" s="312">
        <v>10881.869999999999</v>
      </c>
      <c r="O1495" s="312">
        <v>109310.70999999999</v>
      </c>
      <c r="P1495" s="312">
        <v>23717.15</v>
      </c>
      <c r="Q1495" s="312">
        <v>91630.930000000008</v>
      </c>
      <c r="R1495" s="312">
        <v>85445.57</v>
      </c>
    </row>
    <row r="1496" spans="6:18">
      <c r="F1496" t="s">
        <v>3260</v>
      </c>
      <c r="G1496" s="312">
        <v>37.949999999999996</v>
      </c>
      <c r="H1496" s="312">
        <v>283.91000000000003</v>
      </c>
      <c r="I1496" s="312">
        <v>126.76</v>
      </c>
      <c r="J1496" s="312">
        <v>390.31</v>
      </c>
      <c r="K1496" s="312">
        <v>583.11</v>
      </c>
      <c r="M1496" t="s">
        <v>3260</v>
      </c>
      <c r="N1496" s="312">
        <v>17169.95</v>
      </c>
      <c r="O1496" s="312">
        <v>206415.84999999998</v>
      </c>
      <c r="P1496" s="312">
        <v>64316.34</v>
      </c>
      <c r="Q1496" s="312">
        <v>225543.85</v>
      </c>
      <c r="R1496" s="312">
        <v>191410.71000000002</v>
      </c>
    </row>
    <row r="1497" spans="6:18">
      <c r="F1497" t="s">
        <v>3261</v>
      </c>
      <c r="G1497" s="312">
        <v>45.870000000000005</v>
      </c>
      <c r="H1497" s="312">
        <v>295.90000000000003</v>
      </c>
      <c r="I1497" s="312">
        <v>67.960000000000008</v>
      </c>
      <c r="J1497" s="312">
        <v>466.28000000000003</v>
      </c>
      <c r="K1497" s="312">
        <v>567.98</v>
      </c>
      <c r="M1497" t="s">
        <v>3261</v>
      </c>
      <c r="N1497" s="312">
        <v>39553.910000000003</v>
      </c>
      <c r="O1497" s="312">
        <v>160458.08000000002</v>
      </c>
      <c r="P1497" s="312">
        <v>29387.82</v>
      </c>
      <c r="Q1497" s="312">
        <v>173613.2</v>
      </c>
      <c r="R1497" s="312">
        <v>199944.65</v>
      </c>
    </row>
    <row r="1498" spans="6:18">
      <c r="F1498" t="s">
        <v>3262</v>
      </c>
      <c r="G1498" s="312">
        <v>42.54</v>
      </c>
      <c r="H1498" s="312">
        <v>297.32</v>
      </c>
      <c r="I1498" s="312">
        <v>97.67</v>
      </c>
      <c r="J1498" s="312">
        <v>344.63</v>
      </c>
      <c r="K1498" s="312">
        <v>701.09</v>
      </c>
      <c r="M1498" t="s">
        <v>3262</v>
      </c>
      <c r="N1498" s="312">
        <v>13254.970000000001</v>
      </c>
      <c r="O1498" s="312">
        <v>170493.57</v>
      </c>
      <c r="P1498" s="312">
        <v>70283.5</v>
      </c>
      <c r="Q1498" s="312">
        <v>264697.81</v>
      </c>
      <c r="R1498" s="312">
        <v>234945.85</v>
      </c>
    </row>
    <row r="1499" spans="6:18">
      <c r="F1499" t="s">
        <v>3263</v>
      </c>
      <c r="G1499" s="312">
        <v>20.549999999999997</v>
      </c>
      <c r="H1499" s="312">
        <v>307.64999999999998</v>
      </c>
      <c r="I1499" s="312">
        <v>94.63</v>
      </c>
      <c r="J1499" s="312">
        <v>453.87</v>
      </c>
      <c r="K1499" s="312">
        <v>525.15</v>
      </c>
      <c r="M1499" t="s">
        <v>3263</v>
      </c>
      <c r="N1499" s="312">
        <v>9479.74</v>
      </c>
      <c r="O1499" s="312">
        <v>213188.38</v>
      </c>
      <c r="P1499" s="312">
        <v>60438.41</v>
      </c>
      <c r="Q1499" s="312">
        <v>231934.46000000002</v>
      </c>
      <c r="R1499" s="312">
        <v>144938.81</v>
      </c>
    </row>
    <row r="1500" spans="6:18">
      <c r="F1500" t="s">
        <v>3264</v>
      </c>
      <c r="G1500" s="312">
        <v>22.89</v>
      </c>
      <c r="H1500" s="312">
        <v>344.17</v>
      </c>
      <c r="I1500" s="312">
        <v>46.339999999999996</v>
      </c>
      <c r="J1500" s="312">
        <v>391.92</v>
      </c>
      <c r="K1500" s="312">
        <v>519.34</v>
      </c>
      <c r="M1500" t="s">
        <v>3264</v>
      </c>
      <c r="N1500" s="312">
        <v>38182.049999999996</v>
      </c>
      <c r="O1500" s="312">
        <v>176126.07</v>
      </c>
      <c r="P1500" s="312">
        <v>22555.62</v>
      </c>
      <c r="Q1500" s="312">
        <v>231987.09999999998</v>
      </c>
      <c r="R1500" s="312">
        <v>171936.63</v>
      </c>
    </row>
    <row r="1501" spans="6:18">
      <c r="F1501" t="s">
        <v>3265</v>
      </c>
      <c r="G1501" s="312">
        <v>20.82</v>
      </c>
      <c r="H1501" s="312">
        <v>244.73000000000002</v>
      </c>
      <c r="I1501" s="312">
        <v>25.65</v>
      </c>
      <c r="J1501" s="312">
        <v>285.45999999999998</v>
      </c>
      <c r="K1501" s="312">
        <v>312.45</v>
      </c>
      <c r="M1501" t="s">
        <v>3265</v>
      </c>
      <c r="N1501" s="312">
        <v>10849</v>
      </c>
      <c r="O1501" s="312">
        <v>195962.34999999998</v>
      </c>
      <c r="P1501" s="312">
        <v>18428.05</v>
      </c>
      <c r="Q1501" s="312">
        <v>113018.85</v>
      </c>
      <c r="R1501" s="312">
        <v>97289.88</v>
      </c>
    </row>
    <row r="1502" spans="6:18">
      <c r="F1502" t="s">
        <v>3266</v>
      </c>
      <c r="G1502" s="312">
        <v>29.08</v>
      </c>
      <c r="H1502" s="312">
        <v>226.69</v>
      </c>
      <c r="I1502" s="312">
        <v>16.21</v>
      </c>
      <c r="J1502" s="312">
        <v>283.26</v>
      </c>
      <c r="K1502" s="312">
        <v>338.31</v>
      </c>
      <c r="M1502" t="s">
        <v>3266</v>
      </c>
      <c r="N1502" s="312">
        <v>19290.09</v>
      </c>
      <c r="O1502" s="312">
        <v>138467.75</v>
      </c>
      <c r="P1502" s="312">
        <v>23919.39</v>
      </c>
      <c r="Q1502" s="312">
        <v>109965.89</v>
      </c>
      <c r="R1502" s="312">
        <v>118232.81</v>
      </c>
    </row>
    <row r="1503" spans="6:18">
      <c r="F1503" t="s">
        <v>3267</v>
      </c>
      <c r="G1503" s="312">
        <v>50.53</v>
      </c>
      <c r="H1503" s="312">
        <v>295.19</v>
      </c>
      <c r="I1503" s="312">
        <v>115.68</v>
      </c>
      <c r="J1503" s="312">
        <v>311.85000000000002</v>
      </c>
      <c r="K1503" s="312">
        <v>626.14</v>
      </c>
      <c r="M1503" t="s">
        <v>3267</v>
      </c>
      <c r="N1503" s="312">
        <v>23463.86</v>
      </c>
      <c r="O1503" s="312">
        <v>143478.61000000002</v>
      </c>
      <c r="P1503" s="312">
        <v>143859.75</v>
      </c>
      <c r="Q1503" s="312">
        <v>157838.82999999999</v>
      </c>
      <c r="R1503" s="312">
        <v>201704.03</v>
      </c>
    </row>
    <row r="1504" spans="6:18">
      <c r="F1504" t="s">
        <v>3268</v>
      </c>
      <c r="G1504" s="312">
        <v>56.76</v>
      </c>
      <c r="H1504" s="312">
        <v>329.19</v>
      </c>
      <c r="I1504" s="312">
        <v>62.36</v>
      </c>
      <c r="J1504" s="312">
        <v>440.29</v>
      </c>
      <c r="K1504" s="312">
        <v>707.34</v>
      </c>
      <c r="M1504" t="s">
        <v>3268</v>
      </c>
      <c r="N1504" s="312">
        <v>29894.46</v>
      </c>
      <c r="O1504" s="312">
        <v>207647.37</v>
      </c>
      <c r="P1504" s="312">
        <v>32132.440000000002</v>
      </c>
      <c r="Q1504" s="312">
        <v>227082.78</v>
      </c>
      <c r="R1504" s="312">
        <v>229674.69</v>
      </c>
    </row>
    <row r="1505" spans="6:18">
      <c r="F1505" t="s">
        <v>3269</v>
      </c>
      <c r="G1505" s="312">
        <v>66.2</v>
      </c>
      <c r="H1505" s="312">
        <v>252.35999999999999</v>
      </c>
      <c r="I1505" s="312">
        <v>83.56</v>
      </c>
      <c r="J1505" s="312">
        <v>576.63</v>
      </c>
      <c r="K1505" s="312">
        <v>493.33</v>
      </c>
      <c r="M1505" t="s">
        <v>3269</v>
      </c>
      <c r="N1505" s="312">
        <v>31212.949999999997</v>
      </c>
      <c r="O1505" s="312">
        <v>139654.82</v>
      </c>
      <c r="P1505" s="312">
        <v>75408.58</v>
      </c>
      <c r="Q1505" s="312">
        <v>271883.82999999996</v>
      </c>
      <c r="R1505" s="312">
        <v>170836.86</v>
      </c>
    </row>
    <row r="1506" spans="6:18">
      <c r="F1506" t="s">
        <v>3270</v>
      </c>
      <c r="G1506" s="312">
        <v>48.64</v>
      </c>
      <c r="H1506" s="312">
        <v>273.22000000000003</v>
      </c>
      <c r="I1506" s="312">
        <v>84.009999999999991</v>
      </c>
      <c r="J1506" s="312">
        <v>439.95</v>
      </c>
      <c r="K1506" s="312">
        <v>514.09</v>
      </c>
      <c r="M1506" t="s">
        <v>3270</v>
      </c>
      <c r="N1506" s="312">
        <v>24218.46</v>
      </c>
      <c r="O1506" s="312">
        <v>187450.23999999999</v>
      </c>
      <c r="P1506" s="312">
        <v>48632.69</v>
      </c>
      <c r="Q1506" s="312">
        <v>183113.87</v>
      </c>
      <c r="R1506" s="312">
        <v>180094.68</v>
      </c>
    </row>
    <row r="1507" spans="6:18">
      <c r="F1507" t="s">
        <v>3271</v>
      </c>
      <c r="G1507" s="312">
        <v>73.45</v>
      </c>
      <c r="H1507" s="312">
        <v>282.72000000000003</v>
      </c>
      <c r="I1507" s="312">
        <v>94.77000000000001</v>
      </c>
      <c r="J1507" s="312">
        <v>461.88</v>
      </c>
      <c r="K1507" s="312">
        <v>513.41999999999996</v>
      </c>
      <c r="M1507" t="s">
        <v>3271</v>
      </c>
      <c r="N1507" s="312">
        <v>35860.07</v>
      </c>
      <c r="O1507" s="312">
        <v>207261.06</v>
      </c>
      <c r="P1507" s="312">
        <v>53067.200000000004</v>
      </c>
      <c r="Q1507" s="312">
        <v>211167.86</v>
      </c>
      <c r="R1507" s="312">
        <v>174743.09</v>
      </c>
    </row>
    <row r="1508" spans="6:18">
      <c r="F1508" t="s">
        <v>3272</v>
      </c>
      <c r="G1508" s="312">
        <v>36.57</v>
      </c>
      <c r="H1508" s="312">
        <v>243.21</v>
      </c>
      <c r="I1508" s="312">
        <v>38.68</v>
      </c>
      <c r="J1508" s="312">
        <v>337.41</v>
      </c>
      <c r="K1508" s="312">
        <v>329.98</v>
      </c>
      <c r="M1508" t="s">
        <v>3272</v>
      </c>
      <c r="N1508" s="312">
        <v>13488.38</v>
      </c>
      <c r="O1508" s="312">
        <v>136005.28999999998</v>
      </c>
      <c r="P1508" s="312">
        <v>24009.760000000002</v>
      </c>
      <c r="Q1508" s="312">
        <v>157991.84000000003</v>
      </c>
      <c r="R1508" s="312">
        <v>107098.32999999999</v>
      </c>
    </row>
    <row r="1509" spans="6:18">
      <c r="F1509" t="s">
        <v>3273</v>
      </c>
      <c r="G1509" s="312">
        <v>42.22</v>
      </c>
      <c r="H1509" s="312">
        <v>244.87</v>
      </c>
      <c r="I1509" s="312">
        <v>19.84</v>
      </c>
      <c r="J1509" s="312">
        <v>185.22</v>
      </c>
      <c r="K1509" s="312">
        <v>409.73</v>
      </c>
      <c r="M1509" t="s">
        <v>3273</v>
      </c>
      <c r="N1509" s="312">
        <v>20874.379999999997</v>
      </c>
      <c r="O1509" s="312">
        <v>127618.87</v>
      </c>
      <c r="P1509" s="312">
        <v>14581.47</v>
      </c>
      <c r="Q1509" s="312">
        <v>99951.03</v>
      </c>
      <c r="R1509" s="312">
        <v>126907.88</v>
      </c>
    </row>
    <row r="1510" spans="6:18">
      <c r="F1510" t="s">
        <v>3274</v>
      </c>
      <c r="G1510" s="312">
        <v>37.769999999999996</v>
      </c>
      <c r="H1510" s="312">
        <v>312.60000000000002</v>
      </c>
      <c r="I1510" s="312">
        <v>96.240000000000009</v>
      </c>
      <c r="J1510" s="312">
        <v>285.38</v>
      </c>
      <c r="K1510" s="312">
        <v>600.54</v>
      </c>
      <c r="M1510" t="s">
        <v>3274</v>
      </c>
      <c r="N1510" s="312">
        <v>20792.300000000003</v>
      </c>
      <c r="O1510" s="312">
        <v>206937.93</v>
      </c>
      <c r="P1510" s="312">
        <v>75112.099999999991</v>
      </c>
      <c r="Q1510" s="312">
        <v>137092.32</v>
      </c>
      <c r="R1510" s="312">
        <v>183709</v>
      </c>
    </row>
    <row r="1511" spans="6:18">
      <c r="F1511" t="s">
        <v>3275</v>
      </c>
      <c r="G1511" s="312">
        <v>25.96</v>
      </c>
      <c r="H1511" s="312">
        <v>345.33000000000004</v>
      </c>
      <c r="I1511" s="312">
        <v>94.58</v>
      </c>
      <c r="J1511" s="312">
        <v>399.01000000000005</v>
      </c>
      <c r="K1511" s="312">
        <v>402.1</v>
      </c>
      <c r="M1511" t="s">
        <v>3275</v>
      </c>
      <c r="N1511" s="312">
        <v>17661.54</v>
      </c>
      <c r="O1511" s="312">
        <v>172182.96000000002</v>
      </c>
      <c r="P1511" s="312">
        <v>55637.33</v>
      </c>
      <c r="Q1511" s="312">
        <v>188162.17</v>
      </c>
      <c r="R1511" s="312">
        <v>146204.88</v>
      </c>
    </row>
    <row r="1512" spans="6:18">
      <c r="F1512" t="s">
        <v>3276</v>
      </c>
      <c r="G1512" s="312">
        <v>65.36</v>
      </c>
      <c r="H1512" s="312">
        <v>263.19</v>
      </c>
      <c r="I1512" s="312">
        <v>46.05</v>
      </c>
      <c r="J1512" s="312">
        <v>316.61</v>
      </c>
      <c r="K1512" s="312">
        <v>652.30000000000007</v>
      </c>
      <c r="M1512" t="s">
        <v>3276</v>
      </c>
      <c r="N1512" s="312">
        <v>55777.880000000005</v>
      </c>
      <c r="O1512" s="312">
        <v>198460.68000000002</v>
      </c>
      <c r="P1512" s="312">
        <v>40698.239999999998</v>
      </c>
      <c r="Q1512" s="312">
        <v>128493.96</v>
      </c>
      <c r="R1512" s="312">
        <v>210171.38</v>
      </c>
    </row>
    <row r="1513" spans="6:18">
      <c r="F1513" t="s">
        <v>3277</v>
      </c>
      <c r="G1513" s="312">
        <v>46.11</v>
      </c>
      <c r="H1513" s="312">
        <v>319.63</v>
      </c>
      <c r="I1513" s="312">
        <v>38.11</v>
      </c>
      <c r="J1513" s="312">
        <v>414.34000000000003</v>
      </c>
      <c r="K1513" s="312">
        <v>622.43000000000006</v>
      </c>
      <c r="M1513" t="s">
        <v>3277</v>
      </c>
      <c r="N1513" s="312">
        <v>14387.45</v>
      </c>
      <c r="O1513" s="312">
        <v>163402</v>
      </c>
      <c r="P1513" s="312">
        <v>39101.75</v>
      </c>
      <c r="Q1513" s="312">
        <v>204058.06</v>
      </c>
      <c r="R1513" s="312">
        <v>215353.45</v>
      </c>
    </row>
    <row r="1514" spans="6:18">
      <c r="F1514" t="s">
        <v>3278</v>
      </c>
      <c r="G1514" s="312">
        <v>57.6</v>
      </c>
      <c r="H1514" s="312">
        <v>263.05</v>
      </c>
      <c r="I1514" s="312">
        <v>73.78</v>
      </c>
      <c r="J1514" s="312">
        <v>309.26</v>
      </c>
      <c r="K1514" s="312">
        <v>452.27000000000004</v>
      </c>
      <c r="M1514" t="s">
        <v>3278</v>
      </c>
      <c r="N1514" s="312">
        <v>27813.59</v>
      </c>
      <c r="O1514" s="312">
        <v>137104.95000000001</v>
      </c>
      <c r="P1514" s="312">
        <v>73659.289999999994</v>
      </c>
      <c r="Q1514" s="312">
        <v>149419.47</v>
      </c>
      <c r="R1514" s="312">
        <v>133676.76</v>
      </c>
    </row>
    <row r="1515" spans="6:18">
      <c r="F1515" t="s">
        <v>3279</v>
      </c>
      <c r="G1515" s="312">
        <v>34.44</v>
      </c>
      <c r="H1515" s="312">
        <v>185.13</v>
      </c>
      <c r="I1515" s="312">
        <v>14.16</v>
      </c>
      <c r="J1515" s="312">
        <v>349.22</v>
      </c>
      <c r="K1515" s="312">
        <v>382.20000000000005</v>
      </c>
      <c r="M1515" t="s">
        <v>3279</v>
      </c>
      <c r="N1515" s="312">
        <v>15886.36</v>
      </c>
      <c r="O1515" s="312">
        <v>110291.59</v>
      </c>
      <c r="P1515" s="312">
        <v>8002.07</v>
      </c>
      <c r="Q1515" s="312">
        <v>168658.02</v>
      </c>
      <c r="R1515" s="312">
        <v>150982.31</v>
      </c>
    </row>
    <row r="1516" spans="6:18">
      <c r="F1516" t="s">
        <v>3280</v>
      </c>
      <c r="G1516" s="312">
        <v>37.26</v>
      </c>
      <c r="H1516" s="312">
        <v>209.76999999999998</v>
      </c>
      <c r="I1516" s="312">
        <v>11.49</v>
      </c>
      <c r="J1516" s="312">
        <v>168.8</v>
      </c>
      <c r="K1516" s="312">
        <v>277.21000000000004</v>
      </c>
      <c r="M1516" t="s">
        <v>3280</v>
      </c>
      <c r="N1516" s="312">
        <v>17467.55</v>
      </c>
      <c r="O1516" s="312">
        <v>121839.13</v>
      </c>
      <c r="P1516" s="312">
        <v>8567.880000000001</v>
      </c>
      <c r="Q1516" s="312">
        <v>73527.86</v>
      </c>
      <c r="R1516" s="312">
        <v>112328.8</v>
      </c>
    </row>
    <row r="1517" spans="6:18">
      <c r="F1517" t="s">
        <v>3281</v>
      </c>
      <c r="G1517" s="312">
        <v>31.729999999999997</v>
      </c>
      <c r="H1517" s="312">
        <v>284.98</v>
      </c>
      <c r="I1517" s="312">
        <v>100.96000000000001</v>
      </c>
      <c r="J1517" s="312">
        <v>250.4</v>
      </c>
      <c r="K1517" s="312">
        <v>584.34</v>
      </c>
      <c r="M1517" t="s">
        <v>3281</v>
      </c>
      <c r="N1517" s="312">
        <v>17857.29</v>
      </c>
      <c r="O1517" s="312">
        <v>191285.98</v>
      </c>
      <c r="P1517" s="312">
        <v>116520.49</v>
      </c>
      <c r="Q1517" s="312">
        <v>149693.9</v>
      </c>
      <c r="R1517" s="312">
        <v>214856.86</v>
      </c>
    </row>
    <row r="1518" spans="6:18">
      <c r="F1518" t="s">
        <v>3282</v>
      </c>
      <c r="G1518" s="312">
        <v>48.93</v>
      </c>
      <c r="H1518" s="312">
        <v>283.02</v>
      </c>
      <c r="I1518" s="312">
        <v>113.28999999999999</v>
      </c>
      <c r="J1518" s="312">
        <v>198.89</v>
      </c>
      <c r="K1518" s="312">
        <v>586.84999999999991</v>
      </c>
      <c r="M1518" t="s">
        <v>3282</v>
      </c>
      <c r="N1518" s="312">
        <v>23715.350000000002</v>
      </c>
      <c r="O1518" s="312">
        <v>166773.83000000002</v>
      </c>
      <c r="P1518" s="312">
        <v>92353.06</v>
      </c>
      <c r="Q1518" s="312">
        <v>116196.93000000001</v>
      </c>
      <c r="R1518" s="312">
        <v>212231.58</v>
      </c>
    </row>
    <row r="1519" spans="6:18">
      <c r="F1519" t="s">
        <v>3283</v>
      </c>
      <c r="G1519" s="312">
        <v>63.2</v>
      </c>
      <c r="H1519" s="312">
        <v>331.01</v>
      </c>
      <c r="I1519" s="312">
        <v>107.19</v>
      </c>
      <c r="J1519" s="312">
        <v>180.56</v>
      </c>
      <c r="K1519" s="312">
        <v>763.89</v>
      </c>
      <c r="M1519" t="s">
        <v>3283</v>
      </c>
      <c r="N1519" s="312">
        <v>18414.669999999998</v>
      </c>
      <c r="O1519" s="312">
        <v>211579.38</v>
      </c>
      <c r="P1519" s="312">
        <v>54696.090000000004</v>
      </c>
      <c r="Q1519" s="312">
        <v>97980.72</v>
      </c>
      <c r="R1519" s="312">
        <v>175324.7</v>
      </c>
    </row>
    <row r="1520" spans="6:18">
      <c r="F1520" t="s">
        <v>3284</v>
      </c>
      <c r="G1520" s="312">
        <v>92.34</v>
      </c>
      <c r="H1520" s="312">
        <v>468.81000000000006</v>
      </c>
      <c r="I1520" s="312">
        <v>64.63</v>
      </c>
      <c r="J1520" s="312">
        <v>364.96</v>
      </c>
      <c r="K1520" s="312">
        <v>837.93</v>
      </c>
      <c r="M1520" t="s">
        <v>3284</v>
      </c>
      <c r="N1520" s="312">
        <v>103327.92</v>
      </c>
      <c r="O1520" s="312">
        <v>283321.7</v>
      </c>
      <c r="P1520" s="312">
        <v>52212.89</v>
      </c>
      <c r="Q1520" s="312">
        <v>215402.03</v>
      </c>
      <c r="R1520" s="312">
        <v>189912.72</v>
      </c>
    </row>
    <row r="1521" spans="6:18">
      <c r="F1521" t="s">
        <v>3285</v>
      </c>
      <c r="G1521" s="312">
        <v>42.620000000000005</v>
      </c>
      <c r="H1521" s="312">
        <v>334.43</v>
      </c>
      <c r="I1521" s="312">
        <v>62.63</v>
      </c>
      <c r="J1521" s="312">
        <v>205.85</v>
      </c>
      <c r="K1521" s="312">
        <v>560.83000000000004</v>
      </c>
      <c r="M1521" t="s">
        <v>3285</v>
      </c>
      <c r="N1521" s="312">
        <v>14926.099999999999</v>
      </c>
      <c r="O1521" s="312">
        <v>248384.97</v>
      </c>
      <c r="P1521" s="312">
        <v>85405.11</v>
      </c>
      <c r="Q1521" s="312">
        <v>131897.22999999998</v>
      </c>
      <c r="R1521" s="312">
        <v>192380.63999999998</v>
      </c>
    </row>
    <row r="1522" spans="6:18">
      <c r="F1522" t="s">
        <v>3286</v>
      </c>
      <c r="G1522" s="312">
        <v>41.13</v>
      </c>
      <c r="H1522" s="312">
        <v>261.39</v>
      </c>
      <c r="I1522" s="312">
        <v>44.690000000000005</v>
      </c>
      <c r="J1522" s="312">
        <v>140.78</v>
      </c>
      <c r="K1522" s="312">
        <v>441.84</v>
      </c>
      <c r="M1522" t="s">
        <v>3286</v>
      </c>
      <c r="N1522" s="312">
        <v>19599.150000000001</v>
      </c>
      <c r="O1522" s="312">
        <v>151274.56</v>
      </c>
      <c r="P1522" s="312">
        <v>53110.080000000002</v>
      </c>
      <c r="Q1522" s="312">
        <v>65617.62</v>
      </c>
      <c r="R1522" s="312">
        <v>181233.33000000002</v>
      </c>
    </row>
    <row r="1523" spans="6:18">
      <c r="F1523" t="s">
        <v>3287</v>
      </c>
      <c r="G1523" s="312">
        <v>33.71</v>
      </c>
      <c r="H1523" s="312">
        <v>224.74</v>
      </c>
      <c r="I1523" s="312">
        <v>25.869999999999997</v>
      </c>
      <c r="J1523" s="312">
        <v>186.10000000000002</v>
      </c>
      <c r="K1523" s="312">
        <v>363.32</v>
      </c>
      <c r="M1523" t="s">
        <v>3287</v>
      </c>
      <c r="N1523" s="312">
        <v>16469.649999999998</v>
      </c>
      <c r="O1523" s="312">
        <v>150096.89000000001</v>
      </c>
      <c r="P1523" s="312">
        <v>17552.599999999999</v>
      </c>
      <c r="Q1523" s="312">
        <v>72784.739999999991</v>
      </c>
      <c r="R1523" s="312">
        <v>123069.58</v>
      </c>
    </row>
    <row r="1524" spans="6:18">
      <c r="F1524" t="s">
        <v>3288</v>
      </c>
      <c r="G1524" s="312">
        <v>56.190000000000005</v>
      </c>
      <c r="H1524" s="312">
        <v>354.39000000000004</v>
      </c>
      <c r="I1524" s="312">
        <v>94.289999999999992</v>
      </c>
      <c r="J1524" s="312">
        <v>239.48</v>
      </c>
      <c r="K1524" s="312">
        <v>687.52</v>
      </c>
      <c r="M1524" t="s">
        <v>3288</v>
      </c>
      <c r="N1524" s="312">
        <v>25838</v>
      </c>
      <c r="O1524" s="312">
        <v>193909.15999999997</v>
      </c>
      <c r="P1524" s="312">
        <v>67277.680000000008</v>
      </c>
      <c r="Q1524" s="312">
        <v>155106.39000000001</v>
      </c>
      <c r="R1524" s="312">
        <v>202155.84</v>
      </c>
    </row>
    <row r="1525" spans="6:18">
      <c r="F1525" t="s">
        <v>3289</v>
      </c>
      <c r="G1525" s="312">
        <v>80.69</v>
      </c>
      <c r="H1525" s="312">
        <v>289.58999999999997</v>
      </c>
      <c r="I1525" s="312">
        <v>97.080000000000013</v>
      </c>
      <c r="J1525" s="312">
        <v>238.64999999999998</v>
      </c>
      <c r="K1525" s="312">
        <v>447.22</v>
      </c>
      <c r="M1525" t="s">
        <v>3289</v>
      </c>
      <c r="N1525" s="312">
        <v>58388.920000000006</v>
      </c>
      <c r="O1525" s="312">
        <v>144363.58000000002</v>
      </c>
      <c r="P1525" s="312">
        <v>75802.820000000007</v>
      </c>
      <c r="Q1525" s="312">
        <v>148658.02000000002</v>
      </c>
      <c r="R1525" s="312">
        <v>141774.14000000001</v>
      </c>
    </row>
    <row r="1526" spans="6:18">
      <c r="F1526" t="s">
        <v>3290</v>
      </c>
      <c r="G1526" s="312">
        <v>26.34</v>
      </c>
      <c r="H1526" s="312">
        <v>320.38</v>
      </c>
      <c r="I1526" s="312">
        <v>64.259999999999991</v>
      </c>
      <c r="J1526" s="312">
        <v>293.67999999999995</v>
      </c>
      <c r="K1526" s="312">
        <v>495.92999999999995</v>
      </c>
      <c r="M1526" t="s">
        <v>3290</v>
      </c>
      <c r="N1526" s="312">
        <v>12135.54</v>
      </c>
      <c r="O1526" s="312">
        <v>205871.61</v>
      </c>
      <c r="P1526" s="312">
        <v>35830.979999999996</v>
      </c>
      <c r="Q1526" s="312">
        <v>212801.43</v>
      </c>
      <c r="R1526" s="312">
        <v>188159.42</v>
      </c>
    </row>
    <row r="1527" spans="6:18">
      <c r="F1527" t="s">
        <v>3291</v>
      </c>
      <c r="G1527" s="312">
        <v>27.17</v>
      </c>
      <c r="H1527" s="312">
        <v>323.45999999999998</v>
      </c>
      <c r="I1527" s="312">
        <v>31.21</v>
      </c>
      <c r="J1527" s="312">
        <v>268.86</v>
      </c>
      <c r="K1527" s="312">
        <v>517.05999999999995</v>
      </c>
      <c r="M1527" t="s">
        <v>3291</v>
      </c>
      <c r="N1527" s="312">
        <v>11883.61</v>
      </c>
      <c r="O1527" s="312">
        <v>190336.76</v>
      </c>
      <c r="P1527" s="312">
        <v>27176.09</v>
      </c>
      <c r="Q1527" s="312">
        <v>209961.87</v>
      </c>
      <c r="R1527" s="312">
        <v>162151.22</v>
      </c>
    </row>
    <row r="1528" spans="6:18">
      <c r="F1528" t="s">
        <v>3292</v>
      </c>
      <c r="G1528" s="312">
        <v>40.909999999999997</v>
      </c>
      <c r="H1528" s="312">
        <v>311.23</v>
      </c>
      <c r="I1528" s="312">
        <v>62.47</v>
      </c>
      <c r="J1528" s="312">
        <v>201.56</v>
      </c>
      <c r="K1528" s="312">
        <v>636.46</v>
      </c>
      <c r="M1528" t="s">
        <v>3292</v>
      </c>
      <c r="N1528" s="312">
        <v>17974.060000000001</v>
      </c>
      <c r="O1528" s="312">
        <v>205193.28999999998</v>
      </c>
      <c r="P1528" s="312">
        <v>38954.75</v>
      </c>
      <c r="Q1528" s="312">
        <v>100036.28</v>
      </c>
      <c r="R1528" s="312">
        <v>207704.45</v>
      </c>
    </row>
    <row r="1529" spans="6:18">
      <c r="F1529" t="s">
        <v>3293</v>
      </c>
      <c r="G1529" s="312">
        <v>16.72</v>
      </c>
      <c r="H1529" s="312">
        <v>281.28000000000003</v>
      </c>
      <c r="I1529" s="312">
        <v>50.55</v>
      </c>
      <c r="J1529" s="312">
        <v>172.01999999999998</v>
      </c>
      <c r="K1529" s="312">
        <v>397.05</v>
      </c>
      <c r="M1529" t="s">
        <v>3293</v>
      </c>
      <c r="N1529" s="312">
        <v>6065.27</v>
      </c>
      <c r="O1529" s="312">
        <v>162671.5</v>
      </c>
      <c r="P1529" s="312">
        <v>30846.1</v>
      </c>
      <c r="Q1529" s="312">
        <v>120370.28</v>
      </c>
      <c r="R1529" s="312">
        <v>134902.89000000001</v>
      </c>
    </row>
    <row r="1530" spans="6:18">
      <c r="F1530" t="s">
        <v>3294</v>
      </c>
      <c r="G1530" s="312">
        <v>27.23</v>
      </c>
      <c r="H1530" s="312">
        <v>290.32</v>
      </c>
      <c r="I1530" s="312">
        <v>9.93</v>
      </c>
      <c r="J1530" s="312">
        <v>268.3</v>
      </c>
      <c r="K1530" s="312">
        <v>384.90999999999997</v>
      </c>
      <c r="M1530" t="s">
        <v>3294</v>
      </c>
      <c r="N1530" s="312">
        <v>10159.01</v>
      </c>
      <c r="O1530" s="312">
        <v>119935.9</v>
      </c>
      <c r="P1530" s="312">
        <v>10943.07</v>
      </c>
      <c r="Q1530" s="312">
        <v>154404</v>
      </c>
      <c r="R1530" s="312">
        <v>129949.22</v>
      </c>
    </row>
    <row r="1531" spans="6:18">
      <c r="F1531" t="s">
        <v>3295</v>
      </c>
      <c r="G1531" s="312">
        <v>41.78</v>
      </c>
      <c r="H1531" s="312">
        <v>395.08000000000004</v>
      </c>
      <c r="I1531" s="312">
        <v>51.1</v>
      </c>
      <c r="J1531" s="312">
        <v>230.12</v>
      </c>
      <c r="K1531" s="312">
        <v>551.25</v>
      </c>
      <c r="M1531" t="s">
        <v>3295</v>
      </c>
      <c r="N1531" s="312">
        <v>18845.080000000002</v>
      </c>
      <c r="O1531" s="312">
        <v>226651.87</v>
      </c>
      <c r="P1531" s="312">
        <v>57155.1</v>
      </c>
      <c r="Q1531" s="312">
        <v>217581.94999999998</v>
      </c>
      <c r="R1531" s="312">
        <v>177196.42</v>
      </c>
    </row>
    <row r="1532" spans="6:18">
      <c r="F1532" t="s">
        <v>3296</v>
      </c>
      <c r="G1532" s="312">
        <v>43.4</v>
      </c>
      <c r="H1532" s="312">
        <v>392.52</v>
      </c>
      <c r="I1532" s="312">
        <v>50.83</v>
      </c>
      <c r="J1532" s="312">
        <v>344.42</v>
      </c>
      <c r="K1532" s="312">
        <v>368.93</v>
      </c>
      <c r="M1532" t="s">
        <v>3296</v>
      </c>
      <c r="N1532" s="312">
        <v>18022.939999999999</v>
      </c>
      <c r="O1532" s="312">
        <v>249761.33000000002</v>
      </c>
      <c r="P1532" s="312">
        <v>38329.869999999995</v>
      </c>
      <c r="Q1532" s="312">
        <v>215562.38999999998</v>
      </c>
      <c r="R1532" s="312">
        <v>94913.72</v>
      </c>
    </row>
    <row r="1533" spans="6:18">
      <c r="F1533" t="s">
        <v>3297</v>
      </c>
      <c r="G1533" s="312">
        <v>39.869999999999997</v>
      </c>
      <c r="H1533" s="312">
        <v>390.39</v>
      </c>
      <c r="I1533" s="312">
        <v>45.56</v>
      </c>
      <c r="J1533" s="312">
        <v>264.48</v>
      </c>
      <c r="K1533" s="312">
        <v>293.60000000000002</v>
      </c>
      <c r="M1533" t="s">
        <v>3297</v>
      </c>
      <c r="N1533" s="312">
        <v>27896.079999999998</v>
      </c>
      <c r="O1533" s="312">
        <v>274231.05</v>
      </c>
      <c r="P1533" s="312">
        <v>40638.5</v>
      </c>
      <c r="Q1533" s="312">
        <v>170594.59999999998</v>
      </c>
      <c r="R1533" s="312">
        <v>85312.61</v>
      </c>
    </row>
    <row r="1534" spans="6:18">
      <c r="F1534" t="s">
        <v>3298</v>
      </c>
      <c r="G1534" s="312">
        <v>49.449999999999996</v>
      </c>
      <c r="H1534" s="312">
        <v>390.43</v>
      </c>
      <c r="I1534" s="312">
        <v>88.99</v>
      </c>
      <c r="J1534" s="312">
        <v>246.05</v>
      </c>
      <c r="K1534" s="312">
        <v>337.45</v>
      </c>
      <c r="M1534" t="s">
        <v>3298</v>
      </c>
      <c r="N1534" s="312">
        <v>19077.09</v>
      </c>
      <c r="O1534" s="312">
        <v>232708.19</v>
      </c>
      <c r="P1534" s="312">
        <v>49001.24</v>
      </c>
      <c r="Q1534" s="312">
        <v>137425.41</v>
      </c>
      <c r="R1534" s="312">
        <v>100313</v>
      </c>
    </row>
    <row r="1535" spans="6:18">
      <c r="F1535" t="s">
        <v>3299</v>
      </c>
      <c r="G1535" s="312">
        <v>36.19</v>
      </c>
      <c r="H1535" s="312">
        <v>251.78000000000003</v>
      </c>
      <c r="I1535" s="312">
        <v>90.82</v>
      </c>
      <c r="J1535" s="312">
        <v>258.36</v>
      </c>
      <c r="K1535" s="312">
        <v>1682.5300000000002</v>
      </c>
      <c r="M1535" t="s">
        <v>3299</v>
      </c>
      <c r="N1535" s="312">
        <v>12190.83</v>
      </c>
      <c r="O1535" s="312">
        <v>158362.44</v>
      </c>
      <c r="P1535" s="312">
        <v>93516.160000000003</v>
      </c>
      <c r="Q1535" s="312">
        <v>132574.14000000001</v>
      </c>
      <c r="R1535" s="312">
        <v>426230.57</v>
      </c>
    </row>
    <row r="1536" spans="6:18">
      <c r="F1536" t="s">
        <v>3300</v>
      </c>
      <c r="G1536" s="312">
        <v>58.48</v>
      </c>
      <c r="H1536" s="312">
        <v>165.76999999999998</v>
      </c>
      <c r="I1536" s="312">
        <v>24.1</v>
      </c>
      <c r="J1536" s="312">
        <v>201</v>
      </c>
      <c r="K1536" s="312">
        <v>449.81999999999994</v>
      </c>
      <c r="M1536" t="s">
        <v>3300</v>
      </c>
      <c r="N1536" s="312">
        <v>34467.81</v>
      </c>
      <c r="O1536" s="312">
        <v>92766.080000000002</v>
      </c>
      <c r="P1536" s="312">
        <v>15580.2</v>
      </c>
      <c r="Q1536" s="312">
        <v>98356.1</v>
      </c>
      <c r="R1536" s="312">
        <v>125319.57</v>
      </c>
    </row>
    <row r="1537" spans="6:18">
      <c r="F1537" t="s">
        <v>3301</v>
      </c>
      <c r="G1537" s="312">
        <v>33.14</v>
      </c>
      <c r="H1537" s="312">
        <v>248.24</v>
      </c>
      <c r="I1537" s="312">
        <v>17.989999999999998</v>
      </c>
      <c r="J1537" s="312">
        <v>235.82</v>
      </c>
      <c r="K1537" s="312">
        <v>286.21000000000004</v>
      </c>
      <c r="M1537" t="s">
        <v>3301</v>
      </c>
      <c r="N1537" s="312">
        <v>22213.41</v>
      </c>
      <c r="O1537" s="312">
        <v>141024.29999999999</v>
      </c>
      <c r="P1537" s="312">
        <v>16636.95</v>
      </c>
      <c r="Q1537" s="312">
        <v>157177.25</v>
      </c>
      <c r="R1537" s="312">
        <v>78663.27</v>
      </c>
    </row>
    <row r="1538" spans="6:18">
      <c r="F1538" t="s">
        <v>3302</v>
      </c>
      <c r="G1538" s="312">
        <v>20.869999999999997</v>
      </c>
      <c r="H1538" s="312">
        <v>255.12</v>
      </c>
      <c r="I1538" s="312">
        <v>25.34</v>
      </c>
      <c r="J1538" s="312">
        <v>199.01999999999998</v>
      </c>
      <c r="K1538" s="312">
        <v>397.48</v>
      </c>
      <c r="M1538" t="s">
        <v>3302</v>
      </c>
      <c r="N1538" s="312">
        <v>15344.820000000002</v>
      </c>
      <c r="O1538" s="312">
        <v>179011.56999999998</v>
      </c>
      <c r="P1538" s="312">
        <v>17545.05</v>
      </c>
      <c r="Q1538" s="312">
        <v>96374.41</v>
      </c>
      <c r="R1538" s="312">
        <v>108222.15</v>
      </c>
    </row>
    <row r="1539" spans="6:18">
      <c r="F1539" t="s">
        <v>3303</v>
      </c>
      <c r="G1539" s="312">
        <v>38.99</v>
      </c>
      <c r="H1539" s="312">
        <v>363.91999999999996</v>
      </c>
      <c r="I1539" s="312">
        <v>81.319999999999993</v>
      </c>
      <c r="J1539" s="312">
        <v>246.98</v>
      </c>
      <c r="K1539" s="312">
        <v>410.65</v>
      </c>
      <c r="M1539" t="s">
        <v>3303</v>
      </c>
      <c r="N1539" s="312">
        <v>31004.129999999997</v>
      </c>
      <c r="O1539" s="312">
        <v>253326.08000000002</v>
      </c>
      <c r="P1539" s="312">
        <v>83567.209999999992</v>
      </c>
      <c r="Q1539" s="312">
        <v>122206.44</v>
      </c>
      <c r="R1539" s="312">
        <v>148127.64000000001</v>
      </c>
    </row>
    <row r="1540" spans="6:18">
      <c r="F1540" t="s">
        <v>3304</v>
      </c>
      <c r="G1540" s="312">
        <v>59.34</v>
      </c>
      <c r="H1540" s="312">
        <v>304.98</v>
      </c>
      <c r="I1540" s="312">
        <v>49.03</v>
      </c>
      <c r="J1540" s="312">
        <v>214.52</v>
      </c>
      <c r="K1540" s="312">
        <v>449.85</v>
      </c>
      <c r="M1540" t="s">
        <v>3304</v>
      </c>
      <c r="N1540" s="312">
        <v>48301.18</v>
      </c>
      <c r="O1540" s="312">
        <v>159449.70000000001</v>
      </c>
      <c r="P1540" s="312">
        <v>28260.22</v>
      </c>
      <c r="Q1540" s="312">
        <v>112786.93000000001</v>
      </c>
      <c r="R1540" s="312">
        <v>108725.03</v>
      </c>
    </row>
    <row r="1541" spans="6:18">
      <c r="F1541" t="s">
        <v>3305</v>
      </c>
      <c r="G1541" s="312">
        <v>40.75</v>
      </c>
      <c r="H1541" s="312">
        <v>346.39</v>
      </c>
      <c r="I1541" s="312">
        <v>65.05</v>
      </c>
      <c r="J1541" s="312">
        <v>224.17000000000002</v>
      </c>
      <c r="K1541" s="312">
        <v>367.65999999999997</v>
      </c>
      <c r="M1541" t="s">
        <v>3305</v>
      </c>
      <c r="N1541" s="312">
        <v>18486.61</v>
      </c>
      <c r="O1541" s="312">
        <v>224347.84</v>
      </c>
      <c r="P1541" s="312">
        <v>46444.86</v>
      </c>
      <c r="Q1541" s="312">
        <v>165172.46</v>
      </c>
      <c r="R1541" s="312">
        <v>104235.49</v>
      </c>
    </row>
    <row r="1542" spans="6:18">
      <c r="F1542" t="s">
        <v>3306</v>
      </c>
      <c r="G1542" s="312">
        <v>36.47</v>
      </c>
      <c r="H1542" s="312">
        <v>286.37</v>
      </c>
      <c r="I1542" s="312">
        <v>58.019999999999996</v>
      </c>
      <c r="J1542" s="312">
        <v>244.01</v>
      </c>
      <c r="K1542" s="312">
        <v>249.01999999999998</v>
      </c>
      <c r="M1542" t="s">
        <v>3306</v>
      </c>
      <c r="N1542" s="312">
        <v>20351.8</v>
      </c>
      <c r="O1542" s="312">
        <v>171782.77</v>
      </c>
      <c r="P1542" s="312">
        <v>35409.839999999997</v>
      </c>
      <c r="Q1542" s="312">
        <v>138906.97999999998</v>
      </c>
      <c r="R1542" s="312">
        <v>59464.639999999999</v>
      </c>
    </row>
    <row r="1543" spans="6:18">
      <c r="F1543" t="s">
        <v>3307</v>
      </c>
      <c r="G1543" s="312">
        <v>36.76</v>
      </c>
      <c r="H1543" s="312">
        <v>247.14000000000001</v>
      </c>
      <c r="I1543" s="312">
        <v>51.67</v>
      </c>
      <c r="J1543" s="312">
        <v>176.34</v>
      </c>
      <c r="K1543" s="312">
        <v>214.63</v>
      </c>
      <c r="M1543" t="s">
        <v>3307</v>
      </c>
      <c r="N1543" s="312">
        <v>17141.41</v>
      </c>
      <c r="O1543" s="312">
        <v>156472.34</v>
      </c>
      <c r="P1543" s="312">
        <v>22277.149999999998</v>
      </c>
      <c r="Q1543" s="312">
        <v>95260.61</v>
      </c>
      <c r="R1543" s="312">
        <v>57511.92</v>
      </c>
    </row>
    <row r="1544" spans="6:18">
      <c r="F1544" t="s">
        <v>3308</v>
      </c>
      <c r="G1544" s="312">
        <v>39.64</v>
      </c>
      <c r="H1544" s="312">
        <v>224.56</v>
      </c>
      <c r="I1544" s="312">
        <v>15.649999999999999</v>
      </c>
      <c r="J1544" s="312">
        <v>150.15</v>
      </c>
      <c r="K1544" s="312">
        <v>270.58</v>
      </c>
      <c r="M1544" t="s">
        <v>3308</v>
      </c>
      <c r="N1544" s="312">
        <v>22498.240000000002</v>
      </c>
      <c r="O1544" s="312">
        <v>141330.99</v>
      </c>
      <c r="P1544" s="312">
        <v>19466.52</v>
      </c>
      <c r="Q1544" s="312">
        <v>81423.740000000005</v>
      </c>
      <c r="R1544" s="312">
        <v>93412.42</v>
      </c>
    </row>
    <row r="1545" spans="6:18">
      <c r="F1545" t="s">
        <v>3309</v>
      </c>
      <c r="G1545" s="312">
        <v>35.43</v>
      </c>
      <c r="H1545" s="312">
        <v>277.89</v>
      </c>
      <c r="I1545" s="312">
        <v>89.35</v>
      </c>
      <c r="J1545" s="312">
        <v>266.69</v>
      </c>
      <c r="K1545" s="312">
        <v>444.07</v>
      </c>
      <c r="M1545" t="s">
        <v>3309</v>
      </c>
      <c r="N1545" s="312">
        <v>19743.04</v>
      </c>
      <c r="O1545" s="312">
        <v>148505.70000000001</v>
      </c>
      <c r="P1545" s="312">
        <v>84983.969999999987</v>
      </c>
      <c r="Q1545" s="312">
        <v>160909.95000000001</v>
      </c>
      <c r="R1545" s="312">
        <v>138805.45000000001</v>
      </c>
    </row>
    <row r="1546" spans="6:18">
      <c r="F1546" t="s">
        <v>3310</v>
      </c>
      <c r="G1546" s="312">
        <v>50.19</v>
      </c>
      <c r="H1546" s="312">
        <v>405.05999999999995</v>
      </c>
      <c r="I1546" s="312">
        <v>47.58</v>
      </c>
      <c r="J1546" s="312">
        <v>196.92000000000002</v>
      </c>
      <c r="K1546" s="312">
        <v>297.98</v>
      </c>
      <c r="M1546" t="s">
        <v>3310</v>
      </c>
      <c r="N1546" s="312">
        <v>30591.15</v>
      </c>
      <c r="O1546" s="312">
        <v>241900.71</v>
      </c>
      <c r="P1546" s="312">
        <v>28090.86</v>
      </c>
      <c r="Q1546" s="312">
        <v>139913.76999999999</v>
      </c>
      <c r="R1546" s="312">
        <v>98288.38</v>
      </c>
    </row>
    <row r="1547" spans="6:18">
      <c r="F1547" t="s">
        <v>3311</v>
      </c>
      <c r="G1547" s="312">
        <v>45.17</v>
      </c>
      <c r="H1547" s="312">
        <v>364.61</v>
      </c>
      <c r="I1547" s="312">
        <v>51.25</v>
      </c>
      <c r="J1547" s="312">
        <v>239.88</v>
      </c>
      <c r="K1547" s="312">
        <v>475.03999999999996</v>
      </c>
      <c r="M1547" t="s">
        <v>3311</v>
      </c>
      <c r="N1547" s="312">
        <v>13642.54</v>
      </c>
      <c r="O1547" s="312">
        <v>240657.30000000002</v>
      </c>
      <c r="P1547" s="312">
        <v>29736.559999999998</v>
      </c>
      <c r="Q1547" s="312">
        <v>189878.46</v>
      </c>
      <c r="R1547" s="312">
        <v>172737.8</v>
      </c>
    </row>
    <row r="1548" spans="6:18">
      <c r="F1548" t="s">
        <v>3312</v>
      </c>
      <c r="G1548" s="312">
        <v>31.11</v>
      </c>
      <c r="H1548" s="312">
        <v>438.84999999999997</v>
      </c>
      <c r="I1548" s="312">
        <v>70.39</v>
      </c>
      <c r="J1548" s="312">
        <v>246.44</v>
      </c>
      <c r="K1548" s="312">
        <v>520.01</v>
      </c>
      <c r="M1548" t="s">
        <v>3312</v>
      </c>
      <c r="N1548" s="312">
        <v>12556.57</v>
      </c>
      <c r="O1548" s="312">
        <v>225038.99000000002</v>
      </c>
      <c r="P1548" s="312">
        <v>75983.739999999991</v>
      </c>
      <c r="Q1548" s="312">
        <v>151687.77000000002</v>
      </c>
      <c r="R1548" s="312">
        <v>136111.72</v>
      </c>
    </row>
    <row r="1549" spans="6:18">
      <c r="F1549" t="s">
        <v>3313</v>
      </c>
      <c r="G1549" s="312">
        <v>24.64</v>
      </c>
      <c r="H1549" s="312">
        <v>413.40999999999997</v>
      </c>
      <c r="I1549" s="312">
        <v>35.620000000000005</v>
      </c>
      <c r="J1549" s="312">
        <v>191.77</v>
      </c>
      <c r="K1549" s="312">
        <v>414.93</v>
      </c>
      <c r="M1549" t="s">
        <v>3313</v>
      </c>
      <c r="N1549" s="312">
        <v>14440.3</v>
      </c>
      <c r="O1549" s="312">
        <v>256213.41</v>
      </c>
      <c r="P1549" s="312">
        <v>17483.8</v>
      </c>
      <c r="Q1549" s="312">
        <v>128485.75</v>
      </c>
      <c r="R1549" s="312">
        <v>123683.90000000001</v>
      </c>
    </row>
    <row r="1550" spans="6:18">
      <c r="F1550" t="s">
        <v>3314</v>
      </c>
      <c r="G1550" s="312">
        <v>20.98</v>
      </c>
      <c r="H1550" s="312">
        <v>255.56</v>
      </c>
      <c r="I1550" s="312">
        <v>29.400000000000002</v>
      </c>
      <c r="J1550" s="312">
        <v>148.1</v>
      </c>
      <c r="K1550" s="312">
        <v>287.45</v>
      </c>
      <c r="M1550" t="s">
        <v>3314</v>
      </c>
      <c r="N1550" s="312">
        <v>8581.11</v>
      </c>
      <c r="O1550" s="312">
        <v>196962.16</v>
      </c>
      <c r="P1550" s="312">
        <v>15626.67</v>
      </c>
      <c r="Q1550" s="312">
        <v>85974.61</v>
      </c>
      <c r="R1550" s="312">
        <v>85004.38</v>
      </c>
    </row>
    <row r="1551" spans="6:18">
      <c r="F1551" t="s">
        <v>3315</v>
      </c>
      <c r="G1551" s="312">
        <v>36.200000000000003</v>
      </c>
      <c r="H1551" s="312">
        <v>243.59</v>
      </c>
      <c r="I1551" s="312">
        <v>19.13</v>
      </c>
      <c r="J1551" s="312">
        <v>174.51999999999998</v>
      </c>
      <c r="K1551" s="312">
        <v>273.7</v>
      </c>
      <c r="M1551" t="s">
        <v>3315</v>
      </c>
      <c r="N1551" s="312">
        <v>12229.779999999999</v>
      </c>
      <c r="O1551" s="312">
        <v>115364.32</v>
      </c>
      <c r="P1551" s="312">
        <v>18764.349999999999</v>
      </c>
      <c r="Q1551" s="312">
        <v>104984.29000000001</v>
      </c>
      <c r="R1551" s="312">
        <v>76171.210000000006</v>
      </c>
    </row>
    <row r="1552" spans="6:18">
      <c r="F1552" t="s">
        <v>3316</v>
      </c>
      <c r="G1552" s="312">
        <v>50.17</v>
      </c>
      <c r="H1552" s="312">
        <v>372.89</v>
      </c>
      <c r="I1552" s="312">
        <v>78.509999999999991</v>
      </c>
      <c r="J1552" s="312">
        <v>228.36</v>
      </c>
      <c r="K1552" s="312">
        <v>361.23</v>
      </c>
      <c r="M1552" t="s">
        <v>3316</v>
      </c>
      <c r="N1552" s="312">
        <v>29450.639999999999</v>
      </c>
      <c r="O1552" s="312">
        <v>225161.47999999998</v>
      </c>
      <c r="P1552" s="312">
        <v>69789.600000000006</v>
      </c>
      <c r="Q1552" s="312">
        <v>197324.14</v>
      </c>
      <c r="R1552" s="312">
        <v>96741.260000000009</v>
      </c>
    </row>
    <row r="1553" spans="6:18">
      <c r="F1553" t="s">
        <v>3317</v>
      </c>
      <c r="G1553" s="312">
        <v>56.339999999999996</v>
      </c>
      <c r="H1553" s="312">
        <v>358.64</v>
      </c>
      <c r="I1553" s="312">
        <v>29.39</v>
      </c>
      <c r="J1553" s="312">
        <v>222.93</v>
      </c>
      <c r="K1553" s="312">
        <v>465.92999999999995</v>
      </c>
      <c r="M1553" t="s">
        <v>3317</v>
      </c>
      <c r="N1553" s="312">
        <v>43351.79</v>
      </c>
      <c r="O1553" s="312">
        <v>227822.97</v>
      </c>
      <c r="P1553" s="312">
        <v>20506.919999999998</v>
      </c>
      <c r="Q1553" s="312">
        <v>168938.08</v>
      </c>
      <c r="R1553" s="312">
        <v>132452.88</v>
      </c>
    </row>
    <row r="1554" spans="6:18">
      <c r="F1554" t="s">
        <v>3318</v>
      </c>
      <c r="G1554" s="312">
        <v>33.53</v>
      </c>
      <c r="H1554" s="312">
        <v>362.79</v>
      </c>
      <c r="I1554" s="312">
        <v>61.36</v>
      </c>
      <c r="J1554" s="312">
        <v>220.55</v>
      </c>
      <c r="K1554" s="312">
        <v>447.88</v>
      </c>
      <c r="M1554" t="s">
        <v>3318</v>
      </c>
      <c r="N1554" s="312">
        <v>16454.510000000002</v>
      </c>
      <c r="O1554" s="312">
        <v>243705.05</v>
      </c>
      <c r="P1554" s="312">
        <v>53492.340000000004</v>
      </c>
      <c r="Q1554" s="312">
        <v>152946.1</v>
      </c>
      <c r="R1554" s="312">
        <v>151364.35999999999</v>
      </c>
    </row>
    <row r="1555" spans="6:18">
      <c r="F1555" t="s">
        <v>3319</v>
      </c>
      <c r="G1555" s="312">
        <v>46.92</v>
      </c>
      <c r="H1555" s="312">
        <v>431.84000000000003</v>
      </c>
      <c r="I1555" s="312">
        <v>39.5</v>
      </c>
      <c r="J1555" s="312">
        <v>223.33</v>
      </c>
      <c r="K1555" s="312">
        <v>396.48</v>
      </c>
      <c r="M1555" t="s">
        <v>3319</v>
      </c>
      <c r="N1555" s="312">
        <v>27662</v>
      </c>
      <c r="O1555" s="312">
        <v>247256.86</v>
      </c>
      <c r="P1555" s="312">
        <v>35089.49</v>
      </c>
      <c r="Q1555" s="312">
        <v>146432.79</v>
      </c>
      <c r="R1555" s="312">
        <v>99468.209999999992</v>
      </c>
    </row>
    <row r="1556" spans="6:18">
      <c r="F1556" t="s">
        <v>3320</v>
      </c>
      <c r="G1556" s="312">
        <v>38.54</v>
      </c>
      <c r="H1556" s="312">
        <v>375.42</v>
      </c>
      <c r="I1556" s="312">
        <v>32.629999999999995</v>
      </c>
      <c r="J1556" s="312">
        <v>161.79999999999998</v>
      </c>
      <c r="K1556" s="312">
        <v>399.9</v>
      </c>
      <c r="M1556" t="s">
        <v>3320</v>
      </c>
      <c r="N1556" s="312">
        <v>20167.39</v>
      </c>
      <c r="O1556" s="312">
        <v>268086.02</v>
      </c>
      <c r="P1556" s="312">
        <v>26451.69</v>
      </c>
      <c r="Q1556" s="312">
        <v>99154.48</v>
      </c>
      <c r="R1556" s="312">
        <v>126039.61</v>
      </c>
    </row>
    <row r="1557" spans="6:18">
      <c r="F1557" t="s">
        <v>3321</v>
      </c>
      <c r="G1557" s="312">
        <v>16.91</v>
      </c>
      <c r="H1557" s="312">
        <v>183.78</v>
      </c>
      <c r="I1557" s="312">
        <v>25.72</v>
      </c>
      <c r="J1557" s="312">
        <v>145.27000000000001</v>
      </c>
      <c r="K1557" s="312">
        <v>292.24</v>
      </c>
      <c r="M1557" t="s">
        <v>3321</v>
      </c>
      <c r="N1557" s="312">
        <v>12569.35</v>
      </c>
      <c r="O1557" s="312">
        <v>108242.20000000001</v>
      </c>
      <c r="P1557" s="312">
        <v>25303.29</v>
      </c>
      <c r="Q1557" s="312">
        <v>77709.960000000006</v>
      </c>
      <c r="R1557" s="312">
        <v>116396.62</v>
      </c>
    </row>
    <row r="1558" spans="6:18">
      <c r="F1558" t="s">
        <v>3322</v>
      </c>
      <c r="G1558" s="312">
        <v>57.59</v>
      </c>
      <c r="H1558" s="312">
        <v>225.49</v>
      </c>
      <c r="I1558" s="312">
        <v>12.540000000000001</v>
      </c>
      <c r="J1558" s="312">
        <v>134.72999999999999</v>
      </c>
      <c r="K1558" s="312">
        <v>258.18</v>
      </c>
      <c r="M1558" t="s">
        <v>3322</v>
      </c>
      <c r="N1558" s="312">
        <v>31274.469999999998</v>
      </c>
      <c r="O1558" s="312">
        <v>123029.74</v>
      </c>
      <c r="P1558" s="312">
        <v>5992.2899999999991</v>
      </c>
      <c r="Q1558" s="312">
        <v>68588.87</v>
      </c>
      <c r="R1558" s="312">
        <v>89150.58</v>
      </c>
    </row>
    <row r="1559" spans="6:18">
      <c r="F1559" t="s">
        <v>3323</v>
      </c>
      <c r="G1559" s="312">
        <v>56.7</v>
      </c>
      <c r="H1559" s="312">
        <v>405</v>
      </c>
      <c r="I1559" s="312">
        <v>74.710000000000008</v>
      </c>
      <c r="J1559" s="312">
        <v>214.15</v>
      </c>
      <c r="K1559" s="312">
        <v>326.77999999999997</v>
      </c>
      <c r="M1559" t="s">
        <v>3323</v>
      </c>
      <c r="N1559" s="312">
        <v>22151.5</v>
      </c>
      <c r="O1559" s="312">
        <v>260361.52</v>
      </c>
      <c r="P1559" s="312">
        <v>55142.429999999993</v>
      </c>
      <c r="Q1559" s="312">
        <v>167548.09</v>
      </c>
      <c r="R1559" s="312">
        <v>99363.3</v>
      </c>
    </row>
    <row r="1560" spans="6:18">
      <c r="F1560" t="s">
        <v>3324</v>
      </c>
      <c r="G1560" s="312">
        <v>52.17</v>
      </c>
      <c r="H1560" s="312">
        <v>400.89</v>
      </c>
      <c r="I1560" s="312">
        <v>54.519999999999996</v>
      </c>
      <c r="J1560" s="312">
        <v>187.7</v>
      </c>
      <c r="K1560" s="312">
        <v>276.62</v>
      </c>
      <c r="M1560" t="s">
        <v>3324</v>
      </c>
      <c r="N1560" s="312">
        <v>24568.080000000002</v>
      </c>
      <c r="O1560" s="312">
        <v>272278.08</v>
      </c>
      <c r="P1560" s="312">
        <v>29766.23</v>
      </c>
      <c r="Q1560" s="312">
        <v>117209.01999999999</v>
      </c>
      <c r="R1560" s="312">
        <v>106092.46</v>
      </c>
    </row>
    <row r="1561" spans="6:18">
      <c r="F1561" t="s">
        <v>3325</v>
      </c>
      <c r="G1561" s="312">
        <v>19.66</v>
      </c>
      <c r="H1561" s="312">
        <v>399.25</v>
      </c>
      <c r="I1561" s="312">
        <v>23.130000000000003</v>
      </c>
      <c r="J1561" s="312">
        <v>198.04</v>
      </c>
      <c r="K1561" s="312">
        <v>261.26</v>
      </c>
      <c r="M1561" t="s">
        <v>3325</v>
      </c>
      <c r="N1561" s="312">
        <v>8409.119999999999</v>
      </c>
      <c r="O1561" s="312">
        <v>387146.02</v>
      </c>
      <c r="P1561" s="312">
        <v>10200.220000000001</v>
      </c>
      <c r="Q1561" s="312">
        <v>145447.5</v>
      </c>
      <c r="R1561" s="312">
        <v>90450.55</v>
      </c>
    </row>
    <row r="1562" spans="6:18">
      <c r="F1562" t="s">
        <v>3326</v>
      </c>
      <c r="G1562" s="312">
        <v>45.8</v>
      </c>
      <c r="H1562" s="312">
        <v>453.42</v>
      </c>
      <c r="I1562" s="312">
        <v>68.78</v>
      </c>
      <c r="J1562" s="312">
        <v>234.59</v>
      </c>
      <c r="K1562" s="312">
        <v>292.51</v>
      </c>
      <c r="M1562" t="s">
        <v>3326</v>
      </c>
      <c r="N1562" s="312">
        <v>20527.599999999999</v>
      </c>
      <c r="O1562" s="312">
        <v>241253.68</v>
      </c>
      <c r="P1562" s="312">
        <v>54384.959999999999</v>
      </c>
      <c r="Q1562" s="312">
        <v>176366.78</v>
      </c>
      <c r="R1562" s="312">
        <v>117952.97</v>
      </c>
    </row>
    <row r="1563" spans="6:18">
      <c r="F1563" t="s">
        <v>3327</v>
      </c>
      <c r="G1563" s="312">
        <v>56.81</v>
      </c>
      <c r="H1563" s="312">
        <v>359.64</v>
      </c>
      <c r="I1563" s="312">
        <v>55.82</v>
      </c>
      <c r="J1563" s="312">
        <v>175.67000000000002</v>
      </c>
      <c r="K1563" s="312">
        <v>287.66000000000003</v>
      </c>
      <c r="M1563" t="s">
        <v>3327</v>
      </c>
      <c r="N1563" s="312">
        <v>20503.440000000002</v>
      </c>
      <c r="O1563" s="312">
        <v>227026.73</v>
      </c>
      <c r="P1563" s="312">
        <v>48340.959999999999</v>
      </c>
      <c r="Q1563" s="312">
        <v>133593.91</v>
      </c>
      <c r="R1563" s="312">
        <v>99190.399999999994</v>
      </c>
    </row>
    <row r="1564" spans="6:18">
      <c r="F1564" t="s">
        <v>3328</v>
      </c>
      <c r="G1564" s="312">
        <v>41.68</v>
      </c>
      <c r="H1564" s="312">
        <v>291.60000000000002</v>
      </c>
      <c r="I1564" s="312">
        <v>52.55</v>
      </c>
      <c r="J1564" s="312">
        <v>267.87</v>
      </c>
      <c r="K1564" s="312">
        <v>248.70000000000002</v>
      </c>
      <c r="M1564" t="s">
        <v>3328</v>
      </c>
      <c r="N1564" s="312">
        <v>26240.5</v>
      </c>
      <c r="O1564" s="312">
        <v>149666.03</v>
      </c>
      <c r="P1564" s="312">
        <v>62913.45</v>
      </c>
      <c r="Q1564" s="312">
        <v>153986.57</v>
      </c>
      <c r="R1564" s="312">
        <v>64569.74</v>
      </c>
    </row>
    <row r="1565" spans="6:18">
      <c r="F1565" t="s">
        <v>3329</v>
      </c>
      <c r="G1565" s="312">
        <v>47.510000000000005</v>
      </c>
      <c r="H1565" s="312">
        <v>331.84999999999997</v>
      </c>
      <c r="I1565" s="312">
        <v>27.2</v>
      </c>
      <c r="J1565" s="312">
        <v>162.22</v>
      </c>
      <c r="K1565" s="312">
        <v>223.38</v>
      </c>
      <c r="M1565" t="s">
        <v>3329</v>
      </c>
      <c r="N1565" s="312">
        <v>33004.67</v>
      </c>
      <c r="O1565" s="312">
        <v>206412</v>
      </c>
      <c r="P1565" s="312">
        <v>16381.35</v>
      </c>
      <c r="Q1565" s="312">
        <v>92741.57</v>
      </c>
      <c r="R1565" s="312">
        <v>66469.070000000007</v>
      </c>
    </row>
    <row r="1566" spans="6:18">
      <c r="F1566" t="s">
        <v>3330</v>
      </c>
      <c r="G1566" s="312">
        <v>42.73</v>
      </c>
      <c r="H1566" s="312">
        <v>317.71999999999997</v>
      </c>
      <c r="I1566" s="312">
        <v>58.06</v>
      </c>
      <c r="J1566" s="312">
        <v>162.54000000000002</v>
      </c>
      <c r="K1566" s="312">
        <v>237.91000000000003</v>
      </c>
      <c r="M1566" t="s">
        <v>3330</v>
      </c>
      <c r="N1566" s="312">
        <v>23019.879999999997</v>
      </c>
      <c r="O1566" s="312">
        <v>200813.84999999998</v>
      </c>
      <c r="P1566" s="312">
        <v>51426.9</v>
      </c>
      <c r="Q1566" s="312">
        <v>128336.60999999999</v>
      </c>
      <c r="R1566" s="312">
        <v>77246.53</v>
      </c>
    </row>
    <row r="1567" spans="6:18">
      <c r="F1567" t="s">
        <v>3331</v>
      </c>
      <c r="G1567" s="312">
        <v>61.81</v>
      </c>
      <c r="H1567" s="312">
        <v>267.27999999999997</v>
      </c>
      <c r="I1567" s="312">
        <v>54.63</v>
      </c>
      <c r="J1567" s="312">
        <v>264.72000000000003</v>
      </c>
      <c r="K1567" s="312">
        <v>390.64</v>
      </c>
      <c r="M1567" t="s">
        <v>3331</v>
      </c>
      <c r="N1567" s="312">
        <v>29396.27</v>
      </c>
      <c r="O1567" s="312">
        <v>211291.38999999998</v>
      </c>
      <c r="P1567" s="312">
        <v>92949.63</v>
      </c>
      <c r="Q1567" s="312">
        <v>216858.68</v>
      </c>
      <c r="R1567" s="312">
        <v>133453.56</v>
      </c>
    </row>
    <row r="1568" spans="6:18">
      <c r="F1568" t="s">
        <v>3332</v>
      </c>
      <c r="G1568" s="312">
        <v>33.620000000000005</v>
      </c>
      <c r="H1568" s="312">
        <v>374.48</v>
      </c>
      <c r="I1568" s="312">
        <v>47.75</v>
      </c>
      <c r="J1568" s="312">
        <v>271.02999999999997</v>
      </c>
      <c r="K1568" s="312">
        <v>268.36</v>
      </c>
      <c r="M1568" t="s">
        <v>3332</v>
      </c>
      <c r="N1568" s="312">
        <v>16987.830000000002</v>
      </c>
      <c r="O1568" s="312">
        <v>183780.39</v>
      </c>
      <c r="P1568" s="312">
        <v>28927.72</v>
      </c>
      <c r="Q1568" s="312">
        <v>193746.46</v>
      </c>
      <c r="R1568" s="312">
        <v>88550.22</v>
      </c>
    </row>
    <row r="1569" spans="6:18">
      <c r="F1569" t="s">
        <v>3333</v>
      </c>
      <c r="G1569" s="312">
        <v>37.68</v>
      </c>
      <c r="H1569" s="312">
        <v>312.48</v>
      </c>
      <c r="I1569" s="312">
        <v>53.92</v>
      </c>
      <c r="J1569" s="312">
        <v>198.83</v>
      </c>
      <c r="K1569" s="312">
        <v>306.03999999999996</v>
      </c>
      <c r="M1569" t="s">
        <v>3333</v>
      </c>
      <c r="N1569" s="312">
        <v>28961.670000000002</v>
      </c>
      <c r="O1569" s="312">
        <v>161203.96</v>
      </c>
      <c r="P1569" s="312">
        <v>35491.9</v>
      </c>
      <c r="Q1569" s="312">
        <v>149578.34</v>
      </c>
      <c r="R1569" s="312">
        <v>97866.819999999992</v>
      </c>
    </row>
    <row r="1570" spans="6:18">
      <c r="F1570" t="s">
        <v>3334</v>
      </c>
      <c r="G1570" s="312">
        <v>23.92</v>
      </c>
      <c r="H1570" s="312">
        <v>222.64</v>
      </c>
      <c r="I1570" s="312">
        <v>10.86</v>
      </c>
      <c r="J1570" s="312">
        <v>179.99</v>
      </c>
      <c r="K1570" s="312">
        <v>208.76999999999998</v>
      </c>
      <c r="M1570" t="s">
        <v>3334</v>
      </c>
      <c r="N1570" s="312">
        <v>21167.54</v>
      </c>
      <c r="O1570" s="312">
        <v>121640.76999999999</v>
      </c>
      <c r="P1570" s="312">
        <v>8917.77</v>
      </c>
      <c r="Q1570" s="312">
        <v>92209.349999999991</v>
      </c>
      <c r="R1570" s="312">
        <v>69755.22</v>
      </c>
    </row>
    <row r="1571" spans="6:18">
      <c r="F1571" t="s">
        <v>3335</v>
      </c>
      <c r="G1571" s="312">
        <v>20.02</v>
      </c>
      <c r="H1571" s="312">
        <v>229.66</v>
      </c>
      <c r="I1571" s="312">
        <v>99</v>
      </c>
      <c r="J1571" s="312">
        <v>212.03000000000003</v>
      </c>
      <c r="K1571" s="312">
        <v>161.66</v>
      </c>
      <c r="M1571" t="s">
        <v>3335</v>
      </c>
      <c r="N1571" s="312">
        <v>8920.26</v>
      </c>
      <c r="O1571" s="312">
        <v>158512.45000000001</v>
      </c>
      <c r="P1571" s="312">
        <v>64994.21</v>
      </c>
      <c r="Q1571" s="312">
        <v>146882.66999999998</v>
      </c>
      <c r="R1571" s="312">
        <v>58670.45</v>
      </c>
    </row>
    <row r="1572" spans="6:18">
      <c r="F1572" t="s">
        <v>3336</v>
      </c>
      <c r="G1572" s="312">
        <v>8.9700000000000006</v>
      </c>
      <c r="H1572" s="312">
        <v>159.93</v>
      </c>
      <c r="I1572" s="312">
        <v>12.129999999999999</v>
      </c>
      <c r="J1572" s="312">
        <v>192.89</v>
      </c>
      <c r="K1572" s="312">
        <v>144.17000000000002</v>
      </c>
      <c r="M1572" t="s">
        <v>3336</v>
      </c>
      <c r="N1572" s="312">
        <v>3219.06</v>
      </c>
      <c r="O1572" s="312">
        <v>76880.09</v>
      </c>
      <c r="P1572" s="312">
        <v>14230.619999999999</v>
      </c>
      <c r="Q1572" s="312">
        <v>127099.24</v>
      </c>
      <c r="R1572" s="312">
        <v>39066.959999999999</v>
      </c>
    </row>
    <row r="1573" spans="6:18">
      <c r="F1573" t="s">
        <v>3337</v>
      </c>
      <c r="G1573" s="312">
        <v>40.17</v>
      </c>
      <c r="H1573" s="312">
        <v>229.20999999999998</v>
      </c>
      <c r="I1573" s="312">
        <v>10.73</v>
      </c>
      <c r="J1573" s="312">
        <v>200.67</v>
      </c>
      <c r="K1573" s="312">
        <v>424.24</v>
      </c>
      <c r="M1573" t="s">
        <v>3337</v>
      </c>
      <c r="N1573" s="312">
        <v>22508.269999999997</v>
      </c>
      <c r="O1573" s="312">
        <v>155727.18</v>
      </c>
      <c r="P1573" s="312">
        <v>7966.24</v>
      </c>
      <c r="Q1573" s="312">
        <v>140245.17000000001</v>
      </c>
      <c r="R1573" s="312">
        <v>128833.62</v>
      </c>
    </row>
    <row r="1574" spans="6:18">
      <c r="F1574" t="s">
        <v>3338</v>
      </c>
      <c r="G1574" s="312">
        <v>19.38</v>
      </c>
      <c r="H1574" s="312">
        <v>378.62</v>
      </c>
      <c r="I1574" s="312">
        <v>75.179999999999993</v>
      </c>
      <c r="J1574" s="312">
        <v>175.98</v>
      </c>
      <c r="K1574" s="312">
        <v>434.79</v>
      </c>
      <c r="M1574" t="s">
        <v>3338</v>
      </c>
      <c r="N1574" s="312">
        <v>7588.66</v>
      </c>
      <c r="O1574" s="312">
        <v>199276.39</v>
      </c>
      <c r="P1574" s="312">
        <v>71395.819999999992</v>
      </c>
      <c r="Q1574" s="312">
        <v>130925.54</v>
      </c>
      <c r="R1574" s="312">
        <v>146699</v>
      </c>
    </row>
    <row r="1575" spans="6:18">
      <c r="F1575" t="s">
        <v>3339</v>
      </c>
      <c r="G1575" s="312">
        <v>39.68</v>
      </c>
      <c r="H1575" s="312">
        <v>399.81</v>
      </c>
      <c r="I1575" s="312">
        <v>53.25</v>
      </c>
      <c r="J1575" s="312">
        <v>244.12</v>
      </c>
      <c r="K1575" s="312">
        <v>388.08</v>
      </c>
      <c r="M1575" t="s">
        <v>3339</v>
      </c>
      <c r="N1575" s="312">
        <v>22290.41</v>
      </c>
      <c r="O1575" s="312">
        <v>245046.47</v>
      </c>
      <c r="P1575" s="312">
        <v>34157.410000000003</v>
      </c>
      <c r="Q1575" s="312">
        <v>187091.9</v>
      </c>
      <c r="R1575" s="312">
        <v>120329.96</v>
      </c>
    </row>
    <row r="1576" spans="6:18">
      <c r="F1576" t="s">
        <v>3340</v>
      </c>
      <c r="G1576" s="312">
        <v>36.869999999999997</v>
      </c>
      <c r="H1576" s="312">
        <v>279.45000000000005</v>
      </c>
      <c r="I1576" s="312">
        <v>116.37</v>
      </c>
      <c r="J1576" s="312">
        <v>199.05</v>
      </c>
      <c r="K1576" s="312">
        <v>375.26</v>
      </c>
      <c r="M1576" t="s">
        <v>3340</v>
      </c>
      <c r="N1576" s="312">
        <v>19043.690000000002</v>
      </c>
      <c r="O1576" s="312">
        <v>150708.79999999999</v>
      </c>
      <c r="P1576" s="312">
        <v>76973.36</v>
      </c>
      <c r="Q1576" s="312">
        <v>126298.84</v>
      </c>
      <c r="R1576" s="312">
        <v>99342.37999999999</v>
      </c>
    </row>
    <row r="1577" spans="6:18">
      <c r="F1577" t="s">
        <v>3341</v>
      </c>
      <c r="G1577" s="312">
        <v>12.58</v>
      </c>
      <c r="H1577" s="312">
        <v>298.97000000000003</v>
      </c>
      <c r="I1577" s="312">
        <v>57.05</v>
      </c>
      <c r="J1577" s="312">
        <v>224.15</v>
      </c>
      <c r="K1577" s="312">
        <v>398.17999999999995</v>
      </c>
      <c r="M1577" t="s">
        <v>3341</v>
      </c>
      <c r="N1577" s="312">
        <v>7276.24</v>
      </c>
      <c r="O1577" s="312">
        <v>166440.66999999998</v>
      </c>
      <c r="P1577" s="312">
        <v>48372.6</v>
      </c>
      <c r="Q1577" s="312">
        <v>137733.79999999999</v>
      </c>
      <c r="R1577" s="312">
        <v>133521.07</v>
      </c>
    </row>
    <row r="1578" spans="6:18">
      <c r="F1578" t="s">
        <v>3342</v>
      </c>
      <c r="G1578" s="312">
        <v>13.36</v>
      </c>
      <c r="H1578" s="312">
        <v>226.52999999999997</v>
      </c>
      <c r="I1578" s="312">
        <v>45.86</v>
      </c>
      <c r="J1578" s="312">
        <v>171.79000000000002</v>
      </c>
      <c r="K1578" s="312">
        <v>253.13</v>
      </c>
      <c r="M1578" t="s">
        <v>3342</v>
      </c>
      <c r="N1578" s="312">
        <v>6651.46</v>
      </c>
      <c r="O1578" s="312">
        <v>139417.18</v>
      </c>
      <c r="P1578" s="312">
        <v>50866.200000000004</v>
      </c>
      <c r="Q1578" s="312">
        <v>113649.42</v>
      </c>
      <c r="R1578" s="312">
        <v>77750.02</v>
      </c>
    </row>
    <row r="1579" spans="6:18">
      <c r="F1579" t="s">
        <v>3343</v>
      </c>
      <c r="G1579" s="312">
        <v>16.630000000000003</v>
      </c>
      <c r="H1579" s="312">
        <v>203.75</v>
      </c>
      <c r="I1579" s="312">
        <v>20.11</v>
      </c>
      <c r="J1579" s="312">
        <v>178.89</v>
      </c>
      <c r="K1579" s="312">
        <v>213.25</v>
      </c>
      <c r="M1579" t="s">
        <v>3343</v>
      </c>
      <c r="N1579" s="312">
        <v>6899.97</v>
      </c>
      <c r="O1579" s="312">
        <v>117121.65</v>
      </c>
      <c r="P1579" s="312">
        <v>16684.21</v>
      </c>
      <c r="Q1579" s="312">
        <v>108640.17</v>
      </c>
      <c r="R1579" s="312">
        <v>66108.319999999992</v>
      </c>
    </row>
    <row r="1580" spans="6:18">
      <c r="F1580" t="s">
        <v>3344</v>
      </c>
      <c r="G1580" s="312">
        <v>26.21</v>
      </c>
      <c r="H1580" s="312">
        <v>303.10000000000002</v>
      </c>
      <c r="I1580" s="312">
        <v>106.22</v>
      </c>
      <c r="J1580" s="312">
        <v>266.68</v>
      </c>
      <c r="K1580" s="312">
        <v>359.19</v>
      </c>
      <c r="M1580" t="s">
        <v>3344</v>
      </c>
      <c r="N1580" s="312">
        <v>9270.7999999999993</v>
      </c>
      <c r="O1580" s="312">
        <v>159379.38</v>
      </c>
      <c r="P1580" s="312">
        <v>75114.12</v>
      </c>
      <c r="Q1580" s="312">
        <v>196642.19</v>
      </c>
      <c r="R1580" s="312">
        <v>89635.25</v>
      </c>
    </row>
    <row r="1581" spans="6:18">
      <c r="F1581" t="s">
        <v>3345</v>
      </c>
      <c r="G1581" s="312">
        <v>22.08</v>
      </c>
      <c r="H1581" s="312">
        <v>445.79</v>
      </c>
      <c r="I1581" s="312">
        <v>47.04</v>
      </c>
      <c r="J1581" s="312">
        <v>241.53</v>
      </c>
      <c r="K1581" s="312">
        <v>423.34999999999997</v>
      </c>
      <c r="M1581" t="s">
        <v>3345</v>
      </c>
      <c r="N1581" s="312">
        <v>6119.96</v>
      </c>
      <c r="O1581" s="312">
        <v>343956.82</v>
      </c>
      <c r="P1581" s="312">
        <v>42142.74</v>
      </c>
      <c r="Q1581" s="312">
        <v>176125.97999999998</v>
      </c>
      <c r="R1581" s="312">
        <v>117153.88</v>
      </c>
    </row>
    <row r="1582" spans="6:18">
      <c r="F1582" t="s">
        <v>3346</v>
      </c>
      <c r="G1582" s="312">
        <v>50.43</v>
      </c>
      <c r="H1582" s="312">
        <v>268.47000000000003</v>
      </c>
      <c r="I1582" s="312">
        <v>47.66</v>
      </c>
      <c r="J1582" s="312">
        <v>209.64000000000001</v>
      </c>
      <c r="K1582" s="312">
        <v>356.29</v>
      </c>
      <c r="M1582" t="s">
        <v>3346</v>
      </c>
      <c r="N1582" s="312">
        <v>16683.849999999999</v>
      </c>
      <c r="O1582" s="312">
        <v>190216.49</v>
      </c>
      <c r="P1582" s="312">
        <v>35819.51</v>
      </c>
      <c r="Q1582" s="312">
        <v>130306.95999999999</v>
      </c>
      <c r="R1582" s="312">
        <v>133928.56</v>
      </c>
    </row>
    <row r="1583" spans="6:18">
      <c r="F1583" t="s">
        <v>3347</v>
      </c>
      <c r="G1583" s="312">
        <v>55.46</v>
      </c>
      <c r="H1583" s="312">
        <v>352.13</v>
      </c>
      <c r="I1583" s="312">
        <v>68.37</v>
      </c>
      <c r="J1583" s="312">
        <v>278.17</v>
      </c>
      <c r="K1583" s="312">
        <v>761.06999999999994</v>
      </c>
      <c r="M1583" t="s">
        <v>3347</v>
      </c>
      <c r="N1583" s="312">
        <v>27278.649999999998</v>
      </c>
      <c r="O1583" s="312">
        <v>191834.89</v>
      </c>
      <c r="P1583" s="312">
        <v>80532.040000000008</v>
      </c>
      <c r="Q1583" s="312">
        <v>269481.94</v>
      </c>
      <c r="R1583" s="312">
        <v>171712.18</v>
      </c>
    </row>
    <row r="1584" spans="6:18">
      <c r="F1584" t="s">
        <v>3348</v>
      </c>
      <c r="G1584" s="312">
        <v>28.769999999999996</v>
      </c>
      <c r="H1584" s="312">
        <v>357.3</v>
      </c>
      <c r="I1584" s="312">
        <v>110.97</v>
      </c>
      <c r="J1584" s="312">
        <v>274.83000000000004</v>
      </c>
      <c r="K1584" s="312">
        <v>443.36</v>
      </c>
      <c r="M1584" t="s">
        <v>3348</v>
      </c>
      <c r="N1584" s="312">
        <v>16418.09</v>
      </c>
      <c r="O1584" s="312">
        <v>231995.61</v>
      </c>
      <c r="P1584" s="312">
        <v>63659.19</v>
      </c>
      <c r="Q1584" s="312">
        <v>209206.09</v>
      </c>
      <c r="R1584" s="312">
        <v>120443.06999999999</v>
      </c>
    </row>
    <row r="1585" spans="6:18">
      <c r="F1585" t="s">
        <v>3349</v>
      </c>
      <c r="G1585" s="312">
        <v>26.75</v>
      </c>
      <c r="H1585" s="312">
        <v>260.18</v>
      </c>
      <c r="I1585" s="312">
        <v>70.710000000000008</v>
      </c>
      <c r="J1585" s="312">
        <v>187.85999999999999</v>
      </c>
      <c r="K1585" s="312">
        <v>333.32</v>
      </c>
      <c r="M1585" t="s">
        <v>3349</v>
      </c>
      <c r="N1585" s="312">
        <v>8669.42</v>
      </c>
      <c r="O1585" s="312">
        <v>120174.87</v>
      </c>
      <c r="P1585" s="312">
        <v>47089.47</v>
      </c>
      <c r="Q1585" s="312">
        <v>138703.65</v>
      </c>
      <c r="R1585" s="312">
        <v>87599.71</v>
      </c>
    </row>
    <row r="1586" spans="6:18">
      <c r="F1586" t="s">
        <v>3350</v>
      </c>
      <c r="G1586" s="312">
        <v>30.93</v>
      </c>
      <c r="H1586" s="312">
        <v>273.71000000000004</v>
      </c>
      <c r="I1586" s="312">
        <v>30.19</v>
      </c>
      <c r="J1586" s="312">
        <v>138.42000000000002</v>
      </c>
      <c r="K1586" s="312">
        <v>420.82</v>
      </c>
      <c r="M1586" t="s">
        <v>3350</v>
      </c>
      <c r="N1586" s="312">
        <v>20831.400000000001</v>
      </c>
      <c r="O1586" s="312">
        <v>150541.59</v>
      </c>
      <c r="P1586" s="312">
        <v>40409.85</v>
      </c>
      <c r="Q1586" s="312">
        <v>101379.47</v>
      </c>
      <c r="R1586" s="312">
        <v>170578</v>
      </c>
    </row>
    <row r="1587" spans="6:18">
      <c r="F1587" t="s">
        <v>3351</v>
      </c>
      <c r="G1587" s="312">
        <v>67.28</v>
      </c>
      <c r="H1587" s="312">
        <v>349.98</v>
      </c>
      <c r="I1587" s="312">
        <v>92.72</v>
      </c>
      <c r="J1587" s="312">
        <v>199.79000000000002</v>
      </c>
      <c r="K1587" s="312">
        <v>452.93</v>
      </c>
      <c r="M1587" t="s">
        <v>3351</v>
      </c>
      <c r="N1587" s="312">
        <v>23711.7</v>
      </c>
      <c r="O1587" s="312">
        <v>191569.37</v>
      </c>
      <c r="P1587" s="312">
        <v>99257.919999999998</v>
      </c>
      <c r="Q1587" s="312">
        <v>130716.89000000001</v>
      </c>
      <c r="R1587" s="312">
        <v>219308.04</v>
      </c>
    </row>
    <row r="1588" spans="6:18">
      <c r="F1588" t="s">
        <v>3352</v>
      </c>
      <c r="G1588" s="312">
        <v>38.409999999999997</v>
      </c>
      <c r="H1588" s="312">
        <v>291.8</v>
      </c>
      <c r="I1588" s="312">
        <v>56.730000000000004</v>
      </c>
      <c r="J1588" s="312">
        <v>217.22</v>
      </c>
      <c r="K1588" s="312">
        <v>284.68</v>
      </c>
      <c r="M1588" t="s">
        <v>3352</v>
      </c>
      <c r="N1588" s="312">
        <v>19288.7</v>
      </c>
      <c r="O1588" s="312">
        <v>188896.83000000002</v>
      </c>
      <c r="P1588" s="312">
        <v>50558.82</v>
      </c>
      <c r="Q1588" s="312">
        <v>123427.12</v>
      </c>
      <c r="R1588" s="312">
        <v>100935.94</v>
      </c>
    </row>
    <row r="1589" spans="6:18">
      <c r="F1589" t="s">
        <v>3353</v>
      </c>
      <c r="G1589" s="312">
        <v>41.79</v>
      </c>
      <c r="H1589" s="312">
        <v>366.06</v>
      </c>
      <c r="I1589" s="312">
        <v>74.929999999999993</v>
      </c>
      <c r="J1589" s="312">
        <v>292.77</v>
      </c>
      <c r="K1589" s="312">
        <v>298.52</v>
      </c>
      <c r="M1589" t="s">
        <v>3353</v>
      </c>
      <c r="N1589" s="312">
        <v>18757.349999999999</v>
      </c>
      <c r="O1589" s="312">
        <v>279013.25</v>
      </c>
      <c r="P1589" s="312">
        <v>52278.18</v>
      </c>
      <c r="Q1589" s="312">
        <v>181412.8</v>
      </c>
      <c r="R1589" s="312">
        <v>85867.959999999992</v>
      </c>
    </row>
    <row r="1590" spans="6:18">
      <c r="F1590" t="s">
        <v>3354</v>
      </c>
      <c r="G1590" s="312">
        <v>64.75</v>
      </c>
      <c r="H1590" s="312">
        <v>291.37</v>
      </c>
      <c r="I1590" s="312">
        <v>84.01</v>
      </c>
      <c r="J1590" s="312">
        <v>258.95</v>
      </c>
      <c r="K1590" s="312">
        <v>349.82</v>
      </c>
      <c r="M1590" t="s">
        <v>3354</v>
      </c>
      <c r="N1590" s="312">
        <v>47474.979999999996</v>
      </c>
      <c r="O1590" s="312">
        <v>159351.75</v>
      </c>
      <c r="P1590" s="312">
        <v>85475.72</v>
      </c>
      <c r="Q1590" s="312">
        <v>135862.60999999999</v>
      </c>
      <c r="R1590" s="312">
        <v>148378.94</v>
      </c>
    </row>
    <row r="1591" spans="6:18">
      <c r="F1591" t="s">
        <v>3355</v>
      </c>
      <c r="G1591" s="312">
        <v>26.28</v>
      </c>
      <c r="H1591" s="312">
        <v>299.31</v>
      </c>
      <c r="I1591" s="312">
        <v>47.77</v>
      </c>
      <c r="J1591" s="312">
        <v>293.47000000000003</v>
      </c>
      <c r="K1591" s="312">
        <v>300.13</v>
      </c>
      <c r="M1591" t="s">
        <v>3355</v>
      </c>
      <c r="N1591" s="312">
        <v>13673.36</v>
      </c>
      <c r="O1591" s="312">
        <v>183043.74</v>
      </c>
      <c r="P1591" s="312">
        <v>41802.050000000003</v>
      </c>
      <c r="Q1591" s="312">
        <v>165249.74</v>
      </c>
      <c r="R1591" s="312">
        <v>91298.94</v>
      </c>
    </row>
    <row r="1592" spans="6:18">
      <c r="F1592" t="s">
        <v>3356</v>
      </c>
      <c r="G1592" s="312">
        <v>55.24</v>
      </c>
      <c r="H1592" s="312">
        <v>220.79</v>
      </c>
      <c r="I1592" s="312">
        <v>47.71</v>
      </c>
      <c r="J1592" s="312">
        <v>215.98</v>
      </c>
      <c r="K1592" s="312">
        <v>203.83999999999997</v>
      </c>
      <c r="M1592" t="s">
        <v>3356</v>
      </c>
      <c r="N1592" s="312">
        <v>23815.480000000003</v>
      </c>
      <c r="O1592" s="312">
        <v>131065.85</v>
      </c>
      <c r="P1592" s="312">
        <v>26050.58</v>
      </c>
      <c r="Q1592" s="312">
        <v>104343.62</v>
      </c>
      <c r="R1592" s="312">
        <v>83135.929999999993</v>
      </c>
    </row>
    <row r="1593" spans="6:18">
      <c r="F1593" t="s">
        <v>3357</v>
      </c>
      <c r="G1593" s="312">
        <v>33.099999999999994</v>
      </c>
      <c r="H1593" s="312">
        <v>237.84</v>
      </c>
      <c r="I1593" s="312">
        <v>29.48</v>
      </c>
      <c r="J1593" s="312">
        <v>172.26</v>
      </c>
      <c r="K1593" s="312">
        <v>189.75</v>
      </c>
      <c r="M1593" t="s">
        <v>3357</v>
      </c>
      <c r="N1593" s="312">
        <v>29804.35</v>
      </c>
      <c r="O1593" s="312">
        <v>122992.01000000001</v>
      </c>
      <c r="P1593" s="312">
        <v>19949.8</v>
      </c>
      <c r="Q1593" s="312">
        <v>112861.76000000001</v>
      </c>
      <c r="R1593" s="312">
        <v>52733.630000000005</v>
      </c>
    </row>
    <row r="1594" spans="6:18">
      <c r="F1594" t="s">
        <v>3358</v>
      </c>
      <c r="G1594" s="312">
        <v>60.099999999999994</v>
      </c>
      <c r="H1594" s="312">
        <v>317.85000000000002</v>
      </c>
      <c r="I1594" s="312">
        <v>77.55</v>
      </c>
      <c r="J1594" s="312">
        <v>286.19</v>
      </c>
      <c r="K1594" s="312">
        <v>626.16999999999996</v>
      </c>
      <c r="M1594" t="s">
        <v>3358</v>
      </c>
      <c r="N1594" s="312">
        <v>29458.639999999999</v>
      </c>
      <c r="O1594" s="312">
        <v>230967.2</v>
      </c>
      <c r="P1594" s="312">
        <v>71349.19</v>
      </c>
      <c r="Q1594" s="312">
        <v>229805.43</v>
      </c>
      <c r="R1594" s="312">
        <v>301461.63</v>
      </c>
    </row>
    <row r="1595" spans="6:18">
      <c r="F1595" t="s">
        <v>3359</v>
      </c>
      <c r="G1595" s="312">
        <v>23.61</v>
      </c>
      <c r="H1595" s="312">
        <v>398.38</v>
      </c>
      <c r="I1595" s="312">
        <v>94.5</v>
      </c>
      <c r="J1595" s="312">
        <v>255.26</v>
      </c>
      <c r="K1595" s="312">
        <v>548.11</v>
      </c>
      <c r="M1595" t="s">
        <v>3359</v>
      </c>
      <c r="N1595" s="312">
        <v>10233.08</v>
      </c>
      <c r="O1595" s="312">
        <v>216840.65999999997</v>
      </c>
      <c r="P1595" s="312">
        <v>83313.16</v>
      </c>
      <c r="Q1595" s="312">
        <v>187606.96000000002</v>
      </c>
      <c r="R1595" s="312">
        <v>210991.43</v>
      </c>
    </row>
    <row r="1596" spans="6:18">
      <c r="F1596" t="s">
        <v>3360</v>
      </c>
      <c r="G1596" s="312">
        <v>38.65</v>
      </c>
      <c r="H1596" s="312">
        <v>484.5</v>
      </c>
      <c r="I1596" s="312">
        <v>81.75</v>
      </c>
      <c r="J1596" s="312">
        <v>274.89999999999998</v>
      </c>
      <c r="K1596" s="312">
        <v>470.65</v>
      </c>
      <c r="M1596" t="s">
        <v>3360</v>
      </c>
      <c r="N1596" s="312">
        <v>30548.42</v>
      </c>
      <c r="O1596" s="312">
        <v>308505.87</v>
      </c>
      <c r="P1596" s="312">
        <v>54031.369999999995</v>
      </c>
      <c r="Q1596" s="312">
        <v>151188.1</v>
      </c>
      <c r="R1596" s="312">
        <v>156700.34</v>
      </c>
    </row>
    <row r="1597" spans="6:18">
      <c r="F1597" t="s">
        <v>3361</v>
      </c>
      <c r="G1597" s="312">
        <v>35.480000000000004</v>
      </c>
      <c r="H1597" s="312">
        <v>412.52</v>
      </c>
      <c r="I1597" s="312">
        <v>75.320000000000007</v>
      </c>
      <c r="J1597" s="312">
        <v>239.26</v>
      </c>
      <c r="K1597" s="312">
        <v>506.40999999999997</v>
      </c>
      <c r="M1597" t="s">
        <v>3361</v>
      </c>
      <c r="N1597" s="312">
        <v>20603.489999999998</v>
      </c>
      <c r="O1597" s="312">
        <v>293948.81</v>
      </c>
      <c r="P1597" s="312">
        <v>48448.78</v>
      </c>
      <c r="Q1597" s="312">
        <v>129515.92</v>
      </c>
      <c r="R1597" s="312">
        <v>173613</v>
      </c>
    </row>
    <row r="1598" spans="6:18">
      <c r="F1598" t="s">
        <v>3362</v>
      </c>
      <c r="G1598" s="312">
        <v>27.57</v>
      </c>
      <c r="H1598" s="312">
        <v>390.45000000000005</v>
      </c>
      <c r="I1598" s="312">
        <v>52.16</v>
      </c>
      <c r="J1598" s="312">
        <v>225.08999999999997</v>
      </c>
      <c r="K1598" s="312">
        <v>460.03000000000003</v>
      </c>
      <c r="M1598" t="s">
        <v>3362</v>
      </c>
      <c r="N1598" s="312">
        <v>21949.519999999997</v>
      </c>
      <c r="O1598" s="312">
        <v>213567.03</v>
      </c>
      <c r="P1598" s="312">
        <v>31489.52</v>
      </c>
      <c r="Q1598" s="312">
        <v>196960.24</v>
      </c>
      <c r="R1598" s="312">
        <v>154808.59</v>
      </c>
    </row>
    <row r="1599" spans="6:18">
      <c r="F1599" t="s">
        <v>3363</v>
      </c>
      <c r="G1599" s="312">
        <v>32.159999999999997</v>
      </c>
      <c r="H1599" s="312">
        <v>293.55</v>
      </c>
      <c r="I1599" s="312">
        <v>19.190000000000001</v>
      </c>
      <c r="J1599" s="312">
        <v>189.26</v>
      </c>
      <c r="K1599" s="312">
        <v>338</v>
      </c>
      <c r="M1599" t="s">
        <v>3363</v>
      </c>
      <c r="N1599" s="312">
        <v>15306.84</v>
      </c>
      <c r="O1599" s="312">
        <v>153886.68</v>
      </c>
      <c r="P1599" s="312">
        <v>15610.33</v>
      </c>
      <c r="Q1599" s="312">
        <v>101150.7</v>
      </c>
      <c r="R1599" s="312">
        <v>138900.89000000001</v>
      </c>
    </row>
    <row r="1600" spans="6:18">
      <c r="F1600" t="s">
        <v>3364</v>
      </c>
      <c r="G1600" s="312">
        <v>24.84</v>
      </c>
      <c r="H1600" s="312">
        <v>285.51</v>
      </c>
      <c r="I1600" s="312">
        <v>19.079999999999998</v>
      </c>
      <c r="J1600" s="312">
        <v>214.4</v>
      </c>
      <c r="K1600" s="312">
        <v>332.59000000000003</v>
      </c>
      <c r="M1600" t="s">
        <v>3364</v>
      </c>
      <c r="N1600" s="312">
        <v>9399.51</v>
      </c>
      <c r="O1600" s="312">
        <v>168671.87</v>
      </c>
      <c r="P1600" s="312">
        <v>13381.080000000002</v>
      </c>
      <c r="Q1600" s="312">
        <v>144358.96</v>
      </c>
      <c r="R1600" s="312">
        <v>111164.84000000001</v>
      </c>
    </row>
    <row r="1601" spans="6:18">
      <c r="F1601" t="s">
        <v>3365</v>
      </c>
      <c r="G1601" s="312">
        <v>32.629999999999995</v>
      </c>
      <c r="H1601" s="312">
        <v>558.77</v>
      </c>
      <c r="I1601" s="312">
        <v>48.910000000000004</v>
      </c>
      <c r="J1601" s="312">
        <v>294.14999999999998</v>
      </c>
      <c r="K1601" s="312">
        <v>781.92</v>
      </c>
      <c r="M1601" t="s">
        <v>3365</v>
      </c>
      <c r="N1601" s="312">
        <v>13232.8</v>
      </c>
      <c r="O1601" s="312">
        <v>372989.38</v>
      </c>
      <c r="P1601" s="312">
        <v>45353.64</v>
      </c>
      <c r="Q1601" s="312">
        <v>249764.65000000002</v>
      </c>
      <c r="R1601" s="312">
        <v>278645.58</v>
      </c>
    </row>
    <row r="1602" spans="6:18">
      <c r="F1602" t="s">
        <v>3366</v>
      </c>
      <c r="G1602" s="312">
        <v>13.93</v>
      </c>
      <c r="H1602" s="312">
        <v>450.34000000000003</v>
      </c>
      <c r="I1602" s="312">
        <v>54.17</v>
      </c>
      <c r="J1602" s="312">
        <v>213.87</v>
      </c>
      <c r="K1602" s="312">
        <v>725.25</v>
      </c>
      <c r="M1602" t="s">
        <v>3366</v>
      </c>
      <c r="N1602" s="312">
        <v>5880.26</v>
      </c>
      <c r="O1602" s="312">
        <v>274026.37</v>
      </c>
      <c r="P1602" s="312">
        <v>60359.92</v>
      </c>
      <c r="Q1602" s="312">
        <v>178933.1</v>
      </c>
      <c r="R1602" s="312">
        <v>247821.69</v>
      </c>
    </row>
    <row r="1603" spans="6:18">
      <c r="F1603" t="s">
        <v>3367</v>
      </c>
      <c r="G1603" s="312">
        <v>65.31</v>
      </c>
      <c r="H1603" s="312">
        <v>508.98</v>
      </c>
      <c r="I1603" s="312">
        <v>72.099999999999994</v>
      </c>
      <c r="J1603" s="312">
        <v>235.42</v>
      </c>
      <c r="K1603" s="312">
        <v>639.6</v>
      </c>
      <c r="M1603" t="s">
        <v>3367</v>
      </c>
      <c r="N1603" s="312">
        <v>34972.94</v>
      </c>
      <c r="O1603" s="312">
        <v>374795.61000000004</v>
      </c>
      <c r="P1603" s="312">
        <v>46714.71</v>
      </c>
      <c r="Q1603" s="312">
        <v>187683.31</v>
      </c>
      <c r="R1603" s="312">
        <v>261414.71</v>
      </c>
    </row>
    <row r="1604" spans="6:18">
      <c r="F1604" t="s">
        <v>3368</v>
      </c>
      <c r="G1604" s="312">
        <v>126.5</v>
      </c>
      <c r="H1604" s="312">
        <v>443.45000000000005</v>
      </c>
      <c r="I1604" s="312">
        <v>71.12</v>
      </c>
      <c r="J1604" s="312">
        <v>339.18</v>
      </c>
      <c r="K1604" s="312">
        <v>700.05</v>
      </c>
      <c r="M1604" t="s">
        <v>3368</v>
      </c>
      <c r="N1604" s="312">
        <v>53542.97</v>
      </c>
      <c r="O1604" s="312">
        <v>285552.77999999997</v>
      </c>
      <c r="P1604" s="312">
        <v>69222.27</v>
      </c>
      <c r="Q1604" s="312">
        <v>267049.76</v>
      </c>
      <c r="R1604" s="312">
        <v>239318.38</v>
      </c>
    </row>
    <row r="1605" spans="6:18">
      <c r="F1605" t="s">
        <v>3369</v>
      </c>
      <c r="G1605" s="312">
        <v>60.16</v>
      </c>
      <c r="H1605" s="312">
        <v>475.44</v>
      </c>
      <c r="I1605" s="312">
        <v>59.04</v>
      </c>
      <c r="J1605" s="312">
        <v>214.26999999999998</v>
      </c>
      <c r="K1605" s="312">
        <v>952.95</v>
      </c>
      <c r="M1605" t="s">
        <v>3369</v>
      </c>
      <c r="N1605" s="312">
        <v>24416.77</v>
      </c>
      <c r="O1605" s="312">
        <v>213866.25</v>
      </c>
      <c r="P1605" s="312">
        <v>50008.2</v>
      </c>
      <c r="Q1605" s="312">
        <v>141803.15</v>
      </c>
      <c r="R1605" s="312">
        <v>306889.68</v>
      </c>
    </row>
    <row r="1606" spans="6:18">
      <c r="F1606" t="s">
        <v>3370</v>
      </c>
      <c r="G1606" s="312">
        <v>36.43</v>
      </c>
      <c r="H1606" s="312">
        <v>180.62</v>
      </c>
      <c r="I1606" s="312">
        <v>32.43</v>
      </c>
      <c r="J1606" s="312">
        <v>191.41</v>
      </c>
      <c r="K1606" s="312">
        <v>583.35</v>
      </c>
      <c r="M1606" t="s">
        <v>3370</v>
      </c>
      <c r="N1606" s="312">
        <v>14694.92</v>
      </c>
      <c r="O1606" s="312">
        <v>86750.16</v>
      </c>
      <c r="P1606" s="312">
        <v>27225.3</v>
      </c>
      <c r="Q1606" s="312">
        <v>175360.85</v>
      </c>
      <c r="R1606" s="312">
        <v>186466.03999999998</v>
      </c>
    </row>
    <row r="1607" spans="6:18">
      <c r="F1607" t="s">
        <v>3371</v>
      </c>
      <c r="G1607" s="312">
        <v>24.63</v>
      </c>
      <c r="H1607" s="312">
        <v>178.51999999999998</v>
      </c>
      <c r="I1607" s="312">
        <v>12.21</v>
      </c>
      <c r="J1607" s="312">
        <v>187.77</v>
      </c>
      <c r="K1607" s="312">
        <v>551.97</v>
      </c>
      <c r="M1607" t="s">
        <v>3371</v>
      </c>
      <c r="N1607" s="312">
        <v>7794.8200000000006</v>
      </c>
      <c r="O1607" s="312">
        <v>92899.94</v>
      </c>
      <c r="P1607" s="312">
        <v>8006.1</v>
      </c>
      <c r="Q1607" s="312">
        <v>118457.01000000001</v>
      </c>
      <c r="R1607" s="312">
        <v>148749.82999999999</v>
      </c>
    </row>
    <row r="1608" spans="6:18">
      <c r="F1608" t="s">
        <v>3372</v>
      </c>
      <c r="G1608" s="312">
        <v>22.36</v>
      </c>
      <c r="H1608" s="312">
        <v>335</v>
      </c>
      <c r="I1608" s="312">
        <v>59.22</v>
      </c>
      <c r="J1608" s="312">
        <v>298.13</v>
      </c>
      <c r="K1608" s="312">
        <v>644.37</v>
      </c>
      <c r="M1608" t="s">
        <v>3372</v>
      </c>
      <c r="N1608" s="312">
        <v>12966.47</v>
      </c>
      <c r="O1608" s="312">
        <v>231085.26</v>
      </c>
      <c r="P1608" s="312">
        <v>51993.149999999994</v>
      </c>
      <c r="Q1608" s="312">
        <v>188317.93</v>
      </c>
      <c r="R1608" s="312">
        <v>258015.99000000002</v>
      </c>
    </row>
    <row r="1609" spans="6:18">
      <c r="F1609" t="s">
        <v>3373</v>
      </c>
      <c r="G1609" s="312">
        <v>25.61</v>
      </c>
      <c r="H1609" s="312">
        <v>287.89</v>
      </c>
      <c r="I1609" s="312">
        <v>47.97</v>
      </c>
      <c r="J1609" s="312">
        <v>278.85999999999996</v>
      </c>
      <c r="K1609" s="312">
        <v>619.22</v>
      </c>
      <c r="M1609" t="s">
        <v>3373</v>
      </c>
      <c r="N1609" s="312">
        <v>32639.08</v>
      </c>
      <c r="O1609" s="312">
        <v>171424.46999999997</v>
      </c>
      <c r="P1609" s="312">
        <v>45351.76</v>
      </c>
      <c r="Q1609" s="312">
        <v>163882.62</v>
      </c>
      <c r="R1609" s="312">
        <v>250832.21</v>
      </c>
    </row>
    <row r="1610" spans="6:18">
      <c r="F1610" t="s">
        <v>3374</v>
      </c>
      <c r="G1610" s="312">
        <v>39.239999999999995</v>
      </c>
      <c r="H1610" s="312">
        <v>200.69</v>
      </c>
      <c r="I1610" s="312">
        <v>44.34</v>
      </c>
      <c r="J1610" s="312">
        <v>324.46999999999997</v>
      </c>
      <c r="K1610" s="312">
        <v>508.64000000000004</v>
      </c>
      <c r="M1610" t="s">
        <v>3374</v>
      </c>
      <c r="N1610" s="312">
        <v>15426.539999999999</v>
      </c>
      <c r="O1610" s="312">
        <v>122604.39</v>
      </c>
      <c r="P1610" s="312">
        <v>48438.28</v>
      </c>
      <c r="Q1610" s="312">
        <v>295733.17</v>
      </c>
      <c r="R1610" s="312">
        <v>173926.66</v>
      </c>
    </row>
    <row r="1611" spans="6:18">
      <c r="F1611" t="s">
        <v>3375</v>
      </c>
      <c r="G1611" s="312">
        <v>86.33</v>
      </c>
      <c r="H1611" s="312">
        <v>326.47000000000003</v>
      </c>
      <c r="I1611" s="312">
        <v>21.48</v>
      </c>
      <c r="J1611" s="312">
        <v>307.7</v>
      </c>
      <c r="K1611" s="312">
        <v>509.71</v>
      </c>
      <c r="M1611" t="s">
        <v>3375</v>
      </c>
      <c r="N1611" s="312">
        <v>52244.200000000004</v>
      </c>
      <c r="O1611" s="312">
        <v>198825.49</v>
      </c>
      <c r="P1611" s="312">
        <v>15230.27</v>
      </c>
      <c r="Q1611" s="312">
        <v>226056.08</v>
      </c>
      <c r="R1611" s="312">
        <v>190749.64</v>
      </c>
    </row>
    <row r="1612" spans="6:18">
      <c r="F1612" t="s">
        <v>3376</v>
      </c>
      <c r="G1612" s="312">
        <v>54.65</v>
      </c>
      <c r="H1612" s="312">
        <v>385.97999999999996</v>
      </c>
      <c r="I1612" s="312">
        <v>108.01</v>
      </c>
      <c r="J1612" s="312">
        <v>360.42999999999995</v>
      </c>
      <c r="K1612" s="312">
        <v>698.18000000000006</v>
      </c>
      <c r="M1612" t="s">
        <v>3376</v>
      </c>
      <c r="N1612" s="312">
        <v>18109.11</v>
      </c>
      <c r="O1612" s="312">
        <v>206450.16999999998</v>
      </c>
      <c r="P1612" s="312">
        <v>74208.33</v>
      </c>
      <c r="Q1612" s="312">
        <v>333902.83999999997</v>
      </c>
      <c r="R1612" s="312">
        <v>228958.63</v>
      </c>
    </row>
    <row r="1613" spans="6:18">
      <c r="F1613" t="s">
        <v>3377</v>
      </c>
      <c r="G1613" s="312">
        <v>38.96</v>
      </c>
      <c r="H1613" s="312">
        <v>299.33</v>
      </c>
      <c r="I1613" s="312">
        <v>62.879999999999995</v>
      </c>
      <c r="J1613" s="312">
        <v>327.31</v>
      </c>
      <c r="K1613" s="312">
        <v>496.95000000000005</v>
      </c>
      <c r="M1613" t="s">
        <v>3377</v>
      </c>
      <c r="N1613" s="312">
        <v>20235.899999999998</v>
      </c>
      <c r="O1613" s="312">
        <v>221807.2</v>
      </c>
      <c r="P1613" s="312">
        <v>81329.42</v>
      </c>
      <c r="Q1613" s="312">
        <v>174383.69</v>
      </c>
      <c r="R1613" s="312">
        <v>188372.36</v>
      </c>
    </row>
    <row r="1614" spans="6:18">
      <c r="F1614" t="s">
        <v>3378</v>
      </c>
      <c r="G1614" s="312">
        <v>17.600000000000001</v>
      </c>
      <c r="H1614" s="312">
        <v>227.94</v>
      </c>
      <c r="I1614" s="312">
        <v>11.459999999999999</v>
      </c>
      <c r="J1614" s="312">
        <v>150.87</v>
      </c>
      <c r="K1614" s="312">
        <v>476.97</v>
      </c>
      <c r="M1614" t="s">
        <v>3378</v>
      </c>
      <c r="N1614" s="312">
        <v>5881.01</v>
      </c>
      <c r="O1614" s="312">
        <v>150606.63</v>
      </c>
      <c r="P1614" s="312">
        <v>7958.73</v>
      </c>
      <c r="Q1614" s="312">
        <v>109167.73</v>
      </c>
      <c r="R1614" s="312">
        <v>149285.26</v>
      </c>
    </row>
    <row r="1615" spans="6:18">
      <c r="F1615" t="s">
        <v>3379</v>
      </c>
      <c r="G1615" s="312">
        <v>34.380000000000003</v>
      </c>
      <c r="H1615" s="312">
        <v>282.35000000000002</v>
      </c>
      <c r="I1615" s="312">
        <v>134.32</v>
      </c>
      <c r="J1615" s="312">
        <v>151.38</v>
      </c>
      <c r="K1615" s="312">
        <v>819.41</v>
      </c>
      <c r="M1615" t="s">
        <v>3379</v>
      </c>
      <c r="N1615" s="312">
        <v>10520.44</v>
      </c>
      <c r="O1615" s="312">
        <v>148437.89000000001</v>
      </c>
      <c r="P1615" s="312">
        <v>124801.05</v>
      </c>
      <c r="Q1615" s="312">
        <v>70604.070000000007</v>
      </c>
      <c r="R1615" s="312">
        <v>275689.83</v>
      </c>
    </row>
    <row r="1616" spans="6:18">
      <c r="F1616" t="s">
        <v>3380</v>
      </c>
      <c r="G1616" s="312">
        <v>39.79</v>
      </c>
      <c r="H1616" s="312">
        <v>560.82999999999993</v>
      </c>
      <c r="I1616" s="312">
        <v>87.25</v>
      </c>
      <c r="J1616" s="312">
        <v>369.11</v>
      </c>
      <c r="K1616" s="312">
        <v>643.3900000000001</v>
      </c>
      <c r="M1616" t="s">
        <v>3380</v>
      </c>
      <c r="N1616" s="312">
        <v>31182.35</v>
      </c>
      <c r="O1616" s="312">
        <v>290230.11</v>
      </c>
      <c r="P1616" s="312">
        <v>73191.16</v>
      </c>
      <c r="Q1616" s="312">
        <v>186724.57</v>
      </c>
      <c r="R1616" s="312">
        <v>214415.59999999998</v>
      </c>
    </row>
    <row r="1617" spans="6:18">
      <c r="F1617" t="s">
        <v>3381</v>
      </c>
      <c r="G1617" s="312">
        <v>46.82</v>
      </c>
      <c r="H1617" s="312">
        <v>436.03</v>
      </c>
      <c r="I1617" s="312">
        <v>89.61</v>
      </c>
      <c r="J1617" s="312">
        <v>441.05999999999995</v>
      </c>
      <c r="K1617" s="312">
        <v>470.63</v>
      </c>
      <c r="M1617" t="s">
        <v>3381</v>
      </c>
      <c r="N1617" s="312">
        <v>30674</v>
      </c>
      <c r="O1617" s="312">
        <v>206684.87</v>
      </c>
      <c r="P1617" s="312">
        <v>70355.990000000005</v>
      </c>
      <c r="Q1617" s="312">
        <v>245141.00999999998</v>
      </c>
      <c r="R1617" s="312">
        <v>175001.03</v>
      </c>
    </row>
    <row r="1618" spans="6:18">
      <c r="F1618" t="s">
        <v>3382</v>
      </c>
      <c r="G1618" s="312">
        <v>23.73</v>
      </c>
      <c r="H1618" s="312">
        <v>502.07000000000005</v>
      </c>
      <c r="I1618" s="312">
        <v>98.97999999999999</v>
      </c>
      <c r="J1618" s="312">
        <v>359.5</v>
      </c>
      <c r="K1618" s="312">
        <v>534.69000000000005</v>
      </c>
      <c r="M1618" t="s">
        <v>3382</v>
      </c>
      <c r="N1618" s="312">
        <v>7549.5</v>
      </c>
      <c r="O1618" s="312">
        <v>279756.05</v>
      </c>
      <c r="P1618" s="312">
        <v>57007.9</v>
      </c>
      <c r="Q1618" s="312">
        <v>213789.63</v>
      </c>
      <c r="R1618" s="312">
        <v>174343.02000000002</v>
      </c>
    </row>
    <row r="1619" spans="6:18">
      <c r="F1619" t="s">
        <v>3383</v>
      </c>
      <c r="G1619" s="312">
        <v>45.91</v>
      </c>
      <c r="H1619" s="312">
        <v>438.36</v>
      </c>
      <c r="I1619" s="312">
        <v>58.18</v>
      </c>
      <c r="J1619" s="312">
        <v>381.01</v>
      </c>
      <c r="K1619" s="312">
        <v>557.04999999999995</v>
      </c>
      <c r="M1619" t="s">
        <v>3383</v>
      </c>
      <c r="N1619" s="312">
        <v>25941.97</v>
      </c>
      <c r="O1619" s="312">
        <v>265052.31</v>
      </c>
      <c r="P1619" s="312">
        <v>33303.160000000003</v>
      </c>
      <c r="Q1619" s="312">
        <v>170367.57</v>
      </c>
      <c r="R1619" s="312">
        <v>174057.29</v>
      </c>
    </row>
    <row r="1620" spans="6:18">
      <c r="F1620" t="s">
        <v>3384</v>
      </c>
      <c r="G1620" s="312">
        <v>12.66</v>
      </c>
      <c r="H1620" s="312">
        <v>304.64</v>
      </c>
      <c r="I1620" s="312">
        <v>45.730000000000004</v>
      </c>
      <c r="J1620" s="312">
        <v>383.29</v>
      </c>
      <c r="K1620" s="312">
        <v>427.92</v>
      </c>
      <c r="M1620" t="s">
        <v>3384</v>
      </c>
      <c r="N1620" s="312">
        <v>11730.01</v>
      </c>
      <c r="O1620" s="312">
        <v>157707.56</v>
      </c>
      <c r="P1620" s="312">
        <v>28415.49</v>
      </c>
      <c r="Q1620" s="312">
        <v>214751.38</v>
      </c>
      <c r="R1620" s="312">
        <v>207456.43</v>
      </c>
    </row>
    <row r="1621" spans="6:18">
      <c r="F1621" t="s">
        <v>3385</v>
      </c>
      <c r="G1621" s="312">
        <v>14.879999999999999</v>
      </c>
      <c r="H1621" s="312">
        <v>247.14</v>
      </c>
      <c r="I1621" s="312">
        <v>5.0599999999999996</v>
      </c>
      <c r="J1621" s="312">
        <v>274.04000000000002</v>
      </c>
      <c r="K1621" s="312">
        <v>403.95</v>
      </c>
      <c r="M1621" t="s">
        <v>3385</v>
      </c>
      <c r="N1621" s="312">
        <v>11288.730000000001</v>
      </c>
      <c r="O1621" s="312">
        <v>109552.7</v>
      </c>
      <c r="P1621" s="312">
        <v>2652.78</v>
      </c>
      <c r="Q1621" s="312">
        <v>144818.33000000002</v>
      </c>
      <c r="R1621" s="312">
        <v>152417.69</v>
      </c>
    </row>
    <row r="1622" spans="6:18">
      <c r="F1622" t="s">
        <v>3386</v>
      </c>
      <c r="G1622" s="312">
        <v>21.189999999999998</v>
      </c>
      <c r="H1622" s="312">
        <v>371.59000000000003</v>
      </c>
      <c r="I1622" s="312">
        <v>72.540000000000006</v>
      </c>
      <c r="J1622" s="312">
        <v>318.10000000000002</v>
      </c>
      <c r="K1622" s="312">
        <v>571.18000000000006</v>
      </c>
      <c r="M1622" t="s">
        <v>3386</v>
      </c>
      <c r="N1622" s="312">
        <v>20800.68</v>
      </c>
      <c r="O1622" s="312">
        <v>183418.13</v>
      </c>
      <c r="P1622" s="312">
        <v>33847.229999999996</v>
      </c>
      <c r="Q1622" s="312">
        <v>134268.6</v>
      </c>
      <c r="R1622" s="312">
        <v>204368.44</v>
      </c>
    </row>
    <row r="1623" spans="6:18">
      <c r="F1623" t="s">
        <v>3387</v>
      </c>
      <c r="G1623" s="312">
        <v>56</v>
      </c>
      <c r="H1623" s="312">
        <v>448.29</v>
      </c>
      <c r="I1623" s="312">
        <v>74.97</v>
      </c>
      <c r="J1623" s="312">
        <v>486.28999999999996</v>
      </c>
      <c r="K1623" s="312">
        <v>679.56</v>
      </c>
      <c r="M1623" t="s">
        <v>3387</v>
      </c>
      <c r="N1623" s="312">
        <v>25030.980000000003</v>
      </c>
      <c r="O1623" s="312">
        <v>244920.21000000002</v>
      </c>
      <c r="P1623" s="312">
        <v>53746.28</v>
      </c>
      <c r="Q1623" s="312">
        <v>237364.5</v>
      </c>
      <c r="R1623" s="312">
        <v>249788.52000000002</v>
      </c>
    </row>
    <row r="1624" spans="6:18">
      <c r="F1624" t="s">
        <v>3388</v>
      </c>
      <c r="G1624" s="312">
        <v>49.540000000000006</v>
      </c>
      <c r="H1624" s="312">
        <v>468.34</v>
      </c>
      <c r="I1624" s="312">
        <v>94.679999999999993</v>
      </c>
      <c r="J1624" s="312">
        <v>460.51</v>
      </c>
      <c r="K1624" s="312">
        <v>472.04</v>
      </c>
      <c r="M1624" t="s">
        <v>3388</v>
      </c>
      <c r="N1624" s="312">
        <v>24557.73</v>
      </c>
      <c r="O1624" s="312">
        <v>271843.75</v>
      </c>
      <c r="P1624" s="312">
        <v>90875.95</v>
      </c>
      <c r="Q1624" s="312">
        <v>264170.43</v>
      </c>
      <c r="R1624" s="312">
        <v>187836.58</v>
      </c>
    </row>
    <row r="1625" spans="6:18">
      <c r="F1625" t="s">
        <v>3389</v>
      </c>
      <c r="G1625" s="312">
        <v>94.86</v>
      </c>
      <c r="H1625" s="312">
        <v>491.83</v>
      </c>
      <c r="I1625" s="312">
        <v>47.9</v>
      </c>
      <c r="J1625" s="312">
        <v>537.73</v>
      </c>
      <c r="K1625" s="312">
        <v>591.33000000000004</v>
      </c>
      <c r="M1625" t="s">
        <v>3389</v>
      </c>
      <c r="N1625" s="312">
        <v>52668.44</v>
      </c>
      <c r="O1625" s="312">
        <v>295588.76</v>
      </c>
      <c r="P1625" s="312">
        <v>24935.969999999998</v>
      </c>
      <c r="Q1625" s="312">
        <v>301308.25</v>
      </c>
      <c r="R1625" s="312">
        <v>193776.75</v>
      </c>
    </row>
    <row r="1626" spans="6:18">
      <c r="F1626" t="s">
        <v>3390</v>
      </c>
      <c r="G1626" s="312">
        <v>28.11</v>
      </c>
      <c r="H1626" s="312">
        <v>425.02000000000004</v>
      </c>
      <c r="I1626" s="312">
        <v>85.259999999999991</v>
      </c>
      <c r="J1626" s="312">
        <v>381.77000000000004</v>
      </c>
      <c r="K1626" s="312">
        <v>549.87</v>
      </c>
      <c r="M1626" t="s">
        <v>3390</v>
      </c>
      <c r="N1626" s="312">
        <v>18538.329999999998</v>
      </c>
      <c r="O1626" s="312">
        <v>289188.17000000004</v>
      </c>
      <c r="P1626" s="312">
        <v>43354.95</v>
      </c>
      <c r="Q1626" s="312">
        <v>245377.81</v>
      </c>
      <c r="R1626" s="312">
        <v>198515.19</v>
      </c>
    </row>
    <row r="1627" spans="6:18">
      <c r="F1627" t="s">
        <v>3391</v>
      </c>
      <c r="G1627" s="312">
        <v>15.18</v>
      </c>
      <c r="H1627" s="312">
        <v>238.36</v>
      </c>
      <c r="I1627" s="312">
        <v>68.010000000000005</v>
      </c>
      <c r="J1627" s="312">
        <v>319.61</v>
      </c>
      <c r="K1627" s="312">
        <v>387.19</v>
      </c>
      <c r="M1627" t="s">
        <v>3391</v>
      </c>
      <c r="N1627" s="312">
        <v>5741.15</v>
      </c>
      <c r="O1627" s="312">
        <v>151471.27000000002</v>
      </c>
      <c r="P1627" s="312">
        <v>61895.040000000001</v>
      </c>
      <c r="Q1627" s="312">
        <v>116697.2</v>
      </c>
      <c r="R1627" s="312">
        <v>161341.91</v>
      </c>
    </row>
    <row r="1628" spans="6:18">
      <c r="F1628" t="s">
        <v>3392</v>
      </c>
      <c r="G1628" s="312">
        <v>28.7</v>
      </c>
      <c r="H1628" s="312">
        <v>261.35000000000002</v>
      </c>
      <c r="I1628" s="312">
        <v>13.91</v>
      </c>
      <c r="J1628" s="312">
        <v>202.91</v>
      </c>
      <c r="K1628" s="312">
        <v>477.43</v>
      </c>
      <c r="M1628" t="s">
        <v>3392</v>
      </c>
      <c r="N1628" s="312">
        <v>13344.74</v>
      </c>
      <c r="O1628" s="312">
        <v>124236.11</v>
      </c>
      <c r="P1628" s="312">
        <v>8082.0399999999991</v>
      </c>
      <c r="Q1628" s="312">
        <v>76873.790000000008</v>
      </c>
      <c r="R1628" s="312">
        <v>177012.40999999997</v>
      </c>
    </row>
    <row r="1629" spans="6:18">
      <c r="F1629" t="s">
        <v>3393</v>
      </c>
      <c r="G1629" s="312">
        <v>22.11</v>
      </c>
      <c r="H1629" s="312">
        <v>418.82</v>
      </c>
      <c r="I1629" s="312">
        <v>104.02</v>
      </c>
      <c r="J1629" s="312">
        <v>391.35</v>
      </c>
      <c r="K1629" s="312">
        <v>683.79</v>
      </c>
      <c r="M1629" t="s">
        <v>3393</v>
      </c>
      <c r="N1629" s="312">
        <v>7472.2999999999993</v>
      </c>
      <c r="O1629" s="312">
        <v>295612.52</v>
      </c>
      <c r="P1629" s="312">
        <v>100281.01</v>
      </c>
      <c r="Q1629" s="312">
        <v>209471.59</v>
      </c>
      <c r="R1629" s="312">
        <v>223816.28999999998</v>
      </c>
    </row>
    <row r="1630" spans="6:18">
      <c r="F1630" t="s">
        <v>3394</v>
      </c>
      <c r="G1630" s="312">
        <v>23.53</v>
      </c>
      <c r="H1630" s="312">
        <v>335.22</v>
      </c>
      <c r="I1630" s="312">
        <v>60.76</v>
      </c>
      <c r="J1630" s="312">
        <v>515.65</v>
      </c>
      <c r="K1630" s="312">
        <v>573.14</v>
      </c>
      <c r="M1630" t="s">
        <v>3394</v>
      </c>
      <c r="N1630" s="312">
        <v>16374.099999999999</v>
      </c>
      <c r="O1630" s="312">
        <v>205414.88</v>
      </c>
      <c r="P1630" s="312">
        <v>40708.210000000006</v>
      </c>
      <c r="Q1630" s="312">
        <v>276194.32</v>
      </c>
      <c r="R1630" s="312">
        <v>245748.83000000002</v>
      </c>
    </row>
    <row r="1631" spans="6:18">
      <c r="F1631" t="s">
        <v>3395</v>
      </c>
      <c r="G1631" s="312">
        <v>26.83</v>
      </c>
      <c r="H1631" s="312">
        <v>310.47000000000003</v>
      </c>
      <c r="I1631" s="312">
        <v>48.25</v>
      </c>
      <c r="J1631" s="312">
        <v>528.14</v>
      </c>
      <c r="K1631" s="312">
        <v>583.86</v>
      </c>
      <c r="M1631" t="s">
        <v>3395</v>
      </c>
      <c r="N1631" s="312">
        <v>8769.25</v>
      </c>
      <c r="O1631" s="312">
        <v>159193.45000000001</v>
      </c>
      <c r="P1631" s="312">
        <v>27141.98</v>
      </c>
      <c r="Q1631" s="312">
        <v>277684.89999999997</v>
      </c>
      <c r="R1631" s="312">
        <v>193349.7</v>
      </c>
    </row>
    <row r="1632" spans="6:18">
      <c r="F1632" t="s">
        <v>3396</v>
      </c>
      <c r="G1632" s="312">
        <v>44.44</v>
      </c>
      <c r="H1632" s="312">
        <v>364.75</v>
      </c>
      <c r="I1632" s="312">
        <v>33.04</v>
      </c>
      <c r="J1632" s="312">
        <v>523.70000000000005</v>
      </c>
      <c r="K1632" s="312">
        <v>677.34</v>
      </c>
      <c r="M1632" t="s">
        <v>3396</v>
      </c>
      <c r="N1632" s="312">
        <v>19038.18</v>
      </c>
      <c r="O1632" s="312">
        <v>197336.05</v>
      </c>
      <c r="P1632" s="312">
        <v>24025.530000000002</v>
      </c>
      <c r="Q1632" s="312">
        <v>336453.08</v>
      </c>
      <c r="R1632" s="312">
        <v>263454</v>
      </c>
    </row>
    <row r="1633" spans="6:18">
      <c r="F1633" t="s">
        <v>3397</v>
      </c>
      <c r="G1633" s="312">
        <v>46.58</v>
      </c>
      <c r="H1633" s="312">
        <v>299.49</v>
      </c>
      <c r="I1633" s="312">
        <v>73.349999999999994</v>
      </c>
      <c r="J1633" s="312">
        <v>402.93</v>
      </c>
      <c r="K1633" s="312">
        <v>789.87</v>
      </c>
      <c r="M1633" t="s">
        <v>3397</v>
      </c>
      <c r="N1633" s="312">
        <v>24928.03</v>
      </c>
      <c r="O1633" s="312">
        <v>171607.91</v>
      </c>
      <c r="P1633" s="312">
        <v>95697.73000000001</v>
      </c>
      <c r="Q1633" s="312">
        <v>256416.16</v>
      </c>
      <c r="R1633" s="312">
        <v>228170.29</v>
      </c>
    </row>
    <row r="1634" spans="6:18">
      <c r="F1634" t="s">
        <v>3398</v>
      </c>
      <c r="G1634" s="312">
        <v>29.729999999999997</v>
      </c>
      <c r="H1634" s="312">
        <v>377.63</v>
      </c>
      <c r="I1634" s="312">
        <v>39.450000000000003</v>
      </c>
      <c r="J1634" s="312">
        <v>388.27000000000004</v>
      </c>
      <c r="K1634" s="312">
        <v>674.55</v>
      </c>
      <c r="M1634" t="s">
        <v>3398</v>
      </c>
      <c r="N1634" s="312">
        <v>11882.6</v>
      </c>
      <c r="O1634" s="312">
        <v>172552.45</v>
      </c>
      <c r="P1634" s="312">
        <v>25692.33</v>
      </c>
      <c r="Q1634" s="312">
        <v>140107.22</v>
      </c>
      <c r="R1634" s="312">
        <v>221778.88</v>
      </c>
    </row>
    <row r="1635" spans="6:18">
      <c r="F1635" t="s">
        <v>3399</v>
      </c>
      <c r="G1635" s="312">
        <v>47.52</v>
      </c>
      <c r="H1635" s="312">
        <v>219.07999999999998</v>
      </c>
      <c r="I1635" s="312">
        <v>14.16</v>
      </c>
      <c r="J1635" s="312">
        <v>299.75</v>
      </c>
      <c r="K1635" s="312">
        <v>338.8</v>
      </c>
      <c r="M1635" t="s">
        <v>3399</v>
      </c>
      <c r="N1635" s="312">
        <v>19852.230000000003</v>
      </c>
      <c r="O1635" s="312">
        <v>109110.22</v>
      </c>
      <c r="P1635" s="312">
        <v>7701.17</v>
      </c>
      <c r="Q1635" s="312">
        <v>98718.63</v>
      </c>
      <c r="R1635" s="312">
        <v>134907.88</v>
      </c>
    </row>
    <row r="1636" spans="6:18">
      <c r="F1636" t="s">
        <v>3400</v>
      </c>
      <c r="G1636" s="312">
        <v>22.2</v>
      </c>
      <c r="H1636" s="312">
        <v>364.06</v>
      </c>
      <c r="I1636" s="312">
        <v>72.740000000000009</v>
      </c>
      <c r="J1636" s="312">
        <v>265.43</v>
      </c>
      <c r="K1636" s="312">
        <v>590.06999999999994</v>
      </c>
      <c r="M1636" t="s">
        <v>3400</v>
      </c>
      <c r="N1636" s="312">
        <v>7553.58</v>
      </c>
      <c r="O1636" s="312">
        <v>164916.12</v>
      </c>
      <c r="P1636" s="312">
        <v>41083</v>
      </c>
      <c r="Q1636" s="312">
        <v>139311.96</v>
      </c>
      <c r="R1636" s="312">
        <v>213092.13</v>
      </c>
    </row>
    <row r="1637" spans="6:18">
      <c r="F1637" t="s">
        <v>3401</v>
      </c>
      <c r="G1637" s="312">
        <v>64.710000000000008</v>
      </c>
      <c r="H1637" s="312">
        <v>440.56</v>
      </c>
      <c r="I1637" s="312">
        <v>133.18</v>
      </c>
      <c r="J1637" s="312">
        <v>553.65</v>
      </c>
      <c r="K1637" s="312">
        <v>932.73</v>
      </c>
      <c r="M1637" t="s">
        <v>3401</v>
      </c>
      <c r="N1637" s="312">
        <v>30575.75</v>
      </c>
      <c r="O1637" s="312">
        <v>204401.95</v>
      </c>
      <c r="P1637" s="312">
        <v>60883.42</v>
      </c>
      <c r="Q1637" s="312">
        <v>290656.07</v>
      </c>
      <c r="R1637" s="312">
        <v>319880.94</v>
      </c>
    </row>
    <row r="1638" spans="6:18">
      <c r="F1638" t="s">
        <v>3402</v>
      </c>
      <c r="G1638" s="312">
        <v>55.09</v>
      </c>
      <c r="H1638" s="312">
        <v>363.52</v>
      </c>
      <c r="I1638" s="312">
        <v>97.92</v>
      </c>
      <c r="J1638" s="312">
        <v>428.75</v>
      </c>
      <c r="K1638" s="312">
        <v>867.28</v>
      </c>
      <c r="M1638" t="s">
        <v>3402</v>
      </c>
      <c r="N1638" s="312">
        <v>18421.7</v>
      </c>
      <c r="O1638" s="312">
        <v>162259.01</v>
      </c>
      <c r="P1638" s="312">
        <v>69873.66</v>
      </c>
      <c r="Q1638" s="312">
        <v>189025.85</v>
      </c>
      <c r="R1638" s="312">
        <v>290062.73</v>
      </c>
    </row>
    <row r="1639" spans="6:18">
      <c r="F1639" t="s">
        <v>3403</v>
      </c>
      <c r="G1639" s="312">
        <v>56.43</v>
      </c>
      <c r="H1639" s="312">
        <v>526.53</v>
      </c>
      <c r="I1639" s="312">
        <v>81.93</v>
      </c>
      <c r="J1639" s="312">
        <v>572.34</v>
      </c>
      <c r="K1639" s="312">
        <v>806.07</v>
      </c>
      <c r="M1639" t="s">
        <v>3403</v>
      </c>
      <c r="N1639" s="312">
        <v>25095.079999999998</v>
      </c>
      <c r="O1639" s="312">
        <v>292456.53999999998</v>
      </c>
      <c r="P1639" s="312">
        <v>43756.66</v>
      </c>
      <c r="Q1639" s="312">
        <v>329818.08</v>
      </c>
      <c r="R1639" s="312">
        <v>270389</v>
      </c>
    </row>
    <row r="1640" spans="6:18">
      <c r="F1640" t="s">
        <v>3404</v>
      </c>
      <c r="G1640" s="312">
        <v>44.7</v>
      </c>
      <c r="H1640" s="312">
        <v>380.21</v>
      </c>
      <c r="I1640" s="312">
        <v>91.76</v>
      </c>
      <c r="J1640" s="312">
        <v>357.62</v>
      </c>
      <c r="K1640" s="312">
        <v>437.2</v>
      </c>
      <c r="M1640" t="s">
        <v>3404</v>
      </c>
      <c r="N1640" s="312">
        <v>27761.589999999997</v>
      </c>
      <c r="O1640" s="312">
        <v>161562.57</v>
      </c>
      <c r="P1640" s="312">
        <v>69069.710000000006</v>
      </c>
      <c r="Q1640" s="312">
        <v>145896.74</v>
      </c>
      <c r="R1640" s="312">
        <v>177080.25</v>
      </c>
    </row>
    <row r="1641" spans="6:18">
      <c r="F1641" t="s">
        <v>3405</v>
      </c>
      <c r="G1641" s="312">
        <v>34.74</v>
      </c>
      <c r="H1641" s="312">
        <v>313.09000000000003</v>
      </c>
      <c r="I1641" s="312">
        <v>45.650000000000006</v>
      </c>
      <c r="J1641" s="312">
        <v>434.83000000000004</v>
      </c>
      <c r="K1641" s="312">
        <v>458.95</v>
      </c>
      <c r="M1641" t="s">
        <v>3405</v>
      </c>
      <c r="N1641" s="312">
        <v>14492.32</v>
      </c>
      <c r="O1641" s="312">
        <v>152134.79</v>
      </c>
      <c r="P1641" s="312">
        <v>48021.79</v>
      </c>
      <c r="Q1641" s="312">
        <v>222711.6</v>
      </c>
      <c r="R1641" s="312">
        <v>145313.59</v>
      </c>
    </row>
    <row r="1642" spans="6:18">
      <c r="F1642" t="s">
        <v>3406</v>
      </c>
      <c r="G1642" s="312">
        <v>8.3699999999999992</v>
      </c>
      <c r="H1642" s="312">
        <v>345.85</v>
      </c>
      <c r="I1642" s="312">
        <v>38.870000000000005</v>
      </c>
      <c r="J1642" s="312">
        <v>341.34000000000003</v>
      </c>
      <c r="K1642" s="312">
        <v>500.27</v>
      </c>
      <c r="M1642" t="s">
        <v>3406</v>
      </c>
      <c r="N1642" s="312">
        <v>2955.85</v>
      </c>
      <c r="O1642" s="312">
        <v>151425.34999999998</v>
      </c>
      <c r="P1642" s="312">
        <v>19660.150000000001</v>
      </c>
      <c r="Q1642" s="312">
        <v>171245.31999999998</v>
      </c>
      <c r="R1642" s="312">
        <v>160372.16999999998</v>
      </c>
    </row>
    <row r="1643" spans="6:18">
      <c r="F1643" t="s">
        <v>3407</v>
      </c>
      <c r="G1643" s="312">
        <v>40.32</v>
      </c>
      <c r="H1643" s="312">
        <v>379.41</v>
      </c>
      <c r="I1643" s="312">
        <v>138.82999999999998</v>
      </c>
      <c r="J1643" s="312">
        <v>258.2</v>
      </c>
      <c r="K1643" s="312">
        <v>850.56999999999994</v>
      </c>
      <c r="M1643" t="s">
        <v>3407</v>
      </c>
      <c r="N1643" s="312">
        <v>13239.82</v>
      </c>
      <c r="O1643" s="312">
        <v>176445.44</v>
      </c>
      <c r="P1643" s="312">
        <v>118050.05</v>
      </c>
      <c r="Q1643" s="312">
        <v>118215.79000000001</v>
      </c>
      <c r="R1643" s="312">
        <v>285874.45</v>
      </c>
    </row>
    <row r="1644" spans="6:18">
      <c r="F1644" t="s">
        <v>3408</v>
      </c>
      <c r="G1644" s="312">
        <v>22.68</v>
      </c>
      <c r="H1644" s="312">
        <v>402.46</v>
      </c>
      <c r="I1644" s="312">
        <v>90.36</v>
      </c>
      <c r="J1644" s="312">
        <v>322.46000000000004</v>
      </c>
      <c r="K1644" s="312">
        <v>901.47</v>
      </c>
      <c r="M1644" t="s">
        <v>3408</v>
      </c>
      <c r="N1644" s="312">
        <v>9933.7000000000007</v>
      </c>
      <c r="O1644" s="312">
        <v>212416.66</v>
      </c>
      <c r="P1644" s="312">
        <v>36466.36</v>
      </c>
      <c r="Q1644" s="312">
        <v>191550.13999999998</v>
      </c>
      <c r="R1644" s="312">
        <v>290655.32</v>
      </c>
    </row>
    <row r="1645" spans="6:18">
      <c r="F1645" t="s">
        <v>3409</v>
      </c>
      <c r="G1645" s="312">
        <v>34.44</v>
      </c>
      <c r="H1645" s="312">
        <v>369.22</v>
      </c>
      <c r="I1645" s="312">
        <v>79.11999999999999</v>
      </c>
      <c r="J1645" s="312">
        <v>310.20999999999998</v>
      </c>
      <c r="K1645" s="312">
        <v>837.55</v>
      </c>
      <c r="M1645" t="s">
        <v>3409</v>
      </c>
      <c r="N1645" s="312">
        <v>22168.239999999998</v>
      </c>
      <c r="O1645" s="312">
        <v>231046.87</v>
      </c>
      <c r="P1645" s="312">
        <v>33331.47</v>
      </c>
      <c r="Q1645" s="312">
        <v>130657.25</v>
      </c>
      <c r="R1645" s="312">
        <v>269957.08999999997</v>
      </c>
    </row>
    <row r="1646" spans="6:18">
      <c r="F1646" t="s">
        <v>3410</v>
      </c>
      <c r="G1646" s="312">
        <v>25.83</v>
      </c>
      <c r="H1646" s="312">
        <v>477.02</v>
      </c>
      <c r="I1646" s="312">
        <v>86.41</v>
      </c>
      <c r="J1646" s="312">
        <v>503.78</v>
      </c>
      <c r="K1646" s="312">
        <v>819.03</v>
      </c>
      <c r="M1646" t="s">
        <v>3410</v>
      </c>
      <c r="N1646" s="312">
        <v>10489.460000000001</v>
      </c>
      <c r="O1646" s="312">
        <v>262661.21000000002</v>
      </c>
      <c r="P1646" s="312">
        <v>45588.2</v>
      </c>
      <c r="Q1646" s="312">
        <v>254032.44</v>
      </c>
      <c r="R1646" s="312">
        <v>275819.96999999997</v>
      </c>
    </row>
    <row r="1647" spans="6:18">
      <c r="F1647" t="s">
        <v>3411</v>
      </c>
      <c r="G1647" s="312">
        <v>22.74</v>
      </c>
      <c r="H1647" s="312">
        <v>332.33</v>
      </c>
      <c r="I1647" s="312">
        <v>91.53</v>
      </c>
      <c r="J1647" s="312">
        <v>354.58</v>
      </c>
      <c r="K1647" s="312">
        <v>723.37</v>
      </c>
      <c r="M1647" t="s">
        <v>3411</v>
      </c>
      <c r="N1647" s="312">
        <v>8764.18</v>
      </c>
      <c r="O1647" s="312">
        <v>168998.84</v>
      </c>
      <c r="P1647" s="312">
        <v>49385.55</v>
      </c>
      <c r="Q1647" s="312">
        <v>204279.72</v>
      </c>
      <c r="R1647" s="312">
        <v>240310.8</v>
      </c>
    </row>
    <row r="1648" spans="6:18">
      <c r="F1648" t="s">
        <v>3412</v>
      </c>
      <c r="G1648" s="312">
        <v>18.52</v>
      </c>
      <c r="H1648" s="312">
        <v>268.08999999999997</v>
      </c>
      <c r="I1648" s="312">
        <v>54.699999999999996</v>
      </c>
      <c r="J1648" s="312">
        <v>345.21000000000004</v>
      </c>
      <c r="K1648" s="312">
        <v>543.29</v>
      </c>
      <c r="M1648" t="s">
        <v>3412</v>
      </c>
      <c r="N1648" s="312">
        <v>7346.77</v>
      </c>
      <c r="O1648" s="312">
        <v>128951.85</v>
      </c>
      <c r="P1648" s="312">
        <v>24186.36</v>
      </c>
      <c r="Q1648" s="312">
        <v>208861.57</v>
      </c>
      <c r="R1648" s="312">
        <v>174874.82</v>
      </c>
    </row>
    <row r="1649" spans="6:18">
      <c r="F1649" t="s">
        <v>3413</v>
      </c>
      <c r="G1649" s="312">
        <v>27.36</v>
      </c>
      <c r="H1649" s="312">
        <v>227.27</v>
      </c>
      <c r="I1649" s="312">
        <v>40.24</v>
      </c>
      <c r="J1649" s="312">
        <v>293.7</v>
      </c>
      <c r="K1649" s="312">
        <v>474.22</v>
      </c>
      <c r="M1649" t="s">
        <v>3413</v>
      </c>
      <c r="N1649" s="312">
        <v>15633.3</v>
      </c>
      <c r="O1649" s="312">
        <v>121629.85</v>
      </c>
      <c r="P1649" s="312">
        <v>23593.370000000003</v>
      </c>
      <c r="Q1649" s="312">
        <v>172475.12</v>
      </c>
      <c r="R1649" s="312">
        <v>167174.32999999999</v>
      </c>
    </row>
    <row r="1650" spans="6:18">
      <c r="F1650" t="s">
        <v>3414</v>
      </c>
      <c r="G1650" s="312">
        <v>60.55</v>
      </c>
      <c r="H1650" s="312">
        <v>403.39</v>
      </c>
      <c r="I1650" s="312">
        <v>113.16</v>
      </c>
      <c r="J1650" s="312">
        <v>249.41000000000003</v>
      </c>
      <c r="K1650" s="312">
        <v>707.46</v>
      </c>
      <c r="M1650" t="s">
        <v>3414</v>
      </c>
      <c r="N1650" s="312">
        <v>48540.009999999995</v>
      </c>
      <c r="O1650" s="312">
        <v>221376.23</v>
      </c>
      <c r="P1650" s="312">
        <v>67997.84</v>
      </c>
      <c r="Q1650" s="312">
        <v>115634.94</v>
      </c>
      <c r="R1650" s="312">
        <v>226073.67</v>
      </c>
    </row>
    <row r="1651" spans="6:18">
      <c r="F1651" t="s">
        <v>3415</v>
      </c>
      <c r="G1651" s="312">
        <v>10.17</v>
      </c>
      <c r="H1651" s="312">
        <v>391.99</v>
      </c>
      <c r="I1651" s="312">
        <v>131.80000000000001</v>
      </c>
      <c r="J1651" s="312">
        <v>289.63</v>
      </c>
      <c r="K1651" s="312">
        <v>717.82999999999993</v>
      </c>
      <c r="M1651" t="s">
        <v>3415</v>
      </c>
      <c r="N1651" s="312">
        <v>4876.18</v>
      </c>
      <c r="O1651" s="312">
        <v>180021.78</v>
      </c>
      <c r="P1651" s="312">
        <v>82788.149999999994</v>
      </c>
      <c r="Q1651" s="312">
        <v>181470.96000000002</v>
      </c>
      <c r="R1651" s="312">
        <v>230271.12</v>
      </c>
    </row>
    <row r="1652" spans="6:18">
      <c r="F1652" t="s">
        <v>3416</v>
      </c>
      <c r="G1652" s="312">
        <v>32.35</v>
      </c>
      <c r="H1652" s="312">
        <v>364.33</v>
      </c>
      <c r="I1652" s="312">
        <v>80.16</v>
      </c>
      <c r="J1652" s="312">
        <v>632.01</v>
      </c>
      <c r="K1652" s="312">
        <v>667.92000000000007</v>
      </c>
      <c r="M1652" t="s">
        <v>3416</v>
      </c>
      <c r="N1652" s="312">
        <v>9008.5300000000007</v>
      </c>
      <c r="O1652" s="312">
        <v>164960.82</v>
      </c>
      <c r="P1652" s="312">
        <v>47782.3</v>
      </c>
      <c r="Q1652" s="312">
        <v>266137.57999999996</v>
      </c>
      <c r="R1652" s="312">
        <v>194944.23</v>
      </c>
    </row>
    <row r="1653" spans="6:18">
      <c r="F1653" t="s">
        <v>3417</v>
      </c>
      <c r="G1653" s="312">
        <v>23.89</v>
      </c>
      <c r="H1653" s="312">
        <v>437.44</v>
      </c>
      <c r="I1653" s="312">
        <v>63.37</v>
      </c>
      <c r="J1653" s="312">
        <v>498.13</v>
      </c>
      <c r="K1653" s="312">
        <v>791.88</v>
      </c>
      <c r="M1653" t="s">
        <v>3417</v>
      </c>
      <c r="N1653" s="312">
        <v>15869.960000000001</v>
      </c>
      <c r="O1653" s="312">
        <v>203436.06</v>
      </c>
      <c r="P1653" s="312">
        <v>43748.090000000004</v>
      </c>
      <c r="Q1653" s="312">
        <v>228148.84</v>
      </c>
      <c r="R1653" s="312">
        <v>241542.31</v>
      </c>
    </row>
    <row r="1654" spans="6:18">
      <c r="F1654" t="s">
        <v>3418</v>
      </c>
      <c r="G1654" s="312">
        <v>51.489999999999995</v>
      </c>
      <c r="H1654" s="312">
        <v>366.42</v>
      </c>
      <c r="I1654" s="312">
        <v>35.379999999999995</v>
      </c>
      <c r="J1654" s="312">
        <v>496.03999999999996</v>
      </c>
      <c r="K1654" s="312">
        <v>760.08</v>
      </c>
      <c r="M1654" t="s">
        <v>3418</v>
      </c>
      <c r="N1654" s="312">
        <v>30148.629999999997</v>
      </c>
      <c r="O1654" s="312">
        <v>150269.47999999998</v>
      </c>
      <c r="P1654" s="312">
        <v>18076.25</v>
      </c>
      <c r="Q1654" s="312">
        <v>182174.75999999998</v>
      </c>
      <c r="R1654" s="312">
        <v>223532.42</v>
      </c>
    </row>
    <row r="1655" spans="6:18">
      <c r="F1655" t="s">
        <v>3419</v>
      </c>
      <c r="G1655" s="312">
        <v>36.96</v>
      </c>
      <c r="H1655" s="312">
        <v>231.29</v>
      </c>
      <c r="I1655" s="312">
        <v>65.48</v>
      </c>
      <c r="J1655" s="312">
        <v>426.17</v>
      </c>
      <c r="K1655" s="312">
        <v>532.24</v>
      </c>
      <c r="M1655" t="s">
        <v>3419</v>
      </c>
      <c r="N1655" s="312">
        <v>15955.05</v>
      </c>
      <c r="O1655" s="312">
        <v>115700.72</v>
      </c>
      <c r="P1655" s="312">
        <v>53340.82</v>
      </c>
      <c r="Q1655" s="312">
        <v>159156.78000000003</v>
      </c>
      <c r="R1655" s="312">
        <v>175697.13</v>
      </c>
    </row>
    <row r="1656" spans="6:18">
      <c r="F1656" t="s">
        <v>3420</v>
      </c>
      <c r="G1656" s="312">
        <v>26.79</v>
      </c>
      <c r="H1656" s="312">
        <v>172.84</v>
      </c>
      <c r="I1656" s="312">
        <v>29.19</v>
      </c>
      <c r="J1656" s="312">
        <v>293.7</v>
      </c>
      <c r="K1656" s="312">
        <v>503.91</v>
      </c>
      <c r="M1656" t="s">
        <v>3420</v>
      </c>
      <c r="N1656" s="312">
        <v>12689.460000000001</v>
      </c>
      <c r="O1656" s="312">
        <v>92991.17</v>
      </c>
      <c r="P1656" s="312">
        <v>12280.56</v>
      </c>
      <c r="Q1656" s="312">
        <v>138132.59</v>
      </c>
      <c r="R1656" s="312">
        <v>181620.9</v>
      </c>
    </row>
    <row r="1657" spans="6:18">
      <c r="F1657" t="s">
        <v>3421</v>
      </c>
      <c r="G1657" s="312">
        <v>44.17</v>
      </c>
      <c r="H1657" s="312">
        <v>386.47</v>
      </c>
      <c r="I1657" s="312">
        <v>131.63</v>
      </c>
      <c r="J1657" s="312">
        <v>258.60000000000002</v>
      </c>
      <c r="K1657" s="312">
        <v>758.32</v>
      </c>
      <c r="M1657" t="s">
        <v>3421</v>
      </c>
      <c r="N1657" s="312">
        <v>24434.940000000002</v>
      </c>
      <c r="O1657" s="312">
        <v>183897.50999999998</v>
      </c>
      <c r="P1657" s="312">
        <v>81422.25</v>
      </c>
      <c r="Q1657" s="312">
        <v>121608.01000000001</v>
      </c>
      <c r="R1657" s="312">
        <v>262180.62</v>
      </c>
    </row>
    <row r="1658" spans="6:18">
      <c r="F1658" t="s">
        <v>3422</v>
      </c>
      <c r="G1658" s="312">
        <v>29.450000000000003</v>
      </c>
      <c r="H1658" s="312">
        <v>287.60000000000002</v>
      </c>
      <c r="I1658" s="312">
        <v>84.42</v>
      </c>
      <c r="J1658" s="312">
        <v>284.28000000000003</v>
      </c>
      <c r="K1658" s="312">
        <v>785.18000000000006</v>
      </c>
      <c r="M1658" t="s">
        <v>3422</v>
      </c>
      <c r="N1658" s="312">
        <v>11160.65</v>
      </c>
      <c r="O1658" s="312">
        <v>165995.75</v>
      </c>
      <c r="P1658" s="312">
        <v>42100.82</v>
      </c>
      <c r="Q1658" s="312">
        <v>165102.35</v>
      </c>
      <c r="R1658" s="312">
        <v>250086.41</v>
      </c>
    </row>
    <row r="1659" spans="6:18">
      <c r="F1659" t="s">
        <v>3423</v>
      </c>
      <c r="G1659" s="312">
        <v>43.3</v>
      </c>
      <c r="H1659" s="312">
        <v>297.32</v>
      </c>
      <c r="I1659" s="312">
        <v>71.84</v>
      </c>
      <c r="J1659" s="312">
        <v>362.48999999999995</v>
      </c>
      <c r="K1659" s="312">
        <v>714.59</v>
      </c>
      <c r="M1659" t="s">
        <v>3423</v>
      </c>
      <c r="N1659" s="312">
        <v>13449.19</v>
      </c>
      <c r="O1659" s="312">
        <v>115031.38</v>
      </c>
      <c r="P1659" s="312">
        <v>40207.99</v>
      </c>
      <c r="Q1659" s="312">
        <v>201371.3</v>
      </c>
      <c r="R1659" s="312">
        <v>263851.07</v>
      </c>
    </row>
    <row r="1660" spans="6:18">
      <c r="F1660" t="s">
        <v>3424</v>
      </c>
      <c r="G1660" s="312">
        <v>46.71</v>
      </c>
      <c r="H1660" s="312">
        <v>365.89</v>
      </c>
      <c r="I1660" s="312">
        <v>121.72</v>
      </c>
      <c r="J1660" s="312">
        <v>491.24</v>
      </c>
      <c r="K1660" s="312">
        <v>538.65</v>
      </c>
      <c r="M1660" t="s">
        <v>3424</v>
      </c>
      <c r="N1660" s="312">
        <v>17863.73</v>
      </c>
      <c r="O1660" s="312">
        <v>163028.62</v>
      </c>
      <c r="P1660" s="312">
        <v>63224.78</v>
      </c>
      <c r="Q1660" s="312">
        <v>316374.3</v>
      </c>
      <c r="R1660" s="312">
        <v>190982.40000000002</v>
      </c>
    </row>
    <row r="1661" spans="6:18">
      <c r="F1661" t="s">
        <v>3425</v>
      </c>
      <c r="G1661" s="312">
        <v>21.369999999999997</v>
      </c>
      <c r="H1661" s="312">
        <v>452.88</v>
      </c>
      <c r="I1661" s="312">
        <v>99.550000000000011</v>
      </c>
      <c r="J1661" s="312">
        <v>353.6</v>
      </c>
      <c r="K1661" s="312">
        <v>598.9</v>
      </c>
      <c r="M1661" t="s">
        <v>3425</v>
      </c>
      <c r="N1661" s="312">
        <v>16576.760000000002</v>
      </c>
      <c r="O1661" s="312">
        <v>246610.94</v>
      </c>
      <c r="P1661" s="312">
        <v>79464.66</v>
      </c>
      <c r="Q1661" s="312">
        <v>192233.48</v>
      </c>
      <c r="R1661" s="312">
        <v>211851.51</v>
      </c>
    </row>
    <row r="1662" spans="6:18">
      <c r="F1662" t="s">
        <v>3426</v>
      </c>
      <c r="G1662" s="312">
        <v>43.3</v>
      </c>
      <c r="H1662" s="312">
        <v>280.87</v>
      </c>
      <c r="I1662" s="312">
        <v>51.46</v>
      </c>
      <c r="J1662" s="312">
        <v>337.40000000000003</v>
      </c>
      <c r="K1662" s="312">
        <v>477.59000000000003</v>
      </c>
      <c r="M1662" t="s">
        <v>3426</v>
      </c>
      <c r="N1662" s="312">
        <v>15787.33</v>
      </c>
      <c r="O1662" s="312">
        <v>130867.90000000001</v>
      </c>
      <c r="P1662" s="312">
        <v>20398.489999999998</v>
      </c>
      <c r="Q1662" s="312">
        <v>263826.89</v>
      </c>
      <c r="R1662" s="312">
        <v>173032.86</v>
      </c>
    </row>
    <row r="1663" spans="6:18">
      <c r="F1663" t="s">
        <v>3427</v>
      </c>
      <c r="G1663" s="312">
        <v>55.03</v>
      </c>
      <c r="H1663" s="312">
        <v>299.76</v>
      </c>
      <c r="I1663" s="312">
        <v>13.89</v>
      </c>
      <c r="J1663" s="312">
        <v>296.02999999999997</v>
      </c>
      <c r="K1663" s="312">
        <v>525.99</v>
      </c>
      <c r="M1663" t="s">
        <v>3427</v>
      </c>
      <c r="N1663" s="312">
        <v>29765.25</v>
      </c>
      <c r="O1663" s="312">
        <v>190355</v>
      </c>
      <c r="P1663" s="312">
        <v>5187.46</v>
      </c>
      <c r="Q1663" s="312">
        <v>121939.44</v>
      </c>
      <c r="R1663" s="312">
        <v>159918.66</v>
      </c>
    </row>
    <row r="1664" spans="6:18">
      <c r="F1664" t="s">
        <v>3428</v>
      </c>
      <c r="G1664" s="312">
        <v>31.869999999999997</v>
      </c>
      <c r="H1664" s="312">
        <v>344.83</v>
      </c>
      <c r="I1664" s="312">
        <v>87.66</v>
      </c>
      <c r="J1664" s="312">
        <v>280.60000000000002</v>
      </c>
      <c r="K1664" s="312">
        <v>700.8900000000001</v>
      </c>
      <c r="M1664" t="s">
        <v>3428</v>
      </c>
      <c r="N1664" s="312">
        <v>15093.890000000001</v>
      </c>
      <c r="O1664" s="312">
        <v>196885.02000000002</v>
      </c>
      <c r="P1664" s="312">
        <v>36964.049999999996</v>
      </c>
      <c r="Q1664" s="312">
        <v>124789.98</v>
      </c>
      <c r="R1664" s="312">
        <v>224011.9</v>
      </c>
    </row>
    <row r="1665" spans="6:18">
      <c r="F1665" t="s">
        <v>3429</v>
      </c>
      <c r="G1665" s="312">
        <v>23.36</v>
      </c>
      <c r="H1665" s="312">
        <v>374.98</v>
      </c>
      <c r="I1665" s="312">
        <v>67.41</v>
      </c>
      <c r="J1665" s="312">
        <v>432.20000000000005</v>
      </c>
      <c r="K1665" s="312">
        <v>635.29</v>
      </c>
      <c r="M1665" t="s">
        <v>3429</v>
      </c>
      <c r="N1665" s="312">
        <v>4463.74</v>
      </c>
      <c r="O1665" s="312">
        <v>186009.27</v>
      </c>
      <c r="P1665" s="312">
        <v>33559.769999999997</v>
      </c>
      <c r="Q1665" s="312">
        <v>175680.79</v>
      </c>
      <c r="R1665" s="312">
        <v>213802.25999999998</v>
      </c>
    </row>
    <row r="1666" spans="6:18">
      <c r="F1666" t="s">
        <v>3430</v>
      </c>
      <c r="G1666" s="312">
        <v>62.85</v>
      </c>
      <c r="H1666" s="312">
        <v>368.64</v>
      </c>
      <c r="I1666" s="312">
        <v>71.72</v>
      </c>
      <c r="J1666" s="312">
        <v>580.03</v>
      </c>
      <c r="K1666" s="312">
        <v>856.85</v>
      </c>
      <c r="M1666" t="s">
        <v>3430</v>
      </c>
      <c r="N1666" s="312">
        <v>26103.690000000002</v>
      </c>
      <c r="O1666" s="312">
        <v>204137.01</v>
      </c>
      <c r="P1666" s="312">
        <v>31966.969999999998</v>
      </c>
      <c r="Q1666" s="312">
        <v>266236.22000000003</v>
      </c>
      <c r="R1666" s="312">
        <v>277778.8</v>
      </c>
    </row>
    <row r="1667" spans="6:18">
      <c r="F1667" t="s">
        <v>3431</v>
      </c>
      <c r="G1667" s="312">
        <v>39.53</v>
      </c>
      <c r="H1667" s="312">
        <v>409.71000000000004</v>
      </c>
      <c r="I1667" s="312">
        <v>46.73</v>
      </c>
      <c r="J1667" s="312">
        <v>372.91999999999996</v>
      </c>
      <c r="K1667" s="312">
        <v>672.25</v>
      </c>
      <c r="M1667" t="s">
        <v>3431</v>
      </c>
      <c r="N1667" s="312">
        <v>16981.13</v>
      </c>
      <c r="O1667" s="312">
        <v>214459.34000000003</v>
      </c>
      <c r="P1667" s="312">
        <v>30140.27</v>
      </c>
      <c r="Q1667" s="312">
        <v>187563.02000000002</v>
      </c>
      <c r="R1667" s="312">
        <v>263976.97000000003</v>
      </c>
    </row>
    <row r="1668" spans="6:18">
      <c r="F1668" t="s">
        <v>3432</v>
      </c>
      <c r="G1668" s="312">
        <v>64.17</v>
      </c>
      <c r="H1668" s="312">
        <v>337.13</v>
      </c>
      <c r="I1668" s="312">
        <v>72.75</v>
      </c>
      <c r="J1668" s="312">
        <v>456.31</v>
      </c>
      <c r="K1668" s="312">
        <v>855.3</v>
      </c>
      <c r="M1668" t="s">
        <v>3432</v>
      </c>
      <c r="N1668" s="312">
        <v>39626.400000000001</v>
      </c>
      <c r="O1668" s="312">
        <v>141554.83000000002</v>
      </c>
      <c r="P1668" s="312">
        <v>31022.43</v>
      </c>
      <c r="Q1668" s="312">
        <v>248847.08</v>
      </c>
      <c r="R1668" s="312">
        <v>259999.16999999998</v>
      </c>
    </row>
    <row r="1669" spans="6:18">
      <c r="F1669" t="s">
        <v>3433</v>
      </c>
      <c r="G1669" s="312">
        <v>34.26</v>
      </c>
      <c r="H1669" s="312">
        <v>235.22</v>
      </c>
      <c r="I1669" s="312">
        <v>25.439999999999998</v>
      </c>
      <c r="J1669" s="312">
        <v>264.92</v>
      </c>
      <c r="K1669" s="312">
        <v>709.62</v>
      </c>
      <c r="M1669" t="s">
        <v>3433</v>
      </c>
      <c r="N1669" s="312">
        <v>9666.14</v>
      </c>
      <c r="O1669" s="312">
        <v>85437.75</v>
      </c>
      <c r="P1669" s="312">
        <v>14708.4</v>
      </c>
      <c r="Q1669" s="312">
        <v>81584.389999999985</v>
      </c>
      <c r="R1669" s="312">
        <v>276239.99</v>
      </c>
    </row>
    <row r="1670" spans="6:18">
      <c r="F1670" t="s">
        <v>3434</v>
      </c>
      <c r="G1670" s="312">
        <v>43.239999999999995</v>
      </c>
      <c r="H1670" s="312">
        <v>220.70999999999998</v>
      </c>
      <c r="I1670" s="312">
        <v>12.23</v>
      </c>
      <c r="J1670" s="312">
        <v>270.83</v>
      </c>
      <c r="K1670" s="312">
        <v>430.5</v>
      </c>
      <c r="M1670" t="s">
        <v>3434</v>
      </c>
      <c r="N1670" s="312">
        <v>19466.05</v>
      </c>
      <c r="O1670" s="312">
        <v>97357.1</v>
      </c>
      <c r="P1670" s="312">
        <v>7027.66</v>
      </c>
      <c r="Q1670" s="312">
        <v>160347.04</v>
      </c>
      <c r="R1670" s="312">
        <v>134910.25</v>
      </c>
    </row>
    <row r="1671" spans="6:18">
      <c r="F1671" t="s">
        <v>3435</v>
      </c>
      <c r="G1671" s="312">
        <v>41.239999999999995</v>
      </c>
      <c r="H1671" s="312">
        <v>330.6</v>
      </c>
      <c r="I1671" s="312">
        <v>34.81</v>
      </c>
      <c r="J1671" s="312">
        <v>382.59000000000003</v>
      </c>
      <c r="K1671" s="312">
        <v>768.73</v>
      </c>
      <c r="M1671" t="s">
        <v>3435</v>
      </c>
      <c r="N1671" s="312">
        <v>13871.730000000001</v>
      </c>
      <c r="O1671" s="312">
        <v>124793.05</v>
      </c>
      <c r="P1671" s="312">
        <v>23291.84</v>
      </c>
      <c r="Q1671" s="312">
        <v>188908.11000000002</v>
      </c>
      <c r="R1671" s="312">
        <v>245305.22</v>
      </c>
    </row>
    <row r="1672" spans="6:18">
      <c r="F1672" t="s">
        <v>3436</v>
      </c>
      <c r="G1672" s="312">
        <v>66.58</v>
      </c>
      <c r="H1672" s="312">
        <v>364.41</v>
      </c>
      <c r="I1672" s="312">
        <v>65.45</v>
      </c>
      <c r="J1672" s="312">
        <v>321.22000000000003</v>
      </c>
      <c r="K1672" s="312">
        <v>684.45</v>
      </c>
      <c r="M1672" t="s">
        <v>3436</v>
      </c>
      <c r="N1672" s="312">
        <v>24704.989999999998</v>
      </c>
      <c r="O1672" s="312">
        <v>147324.81</v>
      </c>
      <c r="P1672" s="312">
        <v>45723.7</v>
      </c>
      <c r="Q1672" s="312">
        <v>184224.73</v>
      </c>
      <c r="R1672" s="312">
        <v>226672.73</v>
      </c>
    </row>
    <row r="1673" spans="6:18">
      <c r="F1673" t="s">
        <v>3437</v>
      </c>
      <c r="G1673" s="312">
        <v>39.050000000000004</v>
      </c>
      <c r="H1673" s="312">
        <v>334.99</v>
      </c>
      <c r="I1673" s="312">
        <v>52.290000000000006</v>
      </c>
      <c r="J1673" s="312">
        <v>509.5</v>
      </c>
      <c r="K1673" s="312">
        <v>793.84999999999991</v>
      </c>
      <c r="M1673" t="s">
        <v>3437</v>
      </c>
      <c r="N1673" s="312">
        <v>17474.53</v>
      </c>
      <c r="O1673" s="312">
        <v>169607.1</v>
      </c>
      <c r="P1673" s="312">
        <v>42928.789999999994</v>
      </c>
      <c r="Q1673" s="312">
        <v>227061.39</v>
      </c>
      <c r="R1673" s="312">
        <v>274601.46999999997</v>
      </c>
    </row>
    <row r="1674" spans="6:18">
      <c r="F1674" t="s">
        <v>3438</v>
      </c>
      <c r="G1674" s="312">
        <v>54.400000000000006</v>
      </c>
      <c r="H1674" s="312">
        <v>366.5</v>
      </c>
      <c r="I1674" s="312">
        <v>83.37</v>
      </c>
      <c r="J1674" s="312">
        <v>369.13</v>
      </c>
      <c r="K1674" s="312">
        <v>512.96</v>
      </c>
      <c r="M1674" t="s">
        <v>3438</v>
      </c>
      <c r="N1674" s="312">
        <v>38950.01</v>
      </c>
      <c r="O1674" s="312">
        <v>137505.65</v>
      </c>
      <c r="P1674" s="312">
        <v>61265</v>
      </c>
      <c r="Q1674" s="312">
        <v>199166.28999999998</v>
      </c>
      <c r="R1674" s="312">
        <v>163906.87</v>
      </c>
    </row>
    <row r="1675" spans="6:18">
      <c r="F1675" t="s">
        <v>3439</v>
      </c>
      <c r="G1675" s="312">
        <v>61.91</v>
      </c>
      <c r="H1675" s="312">
        <v>519.34</v>
      </c>
      <c r="I1675" s="312">
        <v>42.36</v>
      </c>
      <c r="J1675" s="312">
        <v>467.67</v>
      </c>
      <c r="K1675" s="312">
        <v>649.85</v>
      </c>
      <c r="M1675" t="s">
        <v>3439</v>
      </c>
      <c r="N1675" s="312">
        <v>24525.39</v>
      </c>
      <c r="O1675" s="312">
        <v>237009.55</v>
      </c>
      <c r="P1675" s="312">
        <v>19916.440000000002</v>
      </c>
      <c r="Q1675" s="312">
        <v>179957.62</v>
      </c>
      <c r="R1675" s="312">
        <v>241503.40000000002</v>
      </c>
    </row>
    <row r="1676" spans="6:18">
      <c r="F1676" t="s">
        <v>3440</v>
      </c>
      <c r="G1676" s="312">
        <v>33.81</v>
      </c>
      <c r="H1676" s="312">
        <v>337.96</v>
      </c>
      <c r="I1676" s="312">
        <v>51.52</v>
      </c>
      <c r="J1676" s="312">
        <v>402.44000000000005</v>
      </c>
      <c r="K1676" s="312">
        <v>429.61</v>
      </c>
      <c r="M1676" t="s">
        <v>3440</v>
      </c>
      <c r="N1676" s="312">
        <v>11148.029999999999</v>
      </c>
      <c r="O1676" s="312">
        <v>164403.62</v>
      </c>
      <c r="P1676" s="312">
        <v>21025.440000000002</v>
      </c>
      <c r="Q1676" s="312">
        <v>247302.28</v>
      </c>
      <c r="R1676" s="312">
        <v>149922.99</v>
      </c>
    </row>
    <row r="1677" spans="6:18">
      <c r="F1677" t="s">
        <v>3441</v>
      </c>
      <c r="G1677" s="312">
        <v>43.410000000000004</v>
      </c>
      <c r="H1677" s="312">
        <v>256.11</v>
      </c>
      <c r="I1677" s="312">
        <v>8.9700000000000006</v>
      </c>
      <c r="J1677" s="312">
        <v>262.33999999999997</v>
      </c>
      <c r="K1677" s="312">
        <v>480.35</v>
      </c>
      <c r="M1677" t="s">
        <v>3441</v>
      </c>
      <c r="N1677" s="312">
        <v>21655.93</v>
      </c>
      <c r="O1677" s="312">
        <v>126652.6</v>
      </c>
      <c r="P1677" s="312">
        <v>6563.75</v>
      </c>
      <c r="Q1677" s="312">
        <v>130927.96</v>
      </c>
      <c r="R1677" s="312">
        <v>136165.76000000001</v>
      </c>
    </row>
    <row r="1678" spans="6:18">
      <c r="F1678" t="s">
        <v>3442</v>
      </c>
      <c r="G1678" s="312">
        <v>39.72</v>
      </c>
      <c r="H1678" s="312">
        <v>530.54</v>
      </c>
      <c r="I1678" s="312">
        <v>100.07</v>
      </c>
      <c r="J1678" s="312">
        <v>270.70000000000005</v>
      </c>
      <c r="K1678" s="312">
        <v>620.02</v>
      </c>
      <c r="M1678" t="s">
        <v>3442</v>
      </c>
      <c r="N1678" s="312">
        <v>15059.25</v>
      </c>
      <c r="O1678" s="312">
        <v>242110.25</v>
      </c>
      <c r="P1678" s="312">
        <v>57096</v>
      </c>
      <c r="Q1678" s="312">
        <v>128334</v>
      </c>
      <c r="R1678" s="312">
        <v>246107.89</v>
      </c>
    </row>
    <row r="1679" spans="6:18">
      <c r="F1679" t="s">
        <v>3443</v>
      </c>
      <c r="G1679" s="312">
        <v>23.270000000000003</v>
      </c>
      <c r="H1679" s="312">
        <v>479.34000000000003</v>
      </c>
      <c r="I1679" s="312">
        <v>80.099999999999994</v>
      </c>
      <c r="J1679" s="312">
        <v>397.62</v>
      </c>
      <c r="K1679" s="312">
        <v>655.85</v>
      </c>
      <c r="M1679" t="s">
        <v>3443</v>
      </c>
      <c r="N1679" s="312">
        <v>11866.73</v>
      </c>
      <c r="O1679" s="312">
        <v>198097.77</v>
      </c>
      <c r="P1679" s="312">
        <v>46774.1</v>
      </c>
      <c r="Q1679" s="312">
        <v>155849.29</v>
      </c>
      <c r="R1679" s="312">
        <v>229748.95</v>
      </c>
    </row>
    <row r="1680" spans="6:18">
      <c r="F1680" t="s">
        <v>3444</v>
      </c>
      <c r="G1680" s="312">
        <v>30.25</v>
      </c>
      <c r="H1680" s="312">
        <v>511.34000000000003</v>
      </c>
      <c r="I1680" s="312">
        <v>49.53</v>
      </c>
      <c r="J1680" s="312">
        <v>364.41</v>
      </c>
      <c r="K1680" s="312">
        <v>515.29999999999995</v>
      </c>
      <c r="M1680" t="s">
        <v>3444</v>
      </c>
      <c r="N1680" s="312">
        <v>19251.27</v>
      </c>
      <c r="O1680" s="312">
        <v>239784.74000000002</v>
      </c>
      <c r="P1680" s="312">
        <v>28424.31</v>
      </c>
      <c r="Q1680" s="312">
        <v>193079.03999999998</v>
      </c>
      <c r="R1680" s="312">
        <v>197294.05</v>
      </c>
    </row>
    <row r="1681" spans="6:18">
      <c r="F1681" t="s">
        <v>3445</v>
      </c>
      <c r="G1681" s="312">
        <v>53.82</v>
      </c>
      <c r="H1681" s="312">
        <v>416.15999999999997</v>
      </c>
      <c r="I1681" s="312">
        <v>49.29</v>
      </c>
      <c r="J1681" s="312">
        <v>431.71999999999997</v>
      </c>
      <c r="K1681" s="312">
        <v>824.84</v>
      </c>
      <c r="M1681" t="s">
        <v>3445</v>
      </c>
      <c r="N1681" s="312">
        <v>18343.989999999998</v>
      </c>
      <c r="O1681" s="312">
        <v>221567.42</v>
      </c>
      <c r="P1681" s="312">
        <v>17926.43</v>
      </c>
      <c r="Q1681" s="312">
        <v>192601.34</v>
      </c>
      <c r="R1681" s="312">
        <v>250285.52000000002</v>
      </c>
    </row>
    <row r="1682" spans="6:18">
      <c r="F1682" t="s">
        <v>3446</v>
      </c>
      <c r="G1682" s="312">
        <v>25.36</v>
      </c>
      <c r="H1682" s="312">
        <v>431.5</v>
      </c>
      <c r="I1682" s="312">
        <v>58.61</v>
      </c>
      <c r="J1682" s="312">
        <v>422.06</v>
      </c>
      <c r="K1682" s="312">
        <v>723.08</v>
      </c>
      <c r="M1682" t="s">
        <v>3446</v>
      </c>
      <c r="N1682" s="312">
        <v>11251.23</v>
      </c>
      <c r="O1682" s="312">
        <v>249297.36000000002</v>
      </c>
      <c r="P1682" s="312">
        <v>28554.79</v>
      </c>
      <c r="Q1682" s="312">
        <v>237062.88999999998</v>
      </c>
      <c r="R1682" s="312">
        <v>274716.15000000002</v>
      </c>
    </row>
    <row r="1683" spans="6:18">
      <c r="F1683" t="s">
        <v>3447</v>
      </c>
      <c r="G1683" s="312">
        <v>25.47</v>
      </c>
      <c r="H1683" s="312">
        <v>351.65</v>
      </c>
      <c r="I1683" s="312">
        <v>45.510000000000005</v>
      </c>
      <c r="J1683" s="312">
        <v>357.03999999999996</v>
      </c>
      <c r="K1683" s="312">
        <v>550.03</v>
      </c>
      <c r="M1683" t="s">
        <v>3447</v>
      </c>
      <c r="N1683" s="312">
        <v>13706.08</v>
      </c>
      <c r="O1683" s="312">
        <v>193271.84000000003</v>
      </c>
      <c r="P1683" s="312">
        <v>42614.94</v>
      </c>
      <c r="Q1683" s="312">
        <v>169803.56</v>
      </c>
      <c r="R1683" s="312">
        <v>181394.9</v>
      </c>
    </row>
    <row r="1684" spans="6:18">
      <c r="F1684" t="s">
        <v>3448</v>
      </c>
      <c r="G1684" s="312">
        <v>45.21</v>
      </c>
      <c r="H1684" s="312">
        <v>257.39999999999998</v>
      </c>
      <c r="I1684" s="312">
        <v>12.69</v>
      </c>
      <c r="J1684" s="312">
        <v>130.30000000000001</v>
      </c>
      <c r="K1684" s="312">
        <v>542.03</v>
      </c>
      <c r="M1684" t="s">
        <v>3448</v>
      </c>
      <c r="N1684" s="312">
        <v>17353.14</v>
      </c>
      <c r="O1684" s="312">
        <v>135631.57</v>
      </c>
      <c r="P1684" s="312">
        <v>8211.75</v>
      </c>
      <c r="Q1684" s="312">
        <v>60547.9</v>
      </c>
      <c r="R1684" s="312">
        <v>162999.13</v>
      </c>
    </row>
    <row r="1685" spans="6:18">
      <c r="F1685" t="s">
        <v>3449</v>
      </c>
      <c r="G1685" s="312">
        <v>61.419999999999995</v>
      </c>
      <c r="H1685" s="312">
        <v>414.78</v>
      </c>
      <c r="I1685" s="312">
        <v>82.95</v>
      </c>
      <c r="J1685" s="312">
        <v>292.67</v>
      </c>
      <c r="K1685" s="312">
        <v>789.31999999999994</v>
      </c>
      <c r="M1685" t="s">
        <v>3449</v>
      </c>
      <c r="N1685" s="312">
        <v>26469.11</v>
      </c>
      <c r="O1685" s="312">
        <v>183182.34000000003</v>
      </c>
      <c r="P1685" s="312">
        <v>48066.5</v>
      </c>
      <c r="Q1685" s="312">
        <v>175453.63</v>
      </c>
      <c r="R1685" s="312">
        <v>256126.76</v>
      </c>
    </row>
    <row r="1686" spans="6:18">
      <c r="F1686" t="s">
        <v>3450</v>
      </c>
      <c r="G1686" s="312">
        <v>61.57</v>
      </c>
      <c r="H1686" s="312">
        <v>390.28000000000003</v>
      </c>
      <c r="I1686" s="312">
        <v>68.22999999999999</v>
      </c>
      <c r="J1686" s="312">
        <v>405.89</v>
      </c>
      <c r="K1686" s="312">
        <v>860.51</v>
      </c>
      <c r="M1686" t="s">
        <v>3450</v>
      </c>
      <c r="N1686" s="312">
        <v>53526.350000000006</v>
      </c>
      <c r="O1686" s="312">
        <v>187864.97999999998</v>
      </c>
      <c r="P1686" s="312">
        <v>63515.65</v>
      </c>
      <c r="Q1686" s="312">
        <v>243108.11000000002</v>
      </c>
      <c r="R1686" s="312">
        <v>237710.75</v>
      </c>
    </row>
    <row r="1687" spans="6:18">
      <c r="F1687" t="s">
        <v>3451</v>
      </c>
      <c r="G1687" s="312">
        <v>63.160000000000004</v>
      </c>
      <c r="H1687" s="312">
        <v>360.44</v>
      </c>
      <c r="I1687" s="312">
        <v>49</v>
      </c>
      <c r="J1687" s="312">
        <v>401.83000000000004</v>
      </c>
      <c r="K1687" s="312">
        <v>741.12</v>
      </c>
      <c r="M1687" t="s">
        <v>3451</v>
      </c>
      <c r="N1687" s="312">
        <v>30104.46</v>
      </c>
      <c r="O1687" s="312">
        <v>188597.92</v>
      </c>
      <c r="P1687" s="312">
        <v>40100.76</v>
      </c>
      <c r="Q1687" s="312">
        <v>171575.99</v>
      </c>
      <c r="R1687" s="312">
        <v>222905.76</v>
      </c>
    </row>
    <row r="1688" spans="6:18">
      <c r="F1688" t="s">
        <v>3452</v>
      </c>
      <c r="G1688" s="312">
        <v>48.27</v>
      </c>
      <c r="H1688" s="312">
        <v>338.46000000000004</v>
      </c>
      <c r="I1688" s="312">
        <v>54.25</v>
      </c>
      <c r="J1688" s="312">
        <v>387.62</v>
      </c>
      <c r="K1688" s="312">
        <v>714.52</v>
      </c>
      <c r="M1688" t="s">
        <v>3452</v>
      </c>
      <c r="N1688" s="312">
        <v>26595.02</v>
      </c>
      <c r="O1688" s="312">
        <v>142234.34</v>
      </c>
      <c r="P1688" s="312">
        <v>33635.64</v>
      </c>
      <c r="Q1688" s="312">
        <v>192956.05</v>
      </c>
      <c r="R1688" s="312">
        <v>255310.83000000002</v>
      </c>
    </row>
    <row r="1689" spans="6:18">
      <c r="F1689" t="s">
        <v>3453</v>
      </c>
      <c r="G1689" s="312">
        <v>87.13</v>
      </c>
      <c r="H1689" s="312">
        <v>446.45000000000005</v>
      </c>
      <c r="I1689" s="312">
        <v>62.510000000000005</v>
      </c>
      <c r="J1689" s="312">
        <v>344.53000000000003</v>
      </c>
      <c r="K1689" s="312">
        <v>691.99</v>
      </c>
      <c r="M1689" t="s">
        <v>3453</v>
      </c>
      <c r="N1689" s="312">
        <v>44299.229999999996</v>
      </c>
      <c r="O1689" s="312">
        <v>215401.84000000003</v>
      </c>
      <c r="P1689" s="312">
        <v>47112.03</v>
      </c>
      <c r="Q1689" s="312">
        <v>113748.21</v>
      </c>
      <c r="R1689" s="312">
        <v>262941.58</v>
      </c>
    </row>
    <row r="1690" spans="6:18">
      <c r="F1690" t="s">
        <v>3454</v>
      </c>
      <c r="G1690" s="312">
        <v>35.11</v>
      </c>
      <c r="H1690" s="312">
        <v>229.07999999999998</v>
      </c>
      <c r="I1690" s="312">
        <v>53.55</v>
      </c>
      <c r="J1690" s="312">
        <v>276.69</v>
      </c>
      <c r="K1690" s="312">
        <v>515.1</v>
      </c>
      <c r="M1690" t="s">
        <v>3454</v>
      </c>
      <c r="N1690" s="312">
        <v>20369.63</v>
      </c>
      <c r="O1690" s="312">
        <v>141731.53</v>
      </c>
      <c r="P1690" s="312">
        <v>31614.76</v>
      </c>
      <c r="Q1690" s="312">
        <v>137726.5</v>
      </c>
      <c r="R1690" s="312">
        <v>159210.32</v>
      </c>
    </row>
    <row r="1691" spans="6:18">
      <c r="F1691" t="s">
        <v>3455</v>
      </c>
      <c r="G1691" s="312">
        <v>41.41</v>
      </c>
      <c r="H1691" s="312">
        <v>172.42</v>
      </c>
      <c r="I1691" s="312">
        <v>12.89</v>
      </c>
      <c r="J1691" s="312">
        <v>268.19</v>
      </c>
      <c r="K1691" s="312">
        <v>553.11</v>
      </c>
      <c r="M1691" t="s">
        <v>3455</v>
      </c>
      <c r="N1691" s="312">
        <v>13124.99</v>
      </c>
      <c r="O1691" s="312">
        <v>83940.36</v>
      </c>
      <c r="P1691" s="312">
        <v>2552.96</v>
      </c>
      <c r="Q1691" s="312">
        <v>145829.72</v>
      </c>
      <c r="R1691" s="312">
        <v>149481.93</v>
      </c>
    </row>
    <row r="1692" spans="6:18">
      <c r="F1692" t="s">
        <v>3456</v>
      </c>
      <c r="G1692" s="312">
        <v>67.849999999999994</v>
      </c>
      <c r="H1692" s="312">
        <v>435.45000000000005</v>
      </c>
      <c r="I1692" s="312">
        <v>29.02</v>
      </c>
      <c r="J1692" s="312">
        <v>212.14000000000001</v>
      </c>
      <c r="K1692" s="312">
        <v>849.44</v>
      </c>
      <c r="M1692" t="s">
        <v>3456</v>
      </c>
      <c r="N1692" s="312">
        <v>28250.530000000002</v>
      </c>
      <c r="O1692" s="312">
        <v>193691.2</v>
      </c>
      <c r="P1692" s="312">
        <v>18706.810000000001</v>
      </c>
      <c r="Q1692" s="312">
        <v>139181.96</v>
      </c>
      <c r="R1692" s="312">
        <v>282817.10000000003</v>
      </c>
    </row>
    <row r="1693" spans="6:18">
      <c r="F1693" t="s">
        <v>3457</v>
      </c>
      <c r="G1693" s="312">
        <v>63.6</v>
      </c>
      <c r="H1693" s="312">
        <v>277.33999999999997</v>
      </c>
      <c r="I1693" s="312">
        <v>48.82</v>
      </c>
      <c r="J1693" s="312">
        <v>377.84000000000003</v>
      </c>
      <c r="K1693" s="312">
        <v>707.56000000000006</v>
      </c>
      <c r="M1693" t="s">
        <v>3457</v>
      </c>
      <c r="N1693" s="312">
        <v>38731.58</v>
      </c>
      <c r="O1693" s="312">
        <v>131415.75</v>
      </c>
      <c r="P1693" s="312">
        <v>18444.72</v>
      </c>
      <c r="Q1693" s="312">
        <v>186491.16999999998</v>
      </c>
      <c r="R1693" s="312">
        <v>251051.79</v>
      </c>
    </row>
    <row r="1694" spans="6:18">
      <c r="F1694" t="s">
        <v>3458</v>
      </c>
      <c r="G1694" s="312">
        <v>30.810000000000002</v>
      </c>
      <c r="H1694" s="312">
        <v>390.79999999999995</v>
      </c>
      <c r="I1694" s="312">
        <v>58.86</v>
      </c>
      <c r="J1694" s="312">
        <v>383.73</v>
      </c>
      <c r="K1694" s="312">
        <v>746.46</v>
      </c>
      <c r="M1694" t="s">
        <v>3458</v>
      </c>
      <c r="N1694" s="312">
        <v>10561.03</v>
      </c>
      <c r="O1694" s="312">
        <v>154392.09</v>
      </c>
      <c r="P1694" s="312">
        <v>43610.66</v>
      </c>
      <c r="Q1694" s="312">
        <v>142062.97</v>
      </c>
      <c r="R1694" s="312">
        <v>233172.32</v>
      </c>
    </row>
    <row r="1695" spans="6:18">
      <c r="F1695" t="s">
        <v>3459</v>
      </c>
      <c r="G1695" s="312">
        <v>54.82</v>
      </c>
      <c r="H1695" s="312">
        <v>309.62</v>
      </c>
      <c r="I1695" s="312">
        <v>46.96</v>
      </c>
      <c r="J1695" s="312">
        <v>311.28999999999996</v>
      </c>
      <c r="K1695" s="312">
        <v>710.63</v>
      </c>
      <c r="M1695" t="s">
        <v>3459</v>
      </c>
      <c r="N1695" s="312">
        <v>37858.92</v>
      </c>
      <c r="O1695" s="312">
        <v>132748.29</v>
      </c>
      <c r="P1695" s="312">
        <v>58905.09</v>
      </c>
      <c r="Q1695" s="312">
        <v>174761.31</v>
      </c>
      <c r="R1695" s="312">
        <v>266332.78999999998</v>
      </c>
    </row>
    <row r="1696" spans="6:18">
      <c r="F1696" t="s">
        <v>3460</v>
      </c>
      <c r="G1696" s="312">
        <v>60.319999999999993</v>
      </c>
      <c r="H1696" s="312">
        <v>297.07</v>
      </c>
      <c r="I1696" s="312">
        <v>73.2</v>
      </c>
      <c r="J1696" s="312">
        <v>349.93</v>
      </c>
      <c r="K1696" s="312">
        <v>666.40000000000009</v>
      </c>
      <c r="M1696" t="s">
        <v>3460</v>
      </c>
      <c r="N1696" s="312">
        <v>28091.629999999997</v>
      </c>
      <c r="O1696" s="312">
        <v>151359.76</v>
      </c>
      <c r="P1696" s="312">
        <v>35499.14</v>
      </c>
      <c r="Q1696" s="312">
        <v>146829.59</v>
      </c>
      <c r="R1696" s="312">
        <v>212010.81</v>
      </c>
    </row>
    <row r="1697" spans="6:18">
      <c r="F1697" t="s">
        <v>3461</v>
      </c>
      <c r="G1697" s="312">
        <v>45.559999999999995</v>
      </c>
      <c r="H1697" s="312">
        <v>237.42</v>
      </c>
      <c r="I1697" s="312">
        <v>9.41</v>
      </c>
      <c r="J1697" s="312">
        <v>352.27</v>
      </c>
      <c r="K1697" s="312">
        <v>537.63</v>
      </c>
      <c r="M1697" t="s">
        <v>3461</v>
      </c>
      <c r="N1697" s="312">
        <v>19697.11</v>
      </c>
      <c r="O1697" s="312">
        <v>121308.9</v>
      </c>
      <c r="P1697" s="312">
        <v>5468.62</v>
      </c>
      <c r="Q1697" s="312">
        <v>196420.69999999998</v>
      </c>
      <c r="R1697" s="312">
        <v>145623.06</v>
      </c>
    </row>
    <row r="1698" spans="6:18">
      <c r="F1698" t="s">
        <v>3462</v>
      </c>
      <c r="G1698" s="312">
        <v>77.16</v>
      </c>
      <c r="H1698" s="312">
        <v>253.63</v>
      </c>
      <c r="I1698" s="312">
        <v>18.54</v>
      </c>
      <c r="J1698" s="312">
        <v>252.1</v>
      </c>
      <c r="K1698" s="312">
        <v>437.3</v>
      </c>
      <c r="M1698" t="s">
        <v>3462</v>
      </c>
      <c r="N1698" s="312">
        <v>28318.400000000001</v>
      </c>
      <c r="O1698" s="312">
        <v>243543.25</v>
      </c>
      <c r="P1698" s="312">
        <v>9108.76</v>
      </c>
      <c r="Q1698" s="312">
        <v>175761.84</v>
      </c>
      <c r="R1698" s="312">
        <v>120683.29000000001</v>
      </c>
    </row>
    <row r="1699" spans="6:18">
      <c r="F1699" t="s">
        <v>3463</v>
      </c>
      <c r="G1699" s="312">
        <v>71.23</v>
      </c>
      <c r="H1699" s="312">
        <v>459.83000000000004</v>
      </c>
      <c r="I1699" s="312">
        <v>94.67</v>
      </c>
      <c r="J1699" s="312">
        <v>254.54</v>
      </c>
      <c r="K1699" s="312">
        <v>637.12</v>
      </c>
      <c r="M1699" t="s">
        <v>3463</v>
      </c>
      <c r="N1699" s="312">
        <v>43019.079999999994</v>
      </c>
      <c r="O1699" s="312">
        <v>245305.83000000002</v>
      </c>
      <c r="P1699" s="312">
        <v>80760.23000000001</v>
      </c>
      <c r="Q1699" s="312">
        <v>147010.76999999999</v>
      </c>
      <c r="R1699" s="312">
        <v>191189.41</v>
      </c>
    </row>
    <row r="1700" spans="6:18">
      <c r="F1700" t="s">
        <v>3464</v>
      </c>
      <c r="G1700" s="312">
        <v>21.39</v>
      </c>
      <c r="H1700" s="312">
        <v>414.88</v>
      </c>
      <c r="I1700" s="312">
        <v>41.68</v>
      </c>
      <c r="J1700" s="312">
        <v>365.25</v>
      </c>
      <c r="K1700" s="312">
        <v>585.83999999999992</v>
      </c>
      <c r="M1700" t="s">
        <v>3464</v>
      </c>
      <c r="N1700" s="312">
        <v>10674.26</v>
      </c>
      <c r="O1700" s="312">
        <v>276270.48</v>
      </c>
      <c r="P1700" s="312">
        <v>32657.829999999998</v>
      </c>
      <c r="Q1700" s="312">
        <v>170462.77000000002</v>
      </c>
      <c r="R1700" s="312">
        <v>167233.1</v>
      </c>
    </row>
    <row r="1701" spans="6:18">
      <c r="F1701" t="s">
        <v>3465</v>
      </c>
      <c r="G1701" s="312">
        <v>47.849999999999994</v>
      </c>
      <c r="H1701" s="312">
        <v>378.44</v>
      </c>
      <c r="I1701" s="312">
        <v>104.3</v>
      </c>
      <c r="J1701" s="312">
        <v>463.65000000000003</v>
      </c>
      <c r="K1701" s="312">
        <v>596.62</v>
      </c>
      <c r="M1701" t="s">
        <v>3465</v>
      </c>
      <c r="N1701" s="312">
        <v>23308.21</v>
      </c>
      <c r="O1701" s="312">
        <v>219054.7</v>
      </c>
      <c r="P1701" s="312">
        <v>122334.55</v>
      </c>
      <c r="Q1701" s="312">
        <v>212452.11000000002</v>
      </c>
      <c r="R1701" s="312">
        <v>175514.30000000002</v>
      </c>
    </row>
    <row r="1702" spans="6:18">
      <c r="F1702" t="s">
        <v>3466</v>
      </c>
      <c r="G1702" s="312">
        <v>78.460000000000008</v>
      </c>
      <c r="H1702" s="312">
        <v>355.09000000000003</v>
      </c>
      <c r="I1702" s="312">
        <v>62.699999999999996</v>
      </c>
      <c r="J1702" s="312">
        <v>469.59000000000003</v>
      </c>
      <c r="K1702" s="312">
        <v>529.16999999999996</v>
      </c>
      <c r="M1702" t="s">
        <v>3466</v>
      </c>
      <c r="N1702" s="312">
        <v>30613.32</v>
      </c>
      <c r="O1702" s="312">
        <v>160726.76</v>
      </c>
      <c r="P1702" s="312">
        <v>31536.639999999999</v>
      </c>
      <c r="Q1702" s="312">
        <v>251474.21</v>
      </c>
      <c r="R1702" s="312">
        <v>145471.75</v>
      </c>
    </row>
    <row r="1703" spans="6:18">
      <c r="F1703" t="s">
        <v>3467</v>
      </c>
      <c r="G1703" s="312">
        <v>119.26</v>
      </c>
      <c r="H1703" s="312">
        <v>490.75</v>
      </c>
      <c r="I1703" s="312">
        <v>62.949999999999996</v>
      </c>
      <c r="J1703" s="312">
        <v>366.36</v>
      </c>
      <c r="K1703" s="312">
        <v>889.48</v>
      </c>
      <c r="M1703" t="s">
        <v>3467</v>
      </c>
      <c r="N1703" s="312">
        <v>87692.54</v>
      </c>
      <c r="O1703" s="312">
        <v>215954.61</v>
      </c>
      <c r="P1703" s="312">
        <v>26650.54</v>
      </c>
      <c r="Q1703" s="312">
        <v>152747.47</v>
      </c>
      <c r="R1703" s="312">
        <v>263930.86</v>
      </c>
    </row>
    <row r="1704" spans="6:18">
      <c r="F1704" t="s">
        <v>3468</v>
      </c>
      <c r="G1704" s="312">
        <v>35.83</v>
      </c>
      <c r="H1704" s="312">
        <v>286.11</v>
      </c>
      <c r="I1704" s="312">
        <v>70.88</v>
      </c>
      <c r="J1704" s="312">
        <v>213.41</v>
      </c>
      <c r="K1704" s="312">
        <v>451.36</v>
      </c>
      <c r="M1704" t="s">
        <v>3468</v>
      </c>
      <c r="N1704" s="312">
        <v>11742.46</v>
      </c>
      <c r="O1704" s="312">
        <v>196940.46000000002</v>
      </c>
      <c r="P1704" s="312">
        <v>47238.51</v>
      </c>
      <c r="Q1704" s="312">
        <v>150796.04</v>
      </c>
      <c r="R1704" s="312">
        <v>129807.97</v>
      </c>
    </row>
    <row r="1705" spans="6:18">
      <c r="F1705" t="s">
        <v>3469</v>
      </c>
      <c r="G1705" s="312">
        <v>62.5</v>
      </c>
      <c r="H1705" s="312">
        <v>243.57</v>
      </c>
      <c r="I1705" s="312">
        <v>17.39</v>
      </c>
      <c r="J1705" s="312">
        <v>208.24</v>
      </c>
      <c r="K1705" s="312">
        <v>342.35</v>
      </c>
      <c r="M1705" t="s">
        <v>3469</v>
      </c>
      <c r="N1705" s="312">
        <v>30604.240000000002</v>
      </c>
      <c r="O1705" s="312">
        <v>103294.28</v>
      </c>
      <c r="P1705" s="312">
        <v>8429.32</v>
      </c>
      <c r="Q1705" s="312">
        <v>110223.95999999999</v>
      </c>
      <c r="R1705" s="312">
        <v>99556.76999999999</v>
      </c>
    </row>
    <row r="1706" spans="6:18">
      <c r="F1706" t="s">
        <v>3470</v>
      </c>
      <c r="G1706" s="312">
        <v>46.69</v>
      </c>
      <c r="H1706" s="312">
        <v>371.45000000000005</v>
      </c>
      <c r="I1706" s="312">
        <v>141.95000000000002</v>
      </c>
      <c r="J1706" s="312">
        <v>274.67</v>
      </c>
      <c r="K1706" s="312">
        <v>480.06000000000006</v>
      </c>
      <c r="M1706" t="s">
        <v>3470</v>
      </c>
      <c r="N1706" s="312">
        <v>20672.190000000002</v>
      </c>
      <c r="O1706" s="312">
        <v>213211.34</v>
      </c>
      <c r="P1706" s="312">
        <v>87868.28</v>
      </c>
      <c r="Q1706" s="312">
        <v>139995.84999999998</v>
      </c>
      <c r="R1706" s="312">
        <v>142658.03</v>
      </c>
    </row>
    <row r="1707" spans="6:18">
      <c r="F1707" t="s">
        <v>3471</v>
      </c>
      <c r="G1707" s="312">
        <v>45.61</v>
      </c>
      <c r="H1707" s="312">
        <v>360.78</v>
      </c>
      <c r="I1707" s="312">
        <v>46.64</v>
      </c>
      <c r="J1707" s="312">
        <v>311.10000000000002</v>
      </c>
      <c r="K1707" s="312">
        <v>557.95000000000005</v>
      </c>
      <c r="M1707" t="s">
        <v>3471</v>
      </c>
      <c r="N1707" s="312">
        <v>15630.79</v>
      </c>
      <c r="O1707" s="312">
        <v>185473.81</v>
      </c>
      <c r="P1707" s="312">
        <v>26298.38</v>
      </c>
      <c r="Q1707" s="312">
        <v>151723.20000000001</v>
      </c>
      <c r="R1707" s="312">
        <v>174670.33</v>
      </c>
    </row>
    <row r="1708" spans="6:18">
      <c r="F1708" t="s">
        <v>3472</v>
      </c>
      <c r="G1708" s="312">
        <v>48.84</v>
      </c>
      <c r="H1708" s="312">
        <v>331.59000000000003</v>
      </c>
      <c r="I1708" s="312">
        <v>50.650000000000006</v>
      </c>
      <c r="J1708" s="312">
        <v>284.71999999999997</v>
      </c>
      <c r="K1708" s="312">
        <v>636.45000000000005</v>
      </c>
      <c r="M1708" t="s">
        <v>3472</v>
      </c>
      <c r="N1708" s="312">
        <v>48526.18</v>
      </c>
      <c r="O1708" s="312">
        <v>201174.25</v>
      </c>
      <c r="P1708" s="312">
        <v>56389.95</v>
      </c>
      <c r="Q1708" s="312">
        <v>130029.19</v>
      </c>
      <c r="R1708" s="312">
        <v>229396.64</v>
      </c>
    </row>
    <row r="1709" spans="6:18">
      <c r="F1709" t="s">
        <v>3473</v>
      </c>
      <c r="G1709" s="312">
        <v>81.599999999999994</v>
      </c>
      <c r="H1709" s="312">
        <v>313.46000000000004</v>
      </c>
      <c r="I1709" s="312">
        <v>50.839999999999996</v>
      </c>
      <c r="J1709" s="312">
        <v>204.01</v>
      </c>
      <c r="K1709" s="312">
        <v>506.91999999999996</v>
      </c>
      <c r="M1709" t="s">
        <v>3473</v>
      </c>
      <c r="N1709" s="312">
        <v>45382.259999999995</v>
      </c>
      <c r="O1709" s="312">
        <v>175656.27000000002</v>
      </c>
      <c r="P1709" s="312">
        <v>57258.1</v>
      </c>
      <c r="Q1709" s="312">
        <v>156359.97999999998</v>
      </c>
      <c r="R1709" s="312">
        <v>138660.79999999999</v>
      </c>
    </row>
    <row r="1710" spans="6:18">
      <c r="F1710" t="s">
        <v>3474</v>
      </c>
      <c r="G1710" s="312">
        <v>54.81</v>
      </c>
      <c r="H1710" s="312">
        <v>355.15</v>
      </c>
      <c r="I1710" s="312">
        <v>38.17</v>
      </c>
      <c r="J1710" s="312">
        <v>227.06</v>
      </c>
      <c r="K1710" s="312">
        <v>479.1</v>
      </c>
      <c r="M1710" t="s">
        <v>3474</v>
      </c>
      <c r="N1710" s="312">
        <v>32481.57</v>
      </c>
      <c r="O1710" s="312">
        <v>223511.32</v>
      </c>
      <c r="P1710" s="312">
        <v>41124.800000000003</v>
      </c>
      <c r="Q1710" s="312">
        <v>79448.53</v>
      </c>
      <c r="R1710" s="312">
        <v>134930.16</v>
      </c>
    </row>
    <row r="1711" spans="6:18">
      <c r="F1711" t="s">
        <v>3475</v>
      </c>
      <c r="G1711" s="312">
        <v>19.419999999999998</v>
      </c>
      <c r="H1711" s="312">
        <v>202.17</v>
      </c>
      <c r="I1711" s="312">
        <v>57.58</v>
      </c>
      <c r="J1711" s="312">
        <v>195.27</v>
      </c>
      <c r="K1711" s="312">
        <v>412.81000000000006</v>
      </c>
      <c r="M1711" t="s">
        <v>3475</v>
      </c>
      <c r="N1711" s="312">
        <v>7421.4800000000005</v>
      </c>
      <c r="O1711" s="312">
        <v>85819.65</v>
      </c>
      <c r="P1711" s="312">
        <v>39802.31</v>
      </c>
      <c r="Q1711" s="312">
        <v>124062.55</v>
      </c>
      <c r="R1711" s="312">
        <v>151110.51</v>
      </c>
    </row>
    <row r="1712" spans="6:18">
      <c r="F1712" t="s">
        <v>3476</v>
      </c>
      <c r="G1712" s="312">
        <v>71.56</v>
      </c>
      <c r="H1712" s="312">
        <v>295.87</v>
      </c>
      <c r="I1712" s="312">
        <v>12.309999999999999</v>
      </c>
      <c r="J1712" s="312">
        <v>135.93</v>
      </c>
      <c r="K1712" s="312">
        <v>458.26</v>
      </c>
      <c r="M1712" t="s">
        <v>3476</v>
      </c>
      <c r="N1712" s="312">
        <v>43690.06</v>
      </c>
      <c r="O1712" s="312">
        <v>158415.26999999999</v>
      </c>
      <c r="P1712" s="312">
        <v>14021.43</v>
      </c>
      <c r="Q1712" s="312">
        <v>84659.48000000001</v>
      </c>
      <c r="R1712" s="312">
        <v>113133.88</v>
      </c>
    </row>
    <row r="1713" spans="6:18">
      <c r="F1713" t="s">
        <v>3477</v>
      </c>
      <c r="G1713" s="312">
        <v>58.900000000000006</v>
      </c>
      <c r="H1713" s="312">
        <v>293.62</v>
      </c>
      <c r="I1713" s="312">
        <v>69.08</v>
      </c>
      <c r="J1713" s="312">
        <v>190.39000000000001</v>
      </c>
      <c r="K1713" s="312">
        <v>465.37</v>
      </c>
      <c r="M1713" t="s">
        <v>3477</v>
      </c>
      <c r="N1713" s="312">
        <v>36855.800000000003</v>
      </c>
      <c r="O1713" s="312">
        <v>148876.41</v>
      </c>
      <c r="P1713" s="312">
        <v>57139.47</v>
      </c>
      <c r="Q1713" s="312">
        <v>103181.73999999999</v>
      </c>
      <c r="R1713" s="312">
        <v>123591.12</v>
      </c>
    </row>
    <row r="1714" spans="6:18">
      <c r="F1714" t="s">
        <v>3478</v>
      </c>
      <c r="G1714" s="312">
        <v>65.73</v>
      </c>
      <c r="H1714" s="312">
        <v>381.06</v>
      </c>
      <c r="I1714" s="312">
        <v>39.97</v>
      </c>
      <c r="J1714" s="312">
        <v>175.4</v>
      </c>
      <c r="K1714" s="312">
        <v>591.33000000000004</v>
      </c>
      <c r="M1714" t="s">
        <v>3478</v>
      </c>
      <c r="N1714" s="312">
        <v>28652.760000000002</v>
      </c>
      <c r="O1714" s="312">
        <v>179057.82</v>
      </c>
      <c r="P1714" s="312">
        <v>23636.960000000003</v>
      </c>
      <c r="Q1714" s="312">
        <v>117370.12999999999</v>
      </c>
      <c r="R1714" s="312">
        <v>165572.85</v>
      </c>
    </row>
    <row r="1715" spans="6:18">
      <c r="F1715" t="s">
        <v>3479</v>
      </c>
      <c r="G1715" s="312">
        <v>47.48</v>
      </c>
      <c r="H1715" s="312">
        <v>383.72</v>
      </c>
      <c r="I1715" s="312">
        <v>45.64</v>
      </c>
      <c r="J1715" s="312">
        <v>251.63</v>
      </c>
      <c r="K1715" s="312">
        <v>521.79999999999995</v>
      </c>
      <c r="M1715" t="s">
        <v>3479</v>
      </c>
      <c r="N1715" s="312">
        <v>17572.260000000002</v>
      </c>
      <c r="O1715" s="312">
        <v>166140.44</v>
      </c>
      <c r="P1715" s="312">
        <v>54668.28</v>
      </c>
      <c r="Q1715" s="312">
        <v>178753.2</v>
      </c>
      <c r="R1715" s="312">
        <v>155828.09</v>
      </c>
    </row>
    <row r="1716" spans="6:18">
      <c r="F1716" t="s">
        <v>3480</v>
      </c>
      <c r="G1716" s="312">
        <v>54.12</v>
      </c>
      <c r="H1716" s="312">
        <v>390.27</v>
      </c>
      <c r="I1716" s="312">
        <v>53.05</v>
      </c>
      <c r="J1716" s="312">
        <v>234.57</v>
      </c>
      <c r="K1716" s="312">
        <v>758.07999999999993</v>
      </c>
      <c r="M1716" t="s">
        <v>3480</v>
      </c>
      <c r="N1716" s="312">
        <v>37179.93</v>
      </c>
      <c r="O1716" s="312">
        <v>201463.34999999998</v>
      </c>
      <c r="P1716" s="312">
        <v>43072.19</v>
      </c>
      <c r="Q1716" s="312">
        <v>140568.47</v>
      </c>
      <c r="R1716" s="312">
        <v>256130.24</v>
      </c>
    </row>
    <row r="1717" spans="6:18">
      <c r="F1717" t="s">
        <v>3481</v>
      </c>
      <c r="G1717" s="312">
        <v>58.25</v>
      </c>
      <c r="H1717" s="312">
        <v>430.56</v>
      </c>
      <c r="I1717" s="312">
        <v>40.159999999999997</v>
      </c>
      <c r="J1717" s="312">
        <v>243.22</v>
      </c>
      <c r="K1717" s="312">
        <v>490.56</v>
      </c>
      <c r="M1717" t="s">
        <v>3481</v>
      </c>
      <c r="N1717" s="312">
        <v>31764.53</v>
      </c>
      <c r="O1717" s="312">
        <v>198057.41999999998</v>
      </c>
      <c r="P1717" s="312">
        <v>36481.56</v>
      </c>
      <c r="Q1717" s="312">
        <v>245799.15999999997</v>
      </c>
      <c r="R1717" s="312">
        <v>161382.42000000001</v>
      </c>
    </row>
    <row r="1718" spans="6:18">
      <c r="F1718" t="s">
        <v>3482</v>
      </c>
      <c r="G1718" s="312">
        <v>51.95</v>
      </c>
      <c r="H1718" s="312">
        <v>301.06</v>
      </c>
      <c r="I1718" s="312">
        <v>24.48</v>
      </c>
      <c r="J1718" s="312">
        <v>144.49</v>
      </c>
      <c r="K1718" s="312">
        <v>246.67</v>
      </c>
      <c r="M1718" t="s">
        <v>3482</v>
      </c>
      <c r="N1718" s="312">
        <v>33636.26</v>
      </c>
      <c r="O1718" s="312">
        <v>144646.9</v>
      </c>
      <c r="P1718" s="312">
        <v>12788.24</v>
      </c>
      <c r="Q1718" s="312">
        <v>65993.960000000006</v>
      </c>
      <c r="R1718" s="312">
        <v>63816.28</v>
      </c>
    </row>
    <row r="1719" spans="6:18">
      <c r="F1719" t="s">
        <v>3483</v>
      </c>
      <c r="G1719" s="312">
        <v>63.85</v>
      </c>
      <c r="H1719" s="312">
        <v>193.04000000000002</v>
      </c>
      <c r="I1719" s="312">
        <v>6.14</v>
      </c>
      <c r="J1719" s="312">
        <v>198.15</v>
      </c>
      <c r="K1719" s="312">
        <v>224.82</v>
      </c>
      <c r="M1719" t="s">
        <v>3483</v>
      </c>
      <c r="N1719" s="312">
        <v>37181.629999999997</v>
      </c>
      <c r="O1719" s="312">
        <v>83199.850000000006</v>
      </c>
      <c r="P1719" s="312">
        <v>5098.7700000000004</v>
      </c>
      <c r="Q1719" s="312">
        <v>132262.69</v>
      </c>
      <c r="R1719" s="312">
        <v>51856.63</v>
      </c>
    </row>
    <row r="1720" spans="6:18">
      <c r="F1720" t="s">
        <v>3484</v>
      </c>
      <c r="G1720" s="312">
        <v>35.270000000000003</v>
      </c>
      <c r="H1720" s="312">
        <v>341.03999999999996</v>
      </c>
      <c r="I1720" s="312">
        <v>52.66</v>
      </c>
      <c r="J1720" s="312">
        <v>131.4</v>
      </c>
      <c r="K1720" s="312">
        <v>301.97000000000003</v>
      </c>
      <c r="M1720" t="s">
        <v>3484</v>
      </c>
      <c r="N1720" s="312">
        <v>14366.01</v>
      </c>
      <c r="O1720" s="312">
        <v>186743.5</v>
      </c>
      <c r="P1720" s="312">
        <v>62050.229999999996</v>
      </c>
      <c r="Q1720" s="312">
        <v>79263.899999999994</v>
      </c>
      <c r="R1720" s="312">
        <v>81356.31</v>
      </c>
    </row>
    <row r="1721" spans="6:18">
      <c r="F1721" t="s">
        <v>3485</v>
      </c>
      <c r="G1721" s="312">
        <v>37.06</v>
      </c>
      <c r="H1721" s="312">
        <v>320.8</v>
      </c>
      <c r="I1721" s="312">
        <v>59.37</v>
      </c>
      <c r="J1721" s="312">
        <v>158.29999999999998</v>
      </c>
      <c r="K1721" s="312">
        <v>300.01</v>
      </c>
      <c r="M1721" t="s">
        <v>3485</v>
      </c>
      <c r="N1721" s="312">
        <v>26773.72</v>
      </c>
      <c r="O1721" s="312">
        <v>164481.24</v>
      </c>
      <c r="P1721" s="312">
        <v>32184.269999999997</v>
      </c>
      <c r="Q1721" s="312">
        <v>84925.8</v>
      </c>
      <c r="R1721" s="312">
        <v>76877.570000000007</v>
      </c>
    </row>
    <row r="1722" spans="6:18">
      <c r="F1722" t="s">
        <v>3486</v>
      </c>
      <c r="G1722" s="312">
        <v>49.949999999999996</v>
      </c>
      <c r="H1722" s="312">
        <v>359.70000000000005</v>
      </c>
      <c r="I1722" s="312">
        <v>77.959999999999994</v>
      </c>
      <c r="J1722" s="312">
        <v>209.20000000000002</v>
      </c>
      <c r="K1722" s="312">
        <v>366.07</v>
      </c>
      <c r="M1722" t="s">
        <v>3486</v>
      </c>
      <c r="N1722" s="312">
        <v>21317.599999999999</v>
      </c>
      <c r="O1722" s="312">
        <v>200949.52000000002</v>
      </c>
      <c r="P1722" s="312">
        <v>85245.069999999992</v>
      </c>
      <c r="Q1722" s="312">
        <v>198873.25</v>
      </c>
      <c r="R1722" s="312">
        <v>107460.69</v>
      </c>
    </row>
    <row r="1723" spans="6:18">
      <c r="F1723" t="s">
        <v>3487</v>
      </c>
      <c r="G1723" s="312">
        <v>73.78</v>
      </c>
      <c r="H1723" s="312">
        <v>355.3</v>
      </c>
      <c r="I1723" s="312">
        <v>52.09</v>
      </c>
      <c r="J1723" s="312">
        <v>159.80000000000001</v>
      </c>
      <c r="K1723" s="312">
        <v>401.64000000000004</v>
      </c>
      <c r="M1723" t="s">
        <v>3487</v>
      </c>
      <c r="N1723" s="312">
        <v>41158.31</v>
      </c>
      <c r="O1723" s="312">
        <v>160732.32</v>
      </c>
      <c r="P1723" s="312">
        <v>28855.05</v>
      </c>
      <c r="Q1723" s="312">
        <v>76204.73</v>
      </c>
      <c r="R1723" s="312">
        <v>145238.97999999998</v>
      </c>
    </row>
    <row r="1724" spans="6:18">
      <c r="F1724" t="s">
        <v>3488</v>
      </c>
      <c r="G1724" s="312">
        <v>119.57000000000001</v>
      </c>
      <c r="H1724" s="312">
        <v>313.07</v>
      </c>
      <c r="I1724" s="312">
        <v>56.980000000000004</v>
      </c>
      <c r="J1724" s="312">
        <v>199.42000000000002</v>
      </c>
      <c r="K1724" s="312">
        <v>390.17</v>
      </c>
      <c r="M1724" t="s">
        <v>3488</v>
      </c>
      <c r="N1724" s="312">
        <v>70650.47</v>
      </c>
      <c r="O1724" s="312">
        <v>172609.08000000002</v>
      </c>
      <c r="P1724" s="312">
        <v>35297.760000000002</v>
      </c>
      <c r="Q1724" s="312">
        <v>127398.18000000001</v>
      </c>
      <c r="R1724" s="312">
        <v>112808.3</v>
      </c>
    </row>
    <row r="1725" spans="6:18">
      <c r="F1725" t="s">
        <v>3489</v>
      </c>
      <c r="G1725" s="312">
        <v>100.64</v>
      </c>
      <c r="H1725" s="312">
        <v>210.22</v>
      </c>
      <c r="I1725" s="312">
        <v>40.78</v>
      </c>
      <c r="J1725" s="312">
        <v>170.51999999999998</v>
      </c>
      <c r="K1725" s="312">
        <v>227.03000000000003</v>
      </c>
      <c r="M1725" t="s">
        <v>3489</v>
      </c>
      <c r="N1725" s="312">
        <v>45924.76</v>
      </c>
      <c r="O1725" s="312">
        <v>114761.20000000001</v>
      </c>
      <c r="P1725" s="312">
        <v>35034.61</v>
      </c>
      <c r="Q1725" s="312">
        <v>138267.20000000001</v>
      </c>
      <c r="R1725" s="312">
        <v>74381.429999999993</v>
      </c>
    </row>
    <row r="1726" spans="6:18">
      <c r="F1726" t="s">
        <v>3490</v>
      </c>
      <c r="G1726" s="312">
        <v>60.820000000000007</v>
      </c>
      <c r="H1726" s="312">
        <v>180.03</v>
      </c>
      <c r="I1726" s="312">
        <v>11.120000000000001</v>
      </c>
      <c r="J1726" s="312">
        <v>162.10999999999999</v>
      </c>
      <c r="K1726" s="312">
        <v>408.7</v>
      </c>
      <c r="M1726" t="s">
        <v>3490</v>
      </c>
      <c r="N1726" s="312">
        <v>23381.3</v>
      </c>
      <c r="O1726" s="312">
        <v>100946.35</v>
      </c>
      <c r="P1726" s="312">
        <v>6122.75</v>
      </c>
      <c r="Q1726" s="312">
        <v>145150.19</v>
      </c>
      <c r="R1726" s="312">
        <v>69097.59</v>
      </c>
    </row>
    <row r="1727" spans="6:18">
      <c r="F1727" t="s">
        <v>3491</v>
      </c>
      <c r="G1727" s="312">
        <v>87.24</v>
      </c>
      <c r="H1727" s="312">
        <v>421.89</v>
      </c>
      <c r="I1727" s="312">
        <v>61.38</v>
      </c>
      <c r="J1727" s="312">
        <v>210.07000000000002</v>
      </c>
      <c r="K1727" s="312">
        <v>358.53999999999996</v>
      </c>
      <c r="M1727" t="s">
        <v>3491</v>
      </c>
      <c r="N1727" s="312">
        <v>41344.800000000003</v>
      </c>
      <c r="O1727" s="312">
        <v>217271.13999999998</v>
      </c>
      <c r="P1727" s="312">
        <v>69991.429999999993</v>
      </c>
      <c r="Q1727" s="312">
        <v>178083.22</v>
      </c>
      <c r="R1727" s="312">
        <v>103907.28</v>
      </c>
    </row>
    <row r="1728" spans="6:18">
      <c r="F1728" t="s">
        <v>3492</v>
      </c>
      <c r="G1728" s="312">
        <v>25.85</v>
      </c>
      <c r="H1728" s="312">
        <v>391.49</v>
      </c>
      <c r="I1728" s="312">
        <v>85.7</v>
      </c>
      <c r="J1728" s="312">
        <v>195.17000000000002</v>
      </c>
      <c r="K1728" s="312">
        <v>301.90999999999997</v>
      </c>
      <c r="M1728" t="s">
        <v>3492</v>
      </c>
      <c r="N1728" s="312">
        <v>14458.91</v>
      </c>
      <c r="O1728" s="312">
        <v>195060.62</v>
      </c>
      <c r="P1728" s="312">
        <v>95089.17</v>
      </c>
      <c r="Q1728" s="312">
        <v>136093.99</v>
      </c>
      <c r="R1728" s="312">
        <v>91270.02</v>
      </c>
    </row>
    <row r="1729" spans="6:18">
      <c r="F1729" t="s">
        <v>3493</v>
      </c>
      <c r="G1729" s="312">
        <v>64.78</v>
      </c>
      <c r="H1729" s="312">
        <v>339.15</v>
      </c>
      <c r="I1729" s="312">
        <v>33.760000000000005</v>
      </c>
      <c r="J1729" s="312">
        <v>281.25</v>
      </c>
      <c r="K1729" s="312">
        <v>329.98</v>
      </c>
      <c r="M1729" t="s">
        <v>3493</v>
      </c>
      <c r="N1729" s="312">
        <v>23486.18</v>
      </c>
      <c r="O1729" s="312">
        <v>156940.12</v>
      </c>
      <c r="P1729" s="312">
        <v>28016.58</v>
      </c>
      <c r="Q1729" s="312">
        <v>149015.4</v>
      </c>
      <c r="R1729" s="312">
        <v>87138.29</v>
      </c>
    </row>
    <row r="1730" spans="6:18">
      <c r="F1730" t="s">
        <v>3494</v>
      </c>
      <c r="G1730" s="312">
        <v>92.66</v>
      </c>
      <c r="H1730" s="312">
        <v>341.98</v>
      </c>
      <c r="I1730" s="312">
        <v>29.25</v>
      </c>
      <c r="J1730" s="312">
        <v>179.47</v>
      </c>
      <c r="K1730" s="312">
        <v>235.16</v>
      </c>
      <c r="M1730" t="s">
        <v>3494</v>
      </c>
      <c r="N1730" s="312">
        <v>77703.679999999993</v>
      </c>
      <c r="O1730" s="312">
        <v>246814.49</v>
      </c>
      <c r="P1730" s="312">
        <v>34865.32</v>
      </c>
      <c r="Q1730" s="312">
        <v>88582.41</v>
      </c>
      <c r="R1730" s="312">
        <v>67185.820000000007</v>
      </c>
    </row>
    <row r="1731" spans="6:18">
      <c r="F1731" t="s">
        <v>3495</v>
      </c>
      <c r="G1731" s="312">
        <v>43.48</v>
      </c>
      <c r="H1731" s="312">
        <v>359.94</v>
      </c>
      <c r="I1731" s="312">
        <v>47.12</v>
      </c>
      <c r="J1731" s="312">
        <v>232.78000000000003</v>
      </c>
      <c r="K1731" s="312">
        <v>325.92</v>
      </c>
      <c r="M1731" t="s">
        <v>3495</v>
      </c>
      <c r="N1731" s="312">
        <v>20634.82</v>
      </c>
      <c r="O1731" s="312">
        <v>155305.22</v>
      </c>
      <c r="P1731" s="312">
        <v>41783.06</v>
      </c>
      <c r="Q1731" s="312">
        <v>215596.12</v>
      </c>
      <c r="R1731" s="312">
        <v>95802.33</v>
      </c>
    </row>
    <row r="1732" spans="6:18">
      <c r="F1732" t="s">
        <v>3496</v>
      </c>
      <c r="G1732" s="312">
        <v>70.09</v>
      </c>
      <c r="H1732" s="312">
        <v>221.33999999999997</v>
      </c>
      <c r="I1732" s="312">
        <v>30.830000000000002</v>
      </c>
      <c r="J1732" s="312">
        <v>135.02000000000001</v>
      </c>
      <c r="K1732" s="312">
        <v>179.49</v>
      </c>
      <c r="M1732" t="s">
        <v>3496</v>
      </c>
      <c r="N1732" s="312">
        <v>34800.01</v>
      </c>
      <c r="O1732" s="312">
        <v>133547.57</v>
      </c>
      <c r="P1732" s="312">
        <v>15652.59</v>
      </c>
      <c r="Q1732" s="312">
        <v>78754.13</v>
      </c>
      <c r="R1732" s="312">
        <v>64517.24</v>
      </c>
    </row>
    <row r="1733" spans="6:18">
      <c r="F1733" t="s">
        <v>3497</v>
      </c>
      <c r="G1733" s="312">
        <v>83.070000000000007</v>
      </c>
      <c r="H1733" s="312">
        <v>233.39</v>
      </c>
      <c r="I1733" s="312">
        <v>24.32</v>
      </c>
      <c r="J1733" s="312">
        <v>179.95999999999998</v>
      </c>
      <c r="K1733" s="312">
        <v>147.69</v>
      </c>
      <c r="M1733" t="s">
        <v>3497</v>
      </c>
      <c r="N1733" s="312">
        <v>82824.560000000012</v>
      </c>
      <c r="O1733" s="312">
        <v>119513.31</v>
      </c>
      <c r="P1733" s="312">
        <v>10677.869999999999</v>
      </c>
      <c r="Q1733" s="312">
        <v>145583.54999999999</v>
      </c>
      <c r="R1733" s="312">
        <v>55068.19</v>
      </c>
    </row>
    <row r="1734" spans="6:18">
      <c r="F1734" t="s">
        <v>3498</v>
      </c>
      <c r="G1734" s="312">
        <v>86.53</v>
      </c>
      <c r="H1734" s="312">
        <v>336.52</v>
      </c>
      <c r="I1734" s="312">
        <v>60.94</v>
      </c>
      <c r="J1734" s="312">
        <v>183.61</v>
      </c>
      <c r="K1734" s="312">
        <v>671.94</v>
      </c>
      <c r="M1734" t="s">
        <v>3498</v>
      </c>
      <c r="N1734" s="312">
        <v>55235.130000000005</v>
      </c>
      <c r="O1734" s="312">
        <v>171383.77</v>
      </c>
      <c r="P1734" s="312">
        <v>47830.68</v>
      </c>
      <c r="Q1734" s="312">
        <v>199743.95</v>
      </c>
      <c r="R1734" s="312">
        <v>87559.49</v>
      </c>
    </row>
    <row r="1735" spans="6:18">
      <c r="F1735" t="s">
        <v>3499</v>
      </c>
      <c r="G1735" s="312">
        <v>71.820000000000007</v>
      </c>
      <c r="H1735" s="312">
        <v>262.04000000000002</v>
      </c>
      <c r="I1735" s="312">
        <v>73.95</v>
      </c>
      <c r="J1735" s="312">
        <v>187.13</v>
      </c>
      <c r="K1735" s="312">
        <v>324.64</v>
      </c>
      <c r="M1735" t="s">
        <v>3499</v>
      </c>
      <c r="N1735" s="312">
        <v>27055.449999999997</v>
      </c>
      <c r="O1735" s="312">
        <v>129672.66</v>
      </c>
      <c r="P1735" s="312">
        <v>46186.76</v>
      </c>
      <c r="Q1735" s="312">
        <v>132266.28</v>
      </c>
      <c r="R1735" s="312">
        <v>97881.33</v>
      </c>
    </row>
    <row r="1736" spans="6:18">
      <c r="F1736" t="s">
        <v>3500</v>
      </c>
      <c r="G1736" s="312">
        <v>52.65</v>
      </c>
      <c r="H1736" s="312">
        <v>271.38</v>
      </c>
      <c r="I1736" s="312">
        <v>49.620000000000005</v>
      </c>
      <c r="J1736" s="312">
        <v>235.99</v>
      </c>
      <c r="K1736" s="312">
        <v>408.66</v>
      </c>
      <c r="M1736" t="s">
        <v>3500</v>
      </c>
      <c r="N1736" s="312">
        <v>26462.61</v>
      </c>
      <c r="O1736" s="312">
        <v>152988.69</v>
      </c>
      <c r="P1736" s="312">
        <v>57632.420000000006</v>
      </c>
      <c r="Q1736" s="312">
        <v>221900</v>
      </c>
      <c r="R1736" s="312">
        <v>129450.86</v>
      </c>
    </row>
    <row r="1737" spans="6:18">
      <c r="F1737" t="s">
        <v>3501</v>
      </c>
      <c r="G1737" s="312">
        <v>67.12</v>
      </c>
      <c r="H1737" s="312">
        <v>267.51</v>
      </c>
      <c r="I1737" s="312">
        <v>46.91</v>
      </c>
      <c r="J1737" s="312">
        <v>191.07</v>
      </c>
      <c r="K1737" s="312">
        <v>409.28000000000003</v>
      </c>
      <c r="M1737" t="s">
        <v>3501</v>
      </c>
      <c r="N1737" s="312">
        <v>30141.730000000003</v>
      </c>
      <c r="O1737" s="312">
        <v>108613.12</v>
      </c>
      <c r="P1737" s="312">
        <v>27303.73</v>
      </c>
      <c r="Q1737" s="312">
        <v>163344.04</v>
      </c>
      <c r="R1737" s="312">
        <v>112467.84</v>
      </c>
    </row>
    <row r="1738" spans="6:18">
      <c r="F1738" t="s">
        <v>3502</v>
      </c>
      <c r="G1738" s="312">
        <v>30.25</v>
      </c>
      <c r="H1738" s="312">
        <v>292.69</v>
      </c>
      <c r="I1738" s="312">
        <v>46.650000000000006</v>
      </c>
      <c r="J1738" s="312">
        <v>259.44</v>
      </c>
      <c r="K1738" s="312">
        <v>480.20000000000005</v>
      </c>
      <c r="M1738" t="s">
        <v>3502</v>
      </c>
      <c r="N1738" s="312">
        <v>10810.7</v>
      </c>
      <c r="O1738" s="312">
        <v>138173.97999999998</v>
      </c>
      <c r="P1738" s="312">
        <v>33568.120000000003</v>
      </c>
      <c r="Q1738" s="312">
        <v>200283.68</v>
      </c>
      <c r="R1738" s="312">
        <v>136825.88</v>
      </c>
    </row>
    <row r="1739" spans="6:18">
      <c r="F1739" t="s">
        <v>3503</v>
      </c>
      <c r="G1739" s="312">
        <v>58.15</v>
      </c>
      <c r="H1739" s="312">
        <v>260.59000000000003</v>
      </c>
      <c r="I1739" s="312">
        <v>28.07</v>
      </c>
      <c r="J1739" s="312">
        <v>111.71000000000001</v>
      </c>
      <c r="K1739" s="312">
        <v>314.60000000000002</v>
      </c>
      <c r="M1739" t="s">
        <v>3503</v>
      </c>
      <c r="N1739" s="312">
        <v>18920.18</v>
      </c>
      <c r="O1739" s="312">
        <v>133876.19</v>
      </c>
      <c r="P1739" s="312">
        <v>14888.98</v>
      </c>
      <c r="Q1739" s="312">
        <v>123385.62</v>
      </c>
      <c r="R1739" s="312">
        <v>79886.679999999993</v>
      </c>
    </row>
    <row r="1740" spans="6:18">
      <c r="F1740" t="s">
        <v>3504</v>
      </c>
      <c r="G1740" s="312">
        <v>91.16</v>
      </c>
      <c r="H1740" s="312">
        <v>191.57</v>
      </c>
      <c r="I1740" s="312">
        <v>19.740000000000002</v>
      </c>
      <c r="J1740" s="312">
        <v>105.13000000000001</v>
      </c>
      <c r="K1740" s="312">
        <v>264.20999999999998</v>
      </c>
      <c r="M1740" t="s">
        <v>3504</v>
      </c>
      <c r="N1740" s="312">
        <v>36378.44</v>
      </c>
      <c r="O1740" s="312">
        <v>115577.67</v>
      </c>
      <c r="P1740" s="312">
        <v>14072.73</v>
      </c>
      <c r="Q1740" s="312">
        <v>72198.290000000008</v>
      </c>
      <c r="R1740" s="312">
        <v>79041.240000000005</v>
      </c>
    </row>
    <row r="1741" spans="6:18">
      <c r="F1741" t="s">
        <v>3505</v>
      </c>
      <c r="G1741" s="312">
        <v>101.76</v>
      </c>
      <c r="H1741" s="312">
        <v>373.17</v>
      </c>
      <c r="I1741" s="312">
        <v>27.04</v>
      </c>
      <c r="J1741" s="312">
        <v>206.03</v>
      </c>
      <c r="K1741" s="312">
        <v>449.94</v>
      </c>
      <c r="M1741" t="s">
        <v>3505</v>
      </c>
      <c r="N1741" s="312">
        <v>47561.060000000005</v>
      </c>
      <c r="O1741" s="312">
        <v>212166.82</v>
      </c>
      <c r="P1741" s="312">
        <v>13759.51</v>
      </c>
      <c r="Q1741" s="312">
        <v>151067.37</v>
      </c>
      <c r="R1741" s="312">
        <v>141140.01</v>
      </c>
    </row>
    <row r="1742" spans="6:18">
      <c r="F1742" t="s">
        <v>3506</v>
      </c>
      <c r="G1742" s="312">
        <v>47.989999999999995</v>
      </c>
      <c r="H1742" s="312">
        <v>352.79999999999995</v>
      </c>
      <c r="I1742" s="312">
        <v>76.77</v>
      </c>
      <c r="J1742" s="312">
        <v>220.38</v>
      </c>
      <c r="K1742" s="312">
        <v>380.15</v>
      </c>
      <c r="M1742" t="s">
        <v>3506</v>
      </c>
      <c r="N1742" s="312">
        <v>29913.58</v>
      </c>
      <c r="O1742" s="312">
        <v>205140.72</v>
      </c>
      <c r="P1742" s="312">
        <v>49925.57</v>
      </c>
      <c r="Q1742" s="312">
        <v>221092.64</v>
      </c>
      <c r="R1742" s="312">
        <v>136471.01</v>
      </c>
    </row>
    <row r="1743" spans="6:18">
      <c r="F1743" t="s">
        <v>3507</v>
      </c>
      <c r="G1743" s="312">
        <v>40.159999999999997</v>
      </c>
      <c r="H1743" s="312">
        <v>234.86</v>
      </c>
      <c r="I1743" s="312">
        <v>126.42999999999999</v>
      </c>
      <c r="J1743" s="312">
        <v>182.48000000000002</v>
      </c>
      <c r="K1743" s="312">
        <v>365.22</v>
      </c>
      <c r="M1743" t="s">
        <v>3507</v>
      </c>
      <c r="N1743" s="312">
        <v>17157.309999999998</v>
      </c>
      <c r="O1743" s="312">
        <v>137974.87</v>
      </c>
      <c r="P1743" s="312">
        <v>74368.899999999994</v>
      </c>
      <c r="Q1743" s="312">
        <v>190873.69999999998</v>
      </c>
      <c r="R1743" s="312">
        <v>119731.95</v>
      </c>
    </row>
    <row r="1744" spans="6:18">
      <c r="F1744" t="s">
        <v>3508</v>
      </c>
      <c r="G1744" s="312">
        <v>89.539999999999992</v>
      </c>
      <c r="H1744" s="312">
        <v>339.24</v>
      </c>
      <c r="I1744" s="312">
        <v>38.53</v>
      </c>
      <c r="J1744" s="312">
        <v>201.08999999999997</v>
      </c>
      <c r="K1744" s="312">
        <v>336.96999999999997</v>
      </c>
      <c r="M1744" t="s">
        <v>3508</v>
      </c>
      <c r="N1744" s="312">
        <v>52910</v>
      </c>
      <c r="O1744" s="312">
        <v>163210.91999999998</v>
      </c>
      <c r="P1744" s="312">
        <v>26463.200000000001</v>
      </c>
      <c r="Q1744" s="312">
        <v>189409</v>
      </c>
      <c r="R1744" s="312">
        <v>80034.2</v>
      </c>
    </row>
    <row r="1745" spans="6:18">
      <c r="F1745" t="s">
        <v>3509</v>
      </c>
      <c r="G1745" s="312">
        <v>41.83</v>
      </c>
      <c r="H1745" s="312">
        <v>337.83</v>
      </c>
      <c r="I1745" s="312">
        <v>38.78</v>
      </c>
      <c r="J1745" s="312">
        <v>163.42000000000002</v>
      </c>
      <c r="K1745" s="312">
        <v>344.28</v>
      </c>
      <c r="M1745" t="s">
        <v>3509</v>
      </c>
      <c r="N1745" s="312">
        <v>26737.37</v>
      </c>
      <c r="O1745" s="312">
        <v>176974.27</v>
      </c>
      <c r="P1745" s="312">
        <v>21832.43</v>
      </c>
      <c r="Q1745" s="312">
        <v>73275.070000000007</v>
      </c>
      <c r="R1745" s="312">
        <v>94628.66</v>
      </c>
    </row>
    <row r="1746" spans="6:18">
      <c r="F1746" t="s">
        <v>3510</v>
      </c>
      <c r="G1746" s="312">
        <v>49.11</v>
      </c>
      <c r="H1746" s="312">
        <v>278.14999999999998</v>
      </c>
      <c r="I1746" s="312">
        <v>31.39</v>
      </c>
      <c r="J1746" s="312">
        <v>126.52</v>
      </c>
      <c r="K1746" s="312">
        <v>276.08999999999997</v>
      </c>
      <c r="M1746" t="s">
        <v>3510</v>
      </c>
      <c r="N1746" s="312">
        <v>22873.08</v>
      </c>
      <c r="O1746" s="312">
        <v>126011.14</v>
      </c>
      <c r="P1746" s="312">
        <v>43579.21</v>
      </c>
      <c r="Q1746" s="312">
        <v>95356.5</v>
      </c>
      <c r="R1746" s="312">
        <v>74419.45</v>
      </c>
    </row>
    <row r="1747" spans="6:18">
      <c r="F1747" t="s">
        <v>3511</v>
      </c>
      <c r="G1747" s="312">
        <v>40.069999999999993</v>
      </c>
      <c r="H1747" s="312">
        <v>244.95999999999998</v>
      </c>
      <c r="I1747" s="312">
        <v>18.47</v>
      </c>
      <c r="J1747" s="312">
        <v>161.78</v>
      </c>
      <c r="K1747" s="312">
        <v>258.60000000000002</v>
      </c>
      <c r="M1747" t="s">
        <v>3511</v>
      </c>
      <c r="N1747" s="312">
        <v>19464.03</v>
      </c>
      <c r="O1747" s="312">
        <v>113682.76999999999</v>
      </c>
      <c r="P1747" s="312">
        <v>28141.13</v>
      </c>
      <c r="Q1747" s="312">
        <v>129252.02</v>
      </c>
      <c r="R1747" s="312">
        <v>86197.799999999988</v>
      </c>
    </row>
    <row r="1748" spans="6:18">
      <c r="F1748" t="s">
        <v>3512</v>
      </c>
      <c r="G1748" s="312">
        <v>65.42</v>
      </c>
      <c r="H1748" s="312">
        <v>245.10000000000002</v>
      </c>
      <c r="I1748" s="312">
        <v>39.340000000000003</v>
      </c>
      <c r="J1748" s="312">
        <v>173.32</v>
      </c>
      <c r="K1748" s="312">
        <v>391.88</v>
      </c>
      <c r="M1748" t="s">
        <v>3512</v>
      </c>
      <c r="N1748" s="312">
        <v>62986.04</v>
      </c>
      <c r="O1748" s="312">
        <v>110711.94</v>
      </c>
      <c r="P1748" s="312">
        <v>23874.609999999997</v>
      </c>
      <c r="Q1748" s="312">
        <v>110870.38</v>
      </c>
      <c r="R1748" s="312">
        <v>106991.31</v>
      </c>
    </row>
    <row r="1749" spans="6:18">
      <c r="F1749" t="s">
        <v>3513</v>
      </c>
      <c r="G1749" s="312">
        <v>70.12</v>
      </c>
      <c r="H1749" s="312">
        <v>359.79</v>
      </c>
      <c r="I1749" s="312">
        <v>94.97</v>
      </c>
      <c r="J1749" s="312">
        <v>155.78</v>
      </c>
      <c r="K1749" s="312">
        <v>263.12</v>
      </c>
      <c r="M1749" t="s">
        <v>3513</v>
      </c>
      <c r="N1749" s="312">
        <v>39338.340000000004</v>
      </c>
      <c r="O1749" s="312">
        <v>201445.55</v>
      </c>
      <c r="P1749" s="312">
        <v>65317.189999999995</v>
      </c>
      <c r="Q1749" s="312">
        <v>125132.26</v>
      </c>
      <c r="R1749" s="312">
        <v>76913.52</v>
      </c>
    </row>
    <row r="1750" spans="6:18">
      <c r="F1750" t="s">
        <v>3514</v>
      </c>
      <c r="G1750" s="312">
        <v>66.62</v>
      </c>
      <c r="H1750" s="312">
        <v>267.87</v>
      </c>
      <c r="I1750" s="312">
        <v>33.020000000000003</v>
      </c>
      <c r="J1750" s="312">
        <v>213.15</v>
      </c>
      <c r="K1750" s="312">
        <v>225.20999999999998</v>
      </c>
      <c r="M1750" t="s">
        <v>3514</v>
      </c>
      <c r="N1750" s="312">
        <v>35515.06</v>
      </c>
      <c r="O1750" s="312">
        <v>137814.53</v>
      </c>
      <c r="P1750" s="312">
        <v>28113.39</v>
      </c>
      <c r="Q1750" s="312">
        <v>171531.49</v>
      </c>
      <c r="R1750" s="312">
        <v>61049.350000000006</v>
      </c>
    </row>
    <row r="1751" spans="6:18">
      <c r="F1751" t="s">
        <v>3515</v>
      </c>
      <c r="G1751" s="312">
        <v>83.02</v>
      </c>
      <c r="H1751" s="312">
        <v>298.35000000000002</v>
      </c>
      <c r="I1751" s="312">
        <v>72.47</v>
      </c>
      <c r="J1751" s="312">
        <v>172.94</v>
      </c>
      <c r="K1751" s="312">
        <v>268.88</v>
      </c>
      <c r="M1751" t="s">
        <v>3515</v>
      </c>
      <c r="N1751" s="312">
        <v>30184.129999999997</v>
      </c>
      <c r="O1751" s="312">
        <v>230508.78</v>
      </c>
      <c r="P1751" s="312">
        <v>66678.039999999994</v>
      </c>
      <c r="Q1751" s="312">
        <v>155069.76999999999</v>
      </c>
      <c r="R1751" s="312">
        <v>76472.13</v>
      </c>
    </row>
    <row r="1752" spans="6:18">
      <c r="F1752" t="s">
        <v>3516</v>
      </c>
      <c r="G1752" s="312">
        <v>45.28</v>
      </c>
      <c r="H1752" s="312">
        <v>303.46000000000004</v>
      </c>
      <c r="I1752" s="312">
        <v>34.119999999999997</v>
      </c>
      <c r="J1752" s="312">
        <v>194.4</v>
      </c>
      <c r="K1752" s="312">
        <v>258.08999999999997</v>
      </c>
      <c r="M1752" t="s">
        <v>3516</v>
      </c>
      <c r="N1752" s="312">
        <v>19894.73</v>
      </c>
      <c r="O1752" s="312">
        <v>197837.04</v>
      </c>
      <c r="P1752" s="312">
        <v>20416.93</v>
      </c>
      <c r="Q1752" s="312">
        <v>148976.78</v>
      </c>
      <c r="R1752" s="312">
        <v>92331.93</v>
      </c>
    </row>
    <row r="1753" spans="6:18">
      <c r="F1753" t="s">
        <v>3517</v>
      </c>
      <c r="G1753" s="312">
        <v>50.019999999999996</v>
      </c>
      <c r="H1753" s="312">
        <v>223.2</v>
      </c>
      <c r="I1753" s="312">
        <v>34.03</v>
      </c>
      <c r="J1753" s="312">
        <v>152.85</v>
      </c>
      <c r="K1753" s="312">
        <v>158.69</v>
      </c>
      <c r="M1753" t="s">
        <v>3517</v>
      </c>
      <c r="N1753" s="312">
        <v>18632.919999999998</v>
      </c>
      <c r="O1753" s="312">
        <v>89288.84</v>
      </c>
      <c r="P1753" s="312">
        <v>21474.579999999998</v>
      </c>
      <c r="Q1753" s="312">
        <v>113226.68</v>
      </c>
      <c r="R1753" s="312">
        <v>50898.259999999995</v>
      </c>
    </row>
    <row r="1754" spans="6:18">
      <c r="F1754" t="s">
        <v>3518</v>
      </c>
      <c r="G1754" s="312">
        <v>81.47</v>
      </c>
      <c r="H1754" s="312">
        <v>232.86</v>
      </c>
      <c r="I1754" s="312">
        <v>4.07</v>
      </c>
      <c r="J1754" s="312">
        <v>130.53</v>
      </c>
      <c r="K1754" s="312">
        <v>213.73000000000002</v>
      </c>
      <c r="M1754" t="s">
        <v>3518</v>
      </c>
      <c r="N1754" s="312">
        <v>54851.320000000007</v>
      </c>
      <c r="O1754" s="312">
        <v>113256.28</v>
      </c>
      <c r="P1754" s="312">
        <v>5836.37</v>
      </c>
      <c r="Q1754" s="312">
        <v>102471.67999999999</v>
      </c>
      <c r="R1754" s="312">
        <v>65429.98</v>
      </c>
    </row>
    <row r="1755" spans="6:18">
      <c r="F1755" t="s">
        <v>3519</v>
      </c>
      <c r="G1755" s="312">
        <v>73.09</v>
      </c>
      <c r="H1755" s="312">
        <v>307.45</v>
      </c>
      <c r="I1755" s="312">
        <v>66.75</v>
      </c>
      <c r="J1755" s="312">
        <v>169.56</v>
      </c>
      <c r="K1755" s="312">
        <v>240.13</v>
      </c>
      <c r="M1755" t="s">
        <v>3519</v>
      </c>
      <c r="N1755" s="312">
        <v>36902.090000000004</v>
      </c>
      <c r="O1755" s="312">
        <v>162406.82</v>
      </c>
      <c r="P1755" s="312">
        <v>68684.510000000009</v>
      </c>
      <c r="Q1755" s="312">
        <v>136011.74</v>
      </c>
      <c r="R1755" s="312">
        <v>81613.78</v>
      </c>
    </row>
    <row r="1756" spans="6:18">
      <c r="F1756" t="s">
        <v>3520</v>
      </c>
      <c r="G1756" s="312">
        <v>96.02000000000001</v>
      </c>
      <c r="H1756" s="312">
        <v>346.31000000000006</v>
      </c>
      <c r="I1756" s="312">
        <v>54.949999999999996</v>
      </c>
      <c r="J1756" s="312">
        <v>245.45</v>
      </c>
      <c r="K1756" s="312">
        <v>263.47000000000003</v>
      </c>
      <c r="M1756" t="s">
        <v>3520</v>
      </c>
      <c r="N1756" s="312">
        <v>36368.300000000003</v>
      </c>
      <c r="O1756" s="312">
        <v>180192.79</v>
      </c>
      <c r="P1756" s="312">
        <v>33862.15</v>
      </c>
      <c r="Q1756" s="312">
        <v>181954.53</v>
      </c>
      <c r="R1756" s="312">
        <v>68778</v>
      </c>
    </row>
    <row r="1757" spans="6:18">
      <c r="F1757" t="s">
        <v>3521</v>
      </c>
      <c r="G1757" s="312">
        <v>66.73</v>
      </c>
      <c r="H1757" s="312">
        <v>309.90999999999997</v>
      </c>
      <c r="I1757" s="312">
        <v>72.53</v>
      </c>
      <c r="J1757" s="312">
        <v>241.39000000000001</v>
      </c>
      <c r="K1757" s="312">
        <v>223.54999999999998</v>
      </c>
      <c r="M1757" t="s">
        <v>3521</v>
      </c>
      <c r="N1757" s="312">
        <v>45866.06</v>
      </c>
      <c r="O1757" s="312">
        <v>129340.75</v>
      </c>
      <c r="P1757" s="312">
        <v>37678.69</v>
      </c>
      <c r="Q1757" s="312">
        <v>210446.23</v>
      </c>
      <c r="R1757" s="312">
        <v>102144.28</v>
      </c>
    </row>
    <row r="1758" spans="6:18">
      <c r="F1758" t="s">
        <v>3522</v>
      </c>
      <c r="G1758" s="312">
        <v>179.38</v>
      </c>
      <c r="H1758" s="312">
        <v>292.34000000000003</v>
      </c>
      <c r="I1758" s="312">
        <v>30.41</v>
      </c>
      <c r="J1758" s="312">
        <v>264.35000000000002</v>
      </c>
      <c r="K1758" s="312">
        <v>293.72000000000003</v>
      </c>
      <c r="M1758" t="s">
        <v>3522</v>
      </c>
      <c r="N1758" s="312">
        <v>90295.55</v>
      </c>
      <c r="O1758" s="312">
        <v>146400.70000000001</v>
      </c>
      <c r="P1758" s="312">
        <v>23714.589999999997</v>
      </c>
      <c r="Q1758" s="312">
        <v>214577.35</v>
      </c>
      <c r="R1758" s="312">
        <v>89796.26</v>
      </c>
    </row>
    <row r="1759" spans="6:18">
      <c r="F1759" t="s">
        <v>3523</v>
      </c>
      <c r="G1759" s="312">
        <v>191.61</v>
      </c>
      <c r="H1759" s="312">
        <v>275.60000000000002</v>
      </c>
      <c r="I1759" s="312">
        <v>51.819999999999993</v>
      </c>
      <c r="J1759" s="312">
        <v>240.69</v>
      </c>
      <c r="K1759" s="312">
        <v>218.69</v>
      </c>
      <c r="M1759" t="s">
        <v>3523</v>
      </c>
      <c r="N1759" s="312">
        <v>186959.96999999997</v>
      </c>
      <c r="O1759" s="312">
        <v>155970.93</v>
      </c>
      <c r="P1759" s="312">
        <v>46199</v>
      </c>
      <c r="Q1759" s="312">
        <v>209196.93</v>
      </c>
      <c r="R1759" s="312">
        <v>65213.16</v>
      </c>
    </row>
    <row r="1760" spans="6:18">
      <c r="F1760" t="s">
        <v>3524</v>
      </c>
      <c r="G1760" s="312">
        <v>76.62</v>
      </c>
      <c r="H1760" s="312">
        <v>186.31</v>
      </c>
      <c r="I1760" s="312">
        <v>28.52</v>
      </c>
      <c r="J1760" s="312">
        <v>200.53</v>
      </c>
      <c r="K1760" s="312">
        <v>194.14999999999998</v>
      </c>
      <c r="M1760" t="s">
        <v>3524</v>
      </c>
      <c r="N1760" s="312">
        <v>54174.8</v>
      </c>
      <c r="O1760" s="312">
        <v>89000.23000000001</v>
      </c>
      <c r="P1760" s="312">
        <v>21592.19</v>
      </c>
      <c r="Q1760" s="312">
        <v>135678.51</v>
      </c>
      <c r="R1760" s="312">
        <v>110658.68</v>
      </c>
    </row>
    <row r="1761" spans="6:18">
      <c r="F1761" t="s">
        <v>3525</v>
      </c>
      <c r="G1761" s="312">
        <v>59.53</v>
      </c>
      <c r="H1761" s="312">
        <v>199.24</v>
      </c>
      <c r="I1761" s="312">
        <v>22.66</v>
      </c>
      <c r="J1761" s="312">
        <v>147.99</v>
      </c>
      <c r="K1761" s="312">
        <v>239.95</v>
      </c>
      <c r="M1761" t="s">
        <v>3525</v>
      </c>
      <c r="N1761" s="312">
        <v>20937.899999999998</v>
      </c>
      <c r="O1761" s="312">
        <v>117551.51999999999</v>
      </c>
      <c r="P1761" s="312">
        <v>14101.880000000001</v>
      </c>
      <c r="Q1761" s="312">
        <v>95766.35</v>
      </c>
      <c r="R1761" s="312">
        <v>42976.229999999996</v>
      </c>
    </row>
    <row r="1762" spans="6:18">
      <c r="F1762" t="s">
        <v>3526</v>
      </c>
      <c r="G1762" s="312">
        <v>80.099999999999994</v>
      </c>
      <c r="H1762" s="312">
        <v>251.68</v>
      </c>
      <c r="I1762" s="312">
        <v>138.19</v>
      </c>
      <c r="J1762" s="312">
        <v>182.06</v>
      </c>
      <c r="K1762" s="312">
        <v>307.54000000000002</v>
      </c>
      <c r="M1762" t="s">
        <v>3526</v>
      </c>
      <c r="N1762" s="312">
        <v>38913.18</v>
      </c>
      <c r="O1762" s="312">
        <v>132865</v>
      </c>
      <c r="P1762" s="312">
        <v>91628.34</v>
      </c>
      <c r="Q1762" s="312">
        <v>138213.15</v>
      </c>
      <c r="R1762" s="312">
        <v>118771.56</v>
      </c>
    </row>
    <row r="1763" spans="6:18">
      <c r="F1763" t="s">
        <v>3527</v>
      </c>
      <c r="G1763" s="312">
        <v>72.900000000000006</v>
      </c>
      <c r="H1763" s="312">
        <v>372.89</v>
      </c>
      <c r="I1763" s="312">
        <v>53.239999999999995</v>
      </c>
      <c r="J1763" s="312">
        <v>224.8</v>
      </c>
      <c r="K1763" s="312">
        <v>584.5</v>
      </c>
      <c r="M1763" t="s">
        <v>3527</v>
      </c>
      <c r="N1763" s="312">
        <v>54320.869999999995</v>
      </c>
      <c r="O1763" s="312">
        <v>207441.83000000002</v>
      </c>
      <c r="P1763" s="312">
        <v>55658.799999999996</v>
      </c>
      <c r="Q1763" s="312">
        <v>116224.82999999999</v>
      </c>
      <c r="R1763" s="312">
        <v>222554.84999999998</v>
      </c>
    </row>
    <row r="1764" spans="6:18">
      <c r="F1764" t="s">
        <v>3528</v>
      </c>
      <c r="G1764" s="312">
        <v>77.510000000000005</v>
      </c>
      <c r="H1764" s="312">
        <v>304.59000000000003</v>
      </c>
      <c r="I1764" s="312">
        <v>45.5</v>
      </c>
      <c r="J1764" s="312">
        <v>146.93</v>
      </c>
      <c r="K1764" s="312">
        <v>627.35</v>
      </c>
      <c r="M1764" t="s">
        <v>3528</v>
      </c>
      <c r="N1764" s="312">
        <v>57193.56</v>
      </c>
      <c r="O1764" s="312">
        <v>165609.07999999999</v>
      </c>
      <c r="P1764" s="312">
        <v>40406.74</v>
      </c>
      <c r="Q1764" s="312">
        <v>86950.65</v>
      </c>
      <c r="R1764" s="312">
        <v>184162.94999999998</v>
      </c>
    </row>
    <row r="1765" spans="6:18">
      <c r="F1765" t="s">
        <v>3529</v>
      </c>
      <c r="G1765" s="312">
        <v>96.38</v>
      </c>
      <c r="H1765" s="312">
        <v>232.54000000000002</v>
      </c>
      <c r="I1765" s="312">
        <v>66.400000000000006</v>
      </c>
      <c r="J1765" s="312">
        <v>175.28</v>
      </c>
      <c r="K1765" s="312">
        <v>387.61</v>
      </c>
      <c r="M1765" t="s">
        <v>3529</v>
      </c>
      <c r="N1765" s="312">
        <v>66686.02</v>
      </c>
      <c r="O1765" s="312">
        <v>93819.73000000001</v>
      </c>
      <c r="P1765" s="312">
        <v>61367.619999999995</v>
      </c>
      <c r="Q1765" s="312">
        <v>162332.36000000002</v>
      </c>
      <c r="R1765" s="312">
        <v>106552.95999999999</v>
      </c>
    </row>
    <row r="1766" spans="6:18">
      <c r="F1766" t="s">
        <v>3530</v>
      </c>
      <c r="G1766" s="312">
        <v>71.61</v>
      </c>
      <c r="H1766" s="312">
        <v>323.89999999999998</v>
      </c>
      <c r="I1766" s="312">
        <v>33.950000000000003</v>
      </c>
      <c r="J1766" s="312">
        <v>242.76</v>
      </c>
      <c r="K1766" s="312">
        <v>325.24</v>
      </c>
      <c r="M1766" t="s">
        <v>3530</v>
      </c>
      <c r="N1766" s="312">
        <v>38608.33</v>
      </c>
      <c r="O1766" s="312">
        <v>145367.04999999999</v>
      </c>
      <c r="P1766" s="312">
        <v>43561.52</v>
      </c>
      <c r="Q1766" s="312">
        <v>191467.17</v>
      </c>
      <c r="R1766" s="312">
        <v>119813.82999999999</v>
      </c>
    </row>
    <row r="1767" spans="6:18">
      <c r="F1767" t="s">
        <v>3531</v>
      </c>
      <c r="G1767" s="312">
        <v>79.820000000000007</v>
      </c>
      <c r="H1767" s="312">
        <v>223.41</v>
      </c>
      <c r="I1767" s="312">
        <v>30.700000000000003</v>
      </c>
      <c r="J1767" s="312">
        <v>139.85</v>
      </c>
      <c r="K1767" s="312">
        <v>275.99</v>
      </c>
      <c r="M1767" t="s">
        <v>3531</v>
      </c>
      <c r="N1767" s="312">
        <v>58322.340000000004</v>
      </c>
      <c r="O1767" s="312">
        <v>107375.08</v>
      </c>
      <c r="P1767" s="312">
        <v>22375.54</v>
      </c>
      <c r="Q1767" s="312">
        <v>86833.95</v>
      </c>
      <c r="R1767" s="312">
        <v>97852.02</v>
      </c>
    </row>
    <row r="1768" spans="6:18">
      <c r="F1768" t="s">
        <v>3532</v>
      </c>
      <c r="G1768" s="312">
        <v>95.41</v>
      </c>
      <c r="H1768" s="312">
        <v>185.4</v>
      </c>
      <c r="I1768" s="312">
        <v>4.74</v>
      </c>
      <c r="J1768" s="312">
        <v>126.81</v>
      </c>
      <c r="K1768" s="312">
        <v>264</v>
      </c>
      <c r="M1768" t="s">
        <v>3532</v>
      </c>
      <c r="N1768" s="312">
        <v>44427.240000000005</v>
      </c>
      <c r="O1768" s="312">
        <v>156153.93</v>
      </c>
      <c r="P1768" s="312">
        <v>10049.66</v>
      </c>
      <c r="Q1768" s="312">
        <v>87330.43</v>
      </c>
      <c r="R1768" s="312">
        <v>61599.42</v>
      </c>
    </row>
    <row r="1769" spans="6:18">
      <c r="F1769" t="s">
        <v>3533</v>
      </c>
      <c r="G1769" s="312">
        <v>67.78</v>
      </c>
      <c r="H1769" s="312">
        <v>242.72000000000003</v>
      </c>
      <c r="I1769" s="312">
        <v>45.46</v>
      </c>
      <c r="J1769" s="312">
        <v>218.92000000000002</v>
      </c>
      <c r="K1769" s="312">
        <v>382.66999999999996</v>
      </c>
      <c r="M1769" t="s">
        <v>3533</v>
      </c>
      <c r="N1769" s="312">
        <v>39809.520000000004</v>
      </c>
      <c r="O1769" s="312">
        <v>141334.21</v>
      </c>
      <c r="P1769" s="312">
        <v>39316.400000000001</v>
      </c>
      <c r="Q1769" s="312">
        <v>139683.37</v>
      </c>
      <c r="R1769" s="312">
        <v>99017.950000000012</v>
      </c>
    </row>
    <row r="1770" spans="6:18">
      <c r="F1770" t="s">
        <v>3534</v>
      </c>
      <c r="G1770" s="312">
        <v>73.52</v>
      </c>
      <c r="H1770" s="312">
        <v>269.67</v>
      </c>
      <c r="I1770" s="312">
        <v>27.950000000000003</v>
      </c>
      <c r="J1770" s="312">
        <v>173.29000000000002</v>
      </c>
      <c r="K1770" s="312">
        <v>316.58</v>
      </c>
      <c r="M1770" t="s">
        <v>3534</v>
      </c>
      <c r="N1770" s="312">
        <v>38059.42</v>
      </c>
      <c r="O1770" s="312">
        <v>118275.98</v>
      </c>
      <c r="P1770" s="312">
        <v>15494</v>
      </c>
      <c r="Q1770" s="312">
        <v>132506.09</v>
      </c>
      <c r="R1770" s="312">
        <v>89405.440000000002</v>
      </c>
    </row>
    <row r="1771" spans="6:18">
      <c r="F1771" t="s">
        <v>3535</v>
      </c>
      <c r="G1771" s="312">
        <v>71.27</v>
      </c>
      <c r="H1771" s="312">
        <v>267.89</v>
      </c>
      <c r="I1771" s="312">
        <v>62.97</v>
      </c>
      <c r="J1771" s="312">
        <v>182.85999999999999</v>
      </c>
      <c r="K1771" s="312">
        <v>423.54</v>
      </c>
      <c r="M1771" t="s">
        <v>3535</v>
      </c>
      <c r="N1771" s="312">
        <v>38188.629999999997</v>
      </c>
      <c r="O1771" s="312">
        <v>189976.12</v>
      </c>
      <c r="P1771" s="312">
        <v>73994.78</v>
      </c>
      <c r="Q1771" s="312">
        <v>141772.53</v>
      </c>
      <c r="R1771" s="312">
        <v>107624.84</v>
      </c>
    </row>
    <row r="1772" spans="6:18">
      <c r="F1772" t="s">
        <v>3536</v>
      </c>
      <c r="G1772" s="312">
        <v>59.79</v>
      </c>
      <c r="H1772" s="312">
        <v>292.15999999999997</v>
      </c>
      <c r="I1772" s="312">
        <v>54.49</v>
      </c>
      <c r="J1772" s="312">
        <v>217.65</v>
      </c>
      <c r="K1772" s="312">
        <v>439.1</v>
      </c>
      <c r="M1772" t="s">
        <v>3536</v>
      </c>
      <c r="N1772" s="312">
        <v>24240.27</v>
      </c>
      <c r="O1772" s="312">
        <v>168425.28</v>
      </c>
      <c r="P1772" s="312">
        <v>29880.05</v>
      </c>
      <c r="Q1772" s="312">
        <v>154241.06</v>
      </c>
      <c r="R1772" s="312">
        <v>119265.38</v>
      </c>
    </row>
    <row r="1773" spans="6:18">
      <c r="F1773" t="s">
        <v>3537</v>
      </c>
      <c r="G1773" s="312">
        <v>125.45</v>
      </c>
      <c r="H1773" s="312">
        <v>337.21000000000004</v>
      </c>
      <c r="I1773" s="312">
        <v>63.89</v>
      </c>
      <c r="J1773" s="312">
        <v>151.4</v>
      </c>
      <c r="K1773" s="312">
        <v>446.84000000000003</v>
      </c>
      <c r="M1773" t="s">
        <v>3537</v>
      </c>
      <c r="N1773" s="312">
        <v>72045.33</v>
      </c>
      <c r="O1773" s="312">
        <v>162813.59</v>
      </c>
      <c r="P1773" s="312">
        <v>55691.01</v>
      </c>
      <c r="Q1773" s="312">
        <v>83753.22</v>
      </c>
      <c r="R1773" s="312">
        <v>142923.16</v>
      </c>
    </row>
    <row r="1774" spans="6:18">
      <c r="F1774" t="s">
        <v>3538</v>
      </c>
      <c r="G1774" s="312">
        <v>60.45</v>
      </c>
      <c r="H1774" s="312">
        <v>226.96999999999997</v>
      </c>
      <c r="I1774" s="312">
        <v>16.78</v>
      </c>
      <c r="J1774" s="312">
        <v>155.21</v>
      </c>
      <c r="K1774" s="312">
        <v>296.21000000000004</v>
      </c>
      <c r="M1774" t="s">
        <v>3538</v>
      </c>
      <c r="N1774" s="312">
        <v>32390.760000000002</v>
      </c>
      <c r="O1774" s="312">
        <v>110137.35999999999</v>
      </c>
      <c r="P1774" s="312">
        <v>15076.86</v>
      </c>
      <c r="Q1774" s="312">
        <v>109262.2</v>
      </c>
      <c r="R1774" s="312">
        <v>77694.19</v>
      </c>
    </row>
    <row r="1775" spans="6:18">
      <c r="F1775" t="s">
        <v>3539</v>
      </c>
      <c r="G1775" s="312">
        <v>122.18</v>
      </c>
      <c r="H1775" s="312">
        <v>240.2</v>
      </c>
      <c r="I1775" s="312">
        <v>11.83</v>
      </c>
      <c r="J1775" s="312">
        <v>224.01</v>
      </c>
      <c r="K1775" s="312">
        <v>283</v>
      </c>
      <c r="M1775" t="s">
        <v>3539</v>
      </c>
      <c r="N1775" s="312">
        <v>87496.93</v>
      </c>
      <c r="O1775" s="312">
        <v>114350.64000000001</v>
      </c>
      <c r="P1775" s="312">
        <v>12197.01</v>
      </c>
      <c r="Q1775" s="312">
        <v>130039.17</v>
      </c>
      <c r="R1775" s="312">
        <v>101242.07</v>
      </c>
    </row>
    <row r="1776" spans="6:18">
      <c r="F1776" t="s">
        <v>3540</v>
      </c>
      <c r="G1776" s="312">
        <v>66.69</v>
      </c>
      <c r="H1776" s="312">
        <v>311.77</v>
      </c>
      <c r="I1776" s="312">
        <v>113.17999999999999</v>
      </c>
      <c r="J1776" s="312">
        <v>211.26999999999998</v>
      </c>
      <c r="K1776" s="312">
        <v>486.40000000000003</v>
      </c>
      <c r="M1776" t="s">
        <v>3540</v>
      </c>
      <c r="N1776" s="312">
        <v>38472.600000000006</v>
      </c>
      <c r="O1776" s="312">
        <v>159342.69999999998</v>
      </c>
      <c r="P1776" s="312">
        <v>70687.710000000006</v>
      </c>
      <c r="Q1776" s="312">
        <v>144479.20000000001</v>
      </c>
      <c r="R1776" s="312">
        <v>169102.89</v>
      </c>
    </row>
    <row r="1777" spans="6:18">
      <c r="F1777" t="s">
        <v>3541</v>
      </c>
      <c r="G1777" s="312">
        <v>78.47</v>
      </c>
      <c r="H1777" s="312">
        <v>415</v>
      </c>
      <c r="I1777" s="312">
        <v>48.309999999999995</v>
      </c>
      <c r="J1777" s="312">
        <v>129.35999999999999</v>
      </c>
      <c r="K1777" s="312">
        <v>414.31</v>
      </c>
      <c r="M1777" t="s">
        <v>3541</v>
      </c>
      <c r="N1777" s="312">
        <v>32952.550000000003</v>
      </c>
      <c r="O1777" s="312">
        <v>210766.34</v>
      </c>
      <c r="P1777" s="312">
        <v>39781.199999999997</v>
      </c>
      <c r="Q1777" s="312">
        <v>126297.39</v>
      </c>
      <c r="R1777" s="312">
        <v>113933.92</v>
      </c>
    </row>
    <row r="1778" spans="6:18">
      <c r="F1778" t="s">
        <v>3542</v>
      </c>
      <c r="G1778" s="312">
        <v>89.5</v>
      </c>
      <c r="H1778" s="312">
        <v>361.34000000000003</v>
      </c>
      <c r="I1778" s="312">
        <v>77.490000000000009</v>
      </c>
      <c r="J1778" s="312">
        <v>200.85000000000002</v>
      </c>
      <c r="K1778" s="312">
        <v>239.96</v>
      </c>
      <c r="M1778" t="s">
        <v>3542</v>
      </c>
      <c r="N1778" s="312">
        <v>60561.58</v>
      </c>
      <c r="O1778" s="312">
        <v>178777.78</v>
      </c>
      <c r="P1778" s="312">
        <v>42774.210000000006</v>
      </c>
      <c r="Q1778" s="312">
        <v>101058.86</v>
      </c>
      <c r="R1778" s="312">
        <v>78131.28</v>
      </c>
    </row>
    <row r="1779" spans="6:18">
      <c r="F1779" t="s">
        <v>3543</v>
      </c>
      <c r="G1779" s="312">
        <v>122.11000000000001</v>
      </c>
      <c r="H1779" s="312">
        <v>370.44000000000005</v>
      </c>
      <c r="I1779" s="312">
        <v>45.74</v>
      </c>
      <c r="J1779" s="312">
        <v>286.62</v>
      </c>
      <c r="K1779" s="312">
        <v>258.44</v>
      </c>
      <c r="M1779" t="s">
        <v>3543</v>
      </c>
      <c r="N1779" s="312">
        <v>59099.399999999994</v>
      </c>
      <c r="O1779" s="312">
        <v>161864.25</v>
      </c>
      <c r="P1779" s="312">
        <v>32999.360000000001</v>
      </c>
      <c r="Q1779" s="312">
        <v>212040.17</v>
      </c>
      <c r="R1779" s="312">
        <v>65176.789999999994</v>
      </c>
    </row>
    <row r="1780" spans="6:18">
      <c r="F1780" t="s">
        <v>3544</v>
      </c>
      <c r="G1780" s="312">
        <v>104.03999999999999</v>
      </c>
      <c r="H1780" s="312">
        <v>354.13</v>
      </c>
      <c r="I1780" s="312">
        <v>51.699999999999996</v>
      </c>
      <c r="J1780" s="312">
        <v>216.6</v>
      </c>
      <c r="K1780" s="312">
        <v>267.03999999999996</v>
      </c>
      <c r="M1780" t="s">
        <v>3544</v>
      </c>
      <c r="N1780" s="312">
        <v>41398.9</v>
      </c>
      <c r="O1780" s="312">
        <v>209875.69</v>
      </c>
      <c r="P1780" s="312">
        <v>27889.21</v>
      </c>
      <c r="Q1780" s="312">
        <v>177558.38</v>
      </c>
      <c r="R1780" s="312">
        <v>79280.92</v>
      </c>
    </row>
    <row r="1781" spans="6:18">
      <c r="F1781" t="s">
        <v>3545</v>
      </c>
      <c r="G1781" s="312">
        <v>115.41</v>
      </c>
      <c r="H1781" s="312">
        <v>245.85999999999999</v>
      </c>
      <c r="I1781" s="312">
        <v>33.36</v>
      </c>
      <c r="J1781" s="312">
        <v>213.73000000000002</v>
      </c>
      <c r="K1781" s="312">
        <v>223.17000000000002</v>
      </c>
      <c r="M1781" t="s">
        <v>3545</v>
      </c>
      <c r="N1781" s="312">
        <v>67560.63</v>
      </c>
      <c r="O1781" s="312">
        <v>142200.38999999998</v>
      </c>
      <c r="P1781" s="312">
        <v>34043.5</v>
      </c>
      <c r="Q1781" s="312">
        <v>159660.45000000001</v>
      </c>
      <c r="R1781" s="312">
        <v>55372.270000000004</v>
      </c>
    </row>
    <row r="1782" spans="6:18">
      <c r="F1782" t="s">
        <v>3546</v>
      </c>
      <c r="G1782" s="312">
        <v>41.58</v>
      </c>
      <c r="H1782" s="312">
        <v>156.93</v>
      </c>
      <c r="I1782" s="312">
        <v>9.0500000000000007</v>
      </c>
      <c r="J1782" s="312">
        <v>129.21</v>
      </c>
      <c r="K1782" s="312">
        <v>248.68</v>
      </c>
      <c r="M1782" t="s">
        <v>3546</v>
      </c>
      <c r="N1782" s="312">
        <v>17712.57</v>
      </c>
      <c r="O1782" s="312">
        <v>67480.92</v>
      </c>
      <c r="P1782" s="312">
        <v>9622</v>
      </c>
      <c r="Q1782" s="312">
        <v>110504.11</v>
      </c>
      <c r="R1782" s="312">
        <v>73883.199999999997</v>
      </c>
    </row>
    <row r="1783" spans="6:18">
      <c r="F1783" t="s">
        <v>3547</v>
      </c>
      <c r="G1783" s="312">
        <v>112.72</v>
      </c>
      <c r="H1783" s="312">
        <v>400.36</v>
      </c>
      <c r="I1783" s="312">
        <v>59.62</v>
      </c>
      <c r="J1783" s="312">
        <v>167.4</v>
      </c>
      <c r="K1783" s="312">
        <v>586.93999999999994</v>
      </c>
      <c r="M1783" t="s">
        <v>3547</v>
      </c>
      <c r="N1783" s="312">
        <v>51885.18</v>
      </c>
      <c r="O1783" s="312">
        <v>180411.81</v>
      </c>
      <c r="P1783" s="312">
        <v>34913.519999999997</v>
      </c>
      <c r="Q1783" s="312">
        <v>108621.32</v>
      </c>
      <c r="R1783" s="312">
        <v>231991.75</v>
      </c>
    </row>
    <row r="1784" spans="6:18">
      <c r="F1784" t="s">
        <v>3548</v>
      </c>
      <c r="G1784" s="312">
        <v>76.23</v>
      </c>
      <c r="H1784" s="312">
        <v>312.94</v>
      </c>
      <c r="I1784" s="312">
        <v>95.62</v>
      </c>
      <c r="J1784" s="312">
        <v>261.39999999999998</v>
      </c>
      <c r="K1784" s="312">
        <v>566.51</v>
      </c>
      <c r="M1784" t="s">
        <v>3548</v>
      </c>
      <c r="N1784" s="312">
        <v>42176.81</v>
      </c>
      <c r="O1784" s="312">
        <v>216454.84000000003</v>
      </c>
      <c r="P1784" s="312">
        <v>57068.73</v>
      </c>
      <c r="Q1784" s="312">
        <v>193724.52</v>
      </c>
      <c r="R1784" s="312">
        <v>207998.66999999998</v>
      </c>
    </row>
    <row r="1785" spans="6:18">
      <c r="F1785" t="s">
        <v>3549</v>
      </c>
      <c r="G1785" s="312">
        <v>53.01</v>
      </c>
      <c r="H1785" s="312">
        <v>432.45000000000005</v>
      </c>
      <c r="I1785" s="312">
        <v>77.22</v>
      </c>
      <c r="J1785" s="312">
        <v>223.24</v>
      </c>
      <c r="K1785" s="312">
        <v>521.69999999999993</v>
      </c>
      <c r="M1785" t="s">
        <v>3549</v>
      </c>
      <c r="N1785" s="312">
        <v>26552.07</v>
      </c>
      <c r="O1785" s="312">
        <v>320103.18000000005</v>
      </c>
      <c r="P1785" s="312">
        <v>45546.92</v>
      </c>
      <c r="Q1785" s="312">
        <v>98765.34</v>
      </c>
      <c r="R1785" s="312">
        <v>183533.57</v>
      </c>
    </row>
    <row r="1786" spans="6:18">
      <c r="F1786" t="s">
        <v>3550</v>
      </c>
      <c r="G1786" s="312">
        <v>59.13</v>
      </c>
      <c r="H1786" s="312">
        <v>418.03</v>
      </c>
      <c r="I1786" s="312">
        <v>102.87</v>
      </c>
      <c r="J1786" s="312">
        <v>248.57</v>
      </c>
      <c r="K1786" s="312">
        <v>395.81</v>
      </c>
      <c r="M1786" t="s">
        <v>3550</v>
      </c>
      <c r="N1786" s="312">
        <v>34495.199999999997</v>
      </c>
      <c r="O1786" s="312">
        <v>210036.31</v>
      </c>
      <c r="P1786" s="312">
        <v>53007.29</v>
      </c>
      <c r="Q1786" s="312">
        <v>130063.67</v>
      </c>
      <c r="R1786" s="312">
        <v>183748.57</v>
      </c>
    </row>
    <row r="1787" spans="6:18">
      <c r="F1787" t="s">
        <v>3551</v>
      </c>
      <c r="G1787" s="312">
        <v>89.75</v>
      </c>
      <c r="H1787" s="312">
        <v>367.23</v>
      </c>
      <c r="I1787" s="312">
        <v>135.71</v>
      </c>
      <c r="J1787" s="312">
        <v>221.62</v>
      </c>
      <c r="K1787" s="312">
        <v>689.83</v>
      </c>
      <c r="M1787" t="s">
        <v>3551</v>
      </c>
      <c r="N1787" s="312">
        <v>46206.41</v>
      </c>
      <c r="O1787" s="312">
        <v>235035.38</v>
      </c>
      <c r="P1787" s="312">
        <v>102873.45</v>
      </c>
      <c r="Q1787" s="312">
        <v>127459.22</v>
      </c>
      <c r="R1787" s="312">
        <v>188368.31999999998</v>
      </c>
    </row>
    <row r="1788" spans="6:18">
      <c r="F1788" t="s">
        <v>3552</v>
      </c>
      <c r="G1788" s="312">
        <v>68.11</v>
      </c>
      <c r="H1788" s="312">
        <v>240.48000000000002</v>
      </c>
      <c r="I1788" s="312">
        <v>92.05</v>
      </c>
      <c r="J1788" s="312">
        <v>185.11999999999998</v>
      </c>
      <c r="K1788" s="312">
        <v>446.84999999999997</v>
      </c>
      <c r="M1788" t="s">
        <v>3552</v>
      </c>
      <c r="N1788" s="312">
        <v>34824.160000000003</v>
      </c>
      <c r="O1788" s="312">
        <v>130610.85</v>
      </c>
      <c r="P1788" s="312">
        <v>57905.57</v>
      </c>
      <c r="Q1788" s="312">
        <v>109335.08</v>
      </c>
      <c r="R1788" s="312">
        <v>137049.54999999999</v>
      </c>
    </row>
    <row r="1789" spans="6:18">
      <c r="F1789" t="s">
        <v>3553</v>
      </c>
      <c r="G1789" s="312">
        <v>73.02</v>
      </c>
      <c r="H1789" s="312">
        <v>293.58000000000004</v>
      </c>
      <c r="I1789" s="312">
        <v>19.77</v>
      </c>
      <c r="J1789" s="312">
        <v>226.58</v>
      </c>
      <c r="K1789" s="312">
        <v>410.74</v>
      </c>
      <c r="M1789" t="s">
        <v>3553</v>
      </c>
      <c r="N1789" s="312">
        <v>41178.68</v>
      </c>
      <c r="O1789" s="312">
        <v>175727.3</v>
      </c>
      <c r="P1789" s="312">
        <v>6052.15</v>
      </c>
      <c r="Q1789" s="312">
        <v>156040.13999999998</v>
      </c>
      <c r="R1789" s="312">
        <v>141304</v>
      </c>
    </row>
    <row r="1790" spans="6:18">
      <c r="F1790" t="s">
        <v>3554</v>
      </c>
      <c r="G1790" s="312">
        <v>72.040000000000006</v>
      </c>
      <c r="H1790" s="312">
        <v>583.14</v>
      </c>
      <c r="I1790" s="312">
        <v>75.62</v>
      </c>
      <c r="J1790" s="312">
        <v>278.7</v>
      </c>
      <c r="K1790" s="312">
        <v>784.43</v>
      </c>
      <c r="M1790" t="s">
        <v>3554</v>
      </c>
      <c r="N1790" s="312">
        <v>38252.32</v>
      </c>
      <c r="O1790" s="312">
        <v>298072.03999999998</v>
      </c>
      <c r="P1790" s="312">
        <v>56861.96</v>
      </c>
      <c r="Q1790" s="312">
        <v>213452.87</v>
      </c>
      <c r="R1790" s="312">
        <v>244719.16999999998</v>
      </c>
    </row>
    <row r="1791" spans="6:18">
      <c r="F1791" t="s">
        <v>3555</v>
      </c>
      <c r="G1791" s="312">
        <v>97.39</v>
      </c>
      <c r="H1791" s="312">
        <v>459.21000000000004</v>
      </c>
      <c r="I1791" s="312">
        <v>102.45</v>
      </c>
      <c r="J1791" s="312">
        <v>442.95000000000005</v>
      </c>
      <c r="K1791" s="312">
        <v>814.15</v>
      </c>
      <c r="M1791" t="s">
        <v>3555</v>
      </c>
      <c r="N1791" s="312">
        <v>40488.17</v>
      </c>
      <c r="O1791" s="312">
        <v>229446.99</v>
      </c>
      <c r="P1791" s="312">
        <v>86503.09</v>
      </c>
      <c r="Q1791" s="312">
        <v>232629.76000000001</v>
      </c>
      <c r="R1791" s="312">
        <v>252332.25</v>
      </c>
    </row>
    <row r="1792" spans="6:18">
      <c r="F1792" t="s">
        <v>3556</v>
      </c>
      <c r="G1792" s="312">
        <v>121.38000000000001</v>
      </c>
      <c r="H1792" s="312">
        <v>614.07999999999993</v>
      </c>
      <c r="I1792" s="312">
        <v>38.32</v>
      </c>
      <c r="J1792" s="312">
        <v>470.48</v>
      </c>
      <c r="K1792" s="312">
        <v>818.06000000000006</v>
      </c>
      <c r="M1792" t="s">
        <v>3556</v>
      </c>
      <c r="N1792" s="312">
        <v>49667.119999999995</v>
      </c>
      <c r="O1792" s="312">
        <v>306106.01</v>
      </c>
      <c r="P1792" s="312">
        <v>34981.94</v>
      </c>
      <c r="Q1792" s="312">
        <v>259969.66999999998</v>
      </c>
      <c r="R1792" s="312">
        <v>233149.64</v>
      </c>
    </row>
    <row r="1793" spans="6:18">
      <c r="F1793" t="s">
        <v>3557</v>
      </c>
      <c r="G1793" s="312">
        <v>197.57</v>
      </c>
      <c r="H1793" s="312">
        <v>707.23</v>
      </c>
      <c r="I1793" s="312">
        <v>136.03</v>
      </c>
      <c r="J1793" s="312">
        <v>383.2</v>
      </c>
      <c r="K1793" s="312">
        <v>867.53</v>
      </c>
      <c r="M1793" t="s">
        <v>3557</v>
      </c>
      <c r="N1793" s="312">
        <v>120378.75</v>
      </c>
      <c r="O1793" s="312">
        <v>315522.25</v>
      </c>
      <c r="P1793" s="312">
        <v>100903.62</v>
      </c>
      <c r="Q1793" s="312">
        <v>198457.13</v>
      </c>
      <c r="R1793" s="312">
        <v>247454.92</v>
      </c>
    </row>
    <row r="1794" spans="6:18">
      <c r="F1794" t="s">
        <v>3558</v>
      </c>
      <c r="G1794" s="312">
        <v>284.5</v>
      </c>
      <c r="H1794" s="312">
        <v>975.78</v>
      </c>
      <c r="I1794" s="312">
        <v>53.61</v>
      </c>
      <c r="J1794" s="312">
        <v>490.4</v>
      </c>
      <c r="K1794" s="312">
        <v>1964.7400000000002</v>
      </c>
      <c r="M1794" t="s">
        <v>3558</v>
      </c>
      <c r="N1794" s="312">
        <v>175907.84000000003</v>
      </c>
      <c r="O1794" s="312">
        <v>530332.71</v>
      </c>
      <c r="P1794" s="312">
        <v>47660.02</v>
      </c>
      <c r="Q1794" s="312">
        <v>178133.93</v>
      </c>
      <c r="R1794" s="312">
        <v>593043.19999999995</v>
      </c>
    </row>
    <row r="1795" spans="6:18">
      <c r="F1795" t="s">
        <v>3559</v>
      </c>
      <c r="G1795" s="312">
        <v>258.86</v>
      </c>
      <c r="H1795" s="312">
        <v>728.15000000000009</v>
      </c>
      <c r="I1795" s="312">
        <v>51.35</v>
      </c>
      <c r="J1795" s="312">
        <v>544.46</v>
      </c>
      <c r="K1795" s="312">
        <v>1510.58</v>
      </c>
      <c r="M1795" t="s">
        <v>3559</v>
      </c>
      <c r="N1795" s="312">
        <v>148258.75</v>
      </c>
      <c r="O1795" s="312">
        <v>369898.87</v>
      </c>
      <c r="P1795" s="312">
        <v>26943.4</v>
      </c>
      <c r="Q1795" s="312">
        <v>240868.2</v>
      </c>
      <c r="R1795" s="312">
        <v>412406.86</v>
      </c>
    </row>
    <row r="1796" spans="6:18">
      <c r="F1796" t="s">
        <v>3560</v>
      </c>
      <c r="G1796" s="312">
        <v>98.399999999999991</v>
      </c>
      <c r="H1796" s="312">
        <v>479.11</v>
      </c>
      <c r="I1796" s="312">
        <v>13.950000000000001</v>
      </c>
      <c r="J1796" s="312">
        <v>461.02000000000004</v>
      </c>
      <c r="K1796" s="312">
        <v>1257.71</v>
      </c>
      <c r="M1796" t="s">
        <v>3560</v>
      </c>
      <c r="N1796" s="312">
        <v>63339.18</v>
      </c>
      <c r="O1796" s="312">
        <v>285610.52</v>
      </c>
      <c r="P1796" s="312">
        <v>4224.7299999999996</v>
      </c>
      <c r="Q1796" s="312">
        <v>194349.56</v>
      </c>
      <c r="R1796" s="312">
        <v>327811.34000000003</v>
      </c>
    </row>
    <row r="1797" spans="6:18">
      <c r="F1797" t="s">
        <v>3561</v>
      </c>
      <c r="G1797" s="312">
        <v>160.17000000000002</v>
      </c>
      <c r="H1797" s="312">
        <v>661.61</v>
      </c>
      <c r="I1797" s="312">
        <v>88.639999999999986</v>
      </c>
      <c r="J1797" s="312">
        <v>524.43000000000006</v>
      </c>
      <c r="K1797" s="312">
        <v>1243.08</v>
      </c>
      <c r="M1797" t="s">
        <v>3561</v>
      </c>
      <c r="N1797" s="312">
        <v>84441.38</v>
      </c>
      <c r="O1797" s="312">
        <v>264867.41000000003</v>
      </c>
      <c r="P1797" s="312">
        <v>52725.98</v>
      </c>
      <c r="Q1797" s="312">
        <v>204673.27000000002</v>
      </c>
      <c r="R1797" s="312">
        <v>403714.18</v>
      </c>
    </row>
    <row r="1798" spans="6:18">
      <c r="F1798" t="s">
        <v>3562</v>
      </c>
      <c r="G1798" s="312">
        <v>86.03</v>
      </c>
      <c r="H1798" s="312">
        <v>538.91</v>
      </c>
      <c r="I1798" s="312">
        <v>108.19</v>
      </c>
      <c r="J1798" s="312">
        <v>547.75</v>
      </c>
      <c r="K1798" s="312">
        <v>1094.99</v>
      </c>
      <c r="M1798" t="s">
        <v>3562</v>
      </c>
      <c r="N1798" s="312">
        <v>41106.42</v>
      </c>
      <c r="O1798" s="312">
        <v>234390.31999999998</v>
      </c>
      <c r="P1798" s="312">
        <v>83171.510000000009</v>
      </c>
      <c r="Q1798" s="312">
        <v>326585.36</v>
      </c>
      <c r="R1798" s="312">
        <v>404233.67</v>
      </c>
    </row>
    <row r="1799" spans="6:18">
      <c r="F1799" t="s">
        <v>3563</v>
      </c>
      <c r="G1799" s="312">
        <v>40.010000000000005</v>
      </c>
      <c r="H1799" s="312">
        <v>445.19</v>
      </c>
      <c r="I1799" s="312">
        <v>89.570000000000007</v>
      </c>
      <c r="J1799" s="312">
        <v>514.67999999999995</v>
      </c>
      <c r="K1799" s="312">
        <v>856.66000000000008</v>
      </c>
      <c r="M1799" t="s">
        <v>3563</v>
      </c>
      <c r="N1799" s="312">
        <v>16068.1</v>
      </c>
      <c r="O1799" s="312">
        <v>188296.15</v>
      </c>
      <c r="P1799" s="312">
        <v>79721.209999999992</v>
      </c>
      <c r="Q1799" s="312">
        <v>230731.81</v>
      </c>
      <c r="R1799" s="312">
        <v>274619.2</v>
      </c>
    </row>
    <row r="1800" spans="6:18">
      <c r="F1800" t="s">
        <v>3564</v>
      </c>
      <c r="G1800" s="312">
        <v>26.6</v>
      </c>
      <c r="H1800" s="312">
        <v>488.15</v>
      </c>
      <c r="I1800" s="312">
        <v>87.02000000000001</v>
      </c>
      <c r="J1800" s="312">
        <v>427.07</v>
      </c>
      <c r="K1800" s="312">
        <v>738.34999999999991</v>
      </c>
      <c r="M1800" t="s">
        <v>3564</v>
      </c>
      <c r="N1800" s="312">
        <v>12861.9</v>
      </c>
      <c r="O1800" s="312">
        <v>240617.05000000002</v>
      </c>
      <c r="P1800" s="312">
        <v>60296.899999999994</v>
      </c>
      <c r="Q1800" s="312">
        <v>145089.15</v>
      </c>
      <c r="R1800" s="312">
        <v>213955.88</v>
      </c>
    </row>
    <row r="1801" spans="6:18">
      <c r="F1801" t="s">
        <v>3565</v>
      </c>
      <c r="G1801" s="312">
        <v>68.86</v>
      </c>
      <c r="H1801" s="312">
        <v>390.56</v>
      </c>
      <c r="I1801" s="312">
        <v>139.91999999999999</v>
      </c>
      <c r="J1801" s="312">
        <v>527.29</v>
      </c>
      <c r="K1801" s="312">
        <v>775.25</v>
      </c>
      <c r="M1801" t="s">
        <v>3565</v>
      </c>
      <c r="N1801" s="312">
        <v>49491.479999999996</v>
      </c>
      <c r="O1801" s="312">
        <v>190039.58</v>
      </c>
      <c r="P1801" s="312">
        <v>74054.41</v>
      </c>
      <c r="Q1801" s="312">
        <v>229938.43999999997</v>
      </c>
      <c r="R1801" s="312">
        <v>254957.5</v>
      </c>
    </row>
    <row r="1802" spans="6:18">
      <c r="F1802" t="s">
        <v>3566</v>
      </c>
      <c r="G1802" s="312">
        <v>80.27000000000001</v>
      </c>
      <c r="H1802" s="312">
        <v>342.39</v>
      </c>
      <c r="I1802" s="312">
        <v>68.760000000000005</v>
      </c>
      <c r="J1802" s="312">
        <v>507.09999999999997</v>
      </c>
      <c r="K1802" s="312">
        <v>668.77</v>
      </c>
      <c r="M1802" t="s">
        <v>3566</v>
      </c>
      <c r="N1802" s="312">
        <v>27652.38</v>
      </c>
      <c r="O1802" s="312">
        <v>238612.16</v>
      </c>
      <c r="P1802" s="312">
        <v>39004.949999999997</v>
      </c>
      <c r="Q1802" s="312">
        <v>170101.03999999998</v>
      </c>
      <c r="R1802" s="312">
        <v>238577.46</v>
      </c>
    </row>
    <row r="1803" spans="6:18">
      <c r="F1803" t="s">
        <v>3567</v>
      </c>
      <c r="G1803" s="312">
        <v>34.81</v>
      </c>
      <c r="H1803" s="312">
        <v>256.34000000000003</v>
      </c>
      <c r="I1803" s="312">
        <v>29.03</v>
      </c>
      <c r="J1803" s="312">
        <v>576.79</v>
      </c>
      <c r="K1803" s="312">
        <v>615.77</v>
      </c>
      <c r="M1803" t="s">
        <v>3567</v>
      </c>
      <c r="N1803" s="312">
        <v>14641.970000000001</v>
      </c>
      <c r="O1803" s="312">
        <v>127327.73</v>
      </c>
      <c r="P1803" s="312">
        <v>14628.73</v>
      </c>
      <c r="Q1803" s="312">
        <v>232496.22</v>
      </c>
      <c r="R1803" s="312">
        <v>164483.06</v>
      </c>
    </row>
    <row r="1804" spans="6:18">
      <c r="F1804" t="s">
        <v>3568</v>
      </c>
      <c r="G1804" s="312">
        <v>48.83</v>
      </c>
      <c r="H1804" s="312">
        <v>437.96</v>
      </c>
      <c r="I1804" s="312">
        <v>153.06</v>
      </c>
      <c r="J1804" s="312">
        <v>427.71000000000004</v>
      </c>
      <c r="K1804" s="312">
        <v>920.5</v>
      </c>
      <c r="M1804" t="s">
        <v>3568</v>
      </c>
      <c r="N1804" s="312">
        <v>20787.129999999997</v>
      </c>
      <c r="O1804" s="312">
        <v>259625.87</v>
      </c>
      <c r="P1804" s="312">
        <v>87637.450000000012</v>
      </c>
      <c r="Q1804" s="312">
        <v>295678.86000000004</v>
      </c>
      <c r="R1804" s="312">
        <v>268653.28000000003</v>
      </c>
    </row>
    <row r="1805" spans="6:18">
      <c r="F1805" t="s">
        <v>3569</v>
      </c>
      <c r="G1805" s="312">
        <v>75.75</v>
      </c>
      <c r="H1805" s="312">
        <v>504.64</v>
      </c>
      <c r="I1805" s="312">
        <v>66.070000000000007</v>
      </c>
      <c r="J1805" s="312">
        <v>585.4</v>
      </c>
      <c r="K1805" s="312">
        <v>810.72</v>
      </c>
      <c r="M1805" t="s">
        <v>3569</v>
      </c>
      <c r="N1805" s="312">
        <v>35565.509999999995</v>
      </c>
      <c r="O1805" s="312">
        <v>230139.35</v>
      </c>
      <c r="P1805" s="312">
        <v>54107.62</v>
      </c>
      <c r="Q1805" s="312">
        <v>297114.53000000003</v>
      </c>
      <c r="R1805" s="312">
        <v>262843.74</v>
      </c>
    </row>
    <row r="1806" spans="6:18">
      <c r="F1806" t="s">
        <v>3570</v>
      </c>
      <c r="G1806" s="312">
        <v>73.63</v>
      </c>
      <c r="H1806" s="312">
        <v>473.52</v>
      </c>
      <c r="I1806" s="312">
        <v>83.38</v>
      </c>
      <c r="J1806" s="312">
        <v>542.63</v>
      </c>
      <c r="K1806" s="312">
        <v>832.53</v>
      </c>
      <c r="M1806" t="s">
        <v>3570</v>
      </c>
      <c r="N1806" s="312">
        <v>33464.089999999997</v>
      </c>
      <c r="O1806" s="312">
        <v>261108.19999999998</v>
      </c>
      <c r="P1806" s="312">
        <v>67047.75</v>
      </c>
      <c r="Q1806" s="312">
        <v>241309.18</v>
      </c>
      <c r="R1806" s="312">
        <v>260915.03</v>
      </c>
    </row>
    <row r="1807" spans="6:18">
      <c r="F1807" t="s">
        <v>3571</v>
      </c>
      <c r="G1807" s="312">
        <v>52.61</v>
      </c>
      <c r="H1807" s="312">
        <v>472.96999999999997</v>
      </c>
      <c r="I1807" s="312">
        <v>89.46</v>
      </c>
      <c r="J1807" s="312">
        <v>391.79</v>
      </c>
      <c r="K1807" s="312">
        <v>875.04</v>
      </c>
      <c r="M1807" t="s">
        <v>3571</v>
      </c>
      <c r="N1807" s="312">
        <v>23604.93</v>
      </c>
      <c r="O1807" s="312">
        <v>211436.90000000002</v>
      </c>
      <c r="P1807" s="312">
        <v>51220.98</v>
      </c>
      <c r="Q1807" s="312">
        <v>233297.11000000002</v>
      </c>
      <c r="R1807" s="312">
        <v>274986.39</v>
      </c>
    </row>
    <row r="1808" spans="6:18">
      <c r="F1808" t="s">
        <v>3572</v>
      </c>
      <c r="G1808" s="312">
        <v>96.82</v>
      </c>
      <c r="H1808" s="312">
        <v>501.59000000000003</v>
      </c>
      <c r="I1808" s="312">
        <v>57.42</v>
      </c>
      <c r="J1808" s="312">
        <v>440.72</v>
      </c>
      <c r="K1808" s="312">
        <v>921.08</v>
      </c>
      <c r="M1808" t="s">
        <v>3572</v>
      </c>
      <c r="N1808" s="312">
        <v>49650.8</v>
      </c>
      <c r="O1808" s="312">
        <v>296474.05</v>
      </c>
      <c r="P1808" s="312">
        <v>35049.17</v>
      </c>
      <c r="Q1808" s="312">
        <v>190024.74</v>
      </c>
      <c r="R1808" s="312">
        <v>263942.59999999998</v>
      </c>
    </row>
    <row r="1809" spans="6:18">
      <c r="F1809" t="s">
        <v>3573</v>
      </c>
      <c r="G1809" s="312">
        <v>137.25</v>
      </c>
      <c r="H1809" s="312">
        <v>384.32</v>
      </c>
      <c r="I1809" s="312">
        <v>65.33</v>
      </c>
      <c r="J1809" s="312">
        <v>361.75</v>
      </c>
      <c r="K1809" s="312">
        <v>687.68999999999994</v>
      </c>
      <c r="M1809" t="s">
        <v>3573</v>
      </c>
      <c r="N1809" s="312">
        <v>60556.850000000006</v>
      </c>
      <c r="O1809" s="312">
        <v>168724.43</v>
      </c>
      <c r="P1809" s="312">
        <v>43429.700000000004</v>
      </c>
      <c r="Q1809" s="312">
        <v>171430.69</v>
      </c>
      <c r="R1809" s="312">
        <v>297022.67</v>
      </c>
    </row>
    <row r="1810" spans="6:18">
      <c r="F1810" t="s">
        <v>3574</v>
      </c>
      <c r="G1810" s="312">
        <v>78.91</v>
      </c>
      <c r="H1810" s="312">
        <v>338.12</v>
      </c>
      <c r="I1810" s="312">
        <v>21.560000000000002</v>
      </c>
      <c r="J1810" s="312">
        <v>312.46999999999997</v>
      </c>
      <c r="K1810" s="312">
        <v>644.90000000000009</v>
      </c>
      <c r="M1810" t="s">
        <v>3574</v>
      </c>
      <c r="N1810" s="312">
        <v>31700.959999999999</v>
      </c>
      <c r="O1810" s="312">
        <v>133137.06</v>
      </c>
      <c r="P1810" s="312">
        <v>11200.41</v>
      </c>
      <c r="Q1810" s="312">
        <v>124140.26999999999</v>
      </c>
      <c r="R1810" s="312">
        <v>206523.69</v>
      </c>
    </row>
    <row r="1811" spans="6:18">
      <c r="F1811" t="s">
        <v>3575</v>
      </c>
      <c r="G1811" s="312">
        <v>152.35</v>
      </c>
      <c r="H1811" s="312">
        <v>599.27</v>
      </c>
      <c r="I1811" s="312">
        <v>158.60999999999999</v>
      </c>
      <c r="J1811" s="312">
        <v>366.18</v>
      </c>
      <c r="K1811" s="312">
        <v>853.88</v>
      </c>
      <c r="M1811" t="s">
        <v>3575</v>
      </c>
      <c r="N1811" s="312">
        <v>68832.06</v>
      </c>
      <c r="O1811" s="312">
        <v>283332.44</v>
      </c>
      <c r="P1811" s="312">
        <v>78344.740000000005</v>
      </c>
      <c r="Q1811" s="312">
        <v>215983.97</v>
      </c>
      <c r="R1811" s="312">
        <v>298987.89</v>
      </c>
    </row>
    <row r="1812" spans="6:18">
      <c r="F1812" t="s">
        <v>3576</v>
      </c>
      <c r="G1812" s="312">
        <v>86.41</v>
      </c>
      <c r="H1812" s="312">
        <v>572.86</v>
      </c>
      <c r="I1812" s="312">
        <v>99.94</v>
      </c>
      <c r="J1812" s="312">
        <v>379.65999999999997</v>
      </c>
      <c r="K1812" s="312">
        <v>999.31999999999994</v>
      </c>
      <c r="M1812" t="s">
        <v>3576</v>
      </c>
      <c r="N1812" s="312">
        <v>52670.47</v>
      </c>
      <c r="O1812" s="312">
        <v>249235.82</v>
      </c>
      <c r="P1812" s="312">
        <v>50722.97</v>
      </c>
      <c r="Q1812" s="312">
        <v>183219.39</v>
      </c>
      <c r="R1812" s="312">
        <v>313567.65999999997</v>
      </c>
    </row>
    <row r="1813" spans="6:18">
      <c r="F1813" t="s">
        <v>3577</v>
      </c>
      <c r="G1813" s="312">
        <v>64.650000000000006</v>
      </c>
      <c r="H1813" s="312">
        <v>642.16999999999996</v>
      </c>
      <c r="I1813" s="312">
        <v>104.21</v>
      </c>
      <c r="J1813" s="312">
        <v>563</v>
      </c>
      <c r="K1813" s="312">
        <v>744.47</v>
      </c>
      <c r="M1813" t="s">
        <v>3577</v>
      </c>
      <c r="N1813" s="312">
        <v>29269.360000000001</v>
      </c>
      <c r="O1813" s="312">
        <v>273986.81</v>
      </c>
      <c r="P1813" s="312">
        <v>82962.91</v>
      </c>
      <c r="Q1813" s="312">
        <v>239505.71</v>
      </c>
      <c r="R1813" s="312">
        <v>224169.62</v>
      </c>
    </row>
    <row r="1814" spans="6:18">
      <c r="F1814" t="s">
        <v>3578</v>
      </c>
      <c r="G1814" s="312">
        <v>106.95</v>
      </c>
      <c r="H1814" s="312">
        <v>533.32000000000005</v>
      </c>
      <c r="I1814" s="312">
        <v>86.15</v>
      </c>
      <c r="J1814" s="312">
        <v>544.72</v>
      </c>
      <c r="K1814" s="312">
        <v>908.26</v>
      </c>
      <c r="M1814" t="s">
        <v>3578</v>
      </c>
      <c r="N1814" s="312">
        <v>61939.39</v>
      </c>
      <c r="O1814" s="312">
        <v>261303.39</v>
      </c>
      <c r="P1814" s="312">
        <v>71959.19</v>
      </c>
      <c r="Q1814" s="312">
        <v>388200.11</v>
      </c>
      <c r="R1814" s="312">
        <v>315905.3</v>
      </c>
    </row>
    <row r="1815" spans="6:18">
      <c r="F1815" t="s">
        <v>3579</v>
      </c>
      <c r="G1815" s="312">
        <v>88.98</v>
      </c>
      <c r="H1815" s="312">
        <v>487.36</v>
      </c>
      <c r="I1815" s="312">
        <v>82.12</v>
      </c>
      <c r="J1815" s="312">
        <v>534</v>
      </c>
      <c r="K1815" s="312">
        <v>785.16</v>
      </c>
      <c r="M1815" t="s">
        <v>3579</v>
      </c>
      <c r="N1815" s="312">
        <v>60860.94</v>
      </c>
      <c r="O1815" s="312">
        <v>254097.23</v>
      </c>
      <c r="P1815" s="312">
        <v>49746.2</v>
      </c>
      <c r="Q1815" s="312">
        <v>228431.44</v>
      </c>
      <c r="R1815" s="312">
        <v>242234.18</v>
      </c>
    </row>
    <row r="1816" spans="6:18">
      <c r="F1816" t="s">
        <v>3580</v>
      </c>
      <c r="G1816" s="312">
        <v>85.07</v>
      </c>
      <c r="H1816" s="312">
        <v>377.05</v>
      </c>
      <c r="I1816" s="312">
        <v>52.21</v>
      </c>
      <c r="J1816" s="312">
        <v>478.57</v>
      </c>
      <c r="K1816" s="312">
        <v>472.5</v>
      </c>
      <c r="M1816" t="s">
        <v>3580</v>
      </c>
      <c r="N1816" s="312">
        <v>39395.410000000003</v>
      </c>
      <c r="O1816" s="312">
        <v>178057.5</v>
      </c>
      <c r="P1816" s="312">
        <v>43967.95</v>
      </c>
      <c r="Q1816" s="312">
        <v>214323.22</v>
      </c>
      <c r="R1816" s="312">
        <v>130803.65</v>
      </c>
    </row>
    <row r="1817" spans="6:18">
      <c r="F1817" t="s">
        <v>3581</v>
      </c>
      <c r="G1817" s="312">
        <v>62.83</v>
      </c>
      <c r="H1817" s="312">
        <v>274.12</v>
      </c>
      <c r="I1817" s="312">
        <v>24.96</v>
      </c>
      <c r="J1817" s="312">
        <v>329.37</v>
      </c>
      <c r="K1817" s="312">
        <v>426.87</v>
      </c>
      <c r="M1817" t="s">
        <v>3581</v>
      </c>
      <c r="N1817" s="312">
        <v>34981.89</v>
      </c>
      <c r="O1817" s="312">
        <v>119568.32000000001</v>
      </c>
      <c r="P1817" s="312">
        <v>12757.83</v>
      </c>
      <c r="Q1817" s="312">
        <v>110862.56999999999</v>
      </c>
      <c r="R1817" s="312">
        <v>110894.95999999999</v>
      </c>
    </row>
    <row r="1818" spans="6:18">
      <c r="F1818" t="s">
        <v>3582</v>
      </c>
      <c r="G1818" s="312">
        <v>53.21</v>
      </c>
      <c r="H1818" s="312">
        <v>402.8</v>
      </c>
      <c r="I1818" s="312">
        <v>74.77</v>
      </c>
      <c r="J1818" s="312">
        <v>390.62</v>
      </c>
      <c r="K1818" s="312">
        <v>759.13</v>
      </c>
      <c r="M1818" t="s">
        <v>3582</v>
      </c>
      <c r="N1818" s="312">
        <v>32428.1</v>
      </c>
      <c r="O1818" s="312">
        <v>227387.03999999998</v>
      </c>
      <c r="P1818" s="312">
        <v>73080.350000000006</v>
      </c>
      <c r="Q1818" s="312">
        <v>169630.45</v>
      </c>
      <c r="R1818" s="312">
        <v>243878.07</v>
      </c>
    </row>
    <row r="1819" spans="6:18">
      <c r="F1819" t="s">
        <v>3583</v>
      </c>
      <c r="G1819" s="312">
        <v>83.48</v>
      </c>
      <c r="H1819" s="312">
        <v>480.39</v>
      </c>
      <c r="I1819" s="312">
        <v>44.06</v>
      </c>
      <c r="J1819" s="312">
        <v>534.16000000000008</v>
      </c>
      <c r="K1819" s="312">
        <v>745.31000000000006</v>
      </c>
      <c r="M1819" t="s">
        <v>3583</v>
      </c>
      <c r="N1819" s="312">
        <v>50217.16</v>
      </c>
      <c r="O1819" s="312">
        <v>229811.75</v>
      </c>
      <c r="P1819" s="312">
        <v>27818.65</v>
      </c>
      <c r="Q1819" s="312">
        <v>280650.76</v>
      </c>
      <c r="R1819" s="312">
        <v>234728.81</v>
      </c>
    </row>
    <row r="1820" spans="6:18">
      <c r="F1820" t="s">
        <v>3584</v>
      </c>
      <c r="G1820" s="312">
        <v>89.8</v>
      </c>
      <c r="H1820" s="312">
        <v>473.23</v>
      </c>
      <c r="I1820" s="312">
        <v>73.47</v>
      </c>
      <c r="J1820" s="312">
        <v>451.79</v>
      </c>
      <c r="K1820" s="312">
        <v>828.53</v>
      </c>
      <c r="M1820" t="s">
        <v>3584</v>
      </c>
      <c r="N1820" s="312">
        <v>52343.38</v>
      </c>
      <c r="O1820" s="312">
        <v>278901.27</v>
      </c>
      <c r="P1820" s="312">
        <v>76507.149999999994</v>
      </c>
      <c r="Q1820" s="312">
        <v>228744.13</v>
      </c>
      <c r="R1820" s="312">
        <v>265867.42</v>
      </c>
    </row>
    <row r="1821" spans="6:18">
      <c r="F1821" t="s">
        <v>3585</v>
      </c>
      <c r="G1821" s="312">
        <v>81.31</v>
      </c>
      <c r="H1821" s="312">
        <v>340.54</v>
      </c>
      <c r="I1821" s="312">
        <v>34.989999999999995</v>
      </c>
      <c r="J1821" s="312">
        <v>459.01</v>
      </c>
      <c r="K1821" s="312">
        <v>755.92000000000007</v>
      </c>
      <c r="M1821" t="s">
        <v>3585</v>
      </c>
      <c r="N1821" s="312">
        <v>49888.03</v>
      </c>
      <c r="O1821" s="312">
        <v>138641.25</v>
      </c>
      <c r="P1821" s="312">
        <v>16317.66</v>
      </c>
      <c r="Q1821" s="312">
        <v>258765.45</v>
      </c>
      <c r="R1821" s="312">
        <v>215910.86</v>
      </c>
    </row>
    <row r="1822" spans="6:18">
      <c r="F1822" t="s">
        <v>3586</v>
      </c>
      <c r="G1822" s="312">
        <v>123.36</v>
      </c>
      <c r="H1822" s="312">
        <v>366.58</v>
      </c>
      <c r="I1822" s="312">
        <v>45.26</v>
      </c>
      <c r="J1822" s="312">
        <v>321.17</v>
      </c>
      <c r="K1822" s="312">
        <v>663.67</v>
      </c>
      <c r="M1822" t="s">
        <v>3586</v>
      </c>
      <c r="N1822" s="312">
        <v>62859.740000000005</v>
      </c>
      <c r="O1822" s="312">
        <v>160283</v>
      </c>
      <c r="P1822" s="312">
        <v>24045.75</v>
      </c>
      <c r="Q1822" s="312">
        <v>197200.30000000002</v>
      </c>
      <c r="R1822" s="312">
        <v>231336.66999999998</v>
      </c>
    </row>
    <row r="1823" spans="6:18">
      <c r="F1823" t="s">
        <v>3587</v>
      </c>
      <c r="G1823" s="312">
        <v>104.5</v>
      </c>
      <c r="H1823" s="312">
        <v>182.93</v>
      </c>
      <c r="I1823" s="312">
        <v>13.45</v>
      </c>
      <c r="J1823" s="312">
        <v>288.03000000000003</v>
      </c>
      <c r="K1823" s="312">
        <v>477.98</v>
      </c>
      <c r="M1823" t="s">
        <v>3587</v>
      </c>
      <c r="N1823" s="312">
        <v>58667.839999999997</v>
      </c>
      <c r="O1823" s="312">
        <v>86099.799999999988</v>
      </c>
      <c r="P1823" s="312">
        <v>9419.32</v>
      </c>
      <c r="Q1823" s="312">
        <v>139842.42000000001</v>
      </c>
      <c r="R1823" s="312">
        <v>163393.93</v>
      </c>
    </row>
    <row r="1824" spans="6:18">
      <c r="F1824" t="s">
        <v>3588</v>
      </c>
      <c r="G1824" s="312">
        <v>105.17</v>
      </c>
      <c r="H1824" s="312">
        <v>240.84</v>
      </c>
      <c r="I1824" s="312">
        <v>6.08</v>
      </c>
      <c r="J1824" s="312">
        <v>57.32</v>
      </c>
      <c r="K1824" s="312">
        <v>591.79</v>
      </c>
      <c r="M1824" t="s">
        <v>3588</v>
      </c>
      <c r="N1824" s="312">
        <v>42821.899999999994</v>
      </c>
      <c r="O1824" s="312">
        <v>98160.12</v>
      </c>
      <c r="P1824" s="312">
        <v>4278</v>
      </c>
      <c r="Q1824" s="312">
        <v>16575.489999999998</v>
      </c>
      <c r="R1824" s="312">
        <v>155514.43</v>
      </c>
    </row>
    <row r="1825" spans="6:18">
      <c r="F1825" t="s">
        <v>3589</v>
      </c>
      <c r="G1825" s="312">
        <v>120.05000000000001</v>
      </c>
      <c r="H1825" s="312">
        <v>374.79</v>
      </c>
      <c r="I1825" s="312">
        <v>39.94</v>
      </c>
      <c r="J1825" s="312">
        <v>356.89</v>
      </c>
      <c r="K1825" s="312">
        <v>824.92</v>
      </c>
      <c r="M1825" t="s">
        <v>3589</v>
      </c>
      <c r="N1825" s="312">
        <v>50378.15</v>
      </c>
      <c r="O1825" s="312">
        <v>186802.24</v>
      </c>
      <c r="P1825" s="312">
        <v>26506.690000000002</v>
      </c>
      <c r="Q1825" s="312">
        <v>130329.5</v>
      </c>
      <c r="R1825" s="312">
        <v>274238.61</v>
      </c>
    </row>
    <row r="1826" spans="6:18">
      <c r="F1826" t="s">
        <v>3590</v>
      </c>
      <c r="G1826" s="312">
        <v>117.47</v>
      </c>
      <c r="H1826" s="312">
        <v>305.58000000000004</v>
      </c>
      <c r="I1826" s="312">
        <v>88.31</v>
      </c>
      <c r="J1826" s="312">
        <v>366.57</v>
      </c>
      <c r="K1826" s="312">
        <v>992.98</v>
      </c>
      <c r="M1826" t="s">
        <v>3590</v>
      </c>
      <c r="N1826" s="312">
        <v>77384.239999999991</v>
      </c>
      <c r="O1826" s="312">
        <v>167995.31999999998</v>
      </c>
      <c r="P1826" s="312">
        <v>52114.63</v>
      </c>
      <c r="Q1826" s="312">
        <v>186325.27</v>
      </c>
      <c r="R1826" s="312">
        <v>269902.37</v>
      </c>
    </row>
    <row r="1827" spans="6:18">
      <c r="F1827" t="s">
        <v>3591</v>
      </c>
      <c r="G1827" s="312">
        <v>67.849999999999994</v>
      </c>
      <c r="H1827" s="312">
        <v>307.57</v>
      </c>
      <c r="I1827" s="312">
        <v>89.830000000000013</v>
      </c>
      <c r="J1827" s="312">
        <v>514.27</v>
      </c>
      <c r="K1827" s="312">
        <v>782.13000000000011</v>
      </c>
      <c r="M1827" t="s">
        <v>3591</v>
      </c>
      <c r="N1827" s="312">
        <v>25165.14</v>
      </c>
      <c r="O1827" s="312">
        <v>116177.64000000001</v>
      </c>
      <c r="P1827" s="312">
        <v>89981.93</v>
      </c>
      <c r="Q1827" s="312">
        <v>275028.96000000002</v>
      </c>
      <c r="R1827" s="312">
        <v>195256.95</v>
      </c>
    </row>
    <row r="1828" spans="6:18">
      <c r="F1828" t="s">
        <v>3592</v>
      </c>
      <c r="G1828" s="312">
        <v>81.900000000000006</v>
      </c>
      <c r="H1828" s="312">
        <v>360.38</v>
      </c>
      <c r="I1828" s="312">
        <v>98.85</v>
      </c>
      <c r="J1828" s="312">
        <v>492.10999999999996</v>
      </c>
      <c r="K1828" s="312">
        <v>674.31999999999994</v>
      </c>
      <c r="M1828" t="s">
        <v>3592</v>
      </c>
      <c r="N1828" s="312">
        <v>38968.99</v>
      </c>
      <c r="O1828" s="312">
        <v>175832.5</v>
      </c>
      <c r="P1828" s="312">
        <v>90578.76</v>
      </c>
      <c r="Q1828" s="312">
        <v>224009.26</v>
      </c>
      <c r="R1828" s="312">
        <v>194842.78</v>
      </c>
    </row>
    <row r="1829" spans="6:18">
      <c r="F1829" t="s">
        <v>3593</v>
      </c>
      <c r="G1829" s="312">
        <v>48.739999999999995</v>
      </c>
      <c r="H1829" s="312">
        <v>380.49</v>
      </c>
      <c r="I1829" s="312">
        <v>82.06</v>
      </c>
      <c r="J1829" s="312">
        <v>557.12</v>
      </c>
      <c r="K1829" s="312">
        <v>916.75</v>
      </c>
      <c r="M1829" t="s">
        <v>3593</v>
      </c>
      <c r="N1829" s="312">
        <v>43598.66</v>
      </c>
      <c r="O1829" s="312">
        <v>199222.86</v>
      </c>
      <c r="P1829" s="312">
        <v>89415.96</v>
      </c>
      <c r="Q1829" s="312">
        <v>299121.46999999997</v>
      </c>
      <c r="R1829" s="312">
        <v>385409.82</v>
      </c>
    </row>
    <row r="1830" spans="6:18">
      <c r="F1830" t="s">
        <v>3594</v>
      </c>
      <c r="G1830" s="312">
        <v>68.97</v>
      </c>
      <c r="H1830" s="312">
        <v>234.63</v>
      </c>
      <c r="I1830" s="312">
        <v>140.79</v>
      </c>
      <c r="J1830" s="312">
        <v>316.74</v>
      </c>
      <c r="K1830" s="312">
        <v>640.91</v>
      </c>
      <c r="M1830" t="s">
        <v>3594</v>
      </c>
      <c r="N1830" s="312">
        <v>37138.35</v>
      </c>
      <c r="O1830" s="312">
        <v>118974.31</v>
      </c>
      <c r="P1830" s="312">
        <v>59073.96</v>
      </c>
      <c r="Q1830" s="312">
        <v>161534.51</v>
      </c>
      <c r="R1830" s="312">
        <v>219914.2</v>
      </c>
    </row>
    <row r="1831" spans="6:18">
      <c r="F1831" t="s">
        <v>3595</v>
      </c>
      <c r="G1831" s="312">
        <v>85.11</v>
      </c>
      <c r="H1831" s="312">
        <v>221.42000000000002</v>
      </c>
      <c r="I1831" s="312">
        <v>7.36</v>
      </c>
      <c r="J1831" s="312">
        <v>191.91</v>
      </c>
      <c r="K1831" s="312">
        <v>463.58</v>
      </c>
      <c r="M1831" t="s">
        <v>3595</v>
      </c>
      <c r="N1831" s="312">
        <v>35544.800000000003</v>
      </c>
      <c r="O1831" s="312">
        <v>104323.76</v>
      </c>
      <c r="P1831" s="312">
        <v>2089.83</v>
      </c>
      <c r="Q1831" s="312">
        <v>59804.869999999995</v>
      </c>
      <c r="R1831" s="312">
        <v>143779.70000000001</v>
      </c>
    </row>
    <row r="1832" spans="6:18">
      <c r="F1832" t="s">
        <v>3596</v>
      </c>
      <c r="G1832" s="312">
        <v>59.36</v>
      </c>
      <c r="H1832" s="312">
        <v>332.38</v>
      </c>
      <c r="I1832" s="312">
        <v>47.33</v>
      </c>
      <c r="J1832" s="312">
        <v>263.94</v>
      </c>
      <c r="K1832" s="312">
        <v>548.88</v>
      </c>
      <c r="M1832" t="s">
        <v>3596</v>
      </c>
      <c r="N1832" s="312">
        <v>16988.22</v>
      </c>
      <c r="O1832" s="312">
        <v>179965.5</v>
      </c>
      <c r="P1832" s="312">
        <v>65345.38</v>
      </c>
      <c r="Q1832" s="312">
        <v>164281.19999999998</v>
      </c>
      <c r="R1832" s="312">
        <v>151627.69</v>
      </c>
    </row>
    <row r="1833" spans="6:18">
      <c r="F1833" t="s">
        <v>3597</v>
      </c>
      <c r="G1833" s="312">
        <v>46.7</v>
      </c>
      <c r="H1833" s="312">
        <v>341.15999999999997</v>
      </c>
      <c r="I1833" s="312">
        <v>180.06</v>
      </c>
      <c r="J1833" s="312">
        <v>432.65</v>
      </c>
      <c r="K1833" s="312">
        <v>791.11</v>
      </c>
      <c r="M1833" t="s">
        <v>3597</v>
      </c>
      <c r="N1833" s="312">
        <v>21531</v>
      </c>
      <c r="O1833" s="312">
        <v>158758.29</v>
      </c>
      <c r="P1833" s="312">
        <v>122885.25</v>
      </c>
      <c r="Q1833" s="312">
        <v>175264.41</v>
      </c>
      <c r="R1833" s="312">
        <v>235978.18</v>
      </c>
    </row>
    <row r="1834" spans="6:18">
      <c r="F1834" t="s">
        <v>3598</v>
      </c>
      <c r="G1834" s="312">
        <v>139.34</v>
      </c>
      <c r="H1834" s="312">
        <v>425.26</v>
      </c>
      <c r="I1834" s="312">
        <v>89.9</v>
      </c>
      <c r="J1834" s="312">
        <v>390.17999999999995</v>
      </c>
      <c r="K1834" s="312">
        <v>742</v>
      </c>
      <c r="M1834" t="s">
        <v>3598</v>
      </c>
      <c r="N1834" s="312">
        <v>67279.67</v>
      </c>
      <c r="O1834" s="312">
        <v>193789.03</v>
      </c>
      <c r="P1834" s="312">
        <v>55977</v>
      </c>
      <c r="Q1834" s="312">
        <v>241327.4</v>
      </c>
      <c r="R1834" s="312">
        <v>251991.21000000002</v>
      </c>
    </row>
    <row r="1835" spans="6:18">
      <c r="F1835" t="s">
        <v>3599</v>
      </c>
      <c r="G1835" s="312">
        <v>60.85</v>
      </c>
      <c r="H1835" s="312">
        <v>376.29</v>
      </c>
      <c r="I1835" s="312">
        <v>100.15</v>
      </c>
      <c r="J1835" s="312">
        <v>411.88</v>
      </c>
      <c r="K1835" s="312">
        <v>772.6</v>
      </c>
      <c r="M1835" t="s">
        <v>3599</v>
      </c>
      <c r="N1835" s="312">
        <v>32637.7</v>
      </c>
      <c r="O1835" s="312">
        <v>181041.02</v>
      </c>
      <c r="P1835" s="312">
        <v>61202.11</v>
      </c>
      <c r="Q1835" s="312">
        <v>250351.34</v>
      </c>
      <c r="R1835" s="312">
        <v>220599.16999999998</v>
      </c>
    </row>
    <row r="1836" spans="6:18">
      <c r="F1836" t="s">
        <v>3600</v>
      </c>
      <c r="G1836" s="312">
        <v>86.04</v>
      </c>
      <c r="H1836" s="312">
        <v>284.62</v>
      </c>
      <c r="I1836" s="312">
        <v>96.3</v>
      </c>
      <c r="J1836" s="312">
        <v>364.85</v>
      </c>
      <c r="K1836" s="312">
        <v>967.18999999999994</v>
      </c>
      <c r="M1836" t="s">
        <v>3600</v>
      </c>
      <c r="N1836" s="312">
        <v>25922.75</v>
      </c>
      <c r="O1836" s="312">
        <v>140757.12</v>
      </c>
      <c r="P1836" s="312">
        <v>79002.37</v>
      </c>
      <c r="Q1836" s="312">
        <v>186502.91</v>
      </c>
      <c r="R1836" s="312">
        <v>302371.42</v>
      </c>
    </row>
    <row r="1837" spans="6:18">
      <c r="F1837" t="s">
        <v>3601</v>
      </c>
      <c r="G1837" s="312">
        <v>88.38</v>
      </c>
      <c r="H1837" s="312">
        <v>226.25</v>
      </c>
      <c r="I1837" s="312">
        <v>57.65</v>
      </c>
      <c r="J1837" s="312">
        <v>345.35</v>
      </c>
      <c r="K1837" s="312">
        <v>640.9</v>
      </c>
      <c r="M1837" t="s">
        <v>3601</v>
      </c>
      <c r="N1837" s="312">
        <v>47532.47</v>
      </c>
      <c r="O1837" s="312">
        <v>108654.98000000001</v>
      </c>
      <c r="P1837" s="312">
        <v>70089.13</v>
      </c>
      <c r="Q1837" s="312">
        <v>166498.66999999998</v>
      </c>
      <c r="R1837" s="312">
        <v>213081.06</v>
      </c>
    </row>
    <row r="1838" spans="6:18">
      <c r="F1838" t="s">
        <v>3602</v>
      </c>
      <c r="G1838" s="312">
        <v>132.85999999999999</v>
      </c>
      <c r="H1838" s="312">
        <v>206.62</v>
      </c>
      <c r="I1838" s="312">
        <v>32.880000000000003</v>
      </c>
      <c r="J1838" s="312">
        <v>244.08999999999997</v>
      </c>
      <c r="K1838" s="312">
        <v>713.03</v>
      </c>
      <c r="M1838" t="s">
        <v>3602</v>
      </c>
      <c r="N1838" s="312">
        <v>59893.75</v>
      </c>
      <c r="O1838" s="312">
        <v>81183.8</v>
      </c>
      <c r="P1838" s="312">
        <v>27624.85</v>
      </c>
      <c r="Q1838" s="312">
        <v>125491.54</v>
      </c>
      <c r="R1838" s="312">
        <v>218663.41</v>
      </c>
    </row>
    <row r="1839" spans="6:18">
      <c r="F1839" t="s">
        <v>3603</v>
      </c>
      <c r="G1839" s="312">
        <v>75.289999999999992</v>
      </c>
      <c r="H1839" s="312">
        <v>289.82</v>
      </c>
      <c r="I1839" s="312">
        <v>91.390000000000015</v>
      </c>
      <c r="J1839" s="312">
        <v>313.12</v>
      </c>
      <c r="K1839" s="312">
        <v>822.40000000000009</v>
      </c>
      <c r="M1839" t="s">
        <v>3603</v>
      </c>
      <c r="N1839" s="312">
        <v>68148.19</v>
      </c>
      <c r="O1839" s="312">
        <v>131799.60999999999</v>
      </c>
      <c r="P1839" s="312">
        <v>80861.600000000006</v>
      </c>
      <c r="Q1839" s="312">
        <v>154439.33000000002</v>
      </c>
      <c r="R1839" s="312">
        <v>293120.03000000003</v>
      </c>
    </row>
    <row r="1840" spans="6:18">
      <c r="F1840" t="s">
        <v>3604</v>
      </c>
      <c r="G1840" s="312">
        <v>77.08</v>
      </c>
      <c r="H1840" s="312">
        <v>468.58000000000004</v>
      </c>
      <c r="I1840" s="312">
        <v>85.589999999999989</v>
      </c>
      <c r="J1840" s="312">
        <v>435.65999999999997</v>
      </c>
      <c r="K1840" s="312">
        <v>969.09</v>
      </c>
      <c r="M1840" t="s">
        <v>3604</v>
      </c>
      <c r="N1840" s="312">
        <v>33921.82</v>
      </c>
      <c r="O1840" s="312">
        <v>229780.82</v>
      </c>
      <c r="P1840" s="312">
        <v>71508.08</v>
      </c>
      <c r="Q1840" s="312">
        <v>164817.65000000002</v>
      </c>
      <c r="R1840" s="312">
        <v>389152.5</v>
      </c>
    </row>
    <row r="1841" spans="6:18">
      <c r="F1841" t="s">
        <v>3605</v>
      </c>
      <c r="G1841" s="312">
        <v>86.8</v>
      </c>
      <c r="H1841" s="312">
        <v>394.53</v>
      </c>
      <c r="I1841" s="312">
        <v>92.11</v>
      </c>
      <c r="J1841" s="312">
        <v>476.32</v>
      </c>
      <c r="K1841" s="312">
        <v>841.92</v>
      </c>
      <c r="M1841" t="s">
        <v>3605</v>
      </c>
      <c r="N1841" s="312">
        <v>48737.98</v>
      </c>
      <c r="O1841" s="312">
        <v>196815.69999999998</v>
      </c>
      <c r="P1841" s="312">
        <v>87131.29</v>
      </c>
      <c r="Q1841" s="312">
        <v>212773.72</v>
      </c>
      <c r="R1841" s="312">
        <v>278734.82</v>
      </c>
    </row>
    <row r="1842" spans="6:18">
      <c r="F1842" t="s">
        <v>3606</v>
      </c>
      <c r="G1842" s="312">
        <v>100.24000000000001</v>
      </c>
      <c r="H1842" s="312">
        <v>422.61</v>
      </c>
      <c r="I1842" s="312">
        <v>116.66000000000001</v>
      </c>
      <c r="J1842" s="312">
        <v>531.04999999999995</v>
      </c>
      <c r="K1842" s="312">
        <v>844</v>
      </c>
      <c r="M1842" t="s">
        <v>3606</v>
      </c>
      <c r="N1842" s="312">
        <v>47589.41</v>
      </c>
      <c r="O1842" s="312">
        <v>191533.02</v>
      </c>
      <c r="P1842" s="312">
        <v>88787.959999999992</v>
      </c>
      <c r="Q1842" s="312">
        <v>186669.43</v>
      </c>
      <c r="R1842" s="312">
        <v>290827.03000000003</v>
      </c>
    </row>
    <row r="1843" spans="6:18">
      <c r="F1843" t="s">
        <v>3607</v>
      </c>
      <c r="G1843" s="312">
        <v>69.67</v>
      </c>
      <c r="H1843" s="312">
        <v>430.37</v>
      </c>
      <c r="I1843" s="312">
        <v>58.269999999999996</v>
      </c>
      <c r="J1843" s="312">
        <v>496.2</v>
      </c>
      <c r="K1843" s="312">
        <v>890.46</v>
      </c>
      <c r="M1843" t="s">
        <v>3607</v>
      </c>
      <c r="N1843" s="312">
        <v>39994.910000000003</v>
      </c>
      <c r="O1843" s="312">
        <v>226530.33</v>
      </c>
      <c r="P1843" s="312">
        <v>27999.75</v>
      </c>
      <c r="Q1843" s="312">
        <v>176266.04</v>
      </c>
      <c r="R1843" s="312">
        <v>281608.93</v>
      </c>
    </row>
    <row r="1844" spans="6:18">
      <c r="F1844" t="s">
        <v>3608</v>
      </c>
      <c r="G1844" s="312">
        <v>64.84</v>
      </c>
      <c r="H1844" s="312">
        <v>283.28999999999996</v>
      </c>
      <c r="I1844" s="312">
        <v>22.86</v>
      </c>
      <c r="J1844" s="312">
        <v>498.93</v>
      </c>
      <c r="K1844" s="312">
        <v>594.02</v>
      </c>
      <c r="M1844" t="s">
        <v>3608</v>
      </c>
      <c r="N1844" s="312">
        <v>33328.550000000003</v>
      </c>
      <c r="O1844" s="312">
        <v>191797.29</v>
      </c>
      <c r="P1844" s="312">
        <v>14601.65</v>
      </c>
      <c r="Q1844" s="312">
        <v>234717.31</v>
      </c>
      <c r="R1844" s="312">
        <v>233929.11</v>
      </c>
    </row>
    <row r="1845" spans="6:18">
      <c r="F1845" t="s">
        <v>3609</v>
      </c>
      <c r="G1845" s="312">
        <v>32.26</v>
      </c>
      <c r="H1845" s="312">
        <v>286.05</v>
      </c>
      <c r="I1845" s="312">
        <v>18.54</v>
      </c>
      <c r="J1845" s="312">
        <v>316.55</v>
      </c>
      <c r="K1845" s="312">
        <v>563.74</v>
      </c>
      <c r="M1845" t="s">
        <v>3609</v>
      </c>
      <c r="N1845" s="312">
        <v>9261.41</v>
      </c>
      <c r="O1845" s="312">
        <v>177847.85</v>
      </c>
      <c r="P1845" s="312">
        <v>6393.63</v>
      </c>
      <c r="Q1845" s="312">
        <v>163041.45000000001</v>
      </c>
      <c r="R1845" s="312">
        <v>183758.61000000002</v>
      </c>
    </row>
    <row r="1846" spans="6:18">
      <c r="F1846" t="s">
        <v>3610</v>
      </c>
      <c r="G1846" s="312">
        <v>37.19</v>
      </c>
      <c r="H1846" s="312">
        <v>384.36</v>
      </c>
      <c r="I1846" s="312">
        <v>114.83</v>
      </c>
      <c r="J1846" s="312">
        <v>408.26</v>
      </c>
      <c r="K1846" s="312">
        <v>855.01</v>
      </c>
      <c r="M1846" t="s">
        <v>3610</v>
      </c>
      <c r="N1846" s="312">
        <v>16094.08</v>
      </c>
      <c r="O1846" s="312">
        <v>184471.84999999998</v>
      </c>
      <c r="P1846" s="312">
        <v>72305.69</v>
      </c>
      <c r="Q1846" s="312">
        <v>183745.6</v>
      </c>
      <c r="R1846" s="312">
        <v>264874.44</v>
      </c>
    </row>
    <row r="1847" spans="6:18">
      <c r="F1847" t="s">
        <v>3611</v>
      </c>
      <c r="G1847" s="312">
        <v>59.959999999999994</v>
      </c>
      <c r="H1847" s="312">
        <v>341.43999999999994</v>
      </c>
      <c r="I1847" s="312">
        <v>130.47</v>
      </c>
      <c r="J1847" s="312">
        <v>493.17</v>
      </c>
      <c r="K1847" s="312">
        <v>838.31999999999994</v>
      </c>
      <c r="M1847" t="s">
        <v>3611</v>
      </c>
      <c r="N1847" s="312">
        <v>26266.59</v>
      </c>
      <c r="O1847" s="312">
        <v>175897.79</v>
      </c>
      <c r="P1847" s="312">
        <v>83888.569999999992</v>
      </c>
      <c r="Q1847" s="312">
        <v>236939.79</v>
      </c>
      <c r="R1847" s="312">
        <v>287229.24</v>
      </c>
    </row>
    <row r="1848" spans="6:18">
      <c r="F1848" t="s">
        <v>3612</v>
      </c>
      <c r="G1848" s="312">
        <v>51.63</v>
      </c>
      <c r="H1848" s="312">
        <v>265.32</v>
      </c>
      <c r="I1848" s="312">
        <v>149.41</v>
      </c>
      <c r="J1848" s="312">
        <v>488.61</v>
      </c>
      <c r="K1848" s="312">
        <v>1091.72</v>
      </c>
      <c r="M1848" t="s">
        <v>3612</v>
      </c>
      <c r="N1848" s="312">
        <v>20381.03</v>
      </c>
      <c r="O1848" s="312">
        <v>106731.03</v>
      </c>
      <c r="P1848" s="312">
        <v>198142.37000000002</v>
      </c>
      <c r="Q1848" s="312">
        <v>225361.28</v>
      </c>
      <c r="R1848" s="312">
        <v>377097.64</v>
      </c>
    </row>
    <row r="1849" spans="6:18">
      <c r="F1849" t="s">
        <v>3613</v>
      </c>
      <c r="G1849" s="312">
        <v>80.25</v>
      </c>
      <c r="H1849" s="312">
        <v>307.64999999999998</v>
      </c>
      <c r="I1849" s="312">
        <v>108.19</v>
      </c>
      <c r="J1849" s="312">
        <v>557.37</v>
      </c>
      <c r="K1849" s="312">
        <v>1056.81</v>
      </c>
      <c r="M1849" t="s">
        <v>3613</v>
      </c>
      <c r="N1849" s="312">
        <v>43937.14</v>
      </c>
      <c r="O1849" s="312">
        <v>156899.65</v>
      </c>
      <c r="P1849" s="312">
        <v>69102.28</v>
      </c>
      <c r="Q1849" s="312">
        <v>269111.8</v>
      </c>
      <c r="R1849" s="312">
        <v>383855.18000000005</v>
      </c>
    </row>
    <row r="1850" spans="6:18">
      <c r="F1850" t="s">
        <v>3614</v>
      </c>
      <c r="G1850" s="312">
        <v>76.48</v>
      </c>
      <c r="H1850" s="312">
        <v>437.5</v>
      </c>
      <c r="I1850" s="312">
        <v>76.28</v>
      </c>
      <c r="J1850" s="312">
        <v>299.57</v>
      </c>
      <c r="K1850" s="312">
        <v>954.26</v>
      </c>
      <c r="M1850" t="s">
        <v>3614</v>
      </c>
      <c r="N1850" s="312">
        <v>51620.39</v>
      </c>
      <c r="O1850" s="312">
        <v>269151.89</v>
      </c>
      <c r="P1850" s="312">
        <v>55557.15</v>
      </c>
      <c r="Q1850" s="312">
        <v>194618.39</v>
      </c>
      <c r="R1850" s="312">
        <v>320829.82999999996</v>
      </c>
    </row>
    <row r="1851" spans="6:18">
      <c r="F1851" t="s">
        <v>3615</v>
      </c>
      <c r="G1851" s="312">
        <v>88.009999999999991</v>
      </c>
      <c r="H1851" s="312">
        <v>208.8</v>
      </c>
      <c r="I1851" s="312">
        <v>44.46</v>
      </c>
      <c r="J1851" s="312">
        <v>462.83000000000004</v>
      </c>
      <c r="K1851" s="312">
        <v>767.06999999999994</v>
      </c>
      <c r="M1851" t="s">
        <v>3615</v>
      </c>
      <c r="N1851" s="312">
        <v>45875.39</v>
      </c>
      <c r="O1851" s="312">
        <v>106402.47</v>
      </c>
      <c r="P1851" s="312">
        <v>22602.73</v>
      </c>
      <c r="Q1851" s="312">
        <v>193260.27</v>
      </c>
      <c r="R1851" s="312">
        <v>237551.18</v>
      </c>
    </row>
    <row r="1852" spans="6:18">
      <c r="F1852" t="s">
        <v>3616</v>
      </c>
      <c r="G1852" s="312">
        <v>93.11999999999999</v>
      </c>
      <c r="H1852" s="312">
        <v>147.93</v>
      </c>
      <c r="I1852" s="312">
        <v>30.92</v>
      </c>
      <c r="J1852" s="312">
        <v>350.98</v>
      </c>
      <c r="K1852" s="312">
        <v>711.11999999999989</v>
      </c>
      <c r="M1852" t="s">
        <v>3616</v>
      </c>
      <c r="N1852" s="312">
        <v>30394.21</v>
      </c>
      <c r="O1852" s="312">
        <v>61704.649999999994</v>
      </c>
      <c r="P1852" s="312">
        <v>19557.97</v>
      </c>
      <c r="Q1852" s="312">
        <v>167965.28</v>
      </c>
      <c r="R1852" s="312">
        <v>222911.95</v>
      </c>
    </row>
    <row r="1853" spans="6:18">
      <c r="F1853" t="s">
        <v>3617</v>
      </c>
      <c r="G1853" s="312">
        <v>71.75</v>
      </c>
      <c r="H1853" s="312">
        <v>296.87</v>
      </c>
      <c r="I1853" s="312">
        <v>83.81</v>
      </c>
      <c r="J1853" s="312">
        <v>494.96000000000004</v>
      </c>
      <c r="K1853" s="312">
        <v>779.15000000000009</v>
      </c>
      <c r="M1853" t="s">
        <v>3617</v>
      </c>
      <c r="N1853" s="312">
        <v>35077.590000000004</v>
      </c>
      <c r="O1853" s="312">
        <v>142755.66</v>
      </c>
      <c r="P1853" s="312">
        <v>38064.21</v>
      </c>
      <c r="Q1853" s="312">
        <v>230307.12</v>
      </c>
      <c r="R1853" s="312">
        <v>262130.46000000002</v>
      </c>
    </row>
    <row r="1854" spans="6:18">
      <c r="F1854" t="s">
        <v>3618</v>
      </c>
      <c r="G1854" s="312">
        <v>135.71</v>
      </c>
      <c r="H1854" s="312">
        <v>280.44</v>
      </c>
      <c r="I1854" s="312">
        <v>96.51</v>
      </c>
      <c r="J1854" s="312">
        <v>532.37</v>
      </c>
      <c r="K1854" s="312">
        <v>934.90000000000009</v>
      </c>
      <c r="M1854" t="s">
        <v>3618</v>
      </c>
      <c r="N1854" s="312">
        <v>73337.509999999995</v>
      </c>
      <c r="O1854" s="312">
        <v>125438.20999999999</v>
      </c>
      <c r="P1854" s="312">
        <v>64488.21</v>
      </c>
      <c r="Q1854" s="312">
        <v>230827.56</v>
      </c>
      <c r="R1854" s="312">
        <v>307515.5</v>
      </c>
    </row>
    <row r="1855" spans="6:18">
      <c r="F1855" t="s">
        <v>3619</v>
      </c>
      <c r="G1855" s="312">
        <v>123.76</v>
      </c>
      <c r="H1855" s="312">
        <v>252.93</v>
      </c>
      <c r="I1855" s="312">
        <v>116.02</v>
      </c>
      <c r="J1855" s="312">
        <v>477.05</v>
      </c>
      <c r="K1855" s="312">
        <v>967.96</v>
      </c>
      <c r="M1855" t="s">
        <v>3619</v>
      </c>
      <c r="N1855" s="312">
        <v>63701.07</v>
      </c>
      <c r="O1855" s="312">
        <v>141463.71000000002</v>
      </c>
      <c r="P1855" s="312">
        <v>51291.62</v>
      </c>
      <c r="Q1855" s="312">
        <v>283165.36</v>
      </c>
      <c r="R1855" s="312">
        <v>323066.59999999998</v>
      </c>
    </row>
    <row r="1856" spans="6:18">
      <c r="F1856" t="s">
        <v>3620</v>
      </c>
      <c r="G1856" s="312">
        <v>90.080000000000013</v>
      </c>
      <c r="H1856" s="312">
        <v>329.77</v>
      </c>
      <c r="I1856" s="312">
        <v>106.6</v>
      </c>
      <c r="J1856" s="312">
        <v>626.04</v>
      </c>
      <c r="K1856" s="312">
        <v>809.56000000000006</v>
      </c>
      <c r="M1856" t="s">
        <v>3620</v>
      </c>
      <c r="N1856" s="312">
        <v>56782.930000000008</v>
      </c>
      <c r="O1856" s="312">
        <v>147066.38</v>
      </c>
      <c r="P1856" s="312">
        <v>65189.52</v>
      </c>
      <c r="Q1856" s="312">
        <v>252911.66</v>
      </c>
      <c r="R1856" s="312">
        <v>252414.2</v>
      </c>
    </row>
    <row r="1857" spans="6:18">
      <c r="F1857" t="s">
        <v>3621</v>
      </c>
      <c r="G1857" s="312">
        <v>88.300000000000011</v>
      </c>
      <c r="H1857" s="312">
        <v>295.48</v>
      </c>
      <c r="I1857" s="312">
        <v>98.78</v>
      </c>
      <c r="J1857" s="312">
        <v>570.1099999999999</v>
      </c>
      <c r="K1857" s="312">
        <v>708.97</v>
      </c>
      <c r="M1857" t="s">
        <v>3621</v>
      </c>
      <c r="N1857" s="312">
        <v>41732.410000000003</v>
      </c>
      <c r="O1857" s="312">
        <v>170656.56</v>
      </c>
      <c r="P1857" s="312">
        <v>65862.83</v>
      </c>
      <c r="Q1857" s="312">
        <v>285981.59999999998</v>
      </c>
      <c r="R1857" s="312">
        <v>267218.87</v>
      </c>
    </row>
    <row r="1858" spans="6:18">
      <c r="F1858" t="s">
        <v>3622</v>
      </c>
      <c r="G1858" s="312">
        <v>100.56</v>
      </c>
      <c r="H1858" s="312">
        <v>232.57</v>
      </c>
      <c r="I1858" s="312">
        <v>60.62</v>
      </c>
      <c r="J1858" s="312">
        <v>384.65</v>
      </c>
      <c r="K1858" s="312">
        <v>543.79999999999995</v>
      </c>
      <c r="M1858" t="s">
        <v>3622</v>
      </c>
      <c r="N1858" s="312">
        <v>43613.69</v>
      </c>
      <c r="O1858" s="312">
        <v>147963.05000000002</v>
      </c>
      <c r="P1858" s="312">
        <v>37215.43</v>
      </c>
      <c r="Q1858" s="312">
        <v>144551.85999999999</v>
      </c>
      <c r="R1858" s="312">
        <v>171588.07</v>
      </c>
    </row>
    <row r="1859" spans="6:18">
      <c r="F1859" t="s">
        <v>3623</v>
      </c>
      <c r="G1859" s="312">
        <v>100</v>
      </c>
      <c r="H1859" s="312">
        <v>131.30000000000001</v>
      </c>
      <c r="I1859" s="312">
        <v>35.06</v>
      </c>
      <c r="J1859" s="312">
        <v>347.88</v>
      </c>
      <c r="K1859" s="312">
        <v>607.99</v>
      </c>
      <c r="M1859" t="s">
        <v>3623</v>
      </c>
      <c r="N1859" s="312">
        <v>49430.06</v>
      </c>
      <c r="O1859" s="312">
        <v>60256.479999999996</v>
      </c>
      <c r="P1859" s="312">
        <v>10199.67</v>
      </c>
      <c r="Q1859" s="312">
        <v>182431.66</v>
      </c>
      <c r="R1859" s="312">
        <v>171351.05</v>
      </c>
    </row>
    <row r="1860" spans="6:18">
      <c r="F1860" t="s">
        <v>3624</v>
      </c>
      <c r="G1860" s="312">
        <v>86.289999999999992</v>
      </c>
      <c r="H1860" s="312">
        <v>257.95</v>
      </c>
      <c r="I1860" s="312">
        <v>109.2</v>
      </c>
      <c r="J1860" s="312">
        <v>431.21999999999997</v>
      </c>
      <c r="K1860" s="312">
        <v>860.07</v>
      </c>
      <c r="M1860" t="s">
        <v>3624</v>
      </c>
      <c r="N1860" s="312">
        <v>24608.899999999998</v>
      </c>
      <c r="O1860" s="312">
        <v>140459</v>
      </c>
      <c r="P1860" s="312">
        <v>152307.16</v>
      </c>
      <c r="Q1860" s="312">
        <v>214133.94999999998</v>
      </c>
      <c r="R1860" s="312">
        <v>267758.98</v>
      </c>
    </row>
    <row r="1861" spans="6:18">
      <c r="F1861" t="s">
        <v>3625</v>
      </c>
      <c r="G1861" s="312">
        <v>126.30000000000001</v>
      </c>
      <c r="H1861" s="312">
        <v>311.34000000000003</v>
      </c>
      <c r="I1861" s="312">
        <v>73.11</v>
      </c>
      <c r="J1861" s="312">
        <v>621.16</v>
      </c>
      <c r="K1861" s="312">
        <v>766.31999999999994</v>
      </c>
      <c r="M1861" t="s">
        <v>3625</v>
      </c>
      <c r="N1861" s="312">
        <v>87134.12000000001</v>
      </c>
      <c r="O1861" s="312">
        <v>181592.64</v>
      </c>
      <c r="P1861" s="312">
        <v>41839.979999999996</v>
      </c>
      <c r="Q1861" s="312">
        <v>272193.44</v>
      </c>
      <c r="R1861" s="312">
        <v>260457.52000000002</v>
      </c>
    </row>
    <row r="1862" spans="6:18">
      <c r="F1862" t="s">
        <v>3626</v>
      </c>
      <c r="G1862" s="312">
        <v>96.61999999999999</v>
      </c>
      <c r="H1862" s="312">
        <v>310.87</v>
      </c>
      <c r="I1862" s="312">
        <v>132.05000000000001</v>
      </c>
      <c r="J1862" s="312">
        <v>430.78</v>
      </c>
      <c r="K1862" s="312">
        <v>768.51</v>
      </c>
      <c r="M1862" t="s">
        <v>3626</v>
      </c>
      <c r="N1862" s="312">
        <v>40099.58</v>
      </c>
      <c r="O1862" s="312">
        <v>146091.66</v>
      </c>
      <c r="P1862" s="312">
        <v>75618.920000000013</v>
      </c>
      <c r="Q1862" s="312">
        <v>153203.4</v>
      </c>
      <c r="R1862" s="312">
        <v>227601.16999999998</v>
      </c>
    </row>
    <row r="1863" spans="6:18">
      <c r="F1863" t="s">
        <v>3627</v>
      </c>
      <c r="G1863" s="312">
        <v>111.84</v>
      </c>
      <c r="H1863" s="312">
        <v>337.5</v>
      </c>
      <c r="I1863" s="312">
        <v>138</v>
      </c>
      <c r="J1863" s="312">
        <v>462.45</v>
      </c>
      <c r="K1863" s="312">
        <v>823.73</v>
      </c>
      <c r="M1863" t="s">
        <v>3627</v>
      </c>
      <c r="N1863" s="312">
        <v>50760.509999999995</v>
      </c>
      <c r="O1863" s="312">
        <v>188202.25</v>
      </c>
      <c r="P1863" s="312">
        <v>107635.76999999999</v>
      </c>
      <c r="Q1863" s="312">
        <v>239385.80000000002</v>
      </c>
      <c r="R1863" s="312">
        <v>273296.67</v>
      </c>
    </row>
    <row r="1864" spans="6:18">
      <c r="F1864" t="s">
        <v>3628</v>
      </c>
      <c r="G1864" s="312">
        <v>48.019999999999996</v>
      </c>
      <c r="H1864" s="312">
        <v>279.82</v>
      </c>
      <c r="I1864" s="312">
        <v>96.610000000000014</v>
      </c>
      <c r="J1864" s="312">
        <v>498.34999999999997</v>
      </c>
      <c r="K1864" s="312">
        <v>777.36</v>
      </c>
      <c r="M1864" t="s">
        <v>3628</v>
      </c>
      <c r="N1864" s="312">
        <v>17888.14</v>
      </c>
      <c r="O1864" s="312">
        <v>114061.74</v>
      </c>
      <c r="P1864" s="312">
        <v>46375.590000000004</v>
      </c>
      <c r="Q1864" s="312">
        <v>220084.97</v>
      </c>
      <c r="R1864" s="312">
        <v>274900.14</v>
      </c>
    </row>
    <row r="1865" spans="6:18">
      <c r="F1865" t="s">
        <v>3629</v>
      </c>
      <c r="G1865" s="312">
        <v>55.72</v>
      </c>
      <c r="H1865" s="312">
        <v>195.63</v>
      </c>
      <c r="I1865" s="312">
        <v>62.379999999999995</v>
      </c>
      <c r="J1865" s="312">
        <v>374.26</v>
      </c>
      <c r="K1865" s="312">
        <v>505.16999999999996</v>
      </c>
      <c r="M1865" t="s">
        <v>3629</v>
      </c>
      <c r="N1865" s="312">
        <v>20629.349999999999</v>
      </c>
      <c r="O1865" s="312">
        <v>89542.36</v>
      </c>
      <c r="P1865" s="312">
        <v>40450.89</v>
      </c>
      <c r="Q1865" s="312">
        <v>206070.94</v>
      </c>
      <c r="R1865" s="312">
        <v>151958.5</v>
      </c>
    </row>
    <row r="1866" spans="6:18">
      <c r="F1866" t="s">
        <v>3630</v>
      </c>
      <c r="G1866" s="312">
        <v>31.72</v>
      </c>
      <c r="H1866" s="312">
        <v>166.57</v>
      </c>
      <c r="I1866" s="312">
        <v>41.82</v>
      </c>
      <c r="J1866" s="312">
        <v>306.48</v>
      </c>
      <c r="K1866" s="312">
        <v>590.98</v>
      </c>
      <c r="M1866" t="s">
        <v>3630</v>
      </c>
      <c r="N1866" s="312">
        <v>10411.75</v>
      </c>
      <c r="O1866" s="312">
        <v>90781.9</v>
      </c>
      <c r="P1866" s="312">
        <v>23505.59</v>
      </c>
      <c r="Q1866" s="312">
        <v>125996.64</v>
      </c>
      <c r="R1866" s="312">
        <v>176638.64</v>
      </c>
    </row>
    <row r="1867" spans="6:18">
      <c r="F1867" t="s">
        <v>3631</v>
      </c>
      <c r="G1867" s="312">
        <v>119.61999999999999</v>
      </c>
      <c r="H1867" s="312">
        <v>294.72000000000003</v>
      </c>
      <c r="I1867" s="312">
        <v>34.25</v>
      </c>
      <c r="J1867" s="312">
        <v>403.05</v>
      </c>
      <c r="K1867" s="312">
        <v>818.54000000000008</v>
      </c>
      <c r="M1867" t="s">
        <v>3631</v>
      </c>
      <c r="N1867" s="312">
        <v>122247.82999999999</v>
      </c>
      <c r="O1867" s="312">
        <v>168278.01</v>
      </c>
      <c r="P1867" s="312">
        <v>32479.47</v>
      </c>
      <c r="Q1867" s="312">
        <v>139138.53</v>
      </c>
      <c r="R1867" s="312">
        <v>319878.25</v>
      </c>
    </row>
    <row r="1868" spans="6:18">
      <c r="F1868" t="s">
        <v>3632</v>
      </c>
      <c r="G1868" s="312">
        <v>36.15</v>
      </c>
      <c r="H1868" s="312">
        <v>271.79000000000002</v>
      </c>
      <c r="I1868" s="312">
        <v>87.13</v>
      </c>
      <c r="J1868" s="312">
        <v>396.49</v>
      </c>
      <c r="K1868" s="312">
        <v>678.98</v>
      </c>
      <c r="M1868" t="s">
        <v>3632</v>
      </c>
      <c r="N1868" s="312">
        <v>9206.7900000000009</v>
      </c>
      <c r="O1868" s="312">
        <v>114150.22</v>
      </c>
      <c r="P1868" s="312">
        <v>48975.15</v>
      </c>
      <c r="Q1868" s="312">
        <v>207446.97</v>
      </c>
      <c r="R1868" s="312">
        <v>222608.69</v>
      </c>
    </row>
    <row r="1869" spans="6:18">
      <c r="F1869" t="s">
        <v>3633</v>
      </c>
      <c r="G1869" s="312">
        <v>87.8</v>
      </c>
      <c r="H1869" s="312">
        <v>240.54</v>
      </c>
      <c r="I1869" s="312">
        <v>84.87</v>
      </c>
      <c r="J1869" s="312">
        <v>518.66</v>
      </c>
      <c r="K1869" s="312">
        <v>776.75</v>
      </c>
      <c r="M1869" t="s">
        <v>3633</v>
      </c>
      <c r="N1869" s="312">
        <v>47764.130000000005</v>
      </c>
      <c r="O1869" s="312">
        <v>136661.46</v>
      </c>
      <c r="P1869" s="312">
        <v>61873.54</v>
      </c>
      <c r="Q1869" s="312">
        <v>209216.12</v>
      </c>
      <c r="R1869" s="312">
        <v>226636.21999999997</v>
      </c>
    </row>
    <row r="1870" spans="6:18">
      <c r="F1870" t="s">
        <v>3634</v>
      </c>
      <c r="G1870" s="312">
        <v>48.28</v>
      </c>
      <c r="H1870" s="312">
        <v>332.27</v>
      </c>
      <c r="I1870" s="312">
        <v>128.15</v>
      </c>
      <c r="J1870" s="312">
        <v>431.95</v>
      </c>
      <c r="K1870" s="312">
        <v>810.36</v>
      </c>
      <c r="M1870" t="s">
        <v>3634</v>
      </c>
      <c r="N1870" s="312">
        <v>22872.370000000003</v>
      </c>
      <c r="O1870" s="312">
        <v>190717.09</v>
      </c>
      <c r="P1870" s="312">
        <v>72923.88</v>
      </c>
      <c r="Q1870" s="312">
        <v>208888.34</v>
      </c>
      <c r="R1870" s="312">
        <v>268860.85000000003</v>
      </c>
    </row>
    <row r="1871" spans="6:18">
      <c r="F1871" t="s">
        <v>3635</v>
      </c>
      <c r="G1871" s="312">
        <v>69.78</v>
      </c>
      <c r="H1871" s="312">
        <v>308.52</v>
      </c>
      <c r="I1871" s="312">
        <v>151.16</v>
      </c>
      <c r="J1871" s="312">
        <v>427.65000000000003</v>
      </c>
      <c r="K1871" s="312">
        <v>792.12</v>
      </c>
      <c r="M1871" t="s">
        <v>3635</v>
      </c>
      <c r="N1871" s="312">
        <v>38892.17</v>
      </c>
      <c r="O1871" s="312">
        <v>167656.35</v>
      </c>
      <c r="P1871" s="312">
        <v>67870.850000000006</v>
      </c>
      <c r="Q1871" s="312">
        <v>229197.93</v>
      </c>
      <c r="R1871" s="312">
        <v>264511.56</v>
      </c>
    </row>
    <row r="1872" spans="6:18">
      <c r="F1872" t="s">
        <v>3636</v>
      </c>
      <c r="G1872" s="312">
        <v>31.009999999999998</v>
      </c>
      <c r="H1872" s="312">
        <v>152.61000000000001</v>
      </c>
      <c r="I1872" s="312">
        <v>47.78</v>
      </c>
      <c r="J1872" s="312">
        <v>309.94</v>
      </c>
      <c r="K1872" s="312">
        <v>612.46</v>
      </c>
      <c r="M1872" t="s">
        <v>3636</v>
      </c>
      <c r="N1872" s="312">
        <v>17108.53</v>
      </c>
      <c r="O1872" s="312">
        <v>62320.33</v>
      </c>
      <c r="P1872" s="312">
        <v>20296.07</v>
      </c>
      <c r="Q1872" s="312">
        <v>123222.79</v>
      </c>
      <c r="R1872" s="312">
        <v>192434.53</v>
      </c>
    </row>
    <row r="1873" spans="6:18">
      <c r="F1873" t="s">
        <v>3637</v>
      </c>
      <c r="G1873" s="312">
        <v>59.15</v>
      </c>
      <c r="H1873" s="312">
        <v>154.71</v>
      </c>
      <c r="I1873" s="312">
        <v>32.58</v>
      </c>
      <c r="J1873" s="312">
        <v>153.53</v>
      </c>
      <c r="K1873" s="312">
        <v>472.27</v>
      </c>
      <c r="M1873" t="s">
        <v>3637</v>
      </c>
      <c r="N1873" s="312">
        <v>31107.66</v>
      </c>
      <c r="O1873" s="312">
        <v>73719.67</v>
      </c>
      <c r="P1873" s="312">
        <v>29930.22</v>
      </c>
      <c r="Q1873" s="312">
        <v>74133.289999999994</v>
      </c>
      <c r="R1873" s="312">
        <v>116449.5</v>
      </c>
    </row>
    <row r="1874" spans="6:18">
      <c r="F1874" t="s">
        <v>3638</v>
      </c>
      <c r="G1874" s="312">
        <v>49.5</v>
      </c>
      <c r="H1874" s="312">
        <v>258.05</v>
      </c>
      <c r="I1874" s="312">
        <v>171.35000000000002</v>
      </c>
      <c r="J1874" s="312">
        <v>207.48999999999998</v>
      </c>
      <c r="K1874" s="312">
        <v>671.18000000000006</v>
      </c>
      <c r="M1874" t="s">
        <v>3638</v>
      </c>
      <c r="N1874" s="312">
        <v>24280.28</v>
      </c>
      <c r="O1874" s="312">
        <v>138662.86000000002</v>
      </c>
      <c r="P1874" s="312">
        <v>106242.70000000001</v>
      </c>
      <c r="Q1874" s="312">
        <v>65219.83</v>
      </c>
      <c r="R1874" s="312">
        <v>203973.1</v>
      </c>
    </row>
    <row r="1875" spans="6:18">
      <c r="F1875" t="s">
        <v>3639</v>
      </c>
      <c r="G1875" s="312">
        <v>45.41</v>
      </c>
      <c r="H1875" s="312">
        <v>244.51</v>
      </c>
      <c r="I1875" s="312">
        <v>88.81</v>
      </c>
      <c r="J1875" s="312">
        <v>228.46</v>
      </c>
      <c r="K1875" s="312">
        <v>625.75</v>
      </c>
      <c r="M1875" t="s">
        <v>3639</v>
      </c>
      <c r="N1875" s="312">
        <v>16658.09</v>
      </c>
      <c r="O1875" s="312">
        <v>125188.44</v>
      </c>
      <c r="P1875" s="312">
        <v>57995.869999999995</v>
      </c>
      <c r="Q1875" s="312">
        <v>65168.97</v>
      </c>
      <c r="R1875" s="312">
        <v>215685.45</v>
      </c>
    </row>
    <row r="1876" spans="6:18">
      <c r="F1876" t="s">
        <v>3640</v>
      </c>
      <c r="G1876" s="312">
        <v>94.1</v>
      </c>
      <c r="H1876" s="312">
        <v>271.13</v>
      </c>
      <c r="I1876" s="312">
        <v>61.949999999999996</v>
      </c>
      <c r="J1876" s="312">
        <v>334.16999999999996</v>
      </c>
      <c r="K1876" s="312">
        <v>764.63</v>
      </c>
      <c r="M1876" t="s">
        <v>3640</v>
      </c>
      <c r="N1876" s="312">
        <v>39396.520000000004</v>
      </c>
      <c r="O1876" s="312">
        <v>122521.26</v>
      </c>
      <c r="P1876" s="312">
        <v>34817.68</v>
      </c>
      <c r="Q1876" s="312">
        <v>189865.75</v>
      </c>
      <c r="R1876" s="312">
        <v>244665.32</v>
      </c>
    </row>
    <row r="1877" spans="6:18">
      <c r="F1877" t="s">
        <v>3641</v>
      </c>
      <c r="G1877" s="312">
        <v>87.61</v>
      </c>
      <c r="H1877" s="312">
        <v>215.44</v>
      </c>
      <c r="I1877" s="312">
        <v>71.34</v>
      </c>
      <c r="J1877" s="312">
        <v>487.99</v>
      </c>
      <c r="K1877" s="312">
        <v>654.66999999999996</v>
      </c>
      <c r="M1877" t="s">
        <v>3641</v>
      </c>
      <c r="N1877" s="312">
        <v>37380.15</v>
      </c>
      <c r="O1877" s="312">
        <v>105768.79</v>
      </c>
      <c r="P1877" s="312">
        <v>40171.56</v>
      </c>
      <c r="Q1877" s="312">
        <v>233655.78</v>
      </c>
      <c r="R1877" s="312">
        <v>207155.61</v>
      </c>
    </row>
    <row r="1878" spans="6:18">
      <c r="F1878" t="s">
        <v>3642</v>
      </c>
      <c r="G1878" s="312">
        <v>83.85</v>
      </c>
      <c r="H1878" s="312">
        <v>238.28</v>
      </c>
      <c r="I1878" s="312">
        <v>102.79</v>
      </c>
      <c r="J1878" s="312">
        <v>350.27</v>
      </c>
      <c r="K1878" s="312">
        <v>713.64</v>
      </c>
      <c r="M1878" t="s">
        <v>3642</v>
      </c>
      <c r="N1878" s="312">
        <v>66999.209999999992</v>
      </c>
      <c r="O1878" s="312">
        <v>124486.73000000001</v>
      </c>
      <c r="P1878" s="312">
        <v>56033.82</v>
      </c>
      <c r="Q1878" s="312">
        <v>185695.31</v>
      </c>
      <c r="R1878" s="312">
        <v>228906.56</v>
      </c>
    </row>
    <row r="1879" spans="6:18">
      <c r="F1879" t="s">
        <v>3643</v>
      </c>
      <c r="G1879" s="312">
        <v>58.64</v>
      </c>
      <c r="H1879" s="312">
        <v>135.73000000000002</v>
      </c>
      <c r="I1879" s="312">
        <v>18.28</v>
      </c>
      <c r="J1879" s="312">
        <v>396.31</v>
      </c>
      <c r="K1879" s="312">
        <v>550.77</v>
      </c>
      <c r="M1879" t="s">
        <v>3643</v>
      </c>
      <c r="N1879" s="312">
        <v>28198.53</v>
      </c>
      <c r="O1879" s="312">
        <v>76902.91</v>
      </c>
      <c r="P1879" s="312">
        <v>12916.5</v>
      </c>
      <c r="Q1879" s="312">
        <v>157554.43000000002</v>
      </c>
      <c r="R1879" s="312">
        <v>166201.35</v>
      </c>
    </row>
    <row r="1880" spans="6:18">
      <c r="F1880" t="s">
        <v>3644</v>
      </c>
      <c r="G1880" s="312">
        <v>50.92</v>
      </c>
      <c r="H1880" s="312">
        <v>159.99</v>
      </c>
      <c r="I1880" s="312">
        <v>7.35</v>
      </c>
      <c r="J1880" s="312">
        <v>245.45000000000002</v>
      </c>
      <c r="K1880" s="312">
        <v>424.1</v>
      </c>
      <c r="M1880" t="s">
        <v>3644</v>
      </c>
      <c r="N1880" s="312">
        <v>34496.76</v>
      </c>
      <c r="O1880" s="312">
        <v>105764.18000000001</v>
      </c>
      <c r="P1880" s="312">
        <v>3770.9</v>
      </c>
      <c r="Q1880" s="312">
        <v>106185.48000000001</v>
      </c>
      <c r="R1880" s="312">
        <v>130505.57</v>
      </c>
    </row>
    <row r="1881" spans="6:18">
      <c r="F1881" t="s">
        <v>3645</v>
      </c>
      <c r="G1881" s="312">
        <v>50.63</v>
      </c>
      <c r="H1881" s="312">
        <v>208.67000000000002</v>
      </c>
      <c r="I1881" s="312">
        <v>118.91</v>
      </c>
      <c r="J1881" s="312">
        <v>310.83999999999997</v>
      </c>
      <c r="K1881" s="312">
        <v>587.91</v>
      </c>
      <c r="M1881" t="s">
        <v>3645</v>
      </c>
      <c r="N1881" s="312">
        <v>25647.53</v>
      </c>
      <c r="O1881" s="312">
        <v>154108.04999999999</v>
      </c>
      <c r="P1881" s="312">
        <v>85352.17</v>
      </c>
      <c r="Q1881" s="312">
        <v>141444.29</v>
      </c>
      <c r="R1881" s="312">
        <v>167119.57</v>
      </c>
    </row>
    <row r="1882" spans="6:18">
      <c r="F1882" t="s">
        <v>3646</v>
      </c>
      <c r="G1882" s="312">
        <v>60.53</v>
      </c>
      <c r="H1882" s="312">
        <v>255.17000000000002</v>
      </c>
      <c r="I1882" s="312">
        <v>102.19</v>
      </c>
      <c r="J1882" s="312">
        <v>368.15</v>
      </c>
      <c r="K1882" s="312">
        <v>702.79</v>
      </c>
      <c r="M1882" t="s">
        <v>3646</v>
      </c>
      <c r="N1882" s="312">
        <v>41801.360000000001</v>
      </c>
      <c r="O1882" s="312">
        <v>130236.37</v>
      </c>
      <c r="P1882" s="312">
        <v>58405.56</v>
      </c>
      <c r="Q1882" s="312">
        <v>135210.07</v>
      </c>
      <c r="R1882" s="312">
        <v>210072.62</v>
      </c>
    </row>
    <row r="1883" spans="6:18">
      <c r="F1883" t="s">
        <v>3647</v>
      </c>
      <c r="G1883" s="312">
        <v>40</v>
      </c>
      <c r="H1883" s="312">
        <v>271.35000000000002</v>
      </c>
      <c r="I1883" s="312">
        <v>90.99</v>
      </c>
      <c r="J1883" s="312">
        <v>377.02000000000004</v>
      </c>
      <c r="K1883" s="312">
        <v>739.73</v>
      </c>
      <c r="M1883" t="s">
        <v>3647</v>
      </c>
      <c r="N1883" s="312">
        <v>16678.71</v>
      </c>
      <c r="O1883" s="312">
        <v>147791.19</v>
      </c>
      <c r="P1883" s="312">
        <v>48972.490000000005</v>
      </c>
      <c r="Q1883" s="312">
        <v>144433.54</v>
      </c>
      <c r="R1883" s="312">
        <v>225028.62</v>
      </c>
    </row>
    <row r="1884" spans="6:18">
      <c r="F1884" t="s">
        <v>3648</v>
      </c>
      <c r="G1884" s="312">
        <v>88.32</v>
      </c>
      <c r="H1884" s="312">
        <v>238.32</v>
      </c>
      <c r="I1884" s="312">
        <v>86.72</v>
      </c>
      <c r="J1884" s="312">
        <v>408.03</v>
      </c>
      <c r="K1884" s="312">
        <v>734.67</v>
      </c>
      <c r="M1884" t="s">
        <v>3648</v>
      </c>
      <c r="N1884" s="312">
        <v>42881.13</v>
      </c>
      <c r="O1884" s="312">
        <v>126881.20999999999</v>
      </c>
      <c r="P1884" s="312">
        <v>90097.67</v>
      </c>
      <c r="Q1884" s="312">
        <v>189372.05000000002</v>
      </c>
      <c r="R1884" s="312">
        <v>215951.55000000002</v>
      </c>
    </row>
    <row r="1885" spans="6:18">
      <c r="F1885" t="s">
        <v>3649</v>
      </c>
      <c r="G1885" s="312">
        <v>79.460000000000008</v>
      </c>
      <c r="H1885" s="312">
        <v>306.32</v>
      </c>
      <c r="I1885" s="312">
        <v>88.05</v>
      </c>
      <c r="J1885" s="312">
        <v>328.84</v>
      </c>
      <c r="K1885" s="312">
        <v>694.20999999999992</v>
      </c>
      <c r="M1885" t="s">
        <v>3649</v>
      </c>
      <c r="N1885" s="312">
        <v>26114.109999999997</v>
      </c>
      <c r="O1885" s="312">
        <v>132925.13</v>
      </c>
      <c r="P1885" s="312">
        <v>40649.86</v>
      </c>
      <c r="Q1885" s="312">
        <v>161929.41</v>
      </c>
      <c r="R1885" s="312">
        <v>225358.36</v>
      </c>
    </row>
    <row r="1886" spans="6:18">
      <c r="F1886" t="s">
        <v>3650</v>
      </c>
      <c r="G1886" s="312">
        <v>97.86</v>
      </c>
      <c r="H1886" s="312">
        <v>217.28</v>
      </c>
      <c r="I1886" s="312">
        <v>79.600000000000009</v>
      </c>
      <c r="J1886" s="312">
        <v>345.92</v>
      </c>
      <c r="K1886" s="312">
        <v>500.97</v>
      </c>
      <c r="M1886" t="s">
        <v>3650</v>
      </c>
      <c r="N1886" s="312">
        <v>51811.89</v>
      </c>
      <c r="O1886" s="312">
        <v>133008.15</v>
      </c>
      <c r="P1886" s="312">
        <v>51881.21</v>
      </c>
      <c r="Q1886" s="312">
        <v>195469.15</v>
      </c>
      <c r="R1886" s="312">
        <v>156051.43</v>
      </c>
    </row>
    <row r="1887" spans="6:18">
      <c r="F1887" t="s">
        <v>3651</v>
      </c>
      <c r="G1887" s="312">
        <v>63.97</v>
      </c>
      <c r="H1887" s="312">
        <v>176.62</v>
      </c>
      <c r="I1887" s="312">
        <v>21.97</v>
      </c>
      <c r="J1887" s="312">
        <v>271.91000000000003</v>
      </c>
      <c r="K1887" s="312">
        <v>550.65</v>
      </c>
      <c r="M1887" t="s">
        <v>3651</v>
      </c>
      <c r="N1887" s="312">
        <v>26690.78</v>
      </c>
      <c r="O1887" s="312">
        <v>105878.13</v>
      </c>
      <c r="P1887" s="312">
        <v>5360.3600000000006</v>
      </c>
      <c r="Q1887" s="312">
        <v>97546.85</v>
      </c>
      <c r="R1887" s="312">
        <v>151627.96</v>
      </c>
    </row>
    <row r="1888" spans="6:18">
      <c r="F1888" t="s">
        <v>3652</v>
      </c>
      <c r="G1888" s="312">
        <v>88.08</v>
      </c>
      <c r="H1888" s="312">
        <v>236.72</v>
      </c>
      <c r="I1888" s="312">
        <v>79.34</v>
      </c>
      <c r="J1888" s="312">
        <v>315.31</v>
      </c>
      <c r="K1888" s="312">
        <v>823.57999999999993</v>
      </c>
      <c r="M1888" t="s">
        <v>3652</v>
      </c>
      <c r="N1888" s="312">
        <v>54882.09</v>
      </c>
      <c r="O1888" s="312">
        <v>135027.59</v>
      </c>
      <c r="P1888" s="312">
        <v>31932.06</v>
      </c>
      <c r="Q1888" s="312">
        <v>180472.06999999998</v>
      </c>
      <c r="R1888" s="312">
        <v>250199.03999999998</v>
      </c>
    </row>
    <row r="1889" spans="6:18">
      <c r="F1889" t="s">
        <v>3653</v>
      </c>
      <c r="G1889" s="312">
        <v>108.03999999999999</v>
      </c>
      <c r="H1889" s="312">
        <v>287.42</v>
      </c>
      <c r="I1889" s="312">
        <v>58.6</v>
      </c>
      <c r="J1889" s="312">
        <v>339.3</v>
      </c>
      <c r="K1889" s="312">
        <v>871.83999999999992</v>
      </c>
      <c r="M1889" t="s">
        <v>3653</v>
      </c>
      <c r="N1889" s="312">
        <v>63800.62</v>
      </c>
      <c r="O1889" s="312">
        <v>162788.49</v>
      </c>
      <c r="P1889" s="312">
        <v>30472.81</v>
      </c>
      <c r="Q1889" s="312">
        <v>176424.63999999998</v>
      </c>
      <c r="R1889" s="312">
        <v>232587.49</v>
      </c>
    </row>
    <row r="1890" spans="6:18">
      <c r="F1890" t="s">
        <v>3654</v>
      </c>
      <c r="G1890" s="312">
        <v>86.8</v>
      </c>
      <c r="H1890" s="312">
        <v>265.28999999999996</v>
      </c>
      <c r="I1890" s="312">
        <v>63.05</v>
      </c>
      <c r="J1890" s="312">
        <v>261.19</v>
      </c>
      <c r="K1890" s="312">
        <v>815.82999999999993</v>
      </c>
      <c r="M1890" t="s">
        <v>3654</v>
      </c>
      <c r="N1890" s="312">
        <v>35122.14</v>
      </c>
      <c r="O1890" s="312">
        <v>127946.18</v>
      </c>
      <c r="P1890" s="312">
        <v>44910.729999999996</v>
      </c>
      <c r="Q1890" s="312">
        <v>134815.41</v>
      </c>
      <c r="R1890" s="312">
        <v>261181.09999999998</v>
      </c>
    </row>
    <row r="1891" spans="6:18">
      <c r="F1891" t="s">
        <v>3655</v>
      </c>
      <c r="G1891" s="312">
        <v>68.25</v>
      </c>
      <c r="H1891" s="312">
        <v>387.71</v>
      </c>
      <c r="I1891" s="312">
        <v>136.63</v>
      </c>
      <c r="J1891" s="312">
        <v>406.40000000000003</v>
      </c>
      <c r="K1891" s="312">
        <v>758.46</v>
      </c>
      <c r="M1891" t="s">
        <v>3655</v>
      </c>
      <c r="N1891" s="312">
        <v>43141.350000000006</v>
      </c>
      <c r="O1891" s="312">
        <v>177630.46000000002</v>
      </c>
      <c r="P1891" s="312">
        <v>90964.82</v>
      </c>
      <c r="Q1891" s="312">
        <v>196045.78999999998</v>
      </c>
      <c r="R1891" s="312">
        <v>199459.53999999998</v>
      </c>
    </row>
    <row r="1892" spans="6:18">
      <c r="F1892" t="s">
        <v>3656</v>
      </c>
      <c r="G1892" s="312">
        <v>66.289999999999992</v>
      </c>
      <c r="H1892" s="312">
        <v>291.37</v>
      </c>
      <c r="I1892" s="312">
        <v>50.769999999999996</v>
      </c>
      <c r="J1892" s="312">
        <v>269.88</v>
      </c>
      <c r="K1892" s="312">
        <v>832.7</v>
      </c>
      <c r="M1892" t="s">
        <v>3656</v>
      </c>
      <c r="N1892" s="312">
        <v>26903.1</v>
      </c>
      <c r="O1892" s="312">
        <v>127356.64000000001</v>
      </c>
      <c r="P1892" s="312">
        <v>26933.8</v>
      </c>
      <c r="Q1892" s="312">
        <v>130650.17</v>
      </c>
      <c r="R1892" s="312">
        <v>231361.36</v>
      </c>
    </row>
    <row r="1893" spans="6:18">
      <c r="F1893" t="s">
        <v>3657</v>
      </c>
      <c r="G1893" s="312">
        <v>58.24</v>
      </c>
      <c r="H1893" s="312">
        <v>212.76</v>
      </c>
      <c r="I1893" s="312">
        <v>63.660000000000004</v>
      </c>
      <c r="J1893" s="312">
        <v>221.12</v>
      </c>
      <c r="K1893" s="312">
        <v>534.80999999999995</v>
      </c>
      <c r="M1893" t="s">
        <v>3657</v>
      </c>
      <c r="N1893" s="312">
        <v>21492.15</v>
      </c>
      <c r="O1893" s="312">
        <v>93730.950000000012</v>
      </c>
      <c r="P1893" s="312">
        <v>39185.71</v>
      </c>
      <c r="Q1893" s="312">
        <v>172999.33</v>
      </c>
      <c r="R1893" s="312">
        <v>148036.04999999999</v>
      </c>
    </row>
    <row r="1894" spans="6:18">
      <c r="F1894" t="s">
        <v>3658</v>
      </c>
      <c r="G1894" s="312">
        <v>65.41</v>
      </c>
      <c r="H1894" s="312">
        <v>225.31</v>
      </c>
      <c r="I1894" s="312">
        <v>28.41</v>
      </c>
      <c r="J1894" s="312">
        <v>120.78</v>
      </c>
      <c r="K1894" s="312">
        <v>465.61</v>
      </c>
      <c r="M1894" t="s">
        <v>3658</v>
      </c>
      <c r="N1894" s="312">
        <v>35173.379999999997</v>
      </c>
      <c r="O1894" s="312">
        <v>115451.20999999999</v>
      </c>
      <c r="P1894" s="312">
        <v>13496.32</v>
      </c>
      <c r="Q1894" s="312">
        <v>64298.76</v>
      </c>
      <c r="R1894" s="312">
        <v>128493.87</v>
      </c>
    </row>
    <row r="1895" spans="6:18">
      <c r="F1895" t="s">
        <v>3659</v>
      </c>
      <c r="G1895" s="312">
        <v>81.789999999999992</v>
      </c>
      <c r="H1895" s="312">
        <v>373.77</v>
      </c>
      <c r="I1895" s="312">
        <v>78.34</v>
      </c>
      <c r="J1895" s="312">
        <v>308.99</v>
      </c>
      <c r="K1895" s="312">
        <v>767.31</v>
      </c>
      <c r="M1895" t="s">
        <v>3659</v>
      </c>
      <c r="N1895" s="312">
        <v>40880.67</v>
      </c>
      <c r="O1895" s="312">
        <v>185841.65000000002</v>
      </c>
      <c r="P1895" s="312">
        <v>40454.83</v>
      </c>
      <c r="Q1895" s="312">
        <v>246472.27000000002</v>
      </c>
      <c r="R1895" s="312">
        <v>240213.39</v>
      </c>
    </row>
    <row r="1896" spans="6:18">
      <c r="F1896" t="s">
        <v>3660</v>
      </c>
      <c r="G1896" s="312">
        <v>77.569999999999993</v>
      </c>
      <c r="H1896" s="312">
        <v>360.15999999999997</v>
      </c>
      <c r="I1896" s="312">
        <v>110.53</v>
      </c>
      <c r="J1896" s="312">
        <v>352.28</v>
      </c>
      <c r="K1896" s="312">
        <v>676.56999999999994</v>
      </c>
      <c r="M1896" t="s">
        <v>3660</v>
      </c>
      <c r="N1896" s="312">
        <v>44348.04</v>
      </c>
      <c r="O1896" s="312">
        <v>159606.93</v>
      </c>
      <c r="P1896" s="312">
        <v>59692.01</v>
      </c>
      <c r="Q1896" s="312">
        <v>289775.87</v>
      </c>
      <c r="R1896" s="312">
        <v>226665.77</v>
      </c>
    </row>
    <row r="1897" spans="6:18">
      <c r="F1897" t="s">
        <v>3661</v>
      </c>
      <c r="G1897" s="312">
        <v>72.39</v>
      </c>
      <c r="H1897" s="312">
        <v>332.72</v>
      </c>
      <c r="I1897" s="312">
        <v>45.85</v>
      </c>
      <c r="J1897" s="312">
        <v>299.46999999999997</v>
      </c>
      <c r="K1897" s="312">
        <v>891</v>
      </c>
      <c r="M1897" t="s">
        <v>3661</v>
      </c>
      <c r="N1897" s="312">
        <v>33053.81</v>
      </c>
      <c r="O1897" s="312">
        <v>159981.69</v>
      </c>
      <c r="P1897" s="312">
        <v>48770.590000000004</v>
      </c>
      <c r="Q1897" s="312">
        <v>204041.81</v>
      </c>
      <c r="R1897" s="312">
        <v>265028.65000000002</v>
      </c>
    </row>
    <row r="1898" spans="6:18">
      <c r="F1898" t="s">
        <v>3662</v>
      </c>
      <c r="G1898" s="312">
        <v>75.2</v>
      </c>
      <c r="H1898" s="312">
        <v>283.93</v>
      </c>
      <c r="I1898" s="312">
        <v>56.51</v>
      </c>
      <c r="J1898" s="312">
        <v>313.69</v>
      </c>
      <c r="K1898" s="312">
        <v>722.83</v>
      </c>
      <c r="M1898" t="s">
        <v>3662</v>
      </c>
      <c r="N1898" s="312">
        <v>38015.449999999997</v>
      </c>
      <c r="O1898" s="312">
        <v>175623.73</v>
      </c>
      <c r="P1898" s="312">
        <v>42634.54</v>
      </c>
      <c r="Q1898" s="312">
        <v>163494.48000000001</v>
      </c>
      <c r="R1898" s="312">
        <v>193550.79</v>
      </c>
    </row>
    <row r="1899" spans="6:18">
      <c r="F1899" t="s">
        <v>3663</v>
      </c>
      <c r="G1899" s="312">
        <v>55.08</v>
      </c>
      <c r="H1899" s="312">
        <v>381.99</v>
      </c>
      <c r="I1899" s="312">
        <v>71.83</v>
      </c>
      <c r="J1899" s="312">
        <v>323.76</v>
      </c>
      <c r="K1899" s="312">
        <v>1143.56</v>
      </c>
      <c r="M1899" t="s">
        <v>3663</v>
      </c>
      <c r="N1899" s="312">
        <v>21929.760000000002</v>
      </c>
      <c r="O1899" s="312">
        <v>188460.37000000002</v>
      </c>
      <c r="P1899" s="312">
        <v>45500.240000000005</v>
      </c>
      <c r="Q1899" s="312">
        <v>203858.36000000002</v>
      </c>
      <c r="R1899" s="312">
        <v>316520.24</v>
      </c>
    </row>
    <row r="1900" spans="6:18">
      <c r="F1900" t="s">
        <v>3664</v>
      </c>
      <c r="G1900" s="312">
        <v>116.11</v>
      </c>
      <c r="H1900" s="312">
        <v>177.48000000000002</v>
      </c>
      <c r="I1900" s="312">
        <v>44.74</v>
      </c>
      <c r="J1900" s="312">
        <v>338.03000000000003</v>
      </c>
      <c r="K1900" s="312">
        <v>528.51</v>
      </c>
      <c r="M1900" t="s">
        <v>3664</v>
      </c>
      <c r="N1900" s="312">
        <v>75284.5</v>
      </c>
      <c r="O1900" s="312">
        <v>99977.23000000001</v>
      </c>
      <c r="P1900" s="312">
        <v>28358.699999999997</v>
      </c>
      <c r="Q1900" s="312">
        <v>145539.68</v>
      </c>
      <c r="R1900" s="312">
        <v>132284.91</v>
      </c>
    </row>
    <row r="1901" spans="6:18">
      <c r="F1901" t="s">
        <v>3665</v>
      </c>
      <c r="G1901" s="312">
        <v>43.95</v>
      </c>
      <c r="H1901" s="312">
        <v>100.23</v>
      </c>
      <c r="I1901" s="312">
        <v>10.01</v>
      </c>
      <c r="J1901" s="312">
        <v>244.18</v>
      </c>
      <c r="K1901" s="312">
        <v>428.92</v>
      </c>
      <c r="M1901" t="s">
        <v>3665</v>
      </c>
      <c r="N1901" s="312">
        <v>17639.14</v>
      </c>
      <c r="O1901" s="312">
        <v>47222.9</v>
      </c>
      <c r="P1901" s="312">
        <v>4628.16</v>
      </c>
      <c r="Q1901" s="312">
        <v>188103.25</v>
      </c>
      <c r="R1901" s="312">
        <v>90621.5</v>
      </c>
    </row>
    <row r="1902" spans="6:18">
      <c r="F1902" t="s">
        <v>3666</v>
      </c>
      <c r="G1902" s="312">
        <v>84.06</v>
      </c>
      <c r="H1902" s="312">
        <v>373.46000000000004</v>
      </c>
      <c r="I1902" s="312">
        <v>90.2</v>
      </c>
      <c r="J1902" s="312">
        <v>379.25</v>
      </c>
      <c r="K1902" s="312">
        <v>794.07</v>
      </c>
      <c r="M1902" t="s">
        <v>3666</v>
      </c>
      <c r="N1902" s="312">
        <v>38289.78</v>
      </c>
      <c r="O1902" s="312">
        <v>226688.95</v>
      </c>
      <c r="P1902" s="312">
        <v>50990.270000000004</v>
      </c>
      <c r="Q1902" s="312">
        <v>252642.33</v>
      </c>
      <c r="R1902" s="312">
        <v>253279.32</v>
      </c>
    </row>
    <row r="1903" spans="6:18">
      <c r="F1903" t="s">
        <v>3667</v>
      </c>
      <c r="G1903" s="312">
        <v>108.22</v>
      </c>
      <c r="H1903" s="312">
        <v>304.92</v>
      </c>
      <c r="I1903" s="312">
        <v>56.42</v>
      </c>
      <c r="J1903" s="312">
        <v>321.76</v>
      </c>
      <c r="K1903" s="312">
        <v>698.12</v>
      </c>
      <c r="M1903" t="s">
        <v>3667</v>
      </c>
      <c r="N1903" s="312">
        <v>77797.91</v>
      </c>
      <c r="O1903" s="312">
        <v>143968.79</v>
      </c>
      <c r="P1903" s="312">
        <v>41154.61</v>
      </c>
      <c r="Q1903" s="312">
        <v>161728.32999999999</v>
      </c>
      <c r="R1903" s="312">
        <v>225282.57</v>
      </c>
    </row>
    <row r="1904" spans="6:18">
      <c r="F1904" t="s">
        <v>3668</v>
      </c>
      <c r="G1904" s="312">
        <v>63.16</v>
      </c>
      <c r="H1904" s="312">
        <v>268.26</v>
      </c>
      <c r="I1904" s="312">
        <v>59.77</v>
      </c>
      <c r="J1904" s="312">
        <v>268.32</v>
      </c>
      <c r="K1904" s="312">
        <v>754.1099999999999</v>
      </c>
      <c r="M1904" t="s">
        <v>3668</v>
      </c>
      <c r="N1904" s="312">
        <v>26688.800000000003</v>
      </c>
      <c r="O1904" s="312">
        <v>135524.44</v>
      </c>
      <c r="P1904" s="312">
        <v>25601.989999999998</v>
      </c>
      <c r="Q1904" s="312">
        <v>167046.10999999999</v>
      </c>
      <c r="R1904" s="312">
        <v>208397.40999999997</v>
      </c>
    </row>
    <row r="1905" spans="6:18">
      <c r="F1905" t="s">
        <v>3669</v>
      </c>
      <c r="G1905" s="312">
        <v>63.05</v>
      </c>
      <c r="H1905" s="312">
        <v>326.81</v>
      </c>
      <c r="I1905" s="312">
        <v>68.239999999999995</v>
      </c>
      <c r="J1905" s="312">
        <v>367.62</v>
      </c>
      <c r="K1905" s="312">
        <v>643.83999999999992</v>
      </c>
      <c r="M1905" t="s">
        <v>3669</v>
      </c>
      <c r="N1905" s="312">
        <v>41474.720000000001</v>
      </c>
      <c r="O1905" s="312">
        <v>157013.57</v>
      </c>
      <c r="P1905" s="312">
        <v>68996.52</v>
      </c>
      <c r="Q1905" s="312">
        <v>203143.58000000002</v>
      </c>
      <c r="R1905" s="312">
        <v>165423.28</v>
      </c>
    </row>
    <row r="1906" spans="6:18">
      <c r="F1906" t="s">
        <v>3670</v>
      </c>
      <c r="G1906" s="312">
        <v>50.64</v>
      </c>
      <c r="H1906" s="312">
        <v>293.72000000000003</v>
      </c>
      <c r="I1906" s="312">
        <v>99.85</v>
      </c>
      <c r="J1906" s="312">
        <v>265.3</v>
      </c>
      <c r="K1906" s="312">
        <v>710.27</v>
      </c>
      <c r="M1906" t="s">
        <v>3670</v>
      </c>
      <c r="N1906" s="312">
        <v>36242.089999999997</v>
      </c>
      <c r="O1906" s="312">
        <v>138759.30000000002</v>
      </c>
      <c r="P1906" s="312">
        <v>73779.22</v>
      </c>
      <c r="Q1906" s="312">
        <v>169721.31</v>
      </c>
      <c r="R1906" s="312">
        <v>229394.17</v>
      </c>
    </row>
    <row r="1907" spans="6:18">
      <c r="F1907" t="s">
        <v>3671</v>
      </c>
      <c r="G1907" s="312">
        <v>17.53</v>
      </c>
      <c r="H1907" s="312">
        <v>248.65</v>
      </c>
      <c r="I1907" s="312">
        <v>50.379999999999995</v>
      </c>
      <c r="J1907" s="312">
        <v>319.54000000000002</v>
      </c>
      <c r="K1907" s="312">
        <v>447.68999999999994</v>
      </c>
      <c r="M1907" t="s">
        <v>3671</v>
      </c>
      <c r="N1907" s="312">
        <v>9555.64</v>
      </c>
      <c r="O1907" s="312">
        <v>122087.83</v>
      </c>
      <c r="P1907" s="312">
        <v>31602.879999999997</v>
      </c>
      <c r="Q1907" s="312">
        <v>194699.59</v>
      </c>
      <c r="R1907" s="312">
        <v>103937.24</v>
      </c>
    </row>
    <row r="1908" spans="6:18">
      <c r="F1908" t="s">
        <v>3672</v>
      </c>
      <c r="G1908" s="312">
        <v>44.79</v>
      </c>
      <c r="H1908" s="312">
        <v>210.75</v>
      </c>
      <c r="I1908" s="312">
        <v>20.900000000000002</v>
      </c>
      <c r="J1908" s="312">
        <v>217.77</v>
      </c>
      <c r="K1908" s="312">
        <v>529.16999999999996</v>
      </c>
      <c r="M1908" t="s">
        <v>3672</v>
      </c>
      <c r="N1908" s="312">
        <v>27236.18</v>
      </c>
      <c r="O1908" s="312">
        <v>105859.02</v>
      </c>
      <c r="P1908" s="312">
        <v>4908.59</v>
      </c>
      <c r="Q1908" s="312">
        <v>165519.97</v>
      </c>
      <c r="R1908" s="312">
        <v>139557.07</v>
      </c>
    </row>
    <row r="1909" spans="6:18">
      <c r="F1909" t="s">
        <v>3673</v>
      </c>
      <c r="G1909" s="312">
        <v>69.27</v>
      </c>
      <c r="H1909" s="312">
        <v>409.89</v>
      </c>
      <c r="I1909" s="312">
        <v>44.23</v>
      </c>
      <c r="J1909" s="312">
        <v>239.65</v>
      </c>
      <c r="K1909" s="312">
        <v>648.77</v>
      </c>
      <c r="M1909" t="s">
        <v>3673</v>
      </c>
      <c r="N1909" s="312">
        <v>63644.07</v>
      </c>
      <c r="O1909" s="312">
        <v>173393.32</v>
      </c>
      <c r="P1909" s="312">
        <v>45897.549999999996</v>
      </c>
      <c r="Q1909" s="312">
        <v>106437.62000000001</v>
      </c>
      <c r="R1909" s="312">
        <v>175595.6</v>
      </c>
    </row>
    <row r="1910" spans="6:18">
      <c r="F1910" t="s">
        <v>3674</v>
      </c>
      <c r="G1910" s="312">
        <v>85.059999999999988</v>
      </c>
      <c r="H1910" s="312">
        <v>360.72</v>
      </c>
      <c r="I1910" s="312">
        <v>73.039999999999992</v>
      </c>
      <c r="J1910" s="312">
        <v>296.27</v>
      </c>
      <c r="K1910" s="312">
        <v>753.67000000000007</v>
      </c>
      <c r="M1910" t="s">
        <v>3674</v>
      </c>
      <c r="N1910" s="312">
        <v>36072.71</v>
      </c>
      <c r="O1910" s="312">
        <v>143167.35999999999</v>
      </c>
      <c r="P1910" s="312">
        <v>35581.57</v>
      </c>
      <c r="Q1910" s="312">
        <v>263740.37</v>
      </c>
      <c r="R1910" s="312">
        <v>200757.27</v>
      </c>
    </row>
    <row r="1911" spans="6:18">
      <c r="F1911" t="s">
        <v>3675</v>
      </c>
      <c r="G1911" s="312">
        <v>68.400000000000006</v>
      </c>
      <c r="H1911" s="312">
        <v>321.27999999999997</v>
      </c>
      <c r="I1911" s="312">
        <v>57.04</v>
      </c>
      <c r="J1911" s="312">
        <v>229.18</v>
      </c>
      <c r="K1911" s="312">
        <v>522.42999999999995</v>
      </c>
      <c r="M1911" t="s">
        <v>3675</v>
      </c>
      <c r="N1911" s="312">
        <v>31619.599999999999</v>
      </c>
      <c r="O1911" s="312">
        <v>165878.06</v>
      </c>
      <c r="P1911" s="312">
        <v>28063.739999999998</v>
      </c>
      <c r="Q1911" s="312">
        <v>182324.88999999998</v>
      </c>
      <c r="R1911" s="312">
        <v>145542.21</v>
      </c>
    </row>
    <row r="1912" spans="6:18">
      <c r="F1912" t="s">
        <v>3676</v>
      </c>
      <c r="G1912" s="312">
        <v>72.56</v>
      </c>
      <c r="H1912" s="312">
        <v>326.13</v>
      </c>
      <c r="I1912" s="312">
        <v>67.69</v>
      </c>
      <c r="J1912" s="312">
        <v>308.31</v>
      </c>
      <c r="K1912" s="312">
        <v>611.73</v>
      </c>
      <c r="M1912" t="s">
        <v>3676</v>
      </c>
      <c r="N1912" s="312">
        <v>29217.5</v>
      </c>
      <c r="O1912" s="312">
        <v>114670.31</v>
      </c>
      <c r="P1912" s="312">
        <v>39675.590000000004</v>
      </c>
      <c r="Q1912" s="312">
        <v>175963.06</v>
      </c>
      <c r="R1912" s="312">
        <v>167002.32</v>
      </c>
    </row>
    <row r="1913" spans="6:18">
      <c r="F1913" t="s">
        <v>3677</v>
      </c>
      <c r="G1913" s="312">
        <v>110.26</v>
      </c>
      <c r="H1913" s="312">
        <v>305.79999999999995</v>
      </c>
      <c r="I1913" s="312">
        <v>35.409999999999997</v>
      </c>
      <c r="J1913" s="312">
        <v>359.97999999999996</v>
      </c>
      <c r="K1913" s="312">
        <v>513.53</v>
      </c>
      <c r="M1913" t="s">
        <v>3677</v>
      </c>
      <c r="N1913" s="312">
        <v>72811.55</v>
      </c>
      <c r="O1913" s="312">
        <v>140435.49</v>
      </c>
      <c r="P1913" s="312">
        <v>28790.370000000003</v>
      </c>
      <c r="Q1913" s="312">
        <v>337786.38</v>
      </c>
      <c r="R1913" s="312">
        <v>189391.4</v>
      </c>
    </row>
    <row r="1914" spans="6:18">
      <c r="F1914" t="s">
        <v>3678</v>
      </c>
      <c r="G1914" s="312">
        <v>75.17</v>
      </c>
      <c r="H1914" s="312">
        <v>229.17000000000002</v>
      </c>
      <c r="I1914" s="312">
        <v>56.65</v>
      </c>
      <c r="J1914" s="312">
        <v>190.09</v>
      </c>
      <c r="K1914" s="312">
        <v>453.55</v>
      </c>
      <c r="M1914" t="s">
        <v>3678</v>
      </c>
      <c r="N1914" s="312">
        <v>67307.679999999993</v>
      </c>
      <c r="O1914" s="312">
        <v>99497.33</v>
      </c>
      <c r="P1914" s="312">
        <v>27264.31</v>
      </c>
      <c r="Q1914" s="312">
        <v>152878.34999999998</v>
      </c>
      <c r="R1914" s="312">
        <v>155626.81</v>
      </c>
    </row>
    <row r="1915" spans="6:18">
      <c r="F1915" t="s">
        <v>3679</v>
      </c>
      <c r="G1915" s="312">
        <v>37.11</v>
      </c>
      <c r="H1915" s="312">
        <v>203.55</v>
      </c>
      <c r="I1915" s="312">
        <v>17.02</v>
      </c>
      <c r="J1915" s="312">
        <v>145.13</v>
      </c>
      <c r="K1915" s="312">
        <v>422.84</v>
      </c>
      <c r="M1915" t="s">
        <v>3679</v>
      </c>
      <c r="N1915" s="312">
        <v>31560.559999999998</v>
      </c>
      <c r="O1915" s="312">
        <v>104950.89</v>
      </c>
      <c r="P1915" s="312">
        <v>5922.2599999999993</v>
      </c>
      <c r="Q1915" s="312">
        <v>63912.119999999995</v>
      </c>
      <c r="R1915" s="312">
        <v>117257.04000000001</v>
      </c>
    </row>
    <row r="1916" spans="6:18">
      <c r="F1916" t="s">
        <v>3680</v>
      </c>
      <c r="G1916" s="312">
        <v>80.39</v>
      </c>
      <c r="H1916" s="312">
        <v>383.54999999999995</v>
      </c>
      <c r="I1916" s="312">
        <v>50.94</v>
      </c>
      <c r="J1916" s="312">
        <v>240.8</v>
      </c>
      <c r="K1916" s="312">
        <v>579.29999999999995</v>
      </c>
      <c r="M1916" t="s">
        <v>3680</v>
      </c>
      <c r="N1916" s="312">
        <v>35639.9</v>
      </c>
      <c r="O1916" s="312">
        <v>207208.85</v>
      </c>
      <c r="P1916" s="312">
        <v>47818.12</v>
      </c>
      <c r="Q1916" s="312">
        <v>120788.04000000001</v>
      </c>
      <c r="R1916" s="312">
        <v>158604.94</v>
      </c>
    </row>
    <row r="1917" spans="6:18">
      <c r="F1917" t="s">
        <v>3681</v>
      </c>
      <c r="G1917" s="312">
        <v>75.97</v>
      </c>
      <c r="H1917" s="312">
        <v>367.67</v>
      </c>
      <c r="I1917" s="312">
        <v>76.150000000000006</v>
      </c>
      <c r="J1917" s="312">
        <v>263.90000000000003</v>
      </c>
      <c r="K1917" s="312">
        <v>457.35</v>
      </c>
      <c r="M1917" t="s">
        <v>3681</v>
      </c>
      <c r="N1917" s="312">
        <v>39551.46</v>
      </c>
      <c r="O1917" s="312">
        <v>159007.80000000002</v>
      </c>
      <c r="P1917" s="312">
        <v>42790.8</v>
      </c>
      <c r="Q1917" s="312">
        <v>240762.11</v>
      </c>
      <c r="R1917" s="312">
        <v>116056.85999999999</v>
      </c>
    </row>
    <row r="1918" spans="6:18">
      <c r="F1918" t="s">
        <v>3682</v>
      </c>
      <c r="G1918" s="312">
        <v>91.16</v>
      </c>
      <c r="H1918" s="312">
        <v>353.3</v>
      </c>
      <c r="I1918" s="312">
        <v>67.959999999999994</v>
      </c>
      <c r="J1918" s="312">
        <v>305.72000000000003</v>
      </c>
      <c r="K1918" s="312">
        <v>443.07</v>
      </c>
      <c r="M1918" t="s">
        <v>3682</v>
      </c>
      <c r="N1918" s="312">
        <v>67359.14</v>
      </c>
      <c r="O1918" s="312">
        <v>222219.38</v>
      </c>
      <c r="P1918" s="312">
        <v>57429.42</v>
      </c>
      <c r="Q1918" s="312">
        <v>221942.94999999998</v>
      </c>
      <c r="R1918" s="312">
        <v>125630.25</v>
      </c>
    </row>
    <row r="1919" spans="6:18">
      <c r="F1919" t="s">
        <v>3683</v>
      </c>
      <c r="G1919" s="312">
        <v>105.12</v>
      </c>
      <c r="H1919" s="312">
        <v>343.98</v>
      </c>
      <c r="I1919" s="312">
        <v>65.28</v>
      </c>
      <c r="J1919" s="312">
        <v>316.92999999999995</v>
      </c>
      <c r="K1919" s="312">
        <v>419.01</v>
      </c>
      <c r="M1919" t="s">
        <v>3683</v>
      </c>
      <c r="N1919" s="312">
        <v>68581.429999999993</v>
      </c>
      <c r="O1919" s="312">
        <v>228336.74000000002</v>
      </c>
      <c r="P1919" s="312">
        <v>34578.65</v>
      </c>
      <c r="Q1919" s="312">
        <v>228594.93</v>
      </c>
      <c r="R1919" s="312">
        <v>137146.71000000002</v>
      </c>
    </row>
    <row r="1920" spans="6:18">
      <c r="F1920" t="s">
        <v>3684</v>
      </c>
      <c r="G1920" s="312">
        <v>58.070000000000007</v>
      </c>
      <c r="H1920" s="312">
        <v>250.64000000000001</v>
      </c>
      <c r="I1920" s="312">
        <v>27.839999999999996</v>
      </c>
      <c r="J1920" s="312">
        <v>261</v>
      </c>
      <c r="K1920" s="312">
        <v>348.25</v>
      </c>
      <c r="M1920" t="s">
        <v>3684</v>
      </c>
      <c r="N1920" s="312">
        <v>22504.809999999998</v>
      </c>
      <c r="O1920" s="312">
        <v>139745.70000000001</v>
      </c>
      <c r="P1920" s="312">
        <v>20065.29</v>
      </c>
      <c r="Q1920" s="312">
        <v>176403.25</v>
      </c>
      <c r="R1920" s="312">
        <v>91895.06</v>
      </c>
    </row>
    <row r="1921" spans="6:18">
      <c r="F1921" t="s">
        <v>3685</v>
      </c>
      <c r="G1921" s="312">
        <v>53.92</v>
      </c>
      <c r="H1921" s="312">
        <v>284.86</v>
      </c>
      <c r="I1921" s="312">
        <v>78.91</v>
      </c>
      <c r="J1921" s="312">
        <v>261.04000000000002</v>
      </c>
      <c r="K1921" s="312">
        <v>167.97</v>
      </c>
      <c r="M1921" t="s">
        <v>3685</v>
      </c>
      <c r="N1921" s="312">
        <v>51791.51</v>
      </c>
      <c r="O1921" s="312">
        <v>185045.55</v>
      </c>
      <c r="P1921" s="312">
        <v>69415.650000000009</v>
      </c>
      <c r="Q1921" s="312">
        <v>132521.07</v>
      </c>
      <c r="R1921" s="312">
        <v>57761.57</v>
      </c>
    </row>
    <row r="1922" spans="6:18">
      <c r="F1922" t="s">
        <v>3686</v>
      </c>
      <c r="G1922" s="312">
        <v>65.12</v>
      </c>
      <c r="H1922" s="312">
        <v>169.73000000000002</v>
      </c>
      <c r="I1922" s="312">
        <v>6.23</v>
      </c>
      <c r="J1922" s="312">
        <v>101.25</v>
      </c>
      <c r="K1922" s="312">
        <v>173.82</v>
      </c>
      <c r="M1922" t="s">
        <v>3686</v>
      </c>
      <c r="N1922" s="312">
        <v>32964.61</v>
      </c>
      <c r="O1922" s="312">
        <v>65732.08</v>
      </c>
      <c r="P1922" s="312">
        <v>6038.91</v>
      </c>
      <c r="Q1922" s="312">
        <v>69387.199999999997</v>
      </c>
      <c r="R1922" s="312">
        <v>50214.45</v>
      </c>
    </row>
    <row r="1923" spans="6:18">
      <c r="F1923" t="s">
        <v>3687</v>
      </c>
      <c r="G1923" s="312">
        <v>78.77</v>
      </c>
      <c r="H1923" s="312">
        <v>275.72000000000003</v>
      </c>
      <c r="I1923" s="312">
        <v>63.540000000000006</v>
      </c>
      <c r="J1923" s="312">
        <v>182.44</v>
      </c>
      <c r="K1923" s="312">
        <v>361.08000000000004</v>
      </c>
      <c r="M1923" t="s">
        <v>3687</v>
      </c>
      <c r="N1923" s="312">
        <v>36160.29</v>
      </c>
      <c r="O1923" s="312">
        <v>118311.13999999998</v>
      </c>
      <c r="P1923" s="312">
        <v>47513.919999999998</v>
      </c>
      <c r="Q1923" s="312">
        <v>145333.42000000001</v>
      </c>
      <c r="R1923" s="312">
        <v>109237.85</v>
      </c>
    </row>
    <row r="1924" spans="6:18">
      <c r="F1924" t="s">
        <v>3688</v>
      </c>
      <c r="G1924" s="312">
        <v>67.88</v>
      </c>
      <c r="H1924" s="312">
        <v>315.27</v>
      </c>
      <c r="I1924" s="312">
        <v>31.659999999999997</v>
      </c>
      <c r="J1924" s="312">
        <v>224.23999999999998</v>
      </c>
      <c r="K1924" s="312">
        <v>293.98</v>
      </c>
      <c r="M1924" t="s">
        <v>3688</v>
      </c>
      <c r="N1924" s="312">
        <v>28959.08</v>
      </c>
      <c r="O1924" s="312">
        <v>147729.35</v>
      </c>
      <c r="P1924" s="312">
        <v>23571.06</v>
      </c>
      <c r="Q1924" s="312">
        <v>157778.23999999999</v>
      </c>
      <c r="R1924" s="312">
        <v>96562.2</v>
      </c>
    </row>
    <row r="1925" spans="6:18">
      <c r="F1925" t="s">
        <v>3689</v>
      </c>
      <c r="G1925" s="312">
        <v>53.239999999999995</v>
      </c>
      <c r="H1925" s="312">
        <v>335.15</v>
      </c>
      <c r="I1925" s="312">
        <v>65.39</v>
      </c>
      <c r="J1925" s="312">
        <v>258.98</v>
      </c>
      <c r="K1925" s="312">
        <v>291.38</v>
      </c>
      <c r="M1925" t="s">
        <v>3689</v>
      </c>
      <c r="N1925" s="312">
        <v>22716.92</v>
      </c>
      <c r="O1925" s="312">
        <v>178130.11000000002</v>
      </c>
      <c r="P1925" s="312">
        <v>30982.93</v>
      </c>
      <c r="Q1925" s="312">
        <v>122819.83</v>
      </c>
      <c r="R1925" s="312">
        <v>84212</v>
      </c>
    </row>
    <row r="1926" spans="6:18">
      <c r="F1926" t="s">
        <v>3690</v>
      </c>
      <c r="G1926" s="312">
        <v>71.62</v>
      </c>
      <c r="H1926" s="312">
        <v>382.05</v>
      </c>
      <c r="I1926" s="312">
        <v>166.58</v>
      </c>
      <c r="J1926" s="312">
        <v>331.67</v>
      </c>
      <c r="K1926" s="312">
        <v>199.76</v>
      </c>
      <c r="M1926" t="s">
        <v>3690</v>
      </c>
      <c r="N1926" s="312">
        <v>37830.230000000003</v>
      </c>
      <c r="O1926" s="312">
        <v>147647.62</v>
      </c>
      <c r="P1926" s="312">
        <v>99320.62000000001</v>
      </c>
      <c r="Q1926" s="312">
        <v>238894.64</v>
      </c>
      <c r="R1926" s="312">
        <v>49775.89</v>
      </c>
    </row>
    <row r="1927" spans="6:18">
      <c r="F1927" t="s">
        <v>3691</v>
      </c>
      <c r="G1927" s="312">
        <v>82.27000000000001</v>
      </c>
      <c r="H1927" s="312">
        <v>307.66999999999996</v>
      </c>
      <c r="I1927" s="312">
        <v>53.69</v>
      </c>
      <c r="J1927" s="312">
        <v>179.35000000000002</v>
      </c>
      <c r="K1927" s="312">
        <v>301.10000000000002</v>
      </c>
      <c r="M1927" t="s">
        <v>3691</v>
      </c>
      <c r="N1927" s="312">
        <v>45522.490000000005</v>
      </c>
      <c r="O1927" s="312">
        <v>171115.63</v>
      </c>
      <c r="P1927" s="312">
        <v>25923.94</v>
      </c>
      <c r="Q1927" s="312">
        <v>69940.760000000009</v>
      </c>
      <c r="R1927" s="312">
        <v>73992.61</v>
      </c>
    </row>
    <row r="1928" spans="6:18">
      <c r="F1928" t="s">
        <v>3692</v>
      </c>
      <c r="G1928" s="312">
        <v>60.69</v>
      </c>
      <c r="H1928" s="312">
        <v>214.04000000000002</v>
      </c>
      <c r="I1928" s="312">
        <v>58.12</v>
      </c>
      <c r="J1928" s="312">
        <v>157.55000000000001</v>
      </c>
      <c r="K1928" s="312">
        <v>197.48000000000002</v>
      </c>
      <c r="M1928" t="s">
        <v>3692</v>
      </c>
      <c r="N1928" s="312">
        <v>25316.25</v>
      </c>
      <c r="O1928" s="312">
        <v>76221.84</v>
      </c>
      <c r="P1928" s="312">
        <v>36889.51</v>
      </c>
      <c r="Q1928" s="312">
        <v>95388.23000000001</v>
      </c>
      <c r="R1928" s="312">
        <v>46468.53</v>
      </c>
    </row>
    <row r="1929" spans="6:18">
      <c r="F1929" t="s">
        <v>3693</v>
      </c>
      <c r="G1929" s="312">
        <v>96.63</v>
      </c>
      <c r="H1929" s="312">
        <v>260.15999999999997</v>
      </c>
      <c r="I1929" s="312">
        <v>35.049999999999997</v>
      </c>
      <c r="J1929" s="312">
        <v>73.34</v>
      </c>
      <c r="K1929" s="312">
        <v>200.28</v>
      </c>
      <c r="M1929" t="s">
        <v>3693</v>
      </c>
      <c r="N1929" s="312">
        <v>51308.25</v>
      </c>
      <c r="O1929" s="312">
        <v>113033.34999999999</v>
      </c>
      <c r="P1929" s="312">
        <v>20015.89</v>
      </c>
      <c r="Q1929" s="312">
        <v>66968.259999999995</v>
      </c>
      <c r="R1929" s="312">
        <v>66088.38</v>
      </c>
    </row>
    <row r="1930" spans="6:18">
      <c r="F1930" t="s">
        <v>3694</v>
      </c>
      <c r="G1930" s="312">
        <v>114.05000000000001</v>
      </c>
      <c r="H1930" s="312">
        <v>196.5</v>
      </c>
      <c r="I1930" s="312">
        <v>32.14</v>
      </c>
      <c r="J1930" s="312">
        <v>214.97000000000003</v>
      </c>
      <c r="K1930" s="312">
        <v>345.32</v>
      </c>
      <c r="M1930" t="s">
        <v>3694</v>
      </c>
      <c r="N1930" s="312">
        <v>62454.64</v>
      </c>
      <c r="O1930" s="312">
        <v>85534.28</v>
      </c>
      <c r="P1930" s="312">
        <v>18394.190000000002</v>
      </c>
      <c r="Q1930" s="312">
        <v>106249.35</v>
      </c>
      <c r="R1930" s="312">
        <v>115446.22</v>
      </c>
    </row>
    <row r="1931" spans="6:18">
      <c r="F1931" t="s">
        <v>3695</v>
      </c>
      <c r="G1931" s="312">
        <v>81.53</v>
      </c>
      <c r="H1931" s="312">
        <v>298.06</v>
      </c>
      <c r="I1931" s="312">
        <v>17.009999999999998</v>
      </c>
      <c r="J1931" s="312">
        <v>248.17</v>
      </c>
      <c r="K1931" s="312">
        <v>417.09000000000003</v>
      </c>
      <c r="M1931" t="s">
        <v>3695</v>
      </c>
      <c r="N1931" s="312">
        <v>50482.39</v>
      </c>
      <c r="O1931" s="312">
        <v>124811.5</v>
      </c>
      <c r="P1931" s="312">
        <v>20049.29</v>
      </c>
      <c r="Q1931" s="312">
        <v>168556.55</v>
      </c>
      <c r="R1931" s="312">
        <v>121629.94</v>
      </c>
    </row>
    <row r="1932" spans="6:18">
      <c r="F1932" t="s">
        <v>3696</v>
      </c>
      <c r="G1932" s="312">
        <v>79.180000000000007</v>
      </c>
      <c r="H1932" s="312">
        <v>237.95</v>
      </c>
      <c r="I1932" s="312">
        <v>60.269999999999996</v>
      </c>
      <c r="J1932" s="312">
        <v>168.07</v>
      </c>
      <c r="K1932" s="312">
        <v>216.37</v>
      </c>
      <c r="M1932" t="s">
        <v>3696</v>
      </c>
      <c r="N1932" s="312">
        <v>38399.770000000004</v>
      </c>
      <c r="O1932" s="312">
        <v>123738.11</v>
      </c>
      <c r="P1932" s="312">
        <v>42296.05</v>
      </c>
      <c r="Q1932" s="312">
        <v>69759</v>
      </c>
      <c r="R1932" s="312">
        <v>86954.42</v>
      </c>
    </row>
    <row r="1933" spans="6:18">
      <c r="F1933" t="s">
        <v>3697</v>
      </c>
      <c r="G1933" s="312">
        <v>76.36</v>
      </c>
      <c r="H1933" s="312">
        <v>258.89</v>
      </c>
      <c r="I1933" s="312">
        <v>40.43</v>
      </c>
      <c r="J1933" s="312">
        <v>208.71</v>
      </c>
      <c r="K1933" s="312">
        <v>417.82</v>
      </c>
      <c r="M1933" t="s">
        <v>3697</v>
      </c>
      <c r="N1933" s="312">
        <v>33890.129999999997</v>
      </c>
      <c r="O1933" s="312">
        <v>93692.41</v>
      </c>
      <c r="P1933" s="312">
        <v>33217.57</v>
      </c>
      <c r="Q1933" s="312">
        <v>136432.29</v>
      </c>
      <c r="R1933" s="312">
        <v>119762.67</v>
      </c>
    </row>
    <row r="1934" spans="6:18">
      <c r="F1934" t="s">
        <v>3698</v>
      </c>
      <c r="G1934" s="312">
        <v>82.15</v>
      </c>
      <c r="H1934" s="312">
        <v>233.33999999999997</v>
      </c>
      <c r="I1934" s="312">
        <v>51.6</v>
      </c>
      <c r="J1934" s="312">
        <v>202.65</v>
      </c>
      <c r="K1934" s="312">
        <v>372.47999999999996</v>
      </c>
      <c r="M1934" t="s">
        <v>3698</v>
      </c>
      <c r="N1934" s="312">
        <v>40427.440000000002</v>
      </c>
      <c r="O1934" s="312">
        <v>124538.95</v>
      </c>
      <c r="P1934" s="312">
        <v>31291.870000000003</v>
      </c>
      <c r="Q1934" s="312">
        <v>144679.77000000002</v>
      </c>
      <c r="R1934" s="312">
        <v>124903.09</v>
      </c>
    </row>
    <row r="1935" spans="6:18">
      <c r="F1935" t="s">
        <v>3699</v>
      </c>
      <c r="G1935" s="312">
        <v>87.69</v>
      </c>
      <c r="H1935" s="312">
        <v>207.51999999999998</v>
      </c>
      <c r="I1935" s="312">
        <v>17.649999999999999</v>
      </c>
      <c r="J1935" s="312">
        <v>144.75</v>
      </c>
      <c r="K1935" s="312">
        <v>134.98000000000002</v>
      </c>
      <c r="M1935" t="s">
        <v>3699</v>
      </c>
      <c r="N1935" s="312">
        <v>30725.200000000001</v>
      </c>
      <c r="O1935" s="312">
        <v>77121.399999999994</v>
      </c>
      <c r="P1935" s="312">
        <v>8728.2000000000007</v>
      </c>
      <c r="Q1935" s="312">
        <v>70785.649999999994</v>
      </c>
      <c r="R1935" s="312">
        <v>42361.009999999995</v>
      </c>
    </row>
    <row r="1936" spans="6:18">
      <c r="F1936" t="s">
        <v>3700</v>
      </c>
      <c r="G1936" s="312">
        <v>56.88</v>
      </c>
      <c r="H1936" s="312">
        <v>210.86</v>
      </c>
      <c r="I1936" s="312">
        <v>41</v>
      </c>
      <c r="J1936" s="312">
        <v>78.33</v>
      </c>
      <c r="K1936" s="312">
        <v>167.2</v>
      </c>
      <c r="M1936" t="s">
        <v>3700</v>
      </c>
      <c r="N1936" s="312">
        <v>27064.78</v>
      </c>
      <c r="O1936" s="312">
        <v>110942.78</v>
      </c>
      <c r="P1936" s="312">
        <v>56667.32</v>
      </c>
      <c r="Q1936" s="312">
        <v>32783.43</v>
      </c>
      <c r="R1936" s="312">
        <v>54044.47</v>
      </c>
    </row>
    <row r="1937" spans="6:18">
      <c r="F1937" t="s">
        <v>3701</v>
      </c>
      <c r="G1937" s="312">
        <v>74.449999999999989</v>
      </c>
      <c r="H1937" s="312">
        <v>220.23</v>
      </c>
      <c r="I1937" s="312">
        <v>53.45</v>
      </c>
      <c r="J1937" s="312">
        <v>140.47</v>
      </c>
      <c r="K1937" s="312">
        <v>455.64</v>
      </c>
      <c r="M1937" t="s">
        <v>3701</v>
      </c>
      <c r="N1937" s="312">
        <v>33186.869999999995</v>
      </c>
      <c r="O1937" s="312">
        <v>116823.26000000001</v>
      </c>
      <c r="P1937" s="312">
        <v>52295.87</v>
      </c>
      <c r="Q1937" s="312">
        <v>71141.75</v>
      </c>
      <c r="R1937" s="312">
        <v>143686.07</v>
      </c>
    </row>
    <row r="1938" spans="6:18">
      <c r="F1938" t="s">
        <v>3702</v>
      </c>
      <c r="G1938" s="312">
        <v>39.67</v>
      </c>
      <c r="H1938" s="312">
        <v>330.33</v>
      </c>
      <c r="I1938" s="312">
        <v>68.599999999999994</v>
      </c>
      <c r="J1938" s="312">
        <v>274.81</v>
      </c>
      <c r="K1938" s="312">
        <v>507.43</v>
      </c>
      <c r="M1938" t="s">
        <v>3702</v>
      </c>
      <c r="N1938" s="312">
        <v>18277.800000000003</v>
      </c>
      <c r="O1938" s="312">
        <v>131613.29999999999</v>
      </c>
      <c r="P1938" s="312">
        <v>68845.91</v>
      </c>
      <c r="Q1938" s="312">
        <v>190058.87</v>
      </c>
      <c r="R1938" s="312">
        <v>160574.81</v>
      </c>
    </row>
    <row r="1939" spans="6:18">
      <c r="F1939" t="s">
        <v>3703</v>
      </c>
      <c r="G1939" s="312">
        <v>37.21</v>
      </c>
      <c r="H1939" s="312">
        <v>258.37</v>
      </c>
      <c r="I1939" s="312">
        <v>84.399999999999991</v>
      </c>
      <c r="J1939" s="312">
        <v>264.60000000000002</v>
      </c>
      <c r="K1939" s="312">
        <v>473.79999999999995</v>
      </c>
      <c r="M1939" t="s">
        <v>3703</v>
      </c>
      <c r="N1939" s="312">
        <v>14022.98</v>
      </c>
      <c r="O1939" s="312">
        <v>146112.16</v>
      </c>
      <c r="P1939" s="312">
        <v>66131.3</v>
      </c>
      <c r="Q1939" s="312">
        <v>156792.87999999998</v>
      </c>
      <c r="R1939" s="312">
        <v>160288.23000000001</v>
      </c>
    </row>
    <row r="1940" spans="6:18">
      <c r="F1940" t="s">
        <v>3704</v>
      </c>
      <c r="G1940" s="312">
        <v>48.3</v>
      </c>
      <c r="H1940" s="312">
        <v>238.68</v>
      </c>
      <c r="I1940" s="312">
        <v>125.48</v>
      </c>
      <c r="J1940" s="312">
        <v>289.27999999999997</v>
      </c>
      <c r="K1940" s="312">
        <v>358.58000000000004</v>
      </c>
      <c r="M1940" t="s">
        <v>3704</v>
      </c>
      <c r="N1940" s="312">
        <v>32956.42</v>
      </c>
      <c r="O1940" s="312">
        <v>98335.14</v>
      </c>
      <c r="P1940" s="312">
        <v>98099.09</v>
      </c>
      <c r="Q1940" s="312">
        <v>136666.47999999998</v>
      </c>
      <c r="R1940" s="312">
        <v>127454.78</v>
      </c>
    </row>
    <row r="1941" spans="6:18">
      <c r="F1941" t="s">
        <v>3705</v>
      </c>
      <c r="G1941" s="312">
        <v>109.89</v>
      </c>
      <c r="H1941" s="312">
        <v>268.24</v>
      </c>
      <c r="I1941" s="312">
        <v>29.58</v>
      </c>
      <c r="J1941" s="312">
        <v>281.73</v>
      </c>
      <c r="K1941" s="312">
        <v>391.66</v>
      </c>
      <c r="M1941" t="s">
        <v>3705</v>
      </c>
      <c r="N1941" s="312">
        <v>59704.26</v>
      </c>
      <c r="O1941" s="312">
        <v>141171.71</v>
      </c>
      <c r="P1941" s="312">
        <v>48893.32</v>
      </c>
      <c r="Q1941" s="312">
        <v>198857.96000000002</v>
      </c>
      <c r="R1941" s="312">
        <v>148192.76999999999</v>
      </c>
    </row>
    <row r="1942" spans="6:18">
      <c r="F1942" t="s">
        <v>3706</v>
      </c>
      <c r="G1942" s="312">
        <v>57.959999999999994</v>
      </c>
      <c r="H1942" s="312">
        <v>222.91000000000003</v>
      </c>
      <c r="I1942" s="312">
        <v>39.489999999999995</v>
      </c>
      <c r="J1942" s="312">
        <v>298.75</v>
      </c>
      <c r="K1942" s="312">
        <v>228.20999999999998</v>
      </c>
      <c r="M1942" t="s">
        <v>3706</v>
      </c>
      <c r="N1942" s="312">
        <v>26957.34</v>
      </c>
      <c r="O1942" s="312">
        <v>109741.49</v>
      </c>
      <c r="P1942" s="312">
        <v>33843.919999999998</v>
      </c>
      <c r="Q1942" s="312">
        <v>214743.96000000002</v>
      </c>
      <c r="R1942" s="312">
        <v>86468.63</v>
      </c>
    </row>
    <row r="1943" spans="6:18">
      <c r="F1943" t="s">
        <v>3707</v>
      </c>
      <c r="G1943" s="312">
        <v>57.690000000000005</v>
      </c>
      <c r="H1943" s="312">
        <v>155.10000000000002</v>
      </c>
      <c r="I1943" s="312">
        <v>7.56</v>
      </c>
      <c r="J1943" s="312">
        <v>193.82999999999998</v>
      </c>
      <c r="K1943" s="312">
        <v>242.63</v>
      </c>
      <c r="M1943" t="s">
        <v>3707</v>
      </c>
      <c r="N1943" s="312">
        <v>28904.86</v>
      </c>
      <c r="O1943" s="312">
        <v>77610.94</v>
      </c>
      <c r="P1943" s="312">
        <v>7825.53</v>
      </c>
      <c r="Q1943" s="312">
        <v>128092.54</v>
      </c>
      <c r="R1943" s="312">
        <v>57873.34</v>
      </c>
    </row>
    <row r="1944" spans="6:18">
      <c r="F1944" t="s">
        <v>3708</v>
      </c>
      <c r="G1944" s="312">
        <v>59.51</v>
      </c>
      <c r="H1944" s="312">
        <v>265.02999999999997</v>
      </c>
      <c r="I1944" s="312">
        <v>76.13000000000001</v>
      </c>
      <c r="J1944" s="312">
        <v>366.44</v>
      </c>
      <c r="K1944" s="312">
        <v>384.26</v>
      </c>
      <c r="M1944" t="s">
        <v>3708</v>
      </c>
      <c r="N1944" s="312">
        <v>23603.02</v>
      </c>
      <c r="O1944" s="312">
        <v>114998.51999999999</v>
      </c>
      <c r="P1944" s="312">
        <v>66943.539999999994</v>
      </c>
      <c r="Q1944" s="312">
        <v>252619.66</v>
      </c>
      <c r="R1944" s="312">
        <v>138043.9</v>
      </c>
    </row>
    <row r="1945" spans="6:18">
      <c r="F1945" t="s">
        <v>3709</v>
      </c>
      <c r="G1945" s="312">
        <v>48.36</v>
      </c>
      <c r="H1945" s="312">
        <v>258.98</v>
      </c>
      <c r="I1945" s="312">
        <v>101.58</v>
      </c>
      <c r="J1945" s="312">
        <v>295.62</v>
      </c>
      <c r="K1945" s="312">
        <v>355.15</v>
      </c>
      <c r="M1945" t="s">
        <v>3709</v>
      </c>
      <c r="N1945" s="312">
        <v>26818.02</v>
      </c>
      <c r="O1945" s="312">
        <v>97783.5</v>
      </c>
      <c r="P1945" s="312">
        <v>88493.58</v>
      </c>
      <c r="Q1945" s="312">
        <v>166038.9</v>
      </c>
      <c r="R1945" s="312">
        <v>93176.640000000014</v>
      </c>
    </row>
    <row r="1946" spans="6:18">
      <c r="F1946" t="s">
        <v>3710</v>
      </c>
      <c r="G1946" s="312">
        <v>59.08</v>
      </c>
      <c r="H1946" s="312">
        <v>247.5</v>
      </c>
      <c r="I1946" s="312">
        <v>44.23</v>
      </c>
      <c r="J1946" s="312">
        <v>332.09999999999997</v>
      </c>
      <c r="K1946" s="312">
        <v>323.17</v>
      </c>
      <c r="M1946" t="s">
        <v>3710</v>
      </c>
      <c r="N1946" s="312">
        <v>23281.360000000001</v>
      </c>
      <c r="O1946" s="312">
        <v>134203.93</v>
      </c>
      <c r="P1946" s="312">
        <v>41689.480000000003</v>
      </c>
      <c r="Q1946" s="312">
        <v>208935.07</v>
      </c>
      <c r="R1946" s="312">
        <v>99017.989999999991</v>
      </c>
    </row>
    <row r="1947" spans="6:18">
      <c r="F1947" t="s">
        <v>3711</v>
      </c>
      <c r="G1947" s="312">
        <v>43.379999999999995</v>
      </c>
      <c r="H1947" s="312">
        <v>266.52</v>
      </c>
      <c r="I1947" s="312">
        <v>51.69</v>
      </c>
      <c r="J1947" s="312">
        <v>409.53999999999996</v>
      </c>
      <c r="K1947" s="312">
        <v>275.88</v>
      </c>
      <c r="M1947" t="s">
        <v>3711</v>
      </c>
      <c r="N1947" s="312">
        <v>16981.59</v>
      </c>
      <c r="O1947" s="312">
        <v>140476.97999999998</v>
      </c>
      <c r="P1947" s="312">
        <v>21560.799999999999</v>
      </c>
      <c r="Q1947" s="312">
        <v>244375.67</v>
      </c>
      <c r="R1947" s="312">
        <v>92744.07</v>
      </c>
    </row>
    <row r="1948" spans="6:18">
      <c r="F1948" t="s">
        <v>3712</v>
      </c>
      <c r="G1948" s="312">
        <v>65.33</v>
      </c>
      <c r="H1948" s="312">
        <v>245.46</v>
      </c>
      <c r="I1948" s="312">
        <v>95.25</v>
      </c>
      <c r="J1948" s="312">
        <v>321.04999999999995</v>
      </c>
      <c r="K1948" s="312">
        <v>442.13</v>
      </c>
      <c r="M1948" t="s">
        <v>3712</v>
      </c>
      <c r="N1948" s="312">
        <v>24965.129999999997</v>
      </c>
      <c r="O1948" s="312">
        <v>101424.95999999999</v>
      </c>
      <c r="P1948" s="312">
        <v>51444.079999999994</v>
      </c>
      <c r="Q1948" s="312">
        <v>204822.5</v>
      </c>
      <c r="R1948" s="312">
        <v>131064.91</v>
      </c>
    </row>
    <row r="1949" spans="6:18">
      <c r="F1949" t="s">
        <v>3713</v>
      </c>
      <c r="G1949" s="312">
        <v>84.69</v>
      </c>
      <c r="H1949" s="312">
        <v>195.61</v>
      </c>
      <c r="I1949" s="312">
        <v>107.94</v>
      </c>
      <c r="J1949" s="312">
        <v>243.77</v>
      </c>
      <c r="K1949" s="312">
        <v>199.53</v>
      </c>
      <c r="M1949" t="s">
        <v>3713</v>
      </c>
      <c r="N1949" s="312">
        <v>51848.409999999996</v>
      </c>
      <c r="O1949" s="312">
        <v>104006.62</v>
      </c>
      <c r="P1949" s="312">
        <v>50703.78</v>
      </c>
      <c r="Q1949" s="312">
        <v>143057.72</v>
      </c>
      <c r="R1949" s="312">
        <v>72174.290000000008</v>
      </c>
    </row>
    <row r="1950" spans="6:18">
      <c r="F1950" t="s">
        <v>3714</v>
      </c>
      <c r="G1950" s="312">
        <v>54.870000000000005</v>
      </c>
      <c r="H1950" s="312">
        <v>137.04</v>
      </c>
      <c r="I1950" s="312">
        <v>16.36</v>
      </c>
      <c r="J1950" s="312">
        <v>203.39</v>
      </c>
      <c r="K1950" s="312">
        <v>377.86</v>
      </c>
      <c r="M1950" t="s">
        <v>3714</v>
      </c>
      <c r="N1950" s="312">
        <v>19632.939999999999</v>
      </c>
      <c r="O1950" s="312">
        <v>56272.19</v>
      </c>
      <c r="P1950" s="312">
        <v>14370.08</v>
      </c>
      <c r="Q1950" s="312">
        <v>119424.59999999999</v>
      </c>
      <c r="R1950" s="312">
        <v>139084.63</v>
      </c>
    </row>
    <row r="1951" spans="6:18">
      <c r="F1951" t="s">
        <v>3715</v>
      </c>
      <c r="G1951" s="312">
        <v>58.7</v>
      </c>
      <c r="H1951" s="312">
        <v>342.34000000000003</v>
      </c>
      <c r="I1951" s="312">
        <v>22.95</v>
      </c>
      <c r="J1951" s="312">
        <v>224.48999999999998</v>
      </c>
      <c r="K1951" s="312">
        <v>384.54</v>
      </c>
      <c r="M1951" t="s">
        <v>3715</v>
      </c>
      <c r="N1951" s="312">
        <v>33945.22</v>
      </c>
      <c r="O1951" s="312">
        <v>134822.89000000001</v>
      </c>
      <c r="P1951" s="312">
        <v>23957.599999999999</v>
      </c>
      <c r="Q1951" s="312">
        <v>139721.78</v>
      </c>
      <c r="R1951" s="312">
        <v>130643.03</v>
      </c>
    </row>
    <row r="1952" spans="6:18">
      <c r="F1952" t="s">
        <v>3716</v>
      </c>
      <c r="G1952" s="312">
        <v>50.58</v>
      </c>
      <c r="H1952" s="312">
        <v>272.32</v>
      </c>
      <c r="I1952" s="312">
        <v>72.08</v>
      </c>
      <c r="J1952" s="312">
        <v>222.29000000000002</v>
      </c>
      <c r="K1952" s="312">
        <v>212.24</v>
      </c>
      <c r="M1952" t="s">
        <v>3716</v>
      </c>
      <c r="N1952" s="312">
        <v>20643.300000000003</v>
      </c>
      <c r="O1952" s="312">
        <v>138132.34</v>
      </c>
      <c r="P1952" s="312">
        <v>94410.799999999988</v>
      </c>
      <c r="Q1952" s="312">
        <v>120463.32</v>
      </c>
      <c r="R1952" s="312">
        <v>73168.62</v>
      </c>
    </row>
    <row r="1953" spans="6:18">
      <c r="F1953" t="s">
        <v>3717</v>
      </c>
      <c r="G1953" s="312">
        <v>91.240000000000009</v>
      </c>
      <c r="H1953" s="312">
        <v>338.29</v>
      </c>
      <c r="I1953" s="312">
        <v>121.5</v>
      </c>
      <c r="J1953" s="312">
        <v>325.17</v>
      </c>
      <c r="K1953" s="312">
        <v>280.63</v>
      </c>
      <c r="M1953" t="s">
        <v>3717</v>
      </c>
      <c r="N1953" s="312">
        <v>37259.230000000003</v>
      </c>
      <c r="O1953" s="312">
        <v>153747.25</v>
      </c>
      <c r="P1953" s="312">
        <v>88873.96</v>
      </c>
      <c r="Q1953" s="312">
        <v>283944.55</v>
      </c>
      <c r="R1953" s="312">
        <v>85053.58</v>
      </c>
    </row>
    <row r="1954" spans="6:18">
      <c r="F1954" t="s">
        <v>3718</v>
      </c>
      <c r="G1954" s="312">
        <v>114.31</v>
      </c>
      <c r="H1954" s="312">
        <v>388.03</v>
      </c>
      <c r="I1954" s="312">
        <v>161.22</v>
      </c>
      <c r="J1954" s="312">
        <v>323.28999999999996</v>
      </c>
      <c r="K1954" s="312">
        <v>236.60000000000002</v>
      </c>
      <c r="M1954" t="s">
        <v>3718</v>
      </c>
      <c r="N1954" s="312">
        <v>63776.52</v>
      </c>
      <c r="O1954" s="312">
        <v>193087.99</v>
      </c>
      <c r="P1954" s="312">
        <v>97292.3</v>
      </c>
      <c r="Q1954" s="312">
        <v>211028.47</v>
      </c>
      <c r="R1954" s="312">
        <v>81529.649999999994</v>
      </c>
    </row>
    <row r="1955" spans="6:18">
      <c r="F1955" t="s">
        <v>3719</v>
      </c>
      <c r="G1955" s="312">
        <v>68.509999999999991</v>
      </c>
      <c r="H1955" s="312">
        <v>323.90999999999997</v>
      </c>
      <c r="I1955" s="312">
        <v>110.78</v>
      </c>
      <c r="J1955" s="312">
        <v>407.32</v>
      </c>
      <c r="K1955" s="312">
        <v>293.62</v>
      </c>
      <c r="M1955" t="s">
        <v>3719</v>
      </c>
      <c r="N1955" s="312">
        <v>31215.690000000002</v>
      </c>
      <c r="O1955" s="312">
        <v>167905.36000000002</v>
      </c>
      <c r="P1955" s="312">
        <v>76960.450000000012</v>
      </c>
      <c r="Q1955" s="312">
        <v>264685.14</v>
      </c>
      <c r="R1955" s="312">
        <v>109374.15</v>
      </c>
    </row>
    <row r="1956" spans="6:18">
      <c r="F1956" t="s">
        <v>3720</v>
      </c>
      <c r="G1956" s="312">
        <v>80.89</v>
      </c>
      <c r="H1956" s="312">
        <v>356.05999999999995</v>
      </c>
      <c r="I1956" s="312">
        <v>95.5</v>
      </c>
      <c r="J1956" s="312">
        <v>174.01</v>
      </c>
      <c r="K1956" s="312">
        <v>137.89000000000001</v>
      </c>
      <c r="M1956" t="s">
        <v>3720</v>
      </c>
      <c r="N1956" s="312">
        <v>41921.820000000007</v>
      </c>
      <c r="O1956" s="312">
        <v>156546.38999999998</v>
      </c>
      <c r="P1956" s="312">
        <v>66001.14</v>
      </c>
      <c r="Q1956" s="312">
        <v>98182.44</v>
      </c>
      <c r="R1956" s="312">
        <v>41403.050000000003</v>
      </c>
    </row>
    <row r="1957" spans="6:18">
      <c r="F1957" t="s">
        <v>3721</v>
      </c>
      <c r="G1957" s="312">
        <v>72.23</v>
      </c>
      <c r="H1957" s="312">
        <v>259.83</v>
      </c>
      <c r="I1957" s="312">
        <v>13.81</v>
      </c>
      <c r="J1957" s="312">
        <v>132.99</v>
      </c>
      <c r="K1957" s="312">
        <v>185.33999999999997</v>
      </c>
      <c r="M1957" t="s">
        <v>3721</v>
      </c>
      <c r="N1957" s="312">
        <v>26935.21</v>
      </c>
      <c r="O1957" s="312">
        <v>130521.01999999999</v>
      </c>
      <c r="P1957" s="312">
        <v>7140.51</v>
      </c>
      <c r="Q1957" s="312">
        <v>81030.11</v>
      </c>
      <c r="R1957" s="312">
        <v>52112.5</v>
      </c>
    </row>
    <row r="1958" spans="6:18">
      <c r="F1958" t="s">
        <v>3722</v>
      </c>
      <c r="G1958" s="312">
        <v>64.459999999999994</v>
      </c>
      <c r="H1958" s="312">
        <v>451.67</v>
      </c>
      <c r="I1958" s="312">
        <v>26.830000000000002</v>
      </c>
      <c r="J1958" s="312">
        <v>281.27</v>
      </c>
      <c r="K1958" s="312">
        <v>365.87</v>
      </c>
      <c r="M1958" t="s">
        <v>3722</v>
      </c>
      <c r="N1958" s="312">
        <v>28749.199999999997</v>
      </c>
      <c r="O1958" s="312">
        <v>174613.86</v>
      </c>
      <c r="P1958" s="312">
        <v>10675.4</v>
      </c>
      <c r="Q1958" s="312">
        <v>175085.50999999998</v>
      </c>
      <c r="R1958" s="312">
        <v>145263.85999999999</v>
      </c>
    </row>
    <row r="1959" spans="6:18">
      <c r="F1959" t="s">
        <v>3723</v>
      </c>
      <c r="G1959" s="312">
        <v>108.75999999999999</v>
      </c>
      <c r="H1959" s="312">
        <v>320.14999999999998</v>
      </c>
      <c r="I1959" s="312">
        <v>83</v>
      </c>
      <c r="J1959" s="312">
        <v>305.8</v>
      </c>
      <c r="K1959" s="312">
        <v>599.82999999999993</v>
      </c>
      <c r="M1959" t="s">
        <v>3723</v>
      </c>
      <c r="N1959" s="312">
        <v>57954.549999999996</v>
      </c>
      <c r="O1959" s="312">
        <v>144234.07</v>
      </c>
      <c r="P1959" s="312">
        <v>56744.009999999995</v>
      </c>
      <c r="Q1959" s="312">
        <v>220915.43</v>
      </c>
      <c r="R1959" s="312">
        <v>267943.71000000002</v>
      </c>
    </row>
    <row r="1960" spans="6:18">
      <c r="F1960" t="s">
        <v>3724</v>
      </c>
      <c r="G1960" s="312">
        <v>125.94</v>
      </c>
      <c r="H1960" s="312">
        <v>478.27</v>
      </c>
      <c r="I1960" s="312">
        <v>77.69</v>
      </c>
      <c r="J1960" s="312">
        <v>322.56</v>
      </c>
      <c r="K1960" s="312">
        <v>618.17000000000007</v>
      </c>
      <c r="M1960" t="s">
        <v>3724</v>
      </c>
      <c r="N1960" s="312">
        <v>67573.56</v>
      </c>
      <c r="O1960" s="312">
        <v>274049.58999999997</v>
      </c>
      <c r="P1960" s="312">
        <v>42909.81</v>
      </c>
      <c r="Q1960" s="312">
        <v>197126.47</v>
      </c>
      <c r="R1960" s="312">
        <v>262792.68</v>
      </c>
    </row>
    <row r="1961" spans="6:18">
      <c r="F1961" t="s">
        <v>3725</v>
      </c>
      <c r="G1961" s="312">
        <v>96.8</v>
      </c>
      <c r="H1961" s="312">
        <v>383.03999999999996</v>
      </c>
      <c r="I1961" s="312">
        <v>116.38</v>
      </c>
      <c r="J1961" s="312">
        <v>339.62</v>
      </c>
      <c r="K1961" s="312">
        <v>375.38</v>
      </c>
      <c r="M1961" t="s">
        <v>3725</v>
      </c>
      <c r="N1961" s="312">
        <v>35088.770000000004</v>
      </c>
      <c r="O1961" s="312">
        <v>174455</v>
      </c>
      <c r="P1961" s="312">
        <v>97657.06</v>
      </c>
      <c r="Q1961" s="312">
        <v>201982.24</v>
      </c>
      <c r="R1961" s="312">
        <v>141654.54</v>
      </c>
    </row>
    <row r="1962" spans="6:18">
      <c r="F1962" t="s">
        <v>3726</v>
      </c>
      <c r="G1962" s="312">
        <v>76.59</v>
      </c>
      <c r="H1962" s="312">
        <v>342.19</v>
      </c>
      <c r="I1962" s="312">
        <v>94.24</v>
      </c>
      <c r="J1962" s="312">
        <v>249.39</v>
      </c>
      <c r="K1962" s="312">
        <v>393.46</v>
      </c>
      <c r="M1962" t="s">
        <v>3726</v>
      </c>
      <c r="N1962" s="312">
        <v>37777.980000000003</v>
      </c>
      <c r="O1962" s="312">
        <v>213462.37</v>
      </c>
      <c r="P1962" s="312">
        <v>88065.68</v>
      </c>
      <c r="Q1962" s="312">
        <v>202685.28</v>
      </c>
      <c r="R1962" s="312">
        <v>139795.39000000001</v>
      </c>
    </row>
    <row r="1963" spans="6:18">
      <c r="F1963" t="s">
        <v>3727</v>
      </c>
      <c r="G1963" s="312">
        <v>90.52</v>
      </c>
      <c r="H1963" s="312">
        <v>258.74</v>
      </c>
      <c r="I1963" s="312">
        <v>45.11</v>
      </c>
      <c r="J1963" s="312">
        <v>243.85000000000002</v>
      </c>
      <c r="K1963" s="312">
        <v>161.12</v>
      </c>
      <c r="M1963" t="s">
        <v>3727</v>
      </c>
      <c r="N1963" s="312">
        <v>43643.46</v>
      </c>
      <c r="O1963" s="312">
        <v>102581.41</v>
      </c>
      <c r="P1963" s="312">
        <v>60137.719999999994</v>
      </c>
      <c r="Q1963" s="312">
        <v>126137.53</v>
      </c>
      <c r="R1963" s="312">
        <v>56629.090000000004</v>
      </c>
    </row>
    <row r="1964" spans="6:18">
      <c r="F1964" t="s">
        <v>3728</v>
      </c>
      <c r="G1964" s="312">
        <v>55.910000000000004</v>
      </c>
      <c r="H1964" s="312">
        <v>297.68</v>
      </c>
      <c r="I1964" s="312">
        <v>19.93</v>
      </c>
      <c r="J1964" s="312">
        <v>182.27</v>
      </c>
      <c r="K1964" s="312">
        <v>178.14</v>
      </c>
      <c r="M1964" t="s">
        <v>3728</v>
      </c>
      <c r="N1964" s="312">
        <v>25258.87</v>
      </c>
      <c r="O1964" s="312">
        <v>150016.6</v>
      </c>
      <c r="P1964" s="312">
        <v>6940.62</v>
      </c>
      <c r="Q1964" s="312">
        <v>122604.31999999999</v>
      </c>
      <c r="R1964" s="312">
        <v>65779.06</v>
      </c>
    </row>
    <row r="1965" spans="6:18">
      <c r="F1965" t="s">
        <v>3729</v>
      </c>
      <c r="G1965" s="312">
        <v>74.53</v>
      </c>
      <c r="H1965" s="312">
        <v>409.3</v>
      </c>
      <c r="I1965" s="312">
        <v>97.03</v>
      </c>
      <c r="J1965" s="312">
        <v>163.1</v>
      </c>
      <c r="K1965" s="312">
        <v>716.25</v>
      </c>
      <c r="M1965" t="s">
        <v>3729</v>
      </c>
      <c r="N1965" s="312">
        <v>37498.620000000003</v>
      </c>
      <c r="O1965" s="312">
        <v>183012.12</v>
      </c>
      <c r="P1965" s="312">
        <v>71156.210000000006</v>
      </c>
      <c r="Q1965" s="312">
        <v>123318.68999999999</v>
      </c>
      <c r="R1965" s="312">
        <v>236772.78999999998</v>
      </c>
    </row>
    <row r="1966" spans="6:18">
      <c r="F1966" t="s">
        <v>3730</v>
      </c>
      <c r="G1966" s="312">
        <v>85.8</v>
      </c>
      <c r="H1966" s="312">
        <v>322.12</v>
      </c>
      <c r="I1966" s="312">
        <v>81.12</v>
      </c>
      <c r="J1966" s="312">
        <v>265.35000000000002</v>
      </c>
      <c r="K1966" s="312">
        <v>749.1099999999999</v>
      </c>
      <c r="M1966" t="s">
        <v>3730</v>
      </c>
      <c r="N1966" s="312">
        <v>42594.73</v>
      </c>
      <c r="O1966" s="312">
        <v>167881.78</v>
      </c>
      <c r="P1966" s="312">
        <v>66366.429999999993</v>
      </c>
      <c r="Q1966" s="312">
        <v>213644.64</v>
      </c>
      <c r="R1966" s="312">
        <v>247136.62</v>
      </c>
    </row>
    <row r="1967" spans="6:18">
      <c r="F1967" t="s">
        <v>3731</v>
      </c>
      <c r="G1967" s="312">
        <v>144.41</v>
      </c>
      <c r="H1967" s="312">
        <v>406.38</v>
      </c>
      <c r="I1967" s="312">
        <v>161.82</v>
      </c>
      <c r="J1967" s="312">
        <v>408.88</v>
      </c>
      <c r="K1967" s="312">
        <v>602.02</v>
      </c>
      <c r="M1967" t="s">
        <v>3731</v>
      </c>
      <c r="N1967" s="312">
        <v>63481.9</v>
      </c>
      <c r="O1967" s="312">
        <v>182296.26</v>
      </c>
      <c r="P1967" s="312">
        <v>100114.65000000001</v>
      </c>
      <c r="Q1967" s="312">
        <v>255722.13</v>
      </c>
      <c r="R1967" s="312">
        <v>183942.26</v>
      </c>
    </row>
    <row r="1968" spans="6:18">
      <c r="F1968" t="s">
        <v>3732</v>
      </c>
      <c r="G1968" s="312">
        <v>144.49</v>
      </c>
      <c r="H1968" s="312">
        <v>372.61</v>
      </c>
      <c r="I1968" s="312">
        <v>40.03</v>
      </c>
      <c r="J1968" s="312">
        <v>281.83</v>
      </c>
      <c r="K1968" s="312">
        <v>673.99</v>
      </c>
      <c r="M1968" t="s">
        <v>3732</v>
      </c>
      <c r="N1968" s="312">
        <v>86777.08</v>
      </c>
      <c r="O1968" s="312">
        <v>196789.51</v>
      </c>
      <c r="P1968" s="312">
        <v>18880.64</v>
      </c>
      <c r="Q1968" s="312">
        <v>195424.3</v>
      </c>
      <c r="R1968" s="312">
        <v>223792.86000000002</v>
      </c>
    </row>
    <row r="1969" spans="6:18">
      <c r="F1969" t="s">
        <v>3733</v>
      </c>
      <c r="G1969" s="312">
        <v>69.88</v>
      </c>
      <c r="H1969" s="312">
        <v>412.22</v>
      </c>
      <c r="I1969" s="312">
        <v>48.82</v>
      </c>
      <c r="J1969" s="312">
        <v>262.09000000000003</v>
      </c>
      <c r="K1969" s="312">
        <v>481.73</v>
      </c>
      <c r="M1969" t="s">
        <v>3733</v>
      </c>
      <c r="N1969" s="312">
        <v>36835.21</v>
      </c>
      <c r="O1969" s="312">
        <v>193814.57</v>
      </c>
      <c r="P1969" s="312">
        <v>38770.65</v>
      </c>
      <c r="Q1969" s="312">
        <v>183484.13</v>
      </c>
      <c r="R1969" s="312">
        <v>179996.48</v>
      </c>
    </row>
    <row r="1970" spans="6:18">
      <c r="F1970" t="s">
        <v>3734</v>
      </c>
      <c r="G1970" s="312">
        <v>63.42</v>
      </c>
      <c r="H1970" s="312">
        <v>228.89</v>
      </c>
      <c r="I1970" s="312">
        <v>109.24</v>
      </c>
      <c r="J1970" s="312">
        <v>279.68</v>
      </c>
      <c r="K1970" s="312">
        <v>473.90000000000003</v>
      </c>
      <c r="M1970" t="s">
        <v>3734</v>
      </c>
      <c r="N1970" s="312">
        <v>32862.01</v>
      </c>
      <c r="O1970" s="312">
        <v>134267.11000000002</v>
      </c>
      <c r="P1970" s="312">
        <v>59645.11</v>
      </c>
      <c r="Q1970" s="312">
        <v>226496.41</v>
      </c>
      <c r="R1970" s="312">
        <v>145970.53</v>
      </c>
    </row>
    <row r="1971" spans="6:18">
      <c r="F1971" t="s">
        <v>3735</v>
      </c>
      <c r="G1971" s="312">
        <v>69.209999999999994</v>
      </c>
      <c r="H1971" s="312">
        <v>237.93</v>
      </c>
      <c r="I1971" s="312">
        <v>27.46</v>
      </c>
      <c r="J1971" s="312">
        <v>203.63</v>
      </c>
      <c r="K1971" s="312">
        <v>392.24</v>
      </c>
      <c r="M1971" t="s">
        <v>3735</v>
      </c>
      <c r="N1971" s="312">
        <v>27773.13</v>
      </c>
      <c r="O1971" s="312">
        <v>131278.43</v>
      </c>
      <c r="P1971" s="312">
        <v>19597.050000000003</v>
      </c>
      <c r="Q1971" s="312">
        <v>132166.32</v>
      </c>
      <c r="R1971" s="312">
        <v>141960.39000000001</v>
      </c>
    </row>
    <row r="1972" spans="6:18">
      <c r="F1972" t="s">
        <v>3736</v>
      </c>
      <c r="G1972" s="312">
        <v>42.16</v>
      </c>
      <c r="H1972" s="312">
        <v>521.46</v>
      </c>
      <c r="I1972" s="312">
        <v>97.48</v>
      </c>
      <c r="J1972" s="312">
        <v>252.07000000000002</v>
      </c>
      <c r="K1972" s="312">
        <v>441.08000000000004</v>
      </c>
      <c r="M1972" t="s">
        <v>3736</v>
      </c>
      <c r="N1972" s="312">
        <v>13975.71</v>
      </c>
      <c r="O1972" s="312">
        <v>258387.23</v>
      </c>
      <c r="P1972" s="312">
        <v>60697.67</v>
      </c>
      <c r="Q1972" s="312">
        <v>182824.51</v>
      </c>
      <c r="R1972" s="312">
        <v>152073.26</v>
      </c>
    </row>
    <row r="1973" spans="6:18">
      <c r="F1973" t="s">
        <v>3737</v>
      </c>
      <c r="G1973" s="312">
        <v>41.75</v>
      </c>
      <c r="H1973" s="312">
        <v>499.97</v>
      </c>
      <c r="I1973" s="312">
        <v>87.51</v>
      </c>
      <c r="J1973" s="312">
        <v>328.83</v>
      </c>
      <c r="K1973" s="312">
        <v>487.46</v>
      </c>
      <c r="M1973" t="s">
        <v>3737</v>
      </c>
      <c r="N1973" s="312">
        <v>18631.189999999999</v>
      </c>
      <c r="O1973" s="312">
        <v>248330.63</v>
      </c>
      <c r="P1973" s="312">
        <v>61044.740000000005</v>
      </c>
      <c r="Q1973" s="312">
        <v>164965.54999999999</v>
      </c>
      <c r="R1973" s="312">
        <v>210960.78000000003</v>
      </c>
    </row>
    <row r="1974" spans="6:18">
      <c r="F1974" t="s">
        <v>3738</v>
      </c>
      <c r="G1974" s="312">
        <v>61.7</v>
      </c>
      <c r="H1974" s="312">
        <v>401.78999999999996</v>
      </c>
      <c r="I1974" s="312">
        <v>106.95</v>
      </c>
      <c r="J1974" s="312">
        <v>435.16</v>
      </c>
      <c r="K1974" s="312">
        <v>482.54999999999995</v>
      </c>
      <c r="M1974" t="s">
        <v>3738</v>
      </c>
      <c r="N1974" s="312">
        <v>24453.21</v>
      </c>
      <c r="O1974" s="312">
        <v>164128.93</v>
      </c>
      <c r="P1974" s="312">
        <v>64414.909999999996</v>
      </c>
      <c r="Q1974" s="312">
        <v>285315.49</v>
      </c>
      <c r="R1974" s="312">
        <v>212057.41</v>
      </c>
    </row>
    <row r="1975" spans="6:18">
      <c r="F1975" t="s">
        <v>3739</v>
      </c>
      <c r="G1975" s="312">
        <v>78.8</v>
      </c>
      <c r="H1975" s="312">
        <v>527.5</v>
      </c>
      <c r="I1975" s="312">
        <v>130.52000000000001</v>
      </c>
      <c r="J1975" s="312">
        <v>431.26</v>
      </c>
      <c r="K1975" s="312">
        <v>739.39</v>
      </c>
      <c r="M1975" t="s">
        <v>3739</v>
      </c>
      <c r="N1975" s="312">
        <v>33761.22</v>
      </c>
      <c r="O1975" s="312">
        <v>261179.85</v>
      </c>
      <c r="P1975" s="312">
        <v>85193.77</v>
      </c>
      <c r="Q1975" s="312">
        <v>248702.24</v>
      </c>
      <c r="R1975" s="312">
        <v>319099.94</v>
      </c>
    </row>
    <row r="1976" spans="6:18">
      <c r="F1976" t="s">
        <v>3740</v>
      </c>
      <c r="G1976" s="312">
        <v>93.84</v>
      </c>
      <c r="H1976" s="312">
        <v>358.43</v>
      </c>
      <c r="I1976" s="312">
        <v>134.91</v>
      </c>
      <c r="J1976" s="312">
        <v>285.45999999999998</v>
      </c>
      <c r="K1976" s="312">
        <v>679.87</v>
      </c>
      <c r="M1976" t="s">
        <v>3740</v>
      </c>
      <c r="N1976" s="312">
        <v>38633.07</v>
      </c>
      <c r="O1976" s="312">
        <v>221369.19</v>
      </c>
      <c r="P1976" s="312">
        <v>108157.57999999999</v>
      </c>
      <c r="Q1976" s="312">
        <v>118858.41</v>
      </c>
      <c r="R1976" s="312">
        <v>269251.02</v>
      </c>
    </row>
    <row r="1977" spans="6:18">
      <c r="F1977" t="s">
        <v>3741</v>
      </c>
      <c r="G1977" s="312">
        <v>64.48</v>
      </c>
      <c r="H1977" s="312">
        <v>301.48</v>
      </c>
      <c r="I1977" s="312">
        <v>75.66</v>
      </c>
      <c r="J1977" s="312">
        <v>410.53</v>
      </c>
      <c r="K1977" s="312">
        <v>347.21000000000004</v>
      </c>
      <c r="M1977" t="s">
        <v>3741</v>
      </c>
      <c r="N1977" s="312">
        <v>22721.09</v>
      </c>
      <c r="O1977" s="312">
        <v>162287.91999999998</v>
      </c>
      <c r="P1977" s="312">
        <v>77001.009999999995</v>
      </c>
      <c r="Q1977" s="312">
        <v>277152.87</v>
      </c>
      <c r="R1977" s="312">
        <v>135445.66</v>
      </c>
    </row>
    <row r="1978" spans="6:18">
      <c r="F1978" t="s">
        <v>3742</v>
      </c>
      <c r="G1978" s="312">
        <v>74.08</v>
      </c>
      <c r="H1978" s="312">
        <v>282.49</v>
      </c>
      <c r="I1978" s="312">
        <v>14.25</v>
      </c>
      <c r="J1978" s="312">
        <v>187.18</v>
      </c>
      <c r="K1978" s="312">
        <v>386.08</v>
      </c>
      <c r="M1978" t="s">
        <v>3742</v>
      </c>
      <c r="N1978" s="312">
        <v>42138.159999999996</v>
      </c>
      <c r="O1978" s="312">
        <v>167405.85</v>
      </c>
      <c r="P1978" s="312">
        <v>7410.99</v>
      </c>
      <c r="Q1978" s="312">
        <v>116432.79999999999</v>
      </c>
      <c r="R1978" s="312">
        <v>147440.62</v>
      </c>
    </row>
    <row r="1979" spans="6:18">
      <c r="F1979" t="s">
        <v>3743</v>
      </c>
      <c r="G1979" s="312">
        <v>98.850000000000009</v>
      </c>
      <c r="H1979" s="312">
        <v>508.71000000000004</v>
      </c>
      <c r="I1979" s="312">
        <v>120.91</v>
      </c>
      <c r="J1979" s="312">
        <v>339.6</v>
      </c>
      <c r="K1979" s="312">
        <v>655.98</v>
      </c>
      <c r="M1979" t="s">
        <v>3743</v>
      </c>
      <c r="N1979" s="312">
        <v>37139.870000000003</v>
      </c>
      <c r="O1979" s="312">
        <v>208411.33000000002</v>
      </c>
      <c r="P1979" s="312">
        <v>92034.939999999988</v>
      </c>
      <c r="Q1979" s="312">
        <v>155261.35</v>
      </c>
      <c r="R1979" s="312">
        <v>234945.27</v>
      </c>
    </row>
    <row r="1980" spans="6:18">
      <c r="F1980" t="s">
        <v>3744</v>
      </c>
      <c r="G1980" s="312">
        <v>90.19</v>
      </c>
      <c r="H1980" s="312">
        <v>582.14</v>
      </c>
      <c r="I1980" s="312">
        <v>106.55000000000001</v>
      </c>
      <c r="J1980" s="312">
        <v>336.79</v>
      </c>
      <c r="K1980" s="312">
        <v>637.80999999999995</v>
      </c>
      <c r="M1980" t="s">
        <v>3744</v>
      </c>
      <c r="N1980" s="312">
        <v>69097.919999999998</v>
      </c>
      <c r="O1980" s="312">
        <v>259200.59000000003</v>
      </c>
      <c r="P1980" s="312">
        <v>97458.67</v>
      </c>
      <c r="Q1980" s="312">
        <v>126878.48000000001</v>
      </c>
      <c r="R1980" s="312">
        <v>221984.96</v>
      </c>
    </row>
    <row r="1981" spans="6:18">
      <c r="F1981" t="s">
        <v>3745</v>
      </c>
      <c r="G1981" s="312">
        <v>93.45</v>
      </c>
      <c r="H1981" s="312">
        <v>425.79</v>
      </c>
      <c r="I1981" s="312">
        <v>217.35</v>
      </c>
      <c r="J1981" s="312">
        <v>408.82</v>
      </c>
      <c r="K1981" s="312">
        <v>811.64</v>
      </c>
      <c r="M1981" t="s">
        <v>3745</v>
      </c>
      <c r="N1981" s="312">
        <v>41567.050000000003</v>
      </c>
      <c r="O1981" s="312">
        <v>213325.91</v>
      </c>
      <c r="P1981" s="312">
        <v>116218.33</v>
      </c>
      <c r="Q1981" s="312">
        <v>194701.94999999998</v>
      </c>
      <c r="R1981" s="312">
        <v>322647.2</v>
      </c>
    </row>
    <row r="1982" spans="6:18">
      <c r="F1982" t="s">
        <v>3746</v>
      </c>
      <c r="G1982" s="312">
        <v>123.05000000000001</v>
      </c>
      <c r="H1982" s="312">
        <v>393.16999999999996</v>
      </c>
      <c r="I1982" s="312">
        <v>123.81</v>
      </c>
      <c r="J1982" s="312">
        <v>372.94</v>
      </c>
      <c r="K1982" s="312">
        <v>650.94000000000005</v>
      </c>
      <c r="M1982" t="s">
        <v>3746</v>
      </c>
      <c r="N1982" s="312">
        <v>50534.91</v>
      </c>
      <c r="O1982" s="312">
        <v>155923.34</v>
      </c>
      <c r="P1982" s="312">
        <v>101278.74</v>
      </c>
      <c r="Q1982" s="312">
        <v>194936.68000000002</v>
      </c>
      <c r="R1982" s="312">
        <v>257676.74</v>
      </c>
    </row>
    <row r="1983" spans="6:18">
      <c r="F1983" t="s">
        <v>3747</v>
      </c>
      <c r="G1983" s="312">
        <v>82.66</v>
      </c>
      <c r="H1983" s="312">
        <v>468.73</v>
      </c>
      <c r="I1983" s="312">
        <v>149.36000000000001</v>
      </c>
      <c r="J1983" s="312">
        <v>285.61</v>
      </c>
      <c r="K1983" s="312">
        <v>611.65</v>
      </c>
      <c r="M1983" t="s">
        <v>3747</v>
      </c>
      <c r="N1983" s="312">
        <v>50788.7</v>
      </c>
      <c r="O1983" s="312">
        <v>215587.75</v>
      </c>
      <c r="P1983" s="312">
        <v>110657.31</v>
      </c>
      <c r="Q1983" s="312">
        <v>204805.88</v>
      </c>
      <c r="R1983" s="312">
        <v>214088.15</v>
      </c>
    </row>
    <row r="1984" spans="6:18">
      <c r="F1984" t="s">
        <v>3748</v>
      </c>
      <c r="G1984" s="312">
        <v>88.72</v>
      </c>
      <c r="H1984" s="312">
        <v>268.3</v>
      </c>
      <c r="I1984" s="312">
        <v>67.86</v>
      </c>
      <c r="J1984" s="312">
        <v>306.16999999999996</v>
      </c>
      <c r="K1984" s="312">
        <v>444.74</v>
      </c>
      <c r="M1984" t="s">
        <v>3748</v>
      </c>
      <c r="N1984" s="312">
        <v>42302.289999999994</v>
      </c>
      <c r="O1984" s="312">
        <v>122890.69</v>
      </c>
      <c r="P1984" s="312">
        <v>82930.259999999995</v>
      </c>
      <c r="Q1984" s="312">
        <v>169728.73</v>
      </c>
      <c r="R1984" s="312">
        <v>142385.51</v>
      </c>
    </row>
    <row r="1985" spans="6:18">
      <c r="F1985" t="s">
        <v>3749</v>
      </c>
      <c r="G1985" s="312">
        <v>60.9</v>
      </c>
      <c r="H1985" s="312">
        <v>262.56</v>
      </c>
      <c r="I1985" s="312">
        <v>27.400000000000002</v>
      </c>
      <c r="J1985" s="312">
        <v>246.98</v>
      </c>
      <c r="K1985" s="312">
        <v>534.06000000000006</v>
      </c>
      <c r="M1985" t="s">
        <v>3749</v>
      </c>
      <c r="N1985" s="312">
        <v>23472.83</v>
      </c>
      <c r="O1985" s="312">
        <v>116228.28</v>
      </c>
      <c r="P1985" s="312">
        <v>22838.959999999999</v>
      </c>
      <c r="Q1985" s="312">
        <v>131779.28999999998</v>
      </c>
      <c r="R1985" s="312">
        <v>198621.43</v>
      </c>
    </row>
    <row r="1986" spans="6:18">
      <c r="F1986" t="s">
        <v>3750</v>
      </c>
      <c r="G1986" s="312">
        <v>79.62</v>
      </c>
      <c r="H1986" s="312">
        <v>420.99</v>
      </c>
      <c r="I1986" s="312">
        <v>95.34</v>
      </c>
      <c r="J1986" s="312">
        <v>274.20999999999998</v>
      </c>
      <c r="K1986" s="312">
        <v>831.51</v>
      </c>
      <c r="M1986" t="s">
        <v>3750</v>
      </c>
      <c r="N1986" s="312">
        <v>41004.36</v>
      </c>
      <c r="O1986" s="312">
        <v>207836.79999999999</v>
      </c>
      <c r="P1986" s="312">
        <v>63782.96</v>
      </c>
      <c r="Q1986" s="312">
        <v>125839.55</v>
      </c>
      <c r="R1986" s="312">
        <v>292156.31</v>
      </c>
    </row>
    <row r="1987" spans="6:18">
      <c r="F1987" t="s">
        <v>3751</v>
      </c>
      <c r="G1987" s="312">
        <v>70.460000000000008</v>
      </c>
      <c r="H1987" s="312">
        <v>453.91</v>
      </c>
      <c r="I1987" s="312">
        <v>112.06</v>
      </c>
      <c r="J1987" s="312">
        <v>332.81</v>
      </c>
      <c r="K1987" s="312">
        <v>844.82999999999993</v>
      </c>
      <c r="M1987" t="s">
        <v>3751</v>
      </c>
      <c r="N1987" s="312">
        <v>34261.629999999997</v>
      </c>
      <c r="O1987" s="312">
        <v>200571.44999999998</v>
      </c>
      <c r="P1987" s="312">
        <v>82159.239999999991</v>
      </c>
      <c r="Q1987" s="312">
        <v>210410.5</v>
      </c>
      <c r="R1987" s="312">
        <v>301508.59000000003</v>
      </c>
    </row>
    <row r="1988" spans="6:18">
      <c r="F1988" t="s">
        <v>3752</v>
      </c>
      <c r="G1988" s="312">
        <v>100.82000000000001</v>
      </c>
      <c r="H1988" s="312">
        <v>615.79000000000008</v>
      </c>
      <c r="I1988" s="312">
        <v>149.62</v>
      </c>
      <c r="J1988" s="312">
        <v>414.31</v>
      </c>
      <c r="K1988" s="312">
        <v>652.46</v>
      </c>
      <c r="M1988" t="s">
        <v>3752</v>
      </c>
      <c r="N1988" s="312">
        <v>69534.83</v>
      </c>
      <c r="O1988" s="312">
        <v>272019.33</v>
      </c>
      <c r="P1988" s="312">
        <v>140762.46</v>
      </c>
      <c r="Q1988" s="312">
        <v>301706.26</v>
      </c>
      <c r="R1988" s="312">
        <v>231604.4</v>
      </c>
    </row>
    <row r="1989" spans="6:18">
      <c r="F1989" t="s">
        <v>3753</v>
      </c>
      <c r="G1989" s="312">
        <v>99.5</v>
      </c>
      <c r="H1989" s="312">
        <v>404.40999999999997</v>
      </c>
      <c r="I1989" s="312">
        <v>115.76</v>
      </c>
      <c r="J1989" s="312">
        <v>335.97</v>
      </c>
      <c r="K1989" s="312">
        <v>599.88</v>
      </c>
      <c r="M1989" t="s">
        <v>3753</v>
      </c>
      <c r="N1989" s="312">
        <v>49206.869999999995</v>
      </c>
      <c r="O1989" s="312">
        <v>188712.15</v>
      </c>
      <c r="P1989" s="312">
        <v>82027.22</v>
      </c>
      <c r="Q1989" s="312">
        <v>182593.28</v>
      </c>
      <c r="R1989" s="312">
        <v>192919.95</v>
      </c>
    </row>
    <row r="1990" spans="6:18">
      <c r="F1990" t="s">
        <v>3754</v>
      </c>
      <c r="G1990" s="312">
        <v>77.42</v>
      </c>
      <c r="H1990" s="312">
        <v>440.70000000000005</v>
      </c>
      <c r="I1990" s="312">
        <v>100.23</v>
      </c>
      <c r="J1990" s="312">
        <v>317.97000000000003</v>
      </c>
      <c r="K1990" s="312">
        <v>893.96999999999991</v>
      </c>
      <c r="M1990" t="s">
        <v>3754</v>
      </c>
      <c r="N1990" s="312">
        <v>56763.72</v>
      </c>
      <c r="O1990" s="312">
        <v>264929.78000000003</v>
      </c>
      <c r="P1990" s="312">
        <v>85728</v>
      </c>
      <c r="Q1990" s="312">
        <v>192858.08000000002</v>
      </c>
      <c r="R1990" s="312">
        <v>318156.74</v>
      </c>
    </row>
    <row r="1991" spans="6:18">
      <c r="F1991" t="s">
        <v>3755</v>
      </c>
      <c r="G1991" s="312">
        <v>63.980000000000004</v>
      </c>
      <c r="H1991" s="312">
        <v>244.25</v>
      </c>
      <c r="I1991" s="312">
        <v>101.75999999999999</v>
      </c>
      <c r="J1991" s="312">
        <v>273.8</v>
      </c>
      <c r="K1991" s="312">
        <v>428.6</v>
      </c>
      <c r="M1991" t="s">
        <v>3755</v>
      </c>
      <c r="N1991" s="312">
        <v>32630.51</v>
      </c>
      <c r="O1991" s="312">
        <v>136903.06</v>
      </c>
      <c r="P1991" s="312">
        <v>79991.37</v>
      </c>
      <c r="Q1991" s="312">
        <v>120715.25</v>
      </c>
      <c r="R1991" s="312">
        <v>135239.08000000002</v>
      </c>
    </row>
    <row r="1992" spans="6:18">
      <c r="F1992" t="s">
        <v>3756</v>
      </c>
      <c r="G1992" s="312">
        <v>80.660000000000011</v>
      </c>
      <c r="H1992" s="312">
        <v>206.66</v>
      </c>
      <c r="I1992" s="312">
        <v>51.92</v>
      </c>
      <c r="J1992" s="312">
        <v>277.86</v>
      </c>
      <c r="K1992" s="312">
        <v>461.37</v>
      </c>
      <c r="M1992" t="s">
        <v>3756</v>
      </c>
      <c r="N1992" s="312">
        <v>39284.520000000004</v>
      </c>
      <c r="O1992" s="312">
        <v>82497.23</v>
      </c>
      <c r="P1992" s="312">
        <v>28877.71</v>
      </c>
      <c r="Q1992" s="312">
        <v>136374.32</v>
      </c>
      <c r="R1992" s="312">
        <v>134185.06</v>
      </c>
    </row>
    <row r="1993" spans="6:18">
      <c r="F1993" t="s">
        <v>3757</v>
      </c>
      <c r="G1993" s="312">
        <v>56.51</v>
      </c>
      <c r="H1993" s="312">
        <v>366.06</v>
      </c>
      <c r="I1993" s="312">
        <v>82.81</v>
      </c>
      <c r="J1993" s="312">
        <v>372.74</v>
      </c>
      <c r="K1993" s="312">
        <v>791.6400000000001</v>
      </c>
      <c r="M1993" t="s">
        <v>3757</v>
      </c>
      <c r="N1993" s="312">
        <v>38384.07</v>
      </c>
      <c r="O1993" s="312">
        <v>166040.78</v>
      </c>
      <c r="P1993" s="312">
        <v>58000.659999999996</v>
      </c>
      <c r="Q1993" s="312">
        <v>248522.51</v>
      </c>
      <c r="R1993" s="312">
        <v>238691.74</v>
      </c>
    </row>
    <row r="1994" spans="6:18">
      <c r="F1994" t="s">
        <v>3758</v>
      </c>
      <c r="G1994" s="312">
        <v>77.38</v>
      </c>
      <c r="H1994" s="312">
        <v>501.10999999999996</v>
      </c>
      <c r="I1994" s="312">
        <v>138.63</v>
      </c>
      <c r="J1994" s="312">
        <v>384</v>
      </c>
      <c r="K1994" s="312">
        <v>985.58999999999992</v>
      </c>
      <c r="M1994" t="s">
        <v>3758</v>
      </c>
      <c r="N1994" s="312">
        <v>38573.910000000003</v>
      </c>
      <c r="O1994" s="312">
        <v>214948.84</v>
      </c>
      <c r="P1994" s="312">
        <v>152902.86000000002</v>
      </c>
      <c r="Q1994" s="312">
        <v>274251.98</v>
      </c>
      <c r="R1994" s="312">
        <v>309907.44</v>
      </c>
    </row>
    <row r="1995" spans="6:18">
      <c r="F1995" t="s">
        <v>3759</v>
      </c>
      <c r="G1995" s="312">
        <v>69.449999999999989</v>
      </c>
      <c r="H1995" s="312">
        <v>308.18</v>
      </c>
      <c r="I1995" s="312">
        <v>156.55000000000001</v>
      </c>
      <c r="J1995" s="312">
        <v>399.12</v>
      </c>
      <c r="K1995" s="312">
        <v>830.21999999999991</v>
      </c>
      <c r="M1995" t="s">
        <v>3759</v>
      </c>
      <c r="N1995" s="312">
        <v>31641.57</v>
      </c>
      <c r="O1995" s="312">
        <v>160803.31</v>
      </c>
      <c r="P1995" s="312">
        <v>99880.12000000001</v>
      </c>
      <c r="Q1995" s="312">
        <v>182398.6</v>
      </c>
      <c r="R1995" s="312">
        <v>307179.11</v>
      </c>
    </row>
    <row r="1996" spans="6:18">
      <c r="F1996" t="s">
        <v>3760</v>
      </c>
      <c r="G1996" s="312">
        <v>74.290000000000006</v>
      </c>
      <c r="H1996" s="312">
        <v>529.98</v>
      </c>
      <c r="I1996" s="312">
        <v>74.75</v>
      </c>
      <c r="J1996" s="312">
        <v>511.3</v>
      </c>
      <c r="K1996" s="312">
        <v>727.39</v>
      </c>
      <c r="M1996" t="s">
        <v>3760</v>
      </c>
      <c r="N1996" s="312">
        <v>28631.199999999997</v>
      </c>
      <c r="O1996" s="312">
        <v>251311.46999999997</v>
      </c>
      <c r="P1996" s="312">
        <v>50071.69</v>
      </c>
      <c r="Q1996" s="312">
        <v>352064.48</v>
      </c>
      <c r="R1996" s="312">
        <v>218937.72</v>
      </c>
    </row>
    <row r="1997" spans="6:18">
      <c r="F1997" t="s">
        <v>3761</v>
      </c>
      <c r="G1997" s="312">
        <v>115.57000000000001</v>
      </c>
      <c r="H1997" s="312">
        <v>625.37</v>
      </c>
      <c r="I1997" s="312">
        <v>96.01</v>
      </c>
      <c r="J1997" s="312">
        <v>286.64999999999998</v>
      </c>
      <c r="K1997" s="312">
        <v>804.61999999999989</v>
      </c>
      <c r="M1997" t="s">
        <v>3761</v>
      </c>
      <c r="N1997" s="312">
        <v>56723.03</v>
      </c>
      <c r="O1997" s="312">
        <v>247849.37</v>
      </c>
      <c r="P1997" s="312">
        <v>45467.83</v>
      </c>
      <c r="Q1997" s="312">
        <v>130722.42</v>
      </c>
      <c r="R1997" s="312">
        <v>207175.57</v>
      </c>
    </row>
    <row r="1998" spans="6:18">
      <c r="F1998" t="s">
        <v>3762</v>
      </c>
      <c r="G1998" s="312">
        <v>58.74</v>
      </c>
      <c r="H1998" s="312">
        <v>246.98000000000002</v>
      </c>
      <c r="I1998" s="312">
        <v>150.58000000000001</v>
      </c>
      <c r="J1998" s="312">
        <v>324.07</v>
      </c>
      <c r="K1998" s="312">
        <v>437.46000000000004</v>
      </c>
      <c r="M1998" t="s">
        <v>3762</v>
      </c>
      <c r="N1998" s="312">
        <v>27748.54</v>
      </c>
      <c r="O1998" s="312">
        <v>125522.75</v>
      </c>
      <c r="P1998" s="312">
        <v>148443.88999999998</v>
      </c>
      <c r="Q1998" s="312">
        <v>251084.91</v>
      </c>
      <c r="R1998" s="312">
        <v>153139.01999999999</v>
      </c>
    </row>
    <row r="1999" spans="6:18">
      <c r="F1999" t="s">
        <v>3763</v>
      </c>
      <c r="G1999" s="312">
        <v>32.46</v>
      </c>
      <c r="H1999" s="312">
        <v>204.34</v>
      </c>
      <c r="I1999" s="312">
        <v>32.4</v>
      </c>
      <c r="J1999" s="312">
        <v>241.01000000000002</v>
      </c>
      <c r="K1999" s="312">
        <v>411.48</v>
      </c>
      <c r="M1999" t="s">
        <v>3763</v>
      </c>
      <c r="N1999" s="312">
        <v>12927.03</v>
      </c>
      <c r="O1999" s="312">
        <v>79066.289999999994</v>
      </c>
      <c r="P1999" s="312">
        <v>27583.38</v>
      </c>
      <c r="Q1999" s="312">
        <v>127420.92</v>
      </c>
      <c r="R1999" s="312">
        <v>125738.73</v>
      </c>
    </row>
    <row r="2000" spans="6:18">
      <c r="F2000" t="s">
        <v>3764</v>
      </c>
      <c r="G2000" s="312">
        <v>87.77</v>
      </c>
      <c r="H2000" s="312">
        <v>495.35</v>
      </c>
      <c r="I2000" s="312">
        <v>67.41</v>
      </c>
      <c r="J2000" s="312">
        <v>296.17</v>
      </c>
      <c r="K2000" s="312">
        <v>896.1</v>
      </c>
      <c r="M2000" t="s">
        <v>3764</v>
      </c>
      <c r="N2000" s="312">
        <v>41508.47</v>
      </c>
      <c r="O2000" s="312">
        <v>222638.93</v>
      </c>
      <c r="P2000" s="312">
        <v>124715.31</v>
      </c>
      <c r="Q2000" s="312">
        <v>139306</v>
      </c>
      <c r="R2000" s="312">
        <v>297614.87</v>
      </c>
    </row>
    <row r="2001" spans="6:18">
      <c r="F2001" t="s">
        <v>3765</v>
      </c>
      <c r="G2001" s="312">
        <v>123.44</v>
      </c>
      <c r="H2001" s="312">
        <v>521.95000000000005</v>
      </c>
      <c r="I2001" s="312">
        <v>95.22999999999999</v>
      </c>
      <c r="J2001" s="312">
        <v>323.60000000000002</v>
      </c>
      <c r="K2001" s="312">
        <v>955.96</v>
      </c>
      <c r="M2001" t="s">
        <v>3765</v>
      </c>
      <c r="N2001" s="312">
        <v>70505.81</v>
      </c>
      <c r="O2001" s="312">
        <v>228193.56</v>
      </c>
      <c r="P2001" s="312">
        <v>62910.080000000002</v>
      </c>
      <c r="Q2001" s="312">
        <v>191473.19</v>
      </c>
      <c r="R2001" s="312">
        <v>312687.88</v>
      </c>
    </row>
    <row r="2002" spans="6:18">
      <c r="F2002" t="s">
        <v>3766</v>
      </c>
      <c r="G2002" s="312">
        <v>65.69</v>
      </c>
      <c r="H2002" s="312">
        <v>478.62</v>
      </c>
      <c r="I2002" s="312">
        <v>94.04</v>
      </c>
      <c r="J2002" s="312">
        <v>581.77</v>
      </c>
      <c r="K2002" s="312">
        <v>709.65</v>
      </c>
      <c r="M2002" t="s">
        <v>3766</v>
      </c>
      <c r="N2002" s="312">
        <v>23036.17</v>
      </c>
      <c r="O2002" s="312">
        <v>190854.07</v>
      </c>
      <c r="P2002" s="312">
        <v>77564.05</v>
      </c>
      <c r="Q2002" s="312">
        <v>344821.36</v>
      </c>
      <c r="R2002" s="312">
        <v>228048.44999999998</v>
      </c>
    </row>
    <row r="2003" spans="6:18">
      <c r="F2003" t="s">
        <v>3767</v>
      </c>
      <c r="G2003" s="312">
        <v>137.56</v>
      </c>
      <c r="H2003" s="312">
        <v>475.81</v>
      </c>
      <c r="I2003" s="312">
        <v>139.62</v>
      </c>
      <c r="J2003" s="312">
        <v>514.9</v>
      </c>
      <c r="K2003" s="312">
        <v>826.53</v>
      </c>
      <c r="M2003" t="s">
        <v>3767</v>
      </c>
      <c r="N2003" s="312">
        <v>74955.3</v>
      </c>
      <c r="O2003" s="312">
        <v>285149.69</v>
      </c>
      <c r="P2003" s="312">
        <v>81655.19</v>
      </c>
      <c r="Q2003" s="312">
        <v>285058.59000000003</v>
      </c>
      <c r="R2003" s="312">
        <v>259309.16999999998</v>
      </c>
    </row>
    <row r="2004" spans="6:18">
      <c r="F2004" t="s">
        <v>3768</v>
      </c>
      <c r="G2004" s="312">
        <v>145.92000000000002</v>
      </c>
      <c r="H2004" s="312">
        <v>422.8</v>
      </c>
      <c r="I2004" s="312">
        <v>64.95</v>
      </c>
      <c r="J2004" s="312">
        <v>344.15999999999997</v>
      </c>
      <c r="K2004" s="312">
        <v>699.2</v>
      </c>
      <c r="M2004" t="s">
        <v>3768</v>
      </c>
      <c r="N2004" s="312">
        <v>116783.53</v>
      </c>
      <c r="O2004" s="312">
        <v>178332.69</v>
      </c>
      <c r="P2004" s="312">
        <v>66303.86</v>
      </c>
      <c r="Q2004" s="312">
        <v>170741.30000000002</v>
      </c>
      <c r="R2004" s="312">
        <v>216594.13</v>
      </c>
    </row>
    <row r="2005" spans="6:18">
      <c r="F2005" t="s">
        <v>3769</v>
      </c>
      <c r="G2005" s="312">
        <v>62.5</v>
      </c>
      <c r="H2005" s="312">
        <v>299.65999999999997</v>
      </c>
      <c r="I2005" s="312">
        <v>57.84</v>
      </c>
      <c r="J2005" s="312">
        <v>353.40000000000003</v>
      </c>
      <c r="K2005" s="312">
        <v>502.97999999999996</v>
      </c>
      <c r="M2005" t="s">
        <v>3769</v>
      </c>
      <c r="N2005" s="312">
        <v>31140.74</v>
      </c>
      <c r="O2005" s="312">
        <v>138833.37</v>
      </c>
      <c r="P2005" s="312">
        <v>55420.3</v>
      </c>
      <c r="Q2005" s="312">
        <v>202655.98</v>
      </c>
      <c r="R2005" s="312">
        <v>175790.09</v>
      </c>
    </row>
    <row r="2006" spans="6:18">
      <c r="F2006" t="s">
        <v>3770</v>
      </c>
      <c r="G2006" s="312">
        <v>42.39</v>
      </c>
      <c r="H2006" s="312">
        <v>269.57</v>
      </c>
      <c r="I2006" s="312">
        <v>18.600000000000001</v>
      </c>
      <c r="J2006" s="312">
        <v>267.01</v>
      </c>
      <c r="K2006" s="312">
        <v>596.13</v>
      </c>
      <c r="M2006" t="s">
        <v>3770</v>
      </c>
      <c r="N2006" s="312">
        <v>21980.69</v>
      </c>
      <c r="O2006" s="312">
        <v>136300.24</v>
      </c>
      <c r="P2006" s="312">
        <v>5841.23</v>
      </c>
      <c r="Q2006" s="312">
        <v>134930.61000000002</v>
      </c>
      <c r="R2006" s="312">
        <v>242686.19</v>
      </c>
    </row>
    <row r="2007" spans="6:18">
      <c r="F2007" t="s">
        <v>3771</v>
      </c>
      <c r="G2007" s="312">
        <v>43.85</v>
      </c>
      <c r="H2007" s="312">
        <v>481.13</v>
      </c>
      <c r="I2007" s="312">
        <v>83.28</v>
      </c>
      <c r="J2007" s="312">
        <v>348.9</v>
      </c>
      <c r="K2007" s="312">
        <v>678.1</v>
      </c>
      <c r="M2007" t="s">
        <v>3771</v>
      </c>
      <c r="N2007" s="312">
        <v>12932.42</v>
      </c>
      <c r="O2007" s="312">
        <v>251133.08000000002</v>
      </c>
      <c r="P2007" s="312">
        <v>54829.229999999996</v>
      </c>
      <c r="Q2007" s="312">
        <v>241635.88999999998</v>
      </c>
      <c r="R2007" s="312">
        <v>194700.22</v>
      </c>
    </row>
    <row r="2008" spans="6:18">
      <c r="F2008" t="s">
        <v>3772</v>
      </c>
      <c r="G2008" s="312">
        <v>105.9</v>
      </c>
      <c r="H2008" s="312">
        <v>489.2</v>
      </c>
      <c r="I2008" s="312">
        <v>116.27</v>
      </c>
      <c r="J2008" s="312">
        <v>326</v>
      </c>
      <c r="K2008" s="312">
        <v>805.65</v>
      </c>
      <c r="M2008" t="s">
        <v>3772</v>
      </c>
      <c r="N2008" s="312">
        <v>52440.11</v>
      </c>
      <c r="O2008" s="312">
        <v>229792.96</v>
      </c>
      <c r="P2008" s="312">
        <v>69425.13</v>
      </c>
      <c r="Q2008" s="312">
        <v>178536.59000000003</v>
      </c>
      <c r="R2008" s="312">
        <v>285172.73</v>
      </c>
    </row>
    <row r="2009" spans="6:18">
      <c r="F2009" t="s">
        <v>3773</v>
      </c>
      <c r="G2009" s="312">
        <v>92.69</v>
      </c>
      <c r="H2009" s="312">
        <v>313.31</v>
      </c>
      <c r="I2009" s="312">
        <v>143.07</v>
      </c>
      <c r="J2009" s="312">
        <v>399.2</v>
      </c>
      <c r="K2009" s="312">
        <v>721.08</v>
      </c>
      <c r="M2009" t="s">
        <v>3773</v>
      </c>
      <c r="N2009" s="312">
        <v>39260.740000000005</v>
      </c>
      <c r="O2009" s="312">
        <v>139210.14000000001</v>
      </c>
      <c r="P2009" s="312">
        <v>90882.97</v>
      </c>
      <c r="Q2009" s="312">
        <v>269071.51</v>
      </c>
      <c r="R2009" s="312">
        <v>179787.01</v>
      </c>
    </row>
    <row r="2010" spans="6:18">
      <c r="F2010" t="s">
        <v>3774</v>
      </c>
      <c r="G2010" s="312">
        <v>52</v>
      </c>
      <c r="H2010" s="312">
        <v>265.57</v>
      </c>
      <c r="I2010" s="312">
        <v>125.37</v>
      </c>
      <c r="J2010" s="312">
        <v>379.88</v>
      </c>
      <c r="K2010" s="312">
        <v>740.38000000000011</v>
      </c>
      <c r="M2010" t="s">
        <v>3774</v>
      </c>
      <c r="N2010" s="312">
        <v>23696.129999999997</v>
      </c>
      <c r="O2010" s="312">
        <v>138310.95000000001</v>
      </c>
      <c r="P2010" s="312">
        <v>66188.72</v>
      </c>
      <c r="Q2010" s="312">
        <v>245500.06</v>
      </c>
      <c r="R2010" s="312">
        <v>268053.93</v>
      </c>
    </row>
    <row r="2011" spans="6:18">
      <c r="F2011" t="s">
        <v>3775</v>
      </c>
      <c r="G2011" s="312">
        <v>124.83</v>
      </c>
      <c r="H2011" s="312">
        <v>341.15</v>
      </c>
      <c r="I2011" s="312">
        <v>169.64</v>
      </c>
      <c r="J2011" s="312">
        <v>340.31</v>
      </c>
      <c r="K2011" s="312">
        <v>850.77</v>
      </c>
      <c r="M2011" t="s">
        <v>3775</v>
      </c>
      <c r="N2011" s="312">
        <v>74246.73000000001</v>
      </c>
      <c r="O2011" s="312">
        <v>140290.81</v>
      </c>
      <c r="P2011" s="312">
        <v>102751.6</v>
      </c>
      <c r="Q2011" s="312">
        <v>404466.44</v>
      </c>
      <c r="R2011" s="312">
        <v>275335.7</v>
      </c>
    </row>
    <row r="2012" spans="6:18">
      <c r="F2012" t="s">
        <v>3776</v>
      </c>
      <c r="G2012" s="312">
        <v>45.61</v>
      </c>
      <c r="H2012" s="312">
        <v>231.22</v>
      </c>
      <c r="I2012" s="312">
        <v>92.100000000000009</v>
      </c>
      <c r="J2012" s="312">
        <v>277.98</v>
      </c>
      <c r="K2012" s="312">
        <v>473.22</v>
      </c>
      <c r="M2012" t="s">
        <v>3776</v>
      </c>
      <c r="N2012" s="312">
        <v>21037.74</v>
      </c>
      <c r="O2012" s="312">
        <v>103242.16</v>
      </c>
      <c r="P2012" s="312">
        <v>69046.38</v>
      </c>
      <c r="Q2012" s="312">
        <v>162427.71</v>
      </c>
      <c r="R2012" s="312">
        <v>179583.32</v>
      </c>
    </row>
    <row r="2013" spans="6:18">
      <c r="F2013" t="s">
        <v>3777</v>
      </c>
      <c r="G2013" s="312">
        <v>99.669999999999987</v>
      </c>
      <c r="H2013" s="312">
        <v>190.73</v>
      </c>
      <c r="I2013" s="312">
        <v>36.53</v>
      </c>
      <c r="J2013" s="312">
        <v>250.65</v>
      </c>
      <c r="K2013" s="312">
        <v>623.45000000000005</v>
      </c>
      <c r="M2013" t="s">
        <v>3777</v>
      </c>
      <c r="N2013" s="312">
        <v>49488.520000000004</v>
      </c>
      <c r="O2013" s="312">
        <v>86938.78</v>
      </c>
      <c r="P2013" s="312">
        <v>32239.02</v>
      </c>
      <c r="Q2013" s="312">
        <v>149726.26</v>
      </c>
      <c r="R2013" s="312">
        <v>223198.21</v>
      </c>
    </row>
    <row r="2014" spans="6:18">
      <c r="F2014" t="s">
        <v>3778</v>
      </c>
      <c r="G2014" s="312">
        <v>47.06</v>
      </c>
      <c r="H2014" s="312">
        <v>292.17</v>
      </c>
      <c r="I2014" s="312">
        <v>93.16</v>
      </c>
      <c r="J2014" s="312">
        <v>180.46</v>
      </c>
      <c r="K2014" s="312">
        <v>606.65000000000009</v>
      </c>
      <c r="M2014" t="s">
        <v>3778</v>
      </c>
      <c r="N2014" s="312">
        <v>22290.74</v>
      </c>
      <c r="O2014" s="312">
        <v>126350.64</v>
      </c>
      <c r="P2014" s="312">
        <v>95195.83</v>
      </c>
      <c r="Q2014" s="312">
        <v>132879.82999999999</v>
      </c>
      <c r="R2014" s="312">
        <v>200389.55000000002</v>
      </c>
    </row>
    <row r="2015" spans="6:18">
      <c r="F2015" t="s">
        <v>3779</v>
      </c>
      <c r="G2015" s="312">
        <v>97.36</v>
      </c>
      <c r="H2015" s="312">
        <v>348.51</v>
      </c>
      <c r="I2015" s="312">
        <v>42.51</v>
      </c>
      <c r="J2015" s="312">
        <v>243.04999999999998</v>
      </c>
      <c r="K2015" s="312">
        <v>810.39</v>
      </c>
      <c r="M2015" t="s">
        <v>3779</v>
      </c>
      <c r="N2015" s="312">
        <v>45270.28</v>
      </c>
      <c r="O2015" s="312">
        <v>178472.4</v>
      </c>
      <c r="P2015" s="312">
        <v>37225.350000000006</v>
      </c>
      <c r="Q2015" s="312">
        <v>136300.15</v>
      </c>
      <c r="R2015" s="312">
        <v>271869.48</v>
      </c>
    </row>
    <row r="2016" spans="6:18">
      <c r="F2016" t="s">
        <v>3780</v>
      </c>
      <c r="G2016" s="312">
        <v>102.2</v>
      </c>
      <c r="H2016" s="312">
        <v>283.59000000000003</v>
      </c>
      <c r="I2016" s="312">
        <v>96.92</v>
      </c>
      <c r="J2016" s="312">
        <v>213.38</v>
      </c>
      <c r="K2016" s="312">
        <v>756.39</v>
      </c>
      <c r="M2016" t="s">
        <v>3780</v>
      </c>
      <c r="N2016" s="312">
        <v>62923.31</v>
      </c>
      <c r="O2016" s="312">
        <v>144940.17000000001</v>
      </c>
      <c r="P2016" s="312">
        <v>46165.369999999995</v>
      </c>
      <c r="Q2016" s="312">
        <v>126069.34</v>
      </c>
      <c r="R2016" s="312">
        <v>275786.63</v>
      </c>
    </row>
    <row r="2017" spans="6:18">
      <c r="F2017" t="s">
        <v>3781</v>
      </c>
      <c r="G2017" s="312">
        <v>46.55</v>
      </c>
      <c r="H2017" s="312">
        <v>464.47</v>
      </c>
      <c r="I2017" s="312">
        <v>126.98</v>
      </c>
      <c r="J2017" s="312">
        <v>423.14000000000004</v>
      </c>
      <c r="K2017" s="312">
        <v>722.95</v>
      </c>
      <c r="M2017" t="s">
        <v>3781</v>
      </c>
      <c r="N2017" s="312">
        <v>15217.1</v>
      </c>
      <c r="O2017" s="312">
        <v>382788.42</v>
      </c>
      <c r="P2017" s="312">
        <v>97748.94</v>
      </c>
      <c r="Q2017" s="312">
        <v>281289.05</v>
      </c>
      <c r="R2017" s="312">
        <v>247611.91</v>
      </c>
    </row>
    <row r="2018" spans="6:18">
      <c r="F2018" t="s">
        <v>3782</v>
      </c>
      <c r="G2018" s="312">
        <v>74.16</v>
      </c>
      <c r="H2018" s="312">
        <v>415.88</v>
      </c>
      <c r="I2018" s="312">
        <v>99.72</v>
      </c>
      <c r="J2018" s="312">
        <v>374.35</v>
      </c>
      <c r="K2018" s="312">
        <v>865.48</v>
      </c>
      <c r="M2018" t="s">
        <v>3782</v>
      </c>
      <c r="N2018" s="312">
        <v>28746.510000000002</v>
      </c>
      <c r="O2018" s="312">
        <v>231714.09000000003</v>
      </c>
      <c r="P2018" s="312">
        <v>96388.430000000008</v>
      </c>
      <c r="Q2018" s="312">
        <v>188197.02</v>
      </c>
      <c r="R2018" s="312">
        <v>280525.60000000003</v>
      </c>
    </row>
    <row r="2019" spans="6:18">
      <c r="F2019" t="s">
        <v>3783</v>
      </c>
      <c r="G2019" s="312">
        <v>38.019999999999996</v>
      </c>
      <c r="H2019" s="312">
        <v>362.83</v>
      </c>
      <c r="I2019" s="312">
        <v>77.989999999999995</v>
      </c>
      <c r="J2019" s="312">
        <v>385.66</v>
      </c>
      <c r="K2019" s="312">
        <v>469.27</v>
      </c>
      <c r="M2019" t="s">
        <v>3783</v>
      </c>
      <c r="N2019" s="312">
        <v>16727.489999999998</v>
      </c>
      <c r="O2019" s="312">
        <v>183294.11</v>
      </c>
      <c r="P2019" s="312">
        <v>57237.61</v>
      </c>
      <c r="Q2019" s="312">
        <v>203912.81</v>
      </c>
      <c r="R2019" s="312">
        <v>183772.58</v>
      </c>
    </row>
    <row r="2020" spans="6:18">
      <c r="F2020" t="s">
        <v>3784</v>
      </c>
      <c r="G2020" s="312">
        <v>105.96</v>
      </c>
      <c r="H2020" s="312">
        <v>184.95</v>
      </c>
      <c r="I2020" s="312">
        <v>7.79</v>
      </c>
      <c r="J2020" s="312">
        <v>169.97</v>
      </c>
      <c r="K2020" s="312">
        <v>552.33999999999992</v>
      </c>
      <c r="M2020" t="s">
        <v>3784</v>
      </c>
      <c r="N2020" s="312">
        <v>39112.120000000003</v>
      </c>
      <c r="O2020" s="312">
        <v>109699.76999999999</v>
      </c>
      <c r="P2020" s="312">
        <v>4097.75</v>
      </c>
      <c r="Q2020" s="312">
        <v>101262.35</v>
      </c>
      <c r="R2020" s="312">
        <v>200972.61</v>
      </c>
    </row>
    <row r="2021" spans="6:18">
      <c r="F2021" t="s">
        <v>3785</v>
      </c>
      <c r="G2021" s="312">
        <v>50.629999999999995</v>
      </c>
      <c r="H2021" s="312">
        <v>399.51000000000005</v>
      </c>
      <c r="I2021" s="312">
        <v>92.05</v>
      </c>
      <c r="J2021" s="312">
        <v>225</v>
      </c>
      <c r="K2021" s="312">
        <v>786.18000000000006</v>
      </c>
      <c r="M2021" t="s">
        <v>3785</v>
      </c>
      <c r="N2021" s="312">
        <v>19025.260000000002</v>
      </c>
      <c r="O2021" s="312">
        <v>205586</v>
      </c>
      <c r="P2021" s="312">
        <v>49055.63</v>
      </c>
      <c r="Q2021" s="312">
        <v>116716.97</v>
      </c>
      <c r="R2021" s="312">
        <v>270689.74</v>
      </c>
    </row>
    <row r="2022" spans="6:18">
      <c r="F2022" t="s">
        <v>3786</v>
      </c>
      <c r="G2022" s="312">
        <v>102.63000000000001</v>
      </c>
      <c r="H2022" s="312">
        <v>407.58000000000004</v>
      </c>
      <c r="I2022" s="312">
        <v>45.89</v>
      </c>
      <c r="J2022" s="312">
        <v>391.5</v>
      </c>
      <c r="K2022" s="312">
        <v>552.81999999999994</v>
      </c>
      <c r="M2022" t="s">
        <v>3786</v>
      </c>
      <c r="N2022" s="312">
        <v>54707.33</v>
      </c>
      <c r="O2022" s="312">
        <v>189394.47</v>
      </c>
      <c r="P2022" s="312">
        <v>39909.710000000006</v>
      </c>
      <c r="Q2022" s="312">
        <v>318156.95</v>
      </c>
      <c r="R2022" s="312">
        <v>178342.57</v>
      </c>
    </row>
    <row r="2023" spans="6:18">
      <c r="F2023" t="s">
        <v>3787</v>
      </c>
      <c r="G2023" s="312">
        <v>46.69</v>
      </c>
      <c r="H2023" s="312">
        <v>391.64</v>
      </c>
      <c r="I2023" s="312">
        <v>72.259999999999991</v>
      </c>
      <c r="J2023" s="312">
        <v>314.32</v>
      </c>
      <c r="K2023" s="312">
        <v>665.52</v>
      </c>
      <c r="M2023" t="s">
        <v>3787</v>
      </c>
      <c r="N2023" s="312">
        <v>18444</v>
      </c>
      <c r="O2023" s="312">
        <v>183986.80000000002</v>
      </c>
      <c r="P2023" s="312">
        <v>48825.369999999995</v>
      </c>
      <c r="Q2023" s="312">
        <v>174193.33000000002</v>
      </c>
      <c r="R2023" s="312">
        <v>194615.27000000002</v>
      </c>
    </row>
    <row r="2024" spans="6:18">
      <c r="F2024" t="s">
        <v>3788</v>
      </c>
      <c r="G2024" s="312">
        <v>135.86000000000001</v>
      </c>
      <c r="H2024" s="312">
        <v>378.46000000000004</v>
      </c>
      <c r="I2024" s="312">
        <v>87.06</v>
      </c>
      <c r="J2024" s="312">
        <v>343.15</v>
      </c>
      <c r="K2024" s="312">
        <v>736.53</v>
      </c>
      <c r="M2024" t="s">
        <v>3788</v>
      </c>
      <c r="N2024" s="312">
        <v>70301.42</v>
      </c>
      <c r="O2024" s="312">
        <v>210259.69999999998</v>
      </c>
      <c r="P2024" s="312">
        <v>53711.64</v>
      </c>
      <c r="Q2024" s="312">
        <v>178330.56</v>
      </c>
      <c r="R2024" s="312">
        <v>211461.36</v>
      </c>
    </row>
    <row r="2025" spans="6:18">
      <c r="F2025" t="s">
        <v>3789</v>
      </c>
      <c r="G2025" s="312">
        <v>122.12</v>
      </c>
      <c r="H2025" s="312">
        <v>350.51</v>
      </c>
      <c r="I2025" s="312">
        <v>163.96</v>
      </c>
      <c r="J2025" s="312">
        <v>406.49</v>
      </c>
      <c r="K2025" s="312">
        <v>809.69</v>
      </c>
      <c r="M2025" t="s">
        <v>3789</v>
      </c>
      <c r="N2025" s="312">
        <v>93882.65</v>
      </c>
      <c r="O2025" s="312">
        <v>201886.48</v>
      </c>
      <c r="P2025" s="312">
        <v>97498.89</v>
      </c>
      <c r="Q2025" s="312">
        <v>208768.12</v>
      </c>
      <c r="R2025" s="312">
        <v>289060.77</v>
      </c>
    </row>
    <row r="2026" spans="6:18">
      <c r="F2026" t="s">
        <v>3790</v>
      </c>
      <c r="G2026" s="312">
        <v>90.8</v>
      </c>
      <c r="H2026" s="312">
        <v>183.36</v>
      </c>
      <c r="I2026" s="312">
        <v>65.45</v>
      </c>
      <c r="J2026" s="312">
        <v>323.58999999999997</v>
      </c>
      <c r="K2026" s="312">
        <v>506.4</v>
      </c>
      <c r="M2026" t="s">
        <v>3790</v>
      </c>
      <c r="N2026" s="312">
        <v>50678.090000000004</v>
      </c>
      <c r="O2026" s="312">
        <v>92407.52</v>
      </c>
      <c r="P2026" s="312">
        <v>26210.91</v>
      </c>
      <c r="Q2026" s="312">
        <v>151605.24000000002</v>
      </c>
      <c r="R2026" s="312">
        <v>160571.91999999998</v>
      </c>
    </row>
    <row r="2027" spans="6:18">
      <c r="F2027" t="s">
        <v>3791</v>
      </c>
      <c r="G2027" s="312">
        <v>49.569999999999993</v>
      </c>
      <c r="H2027" s="312">
        <v>250.05</v>
      </c>
      <c r="I2027" s="312">
        <v>43.25</v>
      </c>
      <c r="J2027" s="312">
        <v>304.48</v>
      </c>
      <c r="K2027" s="312">
        <v>669.91</v>
      </c>
      <c r="M2027" t="s">
        <v>3791</v>
      </c>
      <c r="N2027" s="312">
        <v>29756.3</v>
      </c>
      <c r="O2027" s="312">
        <v>109144.81</v>
      </c>
      <c r="P2027" s="312">
        <v>17807.560000000001</v>
      </c>
      <c r="Q2027" s="312">
        <v>241560.89</v>
      </c>
      <c r="R2027" s="312">
        <v>206512.05000000002</v>
      </c>
    </row>
    <row r="2028" spans="6:18">
      <c r="F2028" t="s">
        <v>3792</v>
      </c>
      <c r="G2028" s="312">
        <v>68.240000000000009</v>
      </c>
      <c r="H2028" s="312">
        <v>276.83000000000004</v>
      </c>
      <c r="I2028" s="312">
        <v>83.86</v>
      </c>
      <c r="J2028" s="312">
        <v>309.2</v>
      </c>
      <c r="K2028" s="312">
        <v>812.57</v>
      </c>
      <c r="M2028" t="s">
        <v>3792</v>
      </c>
      <c r="N2028" s="312">
        <v>43378.76</v>
      </c>
      <c r="O2028" s="312">
        <v>120357.20000000001</v>
      </c>
      <c r="P2028" s="312">
        <v>46409.18</v>
      </c>
      <c r="Q2028" s="312">
        <v>158735.43</v>
      </c>
      <c r="R2028" s="312">
        <v>312078.23</v>
      </c>
    </row>
    <row r="2029" spans="6:18">
      <c r="F2029" t="s">
        <v>3793</v>
      </c>
      <c r="G2029" s="312">
        <v>94.91</v>
      </c>
      <c r="H2029" s="312">
        <v>353.86</v>
      </c>
      <c r="I2029" s="312">
        <v>87.67</v>
      </c>
      <c r="J2029" s="312">
        <v>476.04</v>
      </c>
      <c r="K2029" s="312">
        <v>819.62</v>
      </c>
      <c r="M2029" t="s">
        <v>3793</v>
      </c>
      <c r="N2029" s="312">
        <v>41069.009999999995</v>
      </c>
      <c r="O2029" s="312">
        <v>140916.94</v>
      </c>
      <c r="P2029" s="312">
        <v>44054.939999999995</v>
      </c>
      <c r="Q2029" s="312">
        <v>221081.02</v>
      </c>
      <c r="R2029" s="312">
        <v>282059.39</v>
      </c>
    </row>
    <row r="2030" spans="6:18">
      <c r="F2030" t="s">
        <v>3794</v>
      </c>
      <c r="G2030" s="312">
        <v>132.06</v>
      </c>
      <c r="H2030" s="312">
        <v>433.13</v>
      </c>
      <c r="I2030" s="312">
        <v>135.32</v>
      </c>
      <c r="J2030" s="312">
        <v>321.39</v>
      </c>
      <c r="K2030" s="312">
        <v>678.99</v>
      </c>
      <c r="M2030" t="s">
        <v>3794</v>
      </c>
      <c r="N2030" s="312">
        <v>61904.159999999996</v>
      </c>
      <c r="O2030" s="312">
        <v>180899.44</v>
      </c>
      <c r="P2030" s="312">
        <v>115017.89</v>
      </c>
      <c r="Q2030" s="312">
        <v>170267.65</v>
      </c>
      <c r="R2030" s="312">
        <v>230077.94</v>
      </c>
    </row>
    <row r="2031" spans="6:18">
      <c r="F2031" t="s">
        <v>3795</v>
      </c>
      <c r="G2031" s="312">
        <v>62.67</v>
      </c>
      <c r="H2031" s="312">
        <v>336.19</v>
      </c>
      <c r="I2031" s="312">
        <v>117.16</v>
      </c>
      <c r="J2031" s="312">
        <v>853.43</v>
      </c>
      <c r="K2031" s="312">
        <v>707.64</v>
      </c>
      <c r="M2031" t="s">
        <v>3795</v>
      </c>
      <c r="N2031" s="312">
        <v>43225.08</v>
      </c>
      <c r="O2031" s="312">
        <v>176244.22999999998</v>
      </c>
      <c r="P2031" s="312">
        <v>75972.19</v>
      </c>
      <c r="Q2031" s="312">
        <v>397857.57</v>
      </c>
      <c r="R2031" s="312">
        <v>234670.48</v>
      </c>
    </row>
    <row r="2032" spans="6:18">
      <c r="F2032" t="s">
        <v>3796</v>
      </c>
      <c r="G2032" s="312">
        <v>80.900000000000006</v>
      </c>
      <c r="H2032" s="312">
        <v>333.47</v>
      </c>
      <c r="I2032" s="312">
        <v>102.45</v>
      </c>
      <c r="J2032" s="312">
        <v>237.41</v>
      </c>
      <c r="K2032" s="312">
        <v>955.31999999999994</v>
      </c>
      <c r="M2032" t="s">
        <v>3796</v>
      </c>
      <c r="N2032" s="312">
        <v>46830.18</v>
      </c>
      <c r="O2032" s="312">
        <v>187284.81</v>
      </c>
      <c r="P2032" s="312">
        <v>70364.87</v>
      </c>
      <c r="Q2032" s="312">
        <v>128140.87999999999</v>
      </c>
      <c r="R2032" s="312">
        <v>300498.92</v>
      </c>
    </row>
    <row r="2033" spans="6:18">
      <c r="F2033" t="s">
        <v>3797</v>
      </c>
      <c r="G2033" s="312">
        <v>66.53</v>
      </c>
      <c r="H2033" s="312">
        <v>194.14</v>
      </c>
      <c r="I2033" s="312">
        <v>75.3</v>
      </c>
      <c r="J2033" s="312">
        <v>235.83999999999997</v>
      </c>
      <c r="K2033" s="312">
        <v>488.26</v>
      </c>
      <c r="M2033" t="s">
        <v>3797</v>
      </c>
      <c r="N2033" s="312">
        <v>22921.63</v>
      </c>
      <c r="O2033" s="312">
        <v>94583.03</v>
      </c>
      <c r="P2033" s="312">
        <v>58428.56</v>
      </c>
      <c r="Q2033" s="312">
        <v>128083.06</v>
      </c>
      <c r="R2033" s="312">
        <v>162423.99</v>
      </c>
    </row>
    <row r="2034" spans="6:18">
      <c r="F2034" t="s">
        <v>3798</v>
      </c>
      <c r="G2034" s="312">
        <v>55.28</v>
      </c>
      <c r="H2034" s="312">
        <v>157.41</v>
      </c>
      <c r="I2034" s="312">
        <v>20.04</v>
      </c>
      <c r="J2034" s="312">
        <v>221.69</v>
      </c>
      <c r="K2034" s="312">
        <v>496.52</v>
      </c>
      <c r="M2034" t="s">
        <v>3798</v>
      </c>
      <c r="N2034" s="312">
        <v>20922.54</v>
      </c>
      <c r="O2034" s="312">
        <v>68411.67</v>
      </c>
      <c r="P2034" s="312">
        <v>7298.8099999999995</v>
      </c>
      <c r="Q2034" s="312">
        <v>113897.3</v>
      </c>
      <c r="R2034" s="312">
        <v>172147.63</v>
      </c>
    </row>
    <row r="2035" spans="6:18">
      <c r="F2035" t="s">
        <v>3799</v>
      </c>
      <c r="G2035" s="312">
        <v>99.660000000000011</v>
      </c>
      <c r="H2035" s="312">
        <v>554.83000000000004</v>
      </c>
      <c r="I2035" s="312">
        <v>175.57000000000002</v>
      </c>
      <c r="J2035" s="312">
        <v>377.67</v>
      </c>
      <c r="K2035" s="312">
        <v>909.78</v>
      </c>
      <c r="M2035" t="s">
        <v>3799</v>
      </c>
      <c r="N2035" s="312">
        <v>78925.39</v>
      </c>
      <c r="O2035" s="312">
        <v>318789.37</v>
      </c>
      <c r="P2035" s="312">
        <v>112145.59999999999</v>
      </c>
      <c r="Q2035" s="312">
        <v>163845.24</v>
      </c>
      <c r="R2035" s="312">
        <v>304755.68</v>
      </c>
    </row>
    <row r="2036" spans="6:18">
      <c r="F2036" t="s">
        <v>3800</v>
      </c>
      <c r="G2036" s="312">
        <v>58.61</v>
      </c>
      <c r="H2036" s="312">
        <v>422.77</v>
      </c>
      <c r="I2036" s="312">
        <v>98.320000000000007</v>
      </c>
      <c r="J2036" s="312">
        <v>477.86</v>
      </c>
      <c r="K2036" s="312">
        <v>799.61</v>
      </c>
      <c r="M2036" t="s">
        <v>3800</v>
      </c>
      <c r="N2036" s="312">
        <v>24964.720000000001</v>
      </c>
      <c r="O2036" s="312">
        <v>193489.66</v>
      </c>
      <c r="P2036" s="312">
        <v>62745.1</v>
      </c>
      <c r="Q2036" s="312">
        <v>272384.51</v>
      </c>
      <c r="R2036" s="312">
        <v>258275.4</v>
      </c>
    </row>
    <row r="2037" spans="6:18">
      <c r="F2037" t="s">
        <v>3801</v>
      </c>
      <c r="G2037" s="312">
        <v>72.14</v>
      </c>
      <c r="H2037" s="312">
        <v>510.59999999999997</v>
      </c>
      <c r="I2037" s="312">
        <v>134.57</v>
      </c>
      <c r="J2037" s="312">
        <v>377.48</v>
      </c>
      <c r="K2037" s="312">
        <v>652.37</v>
      </c>
      <c r="M2037" t="s">
        <v>3801</v>
      </c>
      <c r="N2037" s="312">
        <v>49898.63</v>
      </c>
      <c r="O2037" s="312">
        <v>234924.24000000002</v>
      </c>
      <c r="P2037" s="312">
        <v>67203.55</v>
      </c>
      <c r="Q2037" s="312">
        <v>224755.52000000002</v>
      </c>
      <c r="R2037" s="312">
        <v>218494.25</v>
      </c>
    </row>
    <row r="2038" spans="6:18">
      <c r="F2038" t="s">
        <v>3802</v>
      </c>
      <c r="G2038" s="312">
        <v>90.23</v>
      </c>
      <c r="H2038" s="312">
        <v>389.15000000000003</v>
      </c>
      <c r="I2038" s="312">
        <v>140.34</v>
      </c>
      <c r="J2038" s="312">
        <v>382.78999999999996</v>
      </c>
      <c r="K2038" s="312">
        <v>728.53</v>
      </c>
      <c r="M2038" t="s">
        <v>3802</v>
      </c>
      <c r="N2038" s="312">
        <v>42643.01</v>
      </c>
      <c r="O2038" s="312">
        <v>164884.00999999998</v>
      </c>
      <c r="P2038" s="312">
        <v>109493.77</v>
      </c>
      <c r="Q2038" s="312">
        <v>269033.49</v>
      </c>
      <c r="R2038" s="312">
        <v>207655.90999999997</v>
      </c>
    </row>
    <row r="2039" spans="6:18">
      <c r="F2039" t="s">
        <v>3803</v>
      </c>
      <c r="G2039" s="312">
        <v>88.38</v>
      </c>
      <c r="H2039" s="312">
        <v>384.96</v>
      </c>
      <c r="I2039" s="312">
        <v>88.62</v>
      </c>
      <c r="J2039" s="312">
        <v>255.16</v>
      </c>
      <c r="K2039" s="312">
        <v>738.08</v>
      </c>
      <c r="M2039" t="s">
        <v>3803</v>
      </c>
      <c r="N2039" s="312">
        <v>33329.5</v>
      </c>
      <c r="O2039" s="312">
        <v>208021.59000000003</v>
      </c>
      <c r="P2039" s="312">
        <v>47527.69</v>
      </c>
      <c r="Q2039" s="312">
        <v>166830.81999999998</v>
      </c>
      <c r="R2039" s="312">
        <v>238081.12</v>
      </c>
    </row>
    <row r="2040" spans="6:18">
      <c r="F2040" t="s">
        <v>3804</v>
      </c>
      <c r="G2040" s="312">
        <v>54.459999999999994</v>
      </c>
      <c r="H2040" s="312">
        <v>243.83</v>
      </c>
      <c r="I2040" s="312">
        <v>66.95</v>
      </c>
      <c r="J2040" s="312">
        <v>315.52</v>
      </c>
      <c r="K2040" s="312">
        <v>514.63</v>
      </c>
      <c r="M2040" t="s">
        <v>3804</v>
      </c>
      <c r="N2040" s="312">
        <v>28169.69</v>
      </c>
      <c r="O2040" s="312">
        <v>110607.59999999999</v>
      </c>
      <c r="P2040" s="312">
        <v>61195.259999999995</v>
      </c>
      <c r="Q2040" s="312">
        <v>185987.71</v>
      </c>
      <c r="R2040" s="312">
        <v>193900.47</v>
      </c>
    </row>
    <row r="2041" spans="6:18">
      <c r="F2041" t="s">
        <v>3805</v>
      </c>
      <c r="G2041" s="312">
        <v>64.87</v>
      </c>
      <c r="H2041" s="312">
        <v>241.57999999999998</v>
      </c>
      <c r="I2041" s="312">
        <v>19.240000000000002</v>
      </c>
      <c r="J2041" s="312">
        <v>157.76</v>
      </c>
      <c r="K2041" s="312">
        <v>496.2</v>
      </c>
      <c r="M2041" t="s">
        <v>3805</v>
      </c>
      <c r="N2041" s="312">
        <v>26028.629999999997</v>
      </c>
      <c r="O2041" s="312">
        <v>116998.89</v>
      </c>
      <c r="P2041" s="312">
        <v>6805.77</v>
      </c>
      <c r="Q2041" s="312">
        <v>100365.37</v>
      </c>
      <c r="R2041" s="312">
        <v>143516.22</v>
      </c>
    </row>
    <row r="2042" spans="6:18">
      <c r="F2042" t="s">
        <v>3806</v>
      </c>
      <c r="G2042" s="312">
        <v>54.94</v>
      </c>
      <c r="H2042" s="312">
        <v>343.47</v>
      </c>
      <c r="I2042" s="312">
        <v>80.64</v>
      </c>
      <c r="J2042" s="312">
        <v>325.07000000000005</v>
      </c>
      <c r="K2042" s="312">
        <v>802.01</v>
      </c>
      <c r="M2042" t="s">
        <v>3806</v>
      </c>
      <c r="N2042" s="312">
        <v>20801.39</v>
      </c>
      <c r="O2042" s="312">
        <v>142096.94</v>
      </c>
      <c r="P2042" s="312">
        <v>58685.41</v>
      </c>
      <c r="Q2042" s="312">
        <v>193867.01</v>
      </c>
      <c r="R2042" s="312">
        <v>247647.63999999998</v>
      </c>
    </row>
    <row r="2043" spans="6:18">
      <c r="F2043" t="s">
        <v>3807</v>
      </c>
      <c r="G2043" s="312">
        <v>78.19</v>
      </c>
      <c r="H2043" s="312">
        <v>317.86</v>
      </c>
      <c r="I2043" s="312">
        <v>73.28</v>
      </c>
      <c r="J2043" s="312">
        <v>314.41999999999996</v>
      </c>
      <c r="K2043" s="312">
        <v>708.5</v>
      </c>
      <c r="M2043" t="s">
        <v>3807</v>
      </c>
      <c r="N2043" s="312">
        <v>29306.729999999996</v>
      </c>
      <c r="O2043" s="312">
        <v>188266.04</v>
      </c>
      <c r="P2043" s="312">
        <v>59502.149999999994</v>
      </c>
      <c r="Q2043" s="312">
        <v>150729.40999999997</v>
      </c>
      <c r="R2043" s="312">
        <v>249982.4</v>
      </c>
    </row>
    <row r="2044" spans="6:18">
      <c r="F2044" t="s">
        <v>3808</v>
      </c>
      <c r="G2044" s="312">
        <v>95.100000000000009</v>
      </c>
      <c r="H2044" s="312">
        <v>359.61</v>
      </c>
      <c r="I2044" s="312">
        <v>74.72</v>
      </c>
      <c r="J2044" s="312">
        <v>284.26</v>
      </c>
      <c r="K2044" s="312">
        <v>688.44999999999993</v>
      </c>
      <c r="M2044" t="s">
        <v>3808</v>
      </c>
      <c r="N2044" s="312">
        <v>36786.629999999997</v>
      </c>
      <c r="O2044" s="312">
        <v>154713.60999999999</v>
      </c>
      <c r="P2044" s="312">
        <v>35478.9</v>
      </c>
      <c r="Q2044" s="312">
        <v>151259.1</v>
      </c>
      <c r="R2044" s="312">
        <v>233519.33</v>
      </c>
    </row>
    <row r="2045" spans="6:18">
      <c r="F2045" t="s">
        <v>3809</v>
      </c>
      <c r="G2045" s="312">
        <v>78.03</v>
      </c>
      <c r="H2045" s="312">
        <v>485.37</v>
      </c>
      <c r="I2045" s="312">
        <v>56.76</v>
      </c>
      <c r="J2045" s="312">
        <v>270.60000000000002</v>
      </c>
      <c r="K2045" s="312">
        <v>694.74</v>
      </c>
      <c r="M2045" t="s">
        <v>3809</v>
      </c>
      <c r="N2045" s="312">
        <v>38096</v>
      </c>
      <c r="O2045" s="312">
        <v>223067.44</v>
      </c>
      <c r="P2045" s="312">
        <v>20228.41</v>
      </c>
      <c r="Q2045" s="312">
        <v>106125.32</v>
      </c>
      <c r="R2045" s="312">
        <v>229650.21000000002</v>
      </c>
    </row>
    <row r="2046" spans="6:18">
      <c r="F2046" t="s">
        <v>3810</v>
      </c>
      <c r="G2046" s="312">
        <v>91.54</v>
      </c>
      <c r="H2046" s="312">
        <v>341.40999999999997</v>
      </c>
      <c r="I2046" s="312">
        <v>107.07</v>
      </c>
      <c r="J2046" s="312">
        <v>286.24</v>
      </c>
      <c r="K2046" s="312">
        <v>714.21</v>
      </c>
      <c r="M2046" t="s">
        <v>3810</v>
      </c>
      <c r="N2046" s="312">
        <v>43152.89</v>
      </c>
      <c r="O2046" s="312">
        <v>179143.05</v>
      </c>
      <c r="P2046" s="312">
        <v>68714.73</v>
      </c>
      <c r="Q2046" s="312">
        <v>180039.67</v>
      </c>
      <c r="R2046" s="312">
        <v>273107.12</v>
      </c>
    </row>
    <row r="2047" spans="6:18">
      <c r="F2047" t="s">
        <v>3811</v>
      </c>
      <c r="G2047" s="312">
        <v>72.459999999999994</v>
      </c>
      <c r="H2047" s="312">
        <v>294.90999999999997</v>
      </c>
      <c r="I2047" s="312">
        <v>50.589999999999996</v>
      </c>
      <c r="J2047" s="312">
        <v>255.62</v>
      </c>
      <c r="K2047" s="312">
        <v>404.08000000000004</v>
      </c>
      <c r="M2047" t="s">
        <v>3811</v>
      </c>
      <c r="N2047" s="312">
        <v>45521.38</v>
      </c>
      <c r="O2047" s="312">
        <v>114019.32</v>
      </c>
      <c r="P2047" s="312">
        <v>36023.79</v>
      </c>
      <c r="Q2047" s="312">
        <v>138042.38999999998</v>
      </c>
      <c r="R2047" s="312">
        <v>160603.93</v>
      </c>
    </row>
    <row r="2048" spans="6:18">
      <c r="F2048" t="s">
        <v>3812</v>
      </c>
      <c r="G2048" s="312">
        <v>57.55</v>
      </c>
      <c r="H2048" s="312">
        <v>221.74</v>
      </c>
      <c r="I2048" s="312">
        <v>25.64</v>
      </c>
      <c r="J2048" s="312">
        <v>204.11</v>
      </c>
      <c r="K2048" s="312">
        <v>414.41999999999996</v>
      </c>
      <c r="M2048" t="s">
        <v>3812</v>
      </c>
      <c r="N2048" s="312">
        <v>29275.41</v>
      </c>
      <c r="O2048" s="312">
        <v>95260.93</v>
      </c>
      <c r="P2048" s="312">
        <v>10882.65</v>
      </c>
      <c r="Q2048" s="312">
        <v>96198.28</v>
      </c>
      <c r="R2048" s="312">
        <v>114028.03</v>
      </c>
    </row>
    <row r="2049" spans="6:18">
      <c r="F2049" t="s">
        <v>3813</v>
      </c>
      <c r="G2049" s="312">
        <v>33.739999999999995</v>
      </c>
      <c r="H2049" s="312">
        <v>424.23</v>
      </c>
      <c r="I2049" s="312">
        <v>47.489999999999995</v>
      </c>
      <c r="J2049" s="312">
        <v>260.77</v>
      </c>
      <c r="K2049" s="312">
        <v>683.88000000000011</v>
      </c>
      <c r="M2049" t="s">
        <v>3813</v>
      </c>
      <c r="N2049" s="312">
        <v>13645.71</v>
      </c>
      <c r="O2049" s="312">
        <v>174245.22</v>
      </c>
      <c r="P2049" s="312">
        <v>26232.560000000001</v>
      </c>
      <c r="Q2049" s="312">
        <v>183023.99</v>
      </c>
      <c r="R2049" s="312">
        <v>226330.72999999998</v>
      </c>
    </row>
    <row r="2050" spans="6:18">
      <c r="F2050" t="s">
        <v>3814</v>
      </c>
      <c r="G2050" s="312">
        <v>93.27</v>
      </c>
      <c r="H2050" s="312">
        <v>414.55</v>
      </c>
      <c r="I2050" s="312">
        <v>89.39</v>
      </c>
      <c r="J2050" s="312">
        <v>305.42</v>
      </c>
      <c r="K2050" s="312">
        <v>815.27</v>
      </c>
      <c r="M2050" t="s">
        <v>3814</v>
      </c>
      <c r="N2050" s="312">
        <v>55654.020000000004</v>
      </c>
      <c r="O2050" s="312">
        <v>263497.20999999996</v>
      </c>
      <c r="P2050" s="312">
        <v>65852.010000000009</v>
      </c>
      <c r="Q2050" s="312">
        <v>215330.29</v>
      </c>
      <c r="R2050" s="312">
        <v>307192.09999999998</v>
      </c>
    </row>
    <row r="2051" spans="6:18">
      <c r="F2051" t="s">
        <v>3815</v>
      </c>
      <c r="G2051" s="312">
        <v>86.78</v>
      </c>
      <c r="H2051" s="312">
        <v>289.32</v>
      </c>
      <c r="I2051" s="312">
        <v>97</v>
      </c>
      <c r="J2051" s="312">
        <v>290.03000000000003</v>
      </c>
      <c r="K2051" s="312">
        <v>720.94</v>
      </c>
      <c r="M2051" t="s">
        <v>3815</v>
      </c>
      <c r="N2051" s="312">
        <v>30540.61</v>
      </c>
      <c r="O2051" s="312">
        <v>124317.1</v>
      </c>
      <c r="P2051" s="312">
        <v>49048.55</v>
      </c>
      <c r="Q2051" s="312">
        <v>172180.25</v>
      </c>
      <c r="R2051" s="312">
        <v>286378.99</v>
      </c>
    </row>
    <row r="2052" spans="6:18">
      <c r="F2052" t="s">
        <v>3816</v>
      </c>
      <c r="G2052" s="312">
        <v>97.21</v>
      </c>
      <c r="H2052" s="312">
        <v>263.33999999999997</v>
      </c>
      <c r="I2052" s="312">
        <v>112.76</v>
      </c>
      <c r="J2052" s="312">
        <v>260.76</v>
      </c>
      <c r="K2052" s="312">
        <v>802.17000000000007</v>
      </c>
      <c r="M2052" t="s">
        <v>3816</v>
      </c>
      <c r="N2052" s="312">
        <v>38452.15</v>
      </c>
      <c r="O2052" s="312">
        <v>124376.56999999999</v>
      </c>
      <c r="P2052" s="312">
        <v>76667.14</v>
      </c>
      <c r="Q2052" s="312">
        <v>148461.51</v>
      </c>
      <c r="R2052" s="312">
        <v>277572.32</v>
      </c>
    </row>
    <row r="2053" spans="6:18">
      <c r="F2053" t="s">
        <v>3817</v>
      </c>
      <c r="G2053" s="312">
        <v>102.88</v>
      </c>
      <c r="H2053" s="312">
        <v>358.07</v>
      </c>
      <c r="I2053" s="312">
        <v>103.41</v>
      </c>
      <c r="J2053" s="312">
        <v>314.75</v>
      </c>
      <c r="K2053" s="312">
        <v>706.91</v>
      </c>
      <c r="M2053" t="s">
        <v>3817</v>
      </c>
      <c r="N2053" s="312">
        <v>44177.619999999995</v>
      </c>
      <c r="O2053" s="312">
        <v>163515.71000000002</v>
      </c>
      <c r="P2053" s="312">
        <v>71374.05</v>
      </c>
      <c r="Q2053" s="312">
        <v>145265.16</v>
      </c>
      <c r="R2053" s="312">
        <v>208986.11</v>
      </c>
    </row>
    <row r="2054" spans="6:18">
      <c r="F2054" t="s">
        <v>3818</v>
      </c>
      <c r="G2054" s="312">
        <v>43.8</v>
      </c>
      <c r="H2054" s="312">
        <v>190.03</v>
      </c>
      <c r="I2054" s="312">
        <v>34.99</v>
      </c>
      <c r="J2054" s="312">
        <v>261.03999999999996</v>
      </c>
      <c r="K2054" s="312">
        <v>470.17999999999995</v>
      </c>
      <c r="M2054" t="s">
        <v>3818</v>
      </c>
      <c r="N2054" s="312">
        <v>23091.360000000001</v>
      </c>
      <c r="O2054" s="312">
        <v>65642.990000000005</v>
      </c>
      <c r="P2054" s="312">
        <v>32705.62</v>
      </c>
      <c r="Q2054" s="312">
        <v>142362.16</v>
      </c>
      <c r="R2054" s="312">
        <v>168015.04</v>
      </c>
    </row>
    <row r="2055" spans="6:18">
      <c r="F2055" t="s">
        <v>3819</v>
      </c>
      <c r="G2055" s="312">
        <v>35.369999999999997</v>
      </c>
      <c r="H2055" s="312">
        <v>148.38</v>
      </c>
      <c r="I2055" s="312">
        <v>7.93</v>
      </c>
      <c r="J2055" s="312">
        <v>135.97999999999999</v>
      </c>
      <c r="K2055" s="312">
        <v>540.06999999999994</v>
      </c>
      <c r="M2055" t="s">
        <v>3819</v>
      </c>
      <c r="N2055" s="312">
        <v>16991.16</v>
      </c>
      <c r="O2055" s="312">
        <v>51526.979999999996</v>
      </c>
      <c r="P2055" s="312">
        <v>2942.21</v>
      </c>
      <c r="Q2055" s="312">
        <v>75203.959999999992</v>
      </c>
      <c r="R2055" s="312">
        <v>176524.62</v>
      </c>
    </row>
    <row r="2056" spans="6:18">
      <c r="F2056" t="s">
        <v>3820</v>
      </c>
      <c r="G2056" s="312">
        <v>96.179999999999993</v>
      </c>
      <c r="H2056" s="312">
        <v>326.5</v>
      </c>
      <c r="I2056" s="312">
        <v>65.709999999999994</v>
      </c>
      <c r="J2056" s="312">
        <v>256.10000000000002</v>
      </c>
      <c r="K2056" s="312">
        <v>763.54</v>
      </c>
      <c r="M2056" t="s">
        <v>3820</v>
      </c>
      <c r="N2056" s="312">
        <v>45228.09</v>
      </c>
      <c r="O2056" s="312">
        <v>142027.94999999998</v>
      </c>
      <c r="P2056" s="312">
        <v>65062.58</v>
      </c>
      <c r="Q2056" s="312">
        <v>220047.12</v>
      </c>
      <c r="R2056" s="312">
        <v>219327</v>
      </c>
    </row>
    <row r="2057" spans="6:18">
      <c r="F2057" t="s">
        <v>3821</v>
      </c>
      <c r="G2057" s="312">
        <v>128.03</v>
      </c>
      <c r="H2057" s="312">
        <v>279.33000000000004</v>
      </c>
      <c r="I2057" s="312">
        <v>37.06</v>
      </c>
      <c r="J2057" s="312">
        <v>236.54</v>
      </c>
      <c r="K2057" s="312">
        <v>815.84</v>
      </c>
      <c r="M2057" t="s">
        <v>3821</v>
      </c>
      <c r="N2057" s="312">
        <v>52354.26</v>
      </c>
      <c r="O2057" s="312">
        <v>143796.62</v>
      </c>
      <c r="P2057" s="312">
        <v>17922.2</v>
      </c>
      <c r="Q2057" s="312">
        <v>120263.15</v>
      </c>
      <c r="R2057" s="312">
        <v>297750.65000000002</v>
      </c>
    </row>
    <row r="2058" spans="6:18">
      <c r="F2058" t="s">
        <v>3822</v>
      </c>
      <c r="G2058" s="312">
        <v>67.8</v>
      </c>
      <c r="H2058" s="312">
        <v>335.65</v>
      </c>
      <c r="I2058" s="312">
        <v>49.349999999999994</v>
      </c>
      <c r="J2058" s="312">
        <v>324.57</v>
      </c>
      <c r="K2058" s="312">
        <v>738.52</v>
      </c>
      <c r="M2058" t="s">
        <v>3822</v>
      </c>
      <c r="N2058" s="312">
        <v>30723.040000000001</v>
      </c>
      <c r="O2058" s="312">
        <v>131469.38999999998</v>
      </c>
      <c r="P2058" s="312">
        <v>30965.21</v>
      </c>
      <c r="Q2058" s="312">
        <v>139161.93</v>
      </c>
      <c r="R2058" s="312">
        <v>213228.72999999998</v>
      </c>
    </row>
    <row r="2059" spans="6:18">
      <c r="F2059" t="s">
        <v>3823</v>
      </c>
      <c r="G2059" s="312">
        <v>59.82</v>
      </c>
      <c r="H2059" s="312">
        <v>296.15999999999997</v>
      </c>
      <c r="I2059" s="312">
        <v>108.08000000000001</v>
      </c>
      <c r="J2059" s="312">
        <v>343.21999999999997</v>
      </c>
      <c r="K2059" s="312">
        <v>708.62</v>
      </c>
      <c r="M2059" t="s">
        <v>3823</v>
      </c>
      <c r="N2059" s="312">
        <v>20207.440000000002</v>
      </c>
      <c r="O2059" s="312">
        <v>144683.43</v>
      </c>
      <c r="P2059" s="312">
        <v>61856.639999999999</v>
      </c>
      <c r="Q2059" s="312">
        <v>193103.49000000002</v>
      </c>
      <c r="R2059" s="312">
        <v>214854.52999999997</v>
      </c>
    </row>
    <row r="2060" spans="6:18">
      <c r="F2060" t="s">
        <v>3824</v>
      </c>
      <c r="G2060" s="312">
        <v>86.78</v>
      </c>
      <c r="H2060" s="312">
        <v>327.43</v>
      </c>
      <c r="I2060" s="312">
        <v>81.740000000000009</v>
      </c>
      <c r="J2060" s="312">
        <v>194.73</v>
      </c>
      <c r="K2060" s="312">
        <v>622.6</v>
      </c>
      <c r="M2060" t="s">
        <v>3824</v>
      </c>
      <c r="N2060" s="312">
        <v>35707.79</v>
      </c>
      <c r="O2060" s="312">
        <v>184109.57</v>
      </c>
      <c r="P2060" s="312">
        <v>72066.58</v>
      </c>
      <c r="Q2060" s="312">
        <v>123781.73000000001</v>
      </c>
      <c r="R2060" s="312">
        <v>171066.28999999998</v>
      </c>
    </row>
    <row r="2061" spans="6:18">
      <c r="F2061" t="s">
        <v>3825</v>
      </c>
      <c r="G2061" s="312">
        <v>35.519999999999996</v>
      </c>
      <c r="H2061" s="312">
        <v>163.31</v>
      </c>
      <c r="I2061" s="312">
        <v>57.120000000000005</v>
      </c>
      <c r="J2061" s="312">
        <v>167.86</v>
      </c>
      <c r="K2061" s="312">
        <v>489.63</v>
      </c>
      <c r="M2061" t="s">
        <v>3825</v>
      </c>
      <c r="N2061" s="312">
        <v>11827.06</v>
      </c>
      <c r="O2061" s="312">
        <v>84390.17</v>
      </c>
      <c r="P2061" s="312">
        <v>25282.720000000001</v>
      </c>
      <c r="Q2061" s="312">
        <v>116215.87</v>
      </c>
      <c r="R2061" s="312">
        <v>150545.37</v>
      </c>
    </row>
    <row r="2062" spans="6:18">
      <c r="F2062" t="s">
        <v>3826</v>
      </c>
      <c r="G2062" s="312">
        <v>83.42</v>
      </c>
      <c r="H2062" s="312">
        <v>150.99</v>
      </c>
      <c r="I2062" s="312">
        <v>6.07</v>
      </c>
      <c r="J2062" s="312">
        <v>141.34</v>
      </c>
      <c r="K2062" s="312">
        <v>468.87</v>
      </c>
      <c r="M2062" t="s">
        <v>3826</v>
      </c>
      <c r="N2062" s="312">
        <v>36187.56</v>
      </c>
      <c r="O2062" s="312">
        <v>70903.77</v>
      </c>
      <c r="P2062" s="312">
        <v>18538.64</v>
      </c>
      <c r="Q2062" s="312">
        <v>79939.739999999991</v>
      </c>
      <c r="R2062" s="312">
        <v>121433.56999999999</v>
      </c>
    </row>
    <row r="2063" spans="6:18">
      <c r="F2063" t="s">
        <v>3827</v>
      </c>
      <c r="G2063" s="312">
        <v>55.06</v>
      </c>
      <c r="H2063" s="312">
        <v>375.21999999999997</v>
      </c>
      <c r="I2063" s="312">
        <v>33.64</v>
      </c>
      <c r="J2063" s="312">
        <v>202.69</v>
      </c>
      <c r="K2063" s="312">
        <v>826.11</v>
      </c>
      <c r="M2063" t="s">
        <v>3827</v>
      </c>
      <c r="N2063" s="312">
        <v>21334.02</v>
      </c>
      <c r="O2063" s="312">
        <v>192190.86000000002</v>
      </c>
      <c r="P2063" s="312">
        <v>19998.329999999998</v>
      </c>
      <c r="Q2063" s="312">
        <v>129815.97</v>
      </c>
      <c r="R2063" s="312">
        <v>319890.52999999997</v>
      </c>
    </row>
    <row r="2064" spans="6:18">
      <c r="F2064" t="s">
        <v>3828</v>
      </c>
      <c r="G2064" s="312">
        <v>88.960000000000008</v>
      </c>
      <c r="H2064" s="312">
        <v>255.7</v>
      </c>
      <c r="I2064" s="312">
        <v>139.43</v>
      </c>
      <c r="J2064" s="312">
        <v>256.68</v>
      </c>
      <c r="K2064" s="312">
        <v>935.39</v>
      </c>
      <c r="M2064" t="s">
        <v>3828</v>
      </c>
      <c r="N2064" s="312">
        <v>40460.36</v>
      </c>
      <c r="O2064" s="312">
        <v>104315.13</v>
      </c>
      <c r="P2064" s="312">
        <v>122478.18000000001</v>
      </c>
      <c r="Q2064" s="312">
        <v>174384.59</v>
      </c>
      <c r="R2064" s="312">
        <v>313514.41000000003</v>
      </c>
    </row>
    <row r="2065" spans="6:18">
      <c r="F2065" t="s">
        <v>3829</v>
      </c>
      <c r="G2065" s="312">
        <v>105.24</v>
      </c>
      <c r="H2065" s="312">
        <v>340.24</v>
      </c>
      <c r="I2065" s="312">
        <v>77.14</v>
      </c>
      <c r="J2065" s="312">
        <v>243.66</v>
      </c>
      <c r="K2065" s="312">
        <v>865.97</v>
      </c>
      <c r="M2065" t="s">
        <v>3829</v>
      </c>
      <c r="N2065" s="312">
        <v>49630.71</v>
      </c>
      <c r="O2065" s="312">
        <v>154863.59</v>
      </c>
      <c r="P2065" s="312">
        <v>59971.44</v>
      </c>
      <c r="Q2065" s="312">
        <v>193142.39999999999</v>
      </c>
      <c r="R2065" s="312">
        <v>328926.61</v>
      </c>
    </row>
    <row r="2066" spans="6:18">
      <c r="F2066" t="s">
        <v>3830</v>
      </c>
      <c r="G2066" s="312">
        <v>75.900000000000006</v>
      </c>
      <c r="H2066" s="312">
        <v>206.87</v>
      </c>
      <c r="I2066" s="312">
        <v>68.489999999999995</v>
      </c>
      <c r="J2066" s="312">
        <v>207.67</v>
      </c>
      <c r="K2066" s="312">
        <v>1201.42</v>
      </c>
      <c r="M2066" t="s">
        <v>3830</v>
      </c>
      <c r="N2066" s="312">
        <v>29404.07</v>
      </c>
      <c r="O2066" s="312">
        <v>95665.87</v>
      </c>
      <c r="P2066" s="312">
        <v>31465.170000000002</v>
      </c>
      <c r="Q2066" s="312">
        <v>114448.18</v>
      </c>
      <c r="R2066" s="312">
        <v>406856.74000000005</v>
      </c>
    </row>
    <row r="2067" spans="6:18">
      <c r="F2067" t="s">
        <v>3831</v>
      </c>
      <c r="G2067" s="312">
        <v>114.74000000000001</v>
      </c>
      <c r="H2067" s="312">
        <v>237.73</v>
      </c>
      <c r="I2067" s="312">
        <v>56.92</v>
      </c>
      <c r="J2067" s="312">
        <v>226.86</v>
      </c>
      <c r="K2067" s="312">
        <v>605.41999999999996</v>
      </c>
      <c r="M2067" t="s">
        <v>3831</v>
      </c>
      <c r="N2067" s="312">
        <v>70116.17</v>
      </c>
      <c r="O2067" s="312">
        <v>107880.29999999999</v>
      </c>
      <c r="P2067" s="312">
        <v>58116</v>
      </c>
      <c r="Q2067" s="312">
        <v>189848.66999999998</v>
      </c>
      <c r="R2067" s="312">
        <v>246927.68</v>
      </c>
    </row>
    <row r="2068" spans="6:18">
      <c r="F2068" t="s">
        <v>3832</v>
      </c>
      <c r="G2068" s="312">
        <v>71.87</v>
      </c>
      <c r="H2068" s="312">
        <v>147.70000000000002</v>
      </c>
      <c r="I2068" s="312">
        <v>33.979999999999997</v>
      </c>
      <c r="J2068" s="312">
        <v>206.1</v>
      </c>
      <c r="K2068" s="312">
        <v>151.66999999999999</v>
      </c>
      <c r="M2068" t="s">
        <v>3832</v>
      </c>
      <c r="N2068" s="312">
        <v>52835.54</v>
      </c>
      <c r="O2068" s="312">
        <v>53733.96</v>
      </c>
      <c r="P2068" s="312">
        <v>16352.369999999999</v>
      </c>
      <c r="Q2068" s="312">
        <v>108651.79</v>
      </c>
      <c r="R2068" s="312">
        <v>48350.23</v>
      </c>
    </row>
    <row r="2069" spans="6:18">
      <c r="F2069" t="s">
        <v>3833</v>
      </c>
      <c r="G2069" s="312">
        <v>59.58</v>
      </c>
      <c r="H2069" s="312">
        <v>186.8</v>
      </c>
      <c r="I2069" s="312">
        <v>24.36</v>
      </c>
      <c r="J2069" s="312">
        <v>106.8</v>
      </c>
      <c r="K2069" s="312">
        <v>157.66</v>
      </c>
      <c r="M2069" t="s">
        <v>3833</v>
      </c>
      <c r="N2069" s="312">
        <v>21908.63</v>
      </c>
      <c r="O2069" s="312">
        <v>93826.81</v>
      </c>
      <c r="P2069" s="312">
        <v>29309.35</v>
      </c>
      <c r="Q2069" s="312">
        <v>56126.21</v>
      </c>
      <c r="R2069" s="312">
        <v>80967.09</v>
      </c>
    </row>
    <row r="2070" spans="6:18">
      <c r="F2070" t="s">
        <v>3834</v>
      </c>
      <c r="G2070" s="312">
        <v>83.759999999999991</v>
      </c>
      <c r="H2070" s="312">
        <v>296.06</v>
      </c>
      <c r="I2070" s="312">
        <v>111.34</v>
      </c>
      <c r="J2070" s="312">
        <v>262.01</v>
      </c>
      <c r="K2070" s="312">
        <v>276.53000000000003</v>
      </c>
      <c r="M2070" t="s">
        <v>3834</v>
      </c>
      <c r="N2070" s="312">
        <v>27471.370000000003</v>
      </c>
      <c r="O2070" s="312">
        <v>138102.1</v>
      </c>
      <c r="P2070" s="312">
        <v>68745.97</v>
      </c>
      <c r="Q2070" s="312">
        <v>191801.35</v>
      </c>
      <c r="R2070" s="312">
        <v>119422</v>
      </c>
    </row>
    <row r="2071" spans="6:18">
      <c r="F2071" t="s">
        <v>3835</v>
      </c>
      <c r="G2071" s="312">
        <v>69.52</v>
      </c>
      <c r="H2071" s="312">
        <v>272.42</v>
      </c>
      <c r="I2071" s="312">
        <v>73.66</v>
      </c>
      <c r="J2071" s="312">
        <v>241.79</v>
      </c>
      <c r="K2071" s="312">
        <v>294.33</v>
      </c>
      <c r="M2071" t="s">
        <v>3835</v>
      </c>
      <c r="N2071" s="312">
        <v>34181.949999999997</v>
      </c>
      <c r="O2071" s="312">
        <v>169051.96</v>
      </c>
      <c r="P2071" s="312">
        <v>54000.45</v>
      </c>
      <c r="Q2071" s="312">
        <v>162886.02000000002</v>
      </c>
      <c r="R2071" s="312">
        <v>74576.84</v>
      </c>
    </row>
    <row r="2072" spans="6:18">
      <c r="F2072" t="s">
        <v>3836</v>
      </c>
      <c r="G2072" s="312">
        <v>65.400000000000006</v>
      </c>
      <c r="H2072" s="312">
        <v>331.21999999999997</v>
      </c>
      <c r="I2072" s="312">
        <v>52.55</v>
      </c>
      <c r="J2072" s="312">
        <v>252.44</v>
      </c>
      <c r="K2072" s="312">
        <v>188.1</v>
      </c>
      <c r="M2072" t="s">
        <v>3836</v>
      </c>
      <c r="N2072" s="312">
        <v>32157.879999999997</v>
      </c>
      <c r="O2072" s="312">
        <v>129017.91</v>
      </c>
      <c r="P2072" s="312">
        <v>39714.060000000005</v>
      </c>
      <c r="Q2072" s="312">
        <v>161002.47</v>
      </c>
      <c r="R2072" s="312">
        <v>48565.09</v>
      </c>
    </row>
    <row r="2073" spans="6:18">
      <c r="F2073" t="s">
        <v>3837</v>
      </c>
      <c r="G2073" s="312">
        <v>104.76</v>
      </c>
      <c r="H2073" s="312">
        <v>359.57</v>
      </c>
      <c r="I2073" s="312">
        <v>45.87</v>
      </c>
      <c r="J2073" s="312">
        <v>289.89</v>
      </c>
      <c r="K2073" s="312">
        <v>249.41</v>
      </c>
      <c r="M2073" t="s">
        <v>3837</v>
      </c>
      <c r="N2073" s="312">
        <v>47425.56</v>
      </c>
      <c r="O2073" s="312">
        <v>156674.6</v>
      </c>
      <c r="P2073" s="312">
        <v>46849.020000000004</v>
      </c>
      <c r="Q2073" s="312">
        <v>171949.92</v>
      </c>
      <c r="R2073" s="312">
        <v>112150.12000000001</v>
      </c>
    </row>
    <row r="2074" spans="6:18">
      <c r="F2074" t="s">
        <v>3838</v>
      </c>
      <c r="G2074" s="312">
        <v>64.37</v>
      </c>
      <c r="H2074" s="312">
        <v>439.39</v>
      </c>
      <c r="I2074" s="312">
        <v>50.690000000000005</v>
      </c>
      <c r="J2074" s="312">
        <v>273.86</v>
      </c>
      <c r="K2074" s="312">
        <v>246.31</v>
      </c>
      <c r="M2074" t="s">
        <v>3838</v>
      </c>
      <c r="N2074" s="312">
        <v>32603.8</v>
      </c>
      <c r="O2074" s="312">
        <v>188717.44999999998</v>
      </c>
      <c r="P2074" s="312">
        <v>32927.75</v>
      </c>
      <c r="Q2074" s="312">
        <v>156071.07</v>
      </c>
      <c r="R2074" s="312">
        <v>58474.41</v>
      </c>
    </row>
    <row r="2075" spans="6:18">
      <c r="F2075" t="s">
        <v>3839</v>
      </c>
      <c r="G2075" s="312">
        <v>60.65</v>
      </c>
      <c r="H2075" s="312">
        <v>401.14</v>
      </c>
      <c r="I2075" s="312">
        <v>80.98</v>
      </c>
      <c r="J2075" s="312">
        <v>184.58</v>
      </c>
      <c r="K2075" s="312">
        <v>155.81</v>
      </c>
      <c r="M2075" t="s">
        <v>3839</v>
      </c>
      <c r="N2075" s="312">
        <v>24649.489999999998</v>
      </c>
      <c r="O2075" s="312">
        <v>207973.74</v>
      </c>
      <c r="P2075" s="312">
        <v>40004.54</v>
      </c>
      <c r="Q2075" s="312">
        <v>89499.23000000001</v>
      </c>
      <c r="R2075" s="312">
        <v>36464.68</v>
      </c>
    </row>
    <row r="2076" spans="6:18">
      <c r="F2076" t="s">
        <v>3840</v>
      </c>
      <c r="G2076" s="312">
        <v>107.51</v>
      </c>
      <c r="H2076" s="312">
        <v>189.69</v>
      </c>
      <c r="I2076" s="312">
        <v>4.1500000000000004</v>
      </c>
      <c r="J2076" s="312">
        <v>125.69999999999999</v>
      </c>
      <c r="K2076" s="312">
        <v>118.05000000000001</v>
      </c>
      <c r="M2076" t="s">
        <v>3840</v>
      </c>
      <c r="N2076" s="312">
        <v>42248.44</v>
      </c>
      <c r="O2076" s="312">
        <v>81226.649999999994</v>
      </c>
      <c r="P2076" s="312">
        <v>1472.16</v>
      </c>
      <c r="Q2076" s="312">
        <v>74391.739999999991</v>
      </c>
      <c r="R2076" s="312">
        <v>32181.97</v>
      </c>
    </row>
    <row r="2077" spans="6:18">
      <c r="F2077" t="s">
        <v>3841</v>
      </c>
      <c r="G2077" s="312">
        <v>163.72000000000003</v>
      </c>
      <c r="H2077" s="312">
        <v>441.1</v>
      </c>
      <c r="I2077" s="312">
        <v>57.17</v>
      </c>
      <c r="J2077" s="312">
        <v>356.63</v>
      </c>
      <c r="K2077" s="312">
        <v>276.79000000000002</v>
      </c>
      <c r="M2077" t="s">
        <v>3841</v>
      </c>
      <c r="N2077" s="312">
        <v>100466.3</v>
      </c>
      <c r="O2077" s="312">
        <v>179365.66</v>
      </c>
      <c r="P2077" s="312">
        <v>39932.74</v>
      </c>
      <c r="Q2077" s="312">
        <v>266369.29000000004</v>
      </c>
      <c r="R2077" s="312">
        <v>74867.900000000009</v>
      </c>
    </row>
    <row r="2078" spans="6:18">
      <c r="F2078" t="s">
        <v>3842</v>
      </c>
      <c r="G2078" s="312">
        <v>149.22999999999999</v>
      </c>
      <c r="H2078" s="312">
        <v>309.25</v>
      </c>
      <c r="I2078" s="312">
        <v>95.14</v>
      </c>
      <c r="J2078" s="312">
        <v>266.5</v>
      </c>
      <c r="K2078" s="312">
        <v>238.06</v>
      </c>
      <c r="M2078" t="s">
        <v>3842</v>
      </c>
      <c r="N2078" s="312">
        <v>60805.37</v>
      </c>
      <c r="O2078" s="312">
        <v>175071.84</v>
      </c>
      <c r="P2078" s="312">
        <v>89640.17</v>
      </c>
      <c r="Q2078" s="312">
        <v>253171.37</v>
      </c>
      <c r="R2078" s="312">
        <v>90174.01</v>
      </c>
    </row>
    <row r="2079" spans="6:18">
      <c r="F2079" t="s">
        <v>3843</v>
      </c>
      <c r="G2079" s="312">
        <v>45.040000000000006</v>
      </c>
      <c r="H2079" s="312">
        <v>434.18999999999994</v>
      </c>
      <c r="I2079" s="312">
        <v>85.94</v>
      </c>
      <c r="J2079" s="312">
        <v>280.19</v>
      </c>
      <c r="K2079" s="312">
        <v>341.77000000000004</v>
      </c>
      <c r="M2079" t="s">
        <v>3843</v>
      </c>
      <c r="N2079" s="312">
        <v>22759.279999999999</v>
      </c>
      <c r="O2079" s="312">
        <v>202378.34</v>
      </c>
      <c r="P2079" s="312">
        <v>87624.73</v>
      </c>
      <c r="Q2079" s="312">
        <v>186056.16</v>
      </c>
      <c r="R2079" s="312">
        <v>119987.94</v>
      </c>
    </row>
    <row r="2080" spans="6:18">
      <c r="F2080" t="s">
        <v>3844</v>
      </c>
      <c r="G2080" s="312">
        <v>81.37</v>
      </c>
      <c r="H2080" s="312">
        <v>450.13</v>
      </c>
      <c r="I2080" s="312">
        <v>50.85</v>
      </c>
      <c r="J2080" s="312">
        <v>275.33</v>
      </c>
      <c r="K2080" s="312">
        <v>200.29</v>
      </c>
      <c r="M2080" t="s">
        <v>3844</v>
      </c>
      <c r="N2080" s="312">
        <v>26588.01</v>
      </c>
      <c r="O2080" s="312">
        <v>263485.68</v>
      </c>
      <c r="P2080" s="312">
        <v>38277.82</v>
      </c>
      <c r="Q2080" s="312">
        <v>138703.94</v>
      </c>
      <c r="R2080" s="312">
        <v>82608.800000000003</v>
      </c>
    </row>
    <row r="2081" spans="6:18">
      <c r="F2081" t="s">
        <v>3845</v>
      </c>
      <c r="G2081" s="312">
        <v>110.08000000000001</v>
      </c>
      <c r="H2081" s="312">
        <v>232.26</v>
      </c>
      <c r="I2081" s="312">
        <v>65.33</v>
      </c>
      <c r="J2081" s="312">
        <v>163.68</v>
      </c>
      <c r="K2081" s="312">
        <v>218.07</v>
      </c>
      <c r="M2081" t="s">
        <v>3845</v>
      </c>
      <c r="N2081" s="312">
        <v>71996.23</v>
      </c>
      <c r="O2081" s="312">
        <v>116677.95</v>
      </c>
      <c r="P2081" s="312">
        <v>82425.900000000009</v>
      </c>
      <c r="Q2081" s="312">
        <v>116937.35</v>
      </c>
      <c r="R2081" s="312">
        <v>82962.039999999994</v>
      </c>
    </row>
    <row r="2082" spans="6:18">
      <c r="F2082" t="s">
        <v>3846</v>
      </c>
      <c r="G2082" s="312">
        <v>121.28</v>
      </c>
      <c r="H2082" s="312">
        <v>155.49</v>
      </c>
      <c r="I2082" s="312">
        <v>29.95</v>
      </c>
      <c r="J2082" s="312">
        <v>139.29</v>
      </c>
      <c r="K2082" s="312">
        <v>191.66</v>
      </c>
      <c r="M2082" t="s">
        <v>3846</v>
      </c>
      <c r="N2082" s="312">
        <v>63206.729999999996</v>
      </c>
      <c r="O2082" s="312">
        <v>107204.02</v>
      </c>
      <c r="P2082" s="312">
        <v>16530.350000000002</v>
      </c>
      <c r="Q2082" s="312">
        <v>87055.15</v>
      </c>
      <c r="R2082" s="312">
        <v>59687.29</v>
      </c>
    </row>
    <row r="2083" spans="6:18">
      <c r="F2083" t="s">
        <v>3847</v>
      </c>
      <c r="G2083" s="312">
        <v>131.01</v>
      </c>
      <c r="H2083" s="312">
        <v>229.33</v>
      </c>
      <c r="I2083" s="312">
        <v>12.75</v>
      </c>
      <c r="J2083" s="312">
        <v>111.06</v>
      </c>
      <c r="K2083" s="312">
        <v>77.650000000000006</v>
      </c>
      <c r="M2083" t="s">
        <v>3847</v>
      </c>
      <c r="N2083" s="312">
        <v>52778.68</v>
      </c>
      <c r="O2083" s="312">
        <v>113913.31</v>
      </c>
      <c r="P2083" s="312">
        <v>10559.619999999999</v>
      </c>
      <c r="Q2083" s="312">
        <v>88127.92</v>
      </c>
      <c r="R2083" s="312">
        <v>24225.87</v>
      </c>
    </row>
    <row r="2084" spans="6:18">
      <c r="F2084" t="s">
        <v>3848</v>
      </c>
      <c r="G2084" s="312">
        <v>74.73</v>
      </c>
      <c r="H2084" s="312">
        <v>283.06</v>
      </c>
      <c r="I2084" s="312">
        <v>47.6</v>
      </c>
      <c r="J2084" s="312">
        <v>228.82</v>
      </c>
      <c r="K2084" s="312">
        <v>233.57000000000002</v>
      </c>
      <c r="M2084" t="s">
        <v>3848</v>
      </c>
      <c r="N2084" s="312">
        <v>47650.47</v>
      </c>
      <c r="O2084" s="312">
        <v>160370.51</v>
      </c>
      <c r="P2084" s="312">
        <v>27685.52</v>
      </c>
      <c r="Q2084" s="312">
        <v>144042.51</v>
      </c>
      <c r="R2084" s="312">
        <v>75631.66</v>
      </c>
    </row>
    <row r="2085" spans="6:18">
      <c r="F2085" t="s">
        <v>3849</v>
      </c>
      <c r="G2085" s="312">
        <v>109.21000000000001</v>
      </c>
      <c r="H2085" s="312">
        <v>296.45999999999998</v>
      </c>
      <c r="I2085" s="312">
        <v>99.59</v>
      </c>
      <c r="J2085" s="312">
        <v>225.73999999999998</v>
      </c>
      <c r="K2085" s="312">
        <v>276.89999999999998</v>
      </c>
      <c r="M2085" t="s">
        <v>3849</v>
      </c>
      <c r="N2085" s="312">
        <v>62769.259999999995</v>
      </c>
      <c r="O2085" s="312">
        <v>100489.56999999999</v>
      </c>
      <c r="P2085" s="312">
        <v>80426.559999999998</v>
      </c>
      <c r="Q2085" s="312">
        <v>177189.18</v>
      </c>
      <c r="R2085" s="312">
        <v>101509.75999999999</v>
      </c>
    </row>
    <row r="2086" spans="6:18">
      <c r="F2086" t="s">
        <v>3850</v>
      </c>
      <c r="G2086" s="312">
        <v>72.599999999999994</v>
      </c>
      <c r="H2086" s="312">
        <v>279.64</v>
      </c>
      <c r="I2086" s="312">
        <v>82.11</v>
      </c>
      <c r="J2086" s="312">
        <v>278.54000000000002</v>
      </c>
      <c r="K2086" s="312">
        <v>255.79</v>
      </c>
      <c r="M2086" t="s">
        <v>3850</v>
      </c>
      <c r="N2086" s="312">
        <v>26222.75</v>
      </c>
      <c r="O2086" s="312">
        <v>136301.07</v>
      </c>
      <c r="P2086" s="312">
        <v>46070.48</v>
      </c>
      <c r="Q2086" s="312">
        <v>256777.62999999998</v>
      </c>
      <c r="R2086" s="312">
        <v>78202.31</v>
      </c>
    </row>
    <row r="2087" spans="6:18">
      <c r="F2087" t="s">
        <v>3851</v>
      </c>
      <c r="G2087" s="312">
        <v>108.96</v>
      </c>
      <c r="H2087" s="312">
        <v>276.16000000000003</v>
      </c>
      <c r="I2087" s="312">
        <v>43.24</v>
      </c>
      <c r="J2087" s="312">
        <v>294.59000000000003</v>
      </c>
      <c r="K2087" s="312">
        <v>265.05</v>
      </c>
      <c r="M2087" t="s">
        <v>3851</v>
      </c>
      <c r="N2087" s="312">
        <v>43449.659999999996</v>
      </c>
      <c r="O2087" s="312">
        <v>163795.46</v>
      </c>
      <c r="P2087" s="312">
        <v>32184.829999999998</v>
      </c>
      <c r="Q2087" s="312">
        <v>203804.50999999998</v>
      </c>
      <c r="R2087" s="312">
        <v>118580.72</v>
      </c>
    </row>
    <row r="2088" spans="6:18">
      <c r="F2088" t="s">
        <v>3852</v>
      </c>
      <c r="G2088" s="312">
        <v>125.54</v>
      </c>
      <c r="H2088" s="312">
        <v>198.79000000000002</v>
      </c>
      <c r="I2088" s="312">
        <v>54.14</v>
      </c>
      <c r="J2088" s="312">
        <v>195.73</v>
      </c>
      <c r="K2088" s="312">
        <v>274.59000000000003</v>
      </c>
      <c r="M2088" t="s">
        <v>3852</v>
      </c>
      <c r="N2088" s="312">
        <v>48907.22</v>
      </c>
      <c r="O2088" s="312">
        <v>91003.28</v>
      </c>
      <c r="P2088" s="312">
        <v>52036.11</v>
      </c>
      <c r="Q2088" s="312">
        <v>125336.69</v>
      </c>
      <c r="R2088" s="312">
        <v>73195.12</v>
      </c>
    </row>
    <row r="2089" spans="6:18">
      <c r="F2089" t="s">
        <v>3853</v>
      </c>
      <c r="G2089" s="312">
        <v>79.849999999999994</v>
      </c>
      <c r="H2089" s="312">
        <v>257.05</v>
      </c>
      <c r="I2089" s="312">
        <v>45.72</v>
      </c>
      <c r="J2089" s="312">
        <v>216.11</v>
      </c>
      <c r="K2089" s="312">
        <v>170.59</v>
      </c>
      <c r="M2089" t="s">
        <v>3853</v>
      </c>
      <c r="N2089" s="312">
        <v>44248</v>
      </c>
      <c r="O2089" s="312">
        <v>112360.77</v>
      </c>
      <c r="P2089" s="312">
        <v>41114.519999999997</v>
      </c>
      <c r="Q2089" s="312">
        <v>132783.51999999999</v>
      </c>
      <c r="R2089" s="312">
        <v>56226.14</v>
      </c>
    </row>
    <row r="2090" spans="6:18">
      <c r="F2090" t="s">
        <v>3854</v>
      </c>
      <c r="G2090" s="312">
        <v>113.91</v>
      </c>
      <c r="H2090" s="312">
        <v>201.78</v>
      </c>
      <c r="I2090" s="312">
        <v>11.29</v>
      </c>
      <c r="J2090" s="312">
        <v>141.34</v>
      </c>
      <c r="K2090" s="312">
        <v>154.53</v>
      </c>
      <c r="M2090" t="s">
        <v>3854</v>
      </c>
      <c r="N2090" s="312">
        <v>71572.95</v>
      </c>
      <c r="O2090" s="312">
        <v>132605.85</v>
      </c>
      <c r="P2090" s="312">
        <v>5051</v>
      </c>
      <c r="Q2090" s="312">
        <v>110473.58</v>
      </c>
      <c r="R2090" s="312">
        <v>55819.51</v>
      </c>
    </row>
    <row r="2091" spans="6:18">
      <c r="F2091" t="s">
        <v>3855</v>
      </c>
      <c r="G2091" s="312">
        <v>53.94</v>
      </c>
      <c r="H2091" s="312">
        <v>378.38</v>
      </c>
      <c r="I2091" s="312">
        <v>79.59</v>
      </c>
      <c r="J2091" s="312">
        <v>240.04000000000002</v>
      </c>
      <c r="K2091" s="312">
        <v>382.59</v>
      </c>
      <c r="M2091" t="s">
        <v>3855</v>
      </c>
      <c r="N2091" s="312">
        <v>25329.88</v>
      </c>
      <c r="O2091" s="312">
        <v>225029.41999999998</v>
      </c>
      <c r="P2091" s="312">
        <v>52590.92</v>
      </c>
      <c r="Q2091" s="312">
        <v>162639.95000000001</v>
      </c>
      <c r="R2091" s="312">
        <v>102590.32</v>
      </c>
    </row>
    <row r="2092" spans="6:18">
      <c r="F2092" t="s">
        <v>3856</v>
      </c>
      <c r="G2092" s="312">
        <v>101.38999999999999</v>
      </c>
      <c r="H2092" s="312">
        <v>272.28000000000003</v>
      </c>
      <c r="I2092" s="312">
        <v>98.45</v>
      </c>
      <c r="J2092" s="312">
        <v>272.42</v>
      </c>
      <c r="K2092" s="312">
        <v>253.69</v>
      </c>
      <c r="M2092" t="s">
        <v>3856</v>
      </c>
      <c r="N2092" s="312">
        <v>47435.19</v>
      </c>
      <c r="O2092" s="312">
        <v>147305.72999999998</v>
      </c>
      <c r="P2092" s="312">
        <v>48525.07</v>
      </c>
      <c r="Q2092" s="312">
        <v>265819.26</v>
      </c>
      <c r="R2092" s="312">
        <v>72478.3</v>
      </c>
    </row>
    <row r="2093" spans="6:18">
      <c r="F2093" t="s">
        <v>3857</v>
      </c>
      <c r="G2093" s="312">
        <v>120.71</v>
      </c>
      <c r="H2093" s="312">
        <v>404.40999999999997</v>
      </c>
      <c r="I2093" s="312">
        <v>78.25</v>
      </c>
      <c r="J2093" s="312">
        <v>212.19</v>
      </c>
      <c r="K2093" s="312">
        <v>221.19</v>
      </c>
      <c r="M2093" t="s">
        <v>3857</v>
      </c>
      <c r="N2093" s="312">
        <v>53218.89</v>
      </c>
      <c r="O2093" s="312">
        <v>183155.22</v>
      </c>
      <c r="P2093" s="312">
        <v>57585.5</v>
      </c>
      <c r="Q2093" s="312">
        <v>106187.12000000001</v>
      </c>
      <c r="R2093" s="312">
        <v>68375.94</v>
      </c>
    </row>
    <row r="2094" spans="6:18">
      <c r="F2094" t="s">
        <v>3858</v>
      </c>
      <c r="G2094" s="312">
        <v>44.04</v>
      </c>
      <c r="H2094" s="312">
        <v>533.91</v>
      </c>
      <c r="I2094" s="312">
        <v>54.64</v>
      </c>
      <c r="J2094" s="312">
        <v>589.36</v>
      </c>
      <c r="K2094" s="312">
        <v>199.15</v>
      </c>
      <c r="M2094" t="s">
        <v>3858</v>
      </c>
      <c r="N2094" s="312">
        <v>25795.86</v>
      </c>
      <c r="O2094" s="312">
        <v>254097.38</v>
      </c>
      <c r="P2094" s="312">
        <v>49753.180000000008</v>
      </c>
      <c r="Q2094" s="312">
        <v>380578.23</v>
      </c>
      <c r="R2094" s="312">
        <v>93724.49</v>
      </c>
    </row>
    <row r="2095" spans="6:18">
      <c r="F2095" t="s">
        <v>3859</v>
      </c>
      <c r="G2095" s="312">
        <v>68.680000000000007</v>
      </c>
      <c r="H2095" s="312">
        <v>352.43</v>
      </c>
      <c r="I2095" s="312">
        <v>38</v>
      </c>
      <c r="J2095" s="312">
        <v>230.92</v>
      </c>
      <c r="K2095" s="312">
        <v>297.40999999999997</v>
      </c>
      <c r="M2095" t="s">
        <v>3859</v>
      </c>
      <c r="N2095" s="312">
        <v>33204.86</v>
      </c>
      <c r="O2095" s="312">
        <v>166356.06</v>
      </c>
      <c r="P2095" s="312">
        <v>20395.54</v>
      </c>
      <c r="Q2095" s="312">
        <v>184592.6</v>
      </c>
      <c r="R2095" s="312">
        <v>100449.94</v>
      </c>
    </row>
    <row r="2096" spans="6:18">
      <c r="F2096" t="s">
        <v>3860</v>
      </c>
      <c r="G2096" s="312">
        <v>74.77</v>
      </c>
      <c r="H2096" s="312">
        <v>231.11</v>
      </c>
      <c r="I2096" s="312">
        <v>42.550000000000004</v>
      </c>
      <c r="J2096" s="312">
        <v>126.05</v>
      </c>
      <c r="K2096" s="312">
        <v>157.13</v>
      </c>
      <c r="M2096" t="s">
        <v>3860</v>
      </c>
      <c r="N2096" s="312">
        <v>31043.09</v>
      </c>
      <c r="O2096" s="312">
        <v>90020.93</v>
      </c>
      <c r="P2096" s="312">
        <v>44791.95</v>
      </c>
      <c r="Q2096" s="312">
        <v>81445.81</v>
      </c>
      <c r="R2096" s="312">
        <v>49140.429999999993</v>
      </c>
    </row>
    <row r="2097" spans="6:18">
      <c r="F2097" t="s">
        <v>3861</v>
      </c>
      <c r="G2097" s="312">
        <v>78.47</v>
      </c>
      <c r="H2097" s="312">
        <v>291.27</v>
      </c>
      <c r="I2097" s="312">
        <v>15</v>
      </c>
      <c r="J2097" s="312">
        <v>182.67</v>
      </c>
      <c r="K2097" s="312">
        <v>122.41999999999999</v>
      </c>
      <c r="M2097" t="s">
        <v>3861</v>
      </c>
      <c r="N2097" s="312">
        <v>38532.050000000003</v>
      </c>
      <c r="O2097" s="312">
        <v>124141.67</v>
      </c>
      <c r="P2097" s="312">
        <v>11518.18</v>
      </c>
      <c r="Q2097" s="312">
        <v>116101</v>
      </c>
      <c r="R2097" s="312">
        <v>55361.31</v>
      </c>
    </row>
    <row r="2098" spans="6:18">
      <c r="F2098" t="s">
        <v>3862</v>
      </c>
      <c r="G2098" s="312">
        <v>106.47</v>
      </c>
      <c r="H2098" s="312">
        <v>435.63</v>
      </c>
      <c r="I2098" s="312">
        <v>67.64</v>
      </c>
      <c r="J2098" s="312">
        <v>233.28</v>
      </c>
      <c r="K2098" s="312">
        <v>147.44</v>
      </c>
      <c r="M2098" t="s">
        <v>3862</v>
      </c>
      <c r="N2098" s="312">
        <v>75922.559999999998</v>
      </c>
      <c r="O2098" s="312">
        <v>247095.53</v>
      </c>
      <c r="P2098" s="312">
        <v>58830.82</v>
      </c>
      <c r="Q2098" s="312">
        <v>126668.59</v>
      </c>
      <c r="R2098" s="312">
        <v>35779.26</v>
      </c>
    </row>
    <row r="2099" spans="6:18">
      <c r="F2099" t="s">
        <v>3863</v>
      </c>
      <c r="G2099" s="312">
        <v>103.03</v>
      </c>
      <c r="H2099" s="312">
        <v>363.05</v>
      </c>
      <c r="I2099" s="312">
        <v>65.64</v>
      </c>
      <c r="J2099" s="312">
        <v>277.42</v>
      </c>
      <c r="K2099" s="312">
        <v>160.38</v>
      </c>
      <c r="M2099" t="s">
        <v>3863</v>
      </c>
      <c r="N2099" s="312">
        <v>122502.93000000001</v>
      </c>
      <c r="O2099" s="312">
        <v>220786.5</v>
      </c>
      <c r="P2099" s="312">
        <v>41789.360000000001</v>
      </c>
      <c r="Q2099" s="312">
        <v>195617.1</v>
      </c>
      <c r="R2099" s="312">
        <v>69539.040000000008</v>
      </c>
    </row>
    <row r="2100" spans="6:18">
      <c r="F2100" t="s">
        <v>3864</v>
      </c>
      <c r="G2100" s="312">
        <v>146.5</v>
      </c>
      <c r="H2100" s="312">
        <v>316.79000000000002</v>
      </c>
      <c r="I2100" s="312">
        <v>59.14</v>
      </c>
      <c r="J2100" s="312">
        <v>294.94</v>
      </c>
      <c r="K2100" s="312">
        <v>267.7</v>
      </c>
      <c r="M2100" t="s">
        <v>3864</v>
      </c>
      <c r="N2100" s="312">
        <v>111813.34000000001</v>
      </c>
      <c r="O2100" s="312">
        <v>182642.6</v>
      </c>
      <c r="P2100" s="312">
        <v>62311.55</v>
      </c>
      <c r="Q2100" s="312">
        <v>220144.39</v>
      </c>
      <c r="R2100" s="312">
        <v>137771.23000000001</v>
      </c>
    </row>
    <row r="2101" spans="6:18">
      <c r="F2101" t="s">
        <v>3865</v>
      </c>
      <c r="G2101" s="312">
        <v>186.4</v>
      </c>
      <c r="H2101" s="312">
        <v>335.59</v>
      </c>
      <c r="I2101" s="312">
        <v>62.22</v>
      </c>
      <c r="J2101" s="312">
        <v>186.92000000000002</v>
      </c>
      <c r="K2101" s="312">
        <v>240.97</v>
      </c>
      <c r="M2101" t="s">
        <v>3865</v>
      </c>
      <c r="N2101" s="312">
        <v>110861.12</v>
      </c>
      <c r="O2101" s="312">
        <v>141855.72</v>
      </c>
      <c r="P2101" s="312">
        <v>55933.2</v>
      </c>
      <c r="Q2101" s="312">
        <v>149253.66</v>
      </c>
      <c r="R2101" s="312">
        <v>67324.489999999991</v>
      </c>
    </row>
    <row r="2102" spans="6:18">
      <c r="F2102" t="s">
        <v>3866</v>
      </c>
      <c r="G2102" s="312">
        <v>130.76999999999998</v>
      </c>
      <c r="H2102" s="312">
        <v>327.31</v>
      </c>
      <c r="I2102" s="312">
        <v>85.56</v>
      </c>
      <c r="J2102" s="312">
        <v>258.2</v>
      </c>
      <c r="K2102" s="312">
        <v>263.25</v>
      </c>
      <c r="M2102" t="s">
        <v>3866</v>
      </c>
      <c r="N2102" s="312">
        <v>54112.480000000003</v>
      </c>
      <c r="O2102" s="312">
        <v>125932.92</v>
      </c>
      <c r="P2102" s="312">
        <v>66186.11</v>
      </c>
      <c r="Q2102" s="312">
        <v>135643.62</v>
      </c>
      <c r="R2102" s="312">
        <v>107928.38</v>
      </c>
    </row>
    <row r="2103" spans="6:18">
      <c r="F2103" t="s">
        <v>3867</v>
      </c>
      <c r="G2103" s="312">
        <v>75.710000000000008</v>
      </c>
      <c r="H2103" s="312">
        <v>146.94</v>
      </c>
      <c r="I2103" s="312">
        <v>50.68</v>
      </c>
      <c r="J2103" s="312">
        <v>134.17000000000002</v>
      </c>
      <c r="K2103" s="312">
        <v>140.89999999999998</v>
      </c>
      <c r="M2103" t="s">
        <v>3867</v>
      </c>
      <c r="N2103" s="312">
        <v>40306.43</v>
      </c>
      <c r="O2103" s="312">
        <v>88866.7</v>
      </c>
      <c r="P2103" s="312">
        <v>38553.81</v>
      </c>
      <c r="Q2103" s="312">
        <v>100834.52</v>
      </c>
      <c r="R2103" s="312">
        <v>52868.38</v>
      </c>
    </row>
    <row r="2104" spans="6:18">
      <c r="F2104" t="s">
        <v>3868</v>
      </c>
      <c r="G2104" s="312">
        <v>85.95</v>
      </c>
      <c r="H2104" s="312">
        <v>141.82</v>
      </c>
      <c r="I2104" s="312">
        <v>11.559999999999999</v>
      </c>
      <c r="J2104" s="312">
        <v>130.29</v>
      </c>
      <c r="K2104" s="312">
        <v>235.54999999999998</v>
      </c>
      <c r="M2104" t="s">
        <v>3868</v>
      </c>
      <c r="N2104" s="312">
        <v>37649.18</v>
      </c>
      <c r="O2104" s="312">
        <v>63384.710000000006</v>
      </c>
      <c r="P2104" s="312">
        <v>4968.49</v>
      </c>
      <c r="Q2104" s="312">
        <v>119811.11</v>
      </c>
      <c r="R2104" s="312">
        <v>60241.19</v>
      </c>
    </row>
    <row r="2105" spans="6:18">
      <c r="F2105" t="s">
        <v>3869</v>
      </c>
      <c r="G2105" s="312">
        <v>86.52</v>
      </c>
      <c r="H2105" s="312">
        <v>283.69</v>
      </c>
      <c r="I2105" s="312">
        <v>83.43</v>
      </c>
      <c r="J2105" s="312">
        <v>278.60000000000002</v>
      </c>
      <c r="K2105" s="312">
        <v>246.12</v>
      </c>
      <c r="M2105" t="s">
        <v>3869</v>
      </c>
      <c r="N2105" s="312">
        <v>54427.68</v>
      </c>
      <c r="O2105" s="312">
        <v>189466.12</v>
      </c>
      <c r="P2105" s="312">
        <v>90379.55</v>
      </c>
      <c r="Q2105" s="312">
        <v>234996.16</v>
      </c>
      <c r="R2105" s="312">
        <v>76220.899999999994</v>
      </c>
    </row>
    <row r="2106" spans="6:18">
      <c r="F2106" t="s">
        <v>3870</v>
      </c>
      <c r="G2106" s="312">
        <v>157.43</v>
      </c>
      <c r="H2106" s="312">
        <v>299.32</v>
      </c>
      <c r="I2106" s="312">
        <v>4.3499999999999996</v>
      </c>
      <c r="J2106" s="312">
        <v>212.76</v>
      </c>
      <c r="K2106" s="312">
        <v>162.32</v>
      </c>
      <c r="M2106" t="s">
        <v>3870</v>
      </c>
      <c r="N2106" s="312">
        <v>71078.02</v>
      </c>
      <c r="O2106" s="312">
        <v>138890.53</v>
      </c>
      <c r="P2106" s="312">
        <v>5452.31</v>
      </c>
      <c r="Q2106" s="312">
        <v>125007.8</v>
      </c>
      <c r="R2106" s="312">
        <v>65683.31</v>
      </c>
    </row>
    <row r="2107" spans="6:18">
      <c r="F2107" t="s">
        <v>3871</v>
      </c>
      <c r="G2107" s="312">
        <v>116.24000000000001</v>
      </c>
      <c r="H2107" s="312">
        <v>285.64999999999998</v>
      </c>
      <c r="I2107" s="312">
        <v>81.58</v>
      </c>
      <c r="J2107" s="312">
        <v>288.7</v>
      </c>
      <c r="K2107" s="312">
        <v>197.39</v>
      </c>
      <c r="M2107" t="s">
        <v>3871</v>
      </c>
      <c r="N2107" s="312">
        <v>54936.47</v>
      </c>
      <c r="O2107" s="312">
        <v>120738.03</v>
      </c>
      <c r="P2107" s="312">
        <v>58700.99</v>
      </c>
      <c r="Q2107" s="312">
        <v>138097.88999999998</v>
      </c>
      <c r="R2107" s="312">
        <v>88540.99</v>
      </c>
    </row>
    <row r="2108" spans="6:18">
      <c r="F2108" t="s">
        <v>3872</v>
      </c>
      <c r="G2108" s="312">
        <v>117.7</v>
      </c>
      <c r="H2108" s="312">
        <v>272.95</v>
      </c>
      <c r="I2108" s="312">
        <v>102.09</v>
      </c>
      <c r="J2108" s="312">
        <v>221.77</v>
      </c>
      <c r="K2108" s="312">
        <v>265.89</v>
      </c>
      <c r="M2108" t="s">
        <v>3872</v>
      </c>
      <c r="N2108" s="312">
        <v>64212.43</v>
      </c>
      <c r="O2108" s="312">
        <v>142509.35</v>
      </c>
      <c r="P2108" s="312">
        <v>81005.740000000005</v>
      </c>
      <c r="Q2108" s="312">
        <v>194251.3</v>
      </c>
      <c r="R2108" s="312">
        <v>92428.87000000001</v>
      </c>
    </row>
    <row r="2109" spans="6:18">
      <c r="F2109" t="s">
        <v>3873</v>
      </c>
      <c r="G2109" s="312">
        <v>111.11</v>
      </c>
      <c r="H2109" s="312">
        <v>201.97000000000003</v>
      </c>
      <c r="I2109" s="312">
        <v>54.82</v>
      </c>
      <c r="J2109" s="312">
        <v>223.57</v>
      </c>
      <c r="K2109" s="312">
        <v>162.12</v>
      </c>
      <c r="M2109" t="s">
        <v>3873</v>
      </c>
      <c r="N2109" s="312">
        <v>55693.29</v>
      </c>
      <c r="O2109" s="312">
        <v>79816.97</v>
      </c>
      <c r="P2109" s="312">
        <v>40988.199999999997</v>
      </c>
      <c r="Q2109" s="312">
        <v>221643.12</v>
      </c>
      <c r="R2109" s="312">
        <v>59833.350000000006</v>
      </c>
    </row>
    <row r="2110" spans="6:18">
      <c r="F2110" t="s">
        <v>3874</v>
      </c>
      <c r="G2110" s="312">
        <v>103.34</v>
      </c>
      <c r="H2110" s="312">
        <v>153.25</v>
      </c>
      <c r="I2110" s="312">
        <v>54.47</v>
      </c>
      <c r="J2110" s="312">
        <v>166.11</v>
      </c>
      <c r="K2110" s="312">
        <v>89.14</v>
      </c>
      <c r="M2110" t="s">
        <v>3874</v>
      </c>
      <c r="N2110" s="312">
        <v>62108.229999999996</v>
      </c>
      <c r="O2110" s="312">
        <v>76017.66</v>
      </c>
      <c r="P2110" s="312">
        <v>64513.270000000004</v>
      </c>
      <c r="Q2110" s="312">
        <v>182131.65000000002</v>
      </c>
      <c r="R2110" s="312">
        <v>31174.92</v>
      </c>
    </row>
    <row r="2111" spans="6:18">
      <c r="F2111" t="s">
        <v>3875</v>
      </c>
      <c r="G2111" s="312">
        <v>98.62</v>
      </c>
      <c r="H2111" s="312">
        <v>220.31</v>
      </c>
      <c r="I2111" s="312">
        <v>8.35</v>
      </c>
      <c r="J2111" s="312">
        <v>170.31</v>
      </c>
      <c r="K2111" s="312">
        <v>138.60999999999999</v>
      </c>
      <c r="M2111" t="s">
        <v>3875</v>
      </c>
      <c r="N2111" s="312">
        <v>47357.56</v>
      </c>
      <c r="O2111" s="312">
        <v>85077.68</v>
      </c>
      <c r="P2111" s="312">
        <v>3433.83</v>
      </c>
      <c r="Q2111" s="312">
        <v>88555.26999999999</v>
      </c>
      <c r="R2111" s="312">
        <v>45824.31</v>
      </c>
    </row>
    <row r="2112" spans="6:18">
      <c r="F2112" t="s">
        <v>3876</v>
      </c>
      <c r="G2112" s="312">
        <v>65.5</v>
      </c>
      <c r="H2112" s="312">
        <v>239.33999999999997</v>
      </c>
      <c r="I2112" s="312">
        <v>90.47999999999999</v>
      </c>
      <c r="J2112" s="312">
        <v>190.62</v>
      </c>
      <c r="K2112" s="312">
        <v>168.22</v>
      </c>
      <c r="M2112" t="s">
        <v>3876</v>
      </c>
      <c r="N2112" s="312">
        <v>35289.31</v>
      </c>
      <c r="O2112" s="312">
        <v>100186.13</v>
      </c>
      <c r="P2112" s="312">
        <v>65704.37</v>
      </c>
      <c r="Q2112" s="312">
        <v>167009.77000000002</v>
      </c>
      <c r="R2112" s="312">
        <v>62941.649999999994</v>
      </c>
    </row>
    <row r="2113" spans="6:18">
      <c r="F2113" t="s">
        <v>3877</v>
      </c>
      <c r="G2113" s="312">
        <v>94.63</v>
      </c>
      <c r="H2113" s="312">
        <v>267.2</v>
      </c>
      <c r="I2113" s="312">
        <v>43.93</v>
      </c>
      <c r="J2113" s="312">
        <v>246.17000000000002</v>
      </c>
      <c r="K2113" s="312">
        <v>147.88</v>
      </c>
      <c r="M2113" t="s">
        <v>3877</v>
      </c>
      <c r="N2113" s="312">
        <v>29972.720000000001</v>
      </c>
      <c r="O2113" s="312">
        <v>112421.66</v>
      </c>
      <c r="P2113" s="312">
        <v>15512.490000000002</v>
      </c>
      <c r="Q2113" s="312">
        <v>93494.65</v>
      </c>
      <c r="R2113" s="312">
        <v>71816.399999999994</v>
      </c>
    </row>
    <row r="2114" spans="6:18">
      <c r="F2114" t="s">
        <v>3878</v>
      </c>
      <c r="G2114" s="312">
        <v>97.97</v>
      </c>
      <c r="H2114" s="312">
        <v>207.56</v>
      </c>
      <c r="I2114" s="312">
        <v>102.69999999999999</v>
      </c>
      <c r="J2114" s="312">
        <v>305.29999999999995</v>
      </c>
      <c r="K2114" s="312">
        <v>157.05000000000001</v>
      </c>
      <c r="M2114" t="s">
        <v>3878</v>
      </c>
      <c r="N2114" s="312">
        <v>53486.89</v>
      </c>
      <c r="O2114" s="312">
        <v>98799.78</v>
      </c>
      <c r="P2114" s="312">
        <v>101854.44</v>
      </c>
      <c r="Q2114" s="312">
        <v>182301.41999999998</v>
      </c>
      <c r="R2114" s="312">
        <v>66406.58</v>
      </c>
    </row>
    <row r="2115" spans="6:18">
      <c r="F2115" t="s">
        <v>3879</v>
      </c>
      <c r="G2115" s="312">
        <v>129.39000000000001</v>
      </c>
      <c r="H2115" s="312">
        <v>332.28</v>
      </c>
      <c r="I2115" s="312">
        <v>44.72</v>
      </c>
      <c r="J2115" s="312">
        <v>209.18</v>
      </c>
      <c r="K2115" s="312">
        <v>141.47999999999999</v>
      </c>
      <c r="M2115" t="s">
        <v>3879</v>
      </c>
      <c r="N2115" s="312">
        <v>87585.790000000008</v>
      </c>
      <c r="O2115" s="312">
        <v>135552.77000000002</v>
      </c>
      <c r="P2115" s="312">
        <v>26050.06</v>
      </c>
      <c r="Q2115" s="312">
        <v>131319.46</v>
      </c>
      <c r="R2115" s="312">
        <v>55394.979999999996</v>
      </c>
    </row>
    <row r="2116" spans="6:18">
      <c r="F2116" t="s">
        <v>3880</v>
      </c>
      <c r="G2116" s="312">
        <v>139.38999999999999</v>
      </c>
      <c r="H2116" s="312">
        <v>317.16999999999996</v>
      </c>
      <c r="I2116" s="312">
        <v>83.360000000000014</v>
      </c>
      <c r="J2116" s="312">
        <v>243.03</v>
      </c>
      <c r="K2116" s="312">
        <v>205.54</v>
      </c>
      <c r="M2116" t="s">
        <v>3880</v>
      </c>
      <c r="N2116" s="312">
        <v>55031.509999999995</v>
      </c>
      <c r="O2116" s="312">
        <v>161539.15</v>
      </c>
      <c r="P2116" s="312">
        <v>55109.93</v>
      </c>
      <c r="Q2116" s="312">
        <v>112192.12999999999</v>
      </c>
      <c r="R2116" s="312">
        <v>98355.34</v>
      </c>
    </row>
    <row r="2117" spans="6:18">
      <c r="F2117" t="s">
        <v>3881</v>
      </c>
      <c r="G2117" s="312">
        <v>113.82</v>
      </c>
      <c r="H2117" s="312">
        <v>158.24</v>
      </c>
      <c r="I2117" s="312">
        <v>44.61</v>
      </c>
      <c r="J2117" s="312">
        <v>159.62</v>
      </c>
      <c r="K2117" s="312">
        <v>114.82999999999998</v>
      </c>
      <c r="M2117" t="s">
        <v>3881</v>
      </c>
      <c r="N2117" s="312">
        <v>67660.040000000008</v>
      </c>
      <c r="O2117" s="312">
        <v>88590.060000000012</v>
      </c>
      <c r="P2117" s="312">
        <v>20291.509999999998</v>
      </c>
      <c r="Q2117" s="312">
        <v>97819.959999999992</v>
      </c>
      <c r="R2117" s="312">
        <v>29672.120000000003</v>
      </c>
    </row>
    <row r="2118" spans="6:18">
      <c r="F2118" t="s">
        <v>3882</v>
      </c>
      <c r="G2118" s="312">
        <v>61.69</v>
      </c>
      <c r="H2118" s="312">
        <v>131.16999999999999</v>
      </c>
      <c r="I2118" s="312">
        <v>22.75</v>
      </c>
      <c r="J2118" s="312">
        <v>122.78999999999999</v>
      </c>
      <c r="K2118" s="312">
        <v>97.990000000000009</v>
      </c>
      <c r="M2118" t="s">
        <v>3882</v>
      </c>
      <c r="N2118" s="312">
        <v>25862.5</v>
      </c>
      <c r="O2118" s="312">
        <v>63579.7</v>
      </c>
      <c r="P2118" s="312">
        <v>22149.18</v>
      </c>
      <c r="Q2118" s="312">
        <v>117862.8</v>
      </c>
      <c r="R2118" s="312">
        <v>43620.9</v>
      </c>
    </row>
    <row r="2119" spans="6:18">
      <c r="F2119" t="s">
        <v>3883</v>
      </c>
      <c r="G2119" s="312">
        <v>107.65</v>
      </c>
      <c r="H2119" s="312">
        <v>256.60000000000002</v>
      </c>
      <c r="I2119" s="312">
        <v>106.45</v>
      </c>
      <c r="J2119" s="312">
        <v>444.5</v>
      </c>
      <c r="K2119" s="312">
        <v>242.14</v>
      </c>
      <c r="M2119" t="s">
        <v>3883</v>
      </c>
      <c r="N2119" s="312">
        <v>54512.65</v>
      </c>
      <c r="O2119" s="312">
        <v>186910.97</v>
      </c>
      <c r="P2119" s="312">
        <v>103285.84999999999</v>
      </c>
      <c r="Q2119" s="312">
        <v>295650.74</v>
      </c>
      <c r="R2119" s="312">
        <v>68010.58</v>
      </c>
    </row>
    <row r="2120" spans="6:18">
      <c r="F2120" t="s">
        <v>3884</v>
      </c>
      <c r="G2120" s="312">
        <v>105.66</v>
      </c>
      <c r="H2120" s="312">
        <v>236.42</v>
      </c>
      <c r="I2120" s="312">
        <v>105.26</v>
      </c>
      <c r="J2120" s="312">
        <v>288.02</v>
      </c>
      <c r="K2120" s="312">
        <v>292.07</v>
      </c>
      <c r="M2120" t="s">
        <v>3884</v>
      </c>
      <c r="N2120" s="312">
        <v>78286.37</v>
      </c>
      <c r="O2120" s="312">
        <v>126108.26</v>
      </c>
      <c r="P2120" s="312">
        <v>82554.91</v>
      </c>
      <c r="Q2120" s="312">
        <v>165779.82999999999</v>
      </c>
      <c r="R2120" s="312">
        <v>120720.75</v>
      </c>
    </row>
    <row r="2121" spans="6:18">
      <c r="F2121" t="s">
        <v>3885</v>
      </c>
      <c r="G2121" s="312">
        <v>172.92000000000002</v>
      </c>
      <c r="H2121" s="312">
        <v>275.13</v>
      </c>
      <c r="I2121" s="312">
        <v>68.39</v>
      </c>
      <c r="J2121" s="312">
        <v>184.16</v>
      </c>
      <c r="K2121" s="312">
        <v>421.47</v>
      </c>
      <c r="M2121" t="s">
        <v>3885</v>
      </c>
      <c r="N2121" s="312">
        <v>86009.510000000009</v>
      </c>
      <c r="O2121" s="312">
        <v>132573.19</v>
      </c>
      <c r="P2121" s="312">
        <v>40549.14</v>
      </c>
      <c r="Q2121" s="312">
        <v>117655.5</v>
      </c>
      <c r="R2121" s="312">
        <v>182024.94</v>
      </c>
    </row>
    <row r="2122" spans="6:18">
      <c r="F2122" t="s">
        <v>3886</v>
      </c>
      <c r="G2122" s="312">
        <v>121.74000000000001</v>
      </c>
      <c r="H2122" s="312">
        <v>260.7</v>
      </c>
      <c r="I2122" s="312">
        <v>65.3</v>
      </c>
      <c r="J2122" s="312">
        <v>230.57</v>
      </c>
      <c r="K2122" s="312">
        <v>325.85000000000002</v>
      </c>
      <c r="M2122" t="s">
        <v>3886</v>
      </c>
      <c r="N2122" s="312">
        <v>61359.1</v>
      </c>
      <c r="O2122" s="312">
        <v>168847.01</v>
      </c>
      <c r="P2122" s="312">
        <v>42556.869999999995</v>
      </c>
      <c r="Q2122" s="312">
        <v>155811.95000000001</v>
      </c>
      <c r="R2122" s="312">
        <v>105115.44</v>
      </c>
    </row>
    <row r="2123" spans="6:18">
      <c r="F2123" t="s">
        <v>3887</v>
      </c>
      <c r="G2123" s="312">
        <v>141.02000000000001</v>
      </c>
      <c r="H2123" s="312">
        <v>307.91000000000003</v>
      </c>
      <c r="I2123" s="312">
        <v>47.99</v>
      </c>
      <c r="J2123" s="312">
        <v>186.25</v>
      </c>
      <c r="K2123" s="312">
        <v>310.89999999999998</v>
      </c>
      <c r="M2123" t="s">
        <v>3887</v>
      </c>
      <c r="N2123" s="312">
        <v>103609.63</v>
      </c>
      <c r="O2123" s="312">
        <v>150599.32</v>
      </c>
      <c r="P2123" s="312">
        <v>32903</v>
      </c>
      <c r="Q2123" s="312">
        <v>159670.82</v>
      </c>
      <c r="R2123" s="312">
        <v>99893.01999999999</v>
      </c>
    </row>
    <row r="2124" spans="6:18">
      <c r="F2124" t="s">
        <v>3888</v>
      </c>
      <c r="G2124" s="312">
        <v>139.37</v>
      </c>
      <c r="H2124" s="312">
        <v>259.87</v>
      </c>
      <c r="I2124" s="312">
        <v>56.35</v>
      </c>
      <c r="J2124" s="312">
        <v>112.97</v>
      </c>
      <c r="K2124" s="312">
        <v>204.82</v>
      </c>
      <c r="M2124" t="s">
        <v>3888</v>
      </c>
      <c r="N2124" s="312">
        <v>59877.299999999996</v>
      </c>
      <c r="O2124" s="312">
        <v>150023.06</v>
      </c>
      <c r="P2124" s="312">
        <v>52327.96</v>
      </c>
      <c r="Q2124" s="312">
        <v>80470.73000000001</v>
      </c>
      <c r="R2124" s="312">
        <v>66138.7</v>
      </c>
    </row>
    <row r="2125" spans="6:18">
      <c r="F2125" t="s">
        <v>3889</v>
      </c>
      <c r="G2125" s="312">
        <v>98.740000000000009</v>
      </c>
      <c r="H2125" s="312">
        <v>181.19</v>
      </c>
      <c r="I2125" s="312">
        <v>17.55</v>
      </c>
      <c r="J2125" s="312">
        <v>108.76</v>
      </c>
      <c r="K2125" s="312">
        <v>249.28000000000003</v>
      </c>
      <c r="M2125" t="s">
        <v>3889</v>
      </c>
      <c r="N2125" s="312">
        <v>79073.3</v>
      </c>
      <c r="O2125" s="312">
        <v>105264.35</v>
      </c>
      <c r="P2125" s="312">
        <v>10726.74</v>
      </c>
      <c r="Q2125" s="312">
        <v>72383.91</v>
      </c>
      <c r="R2125" s="312">
        <v>67746.180000000008</v>
      </c>
    </row>
    <row r="2126" spans="6:18">
      <c r="F2126" t="s">
        <v>3890</v>
      </c>
      <c r="G2126" s="312">
        <v>151.53</v>
      </c>
      <c r="H2126" s="312">
        <v>280.53999999999996</v>
      </c>
      <c r="I2126" s="312">
        <v>129.07999999999998</v>
      </c>
      <c r="J2126" s="312">
        <v>258.44</v>
      </c>
      <c r="K2126" s="312">
        <v>238.83999999999997</v>
      </c>
      <c r="M2126" t="s">
        <v>3890</v>
      </c>
      <c r="N2126" s="312">
        <v>115993.76000000001</v>
      </c>
      <c r="O2126" s="312">
        <v>184230.39</v>
      </c>
      <c r="P2126" s="312">
        <v>94356.37</v>
      </c>
      <c r="Q2126" s="312">
        <v>140306.31</v>
      </c>
      <c r="R2126" s="312">
        <v>98390</v>
      </c>
    </row>
    <row r="2127" spans="6:18">
      <c r="F2127" t="s">
        <v>3891</v>
      </c>
      <c r="G2127" s="312">
        <v>116.45</v>
      </c>
      <c r="H2127" s="312">
        <v>192.69</v>
      </c>
      <c r="I2127" s="312">
        <v>98.850000000000009</v>
      </c>
      <c r="J2127" s="312">
        <v>240.46</v>
      </c>
      <c r="K2127" s="312">
        <v>312</v>
      </c>
      <c r="M2127" t="s">
        <v>3891</v>
      </c>
      <c r="N2127" s="312">
        <v>69439.7</v>
      </c>
      <c r="O2127" s="312">
        <v>82411.510000000009</v>
      </c>
      <c r="P2127" s="312">
        <v>48092.47</v>
      </c>
      <c r="Q2127" s="312">
        <v>193683.78999999998</v>
      </c>
      <c r="R2127" s="312">
        <v>97036.64</v>
      </c>
    </row>
    <row r="2128" spans="6:18">
      <c r="F2128" t="s">
        <v>3892</v>
      </c>
      <c r="G2128" s="312">
        <v>121.44</v>
      </c>
      <c r="H2128" s="312">
        <v>210.82</v>
      </c>
      <c r="I2128" s="312">
        <v>36.5</v>
      </c>
      <c r="J2128" s="312">
        <v>250.63</v>
      </c>
      <c r="K2128" s="312">
        <v>272.44</v>
      </c>
      <c r="M2128" t="s">
        <v>3892</v>
      </c>
      <c r="N2128" s="312">
        <v>69708.649999999994</v>
      </c>
      <c r="O2128" s="312">
        <v>104432.51000000001</v>
      </c>
      <c r="P2128" s="312">
        <v>24204.61</v>
      </c>
      <c r="Q2128" s="312">
        <v>146138.35999999999</v>
      </c>
      <c r="R2128" s="312">
        <v>94466.52</v>
      </c>
    </row>
    <row r="2129" spans="6:18">
      <c r="F2129" t="s">
        <v>3893</v>
      </c>
      <c r="G2129" s="312">
        <v>238.73000000000002</v>
      </c>
      <c r="H2129" s="312">
        <v>271.65999999999997</v>
      </c>
      <c r="I2129" s="312">
        <v>65.069999999999993</v>
      </c>
      <c r="J2129" s="312">
        <v>330.85</v>
      </c>
      <c r="K2129" s="312">
        <v>284.33999999999997</v>
      </c>
      <c r="M2129" t="s">
        <v>3893</v>
      </c>
      <c r="N2129" s="312">
        <v>168584.22</v>
      </c>
      <c r="O2129" s="312">
        <v>136106.23999999999</v>
      </c>
      <c r="P2129" s="312">
        <v>44071.069999999992</v>
      </c>
      <c r="Q2129" s="312">
        <v>170860.6</v>
      </c>
      <c r="R2129" s="312">
        <v>144141.29</v>
      </c>
    </row>
    <row r="2130" spans="6:18">
      <c r="F2130" t="s">
        <v>3894</v>
      </c>
      <c r="G2130" s="312">
        <v>179.41</v>
      </c>
      <c r="H2130" s="312">
        <v>362.21000000000004</v>
      </c>
      <c r="I2130" s="312">
        <v>30.43</v>
      </c>
      <c r="J2130" s="312">
        <v>128.19</v>
      </c>
      <c r="K2130" s="312">
        <v>244.05</v>
      </c>
      <c r="M2130" t="s">
        <v>3894</v>
      </c>
      <c r="N2130" s="312">
        <v>105810.99</v>
      </c>
      <c r="O2130" s="312">
        <v>150922.94</v>
      </c>
      <c r="P2130" s="312">
        <v>20549.25</v>
      </c>
      <c r="Q2130" s="312">
        <v>78420.2</v>
      </c>
      <c r="R2130" s="312">
        <v>77758.540000000008</v>
      </c>
    </row>
    <row r="2131" spans="6:18">
      <c r="F2131" t="s">
        <v>3895</v>
      </c>
      <c r="G2131" s="312">
        <v>112.87</v>
      </c>
      <c r="H2131" s="312">
        <v>116.78999999999999</v>
      </c>
      <c r="I2131" s="312">
        <v>67.710000000000008</v>
      </c>
      <c r="J2131" s="312">
        <v>111.13</v>
      </c>
      <c r="K2131" s="312">
        <v>153.03</v>
      </c>
      <c r="M2131" t="s">
        <v>3895</v>
      </c>
      <c r="N2131" s="312">
        <v>70929.2</v>
      </c>
      <c r="O2131" s="312">
        <v>44945.81</v>
      </c>
      <c r="P2131" s="312">
        <v>41835.43</v>
      </c>
      <c r="Q2131" s="312">
        <v>69079.240000000005</v>
      </c>
      <c r="R2131" s="312">
        <v>66682.67</v>
      </c>
    </row>
    <row r="2132" spans="6:18">
      <c r="F2132" t="s">
        <v>3896</v>
      </c>
      <c r="G2132" s="312">
        <v>135.14000000000001</v>
      </c>
      <c r="H2132" s="312">
        <v>130.99</v>
      </c>
      <c r="I2132" s="312">
        <v>20.95</v>
      </c>
      <c r="J2132" s="312">
        <v>143.31</v>
      </c>
      <c r="K2132" s="312">
        <v>190.84</v>
      </c>
      <c r="M2132" t="s">
        <v>3896</v>
      </c>
      <c r="N2132" s="312">
        <v>99159.5</v>
      </c>
      <c r="O2132" s="312">
        <v>58287.649999999994</v>
      </c>
      <c r="P2132" s="312">
        <v>16256.81</v>
      </c>
      <c r="Q2132" s="312">
        <v>90965.239999999991</v>
      </c>
      <c r="R2132" s="312">
        <v>71961.03</v>
      </c>
    </row>
    <row r="2133" spans="6:18">
      <c r="F2133" t="s">
        <v>3897</v>
      </c>
      <c r="G2133" s="312">
        <v>108.99</v>
      </c>
      <c r="H2133" s="312">
        <v>213.57000000000002</v>
      </c>
      <c r="I2133" s="312">
        <v>78.260000000000005</v>
      </c>
      <c r="J2133" s="312">
        <v>198.12</v>
      </c>
      <c r="K2133" s="312">
        <v>220.91</v>
      </c>
      <c r="M2133" t="s">
        <v>3897</v>
      </c>
      <c r="N2133" s="312">
        <v>87813.18</v>
      </c>
      <c r="O2133" s="312">
        <v>132533.13999999998</v>
      </c>
      <c r="P2133" s="312">
        <v>46688.01</v>
      </c>
      <c r="Q2133" s="312">
        <v>134675.58000000002</v>
      </c>
      <c r="R2133" s="312">
        <v>74322.460000000006</v>
      </c>
    </row>
    <row r="2134" spans="6:18">
      <c r="F2134" t="s">
        <v>3898</v>
      </c>
      <c r="G2134" s="312">
        <v>105.22999999999999</v>
      </c>
      <c r="H2134" s="312">
        <v>272.60000000000002</v>
      </c>
      <c r="I2134" s="312">
        <v>105.44</v>
      </c>
      <c r="J2134" s="312">
        <v>122.46000000000001</v>
      </c>
      <c r="K2134" s="312">
        <v>89.86</v>
      </c>
      <c r="M2134" t="s">
        <v>3898</v>
      </c>
      <c r="N2134" s="312">
        <v>49854.64</v>
      </c>
      <c r="O2134" s="312">
        <v>139793.92000000001</v>
      </c>
      <c r="P2134" s="312">
        <v>81501.490000000005</v>
      </c>
      <c r="Q2134" s="312">
        <v>68061.789999999994</v>
      </c>
      <c r="R2134" s="312">
        <v>39080.82</v>
      </c>
    </row>
    <row r="2135" spans="6:18">
      <c r="F2135" t="s">
        <v>3899</v>
      </c>
      <c r="G2135" s="312">
        <v>86.789999999999992</v>
      </c>
      <c r="H2135" s="312">
        <v>332.68</v>
      </c>
      <c r="I2135" s="312">
        <v>26.2</v>
      </c>
      <c r="J2135" s="312">
        <v>104.61</v>
      </c>
      <c r="K2135" s="312">
        <v>122.47999999999999</v>
      </c>
      <c r="M2135" t="s">
        <v>3899</v>
      </c>
      <c r="N2135" s="312">
        <v>68667.040000000008</v>
      </c>
      <c r="O2135" s="312">
        <v>146081.34</v>
      </c>
      <c r="P2135" s="312">
        <v>14621.58</v>
      </c>
      <c r="Q2135" s="312">
        <v>88930.92</v>
      </c>
      <c r="R2135" s="312">
        <v>52426.16</v>
      </c>
    </row>
    <row r="2136" spans="6:18">
      <c r="F2136" t="s">
        <v>3900</v>
      </c>
      <c r="G2136" s="312">
        <v>96.41</v>
      </c>
      <c r="H2136" s="312">
        <v>392.46999999999997</v>
      </c>
      <c r="I2136" s="312">
        <v>77.94</v>
      </c>
      <c r="J2136" s="312">
        <v>179.01</v>
      </c>
      <c r="K2136" s="312">
        <v>161.28</v>
      </c>
      <c r="M2136" t="s">
        <v>3900</v>
      </c>
      <c r="N2136" s="312">
        <v>47920.179999999993</v>
      </c>
      <c r="O2136" s="312">
        <v>179864.88999999998</v>
      </c>
      <c r="P2136" s="312">
        <v>80104.210000000006</v>
      </c>
      <c r="Q2136" s="312">
        <v>139811.97</v>
      </c>
      <c r="R2136" s="312">
        <v>51245.520000000004</v>
      </c>
    </row>
    <row r="2137" spans="6:18">
      <c r="F2137" t="s">
        <v>3901</v>
      </c>
      <c r="G2137" s="312">
        <v>115.47999999999999</v>
      </c>
      <c r="H2137" s="312">
        <v>317.08</v>
      </c>
      <c r="I2137" s="312">
        <v>75.19</v>
      </c>
      <c r="J2137" s="312">
        <v>189.39</v>
      </c>
      <c r="K2137" s="312">
        <v>163.10000000000002</v>
      </c>
      <c r="M2137" t="s">
        <v>3901</v>
      </c>
      <c r="N2137" s="312">
        <v>51125.97</v>
      </c>
      <c r="O2137" s="312">
        <v>167480.25</v>
      </c>
      <c r="P2137" s="312">
        <v>48937.07</v>
      </c>
      <c r="Q2137" s="312">
        <v>131491.46</v>
      </c>
      <c r="R2137" s="312">
        <v>48907.82</v>
      </c>
    </row>
    <row r="2138" spans="6:18">
      <c r="F2138" t="s">
        <v>3902</v>
      </c>
      <c r="G2138" s="312">
        <v>77.039999999999992</v>
      </c>
      <c r="H2138" s="312">
        <v>264.86</v>
      </c>
      <c r="I2138" s="312">
        <v>46.49</v>
      </c>
      <c r="J2138" s="312">
        <v>149.43</v>
      </c>
      <c r="K2138" s="312">
        <v>91.68</v>
      </c>
      <c r="M2138" t="s">
        <v>3902</v>
      </c>
      <c r="N2138" s="312">
        <v>39365.78</v>
      </c>
      <c r="O2138" s="312">
        <v>120358.32</v>
      </c>
      <c r="P2138" s="312">
        <v>37246.879999999997</v>
      </c>
      <c r="Q2138" s="312">
        <v>82688.760000000009</v>
      </c>
      <c r="R2138" s="312">
        <v>43573.14</v>
      </c>
    </row>
    <row r="2139" spans="6:18">
      <c r="F2139" t="s">
        <v>3903</v>
      </c>
      <c r="G2139" s="312">
        <v>157</v>
      </c>
      <c r="H2139" s="312">
        <v>189.86</v>
      </c>
      <c r="I2139" s="312">
        <v>4.57</v>
      </c>
      <c r="J2139" s="312">
        <v>135.64000000000001</v>
      </c>
      <c r="K2139" s="312">
        <v>77.36</v>
      </c>
      <c r="M2139" t="s">
        <v>3903</v>
      </c>
      <c r="N2139" s="312">
        <v>120279.31</v>
      </c>
      <c r="O2139" s="312">
        <v>95716.829999999987</v>
      </c>
      <c r="P2139" s="312">
        <v>2552.64</v>
      </c>
      <c r="Q2139" s="312">
        <v>103560.14</v>
      </c>
      <c r="R2139" s="312">
        <v>20783.47</v>
      </c>
    </row>
    <row r="2140" spans="6:18">
      <c r="F2140" t="s">
        <v>3904</v>
      </c>
      <c r="G2140" s="312">
        <v>64.819999999999993</v>
      </c>
      <c r="H2140" s="312">
        <v>474.84000000000003</v>
      </c>
      <c r="I2140" s="312">
        <v>40.4</v>
      </c>
      <c r="J2140" s="312">
        <v>130.46</v>
      </c>
      <c r="K2140" s="312">
        <v>150.65</v>
      </c>
      <c r="M2140" t="s">
        <v>3904</v>
      </c>
      <c r="N2140" s="312">
        <v>32389.89</v>
      </c>
      <c r="O2140" s="312">
        <v>244802.27</v>
      </c>
      <c r="P2140" s="312">
        <v>29747.399999999998</v>
      </c>
      <c r="Q2140" s="312">
        <v>95945.12</v>
      </c>
      <c r="R2140" s="312">
        <v>62426.46</v>
      </c>
    </row>
    <row r="2141" spans="6:18">
      <c r="F2141" t="s">
        <v>3905</v>
      </c>
      <c r="G2141" s="312">
        <v>92.58</v>
      </c>
      <c r="H2141" s="312">
        <v>338.64</v>
      </c>
      <c r="I2141" s="312">
        <v>59.05</v>
      </c>
      <c r="J2141" s="312">
        <v>207.58999999999997</v>
      </c>
      <c r="K2141" s="312">
        <v>118.41</v>
      </c>
      <c r="M2141" t="s">
        <v>3905</v>
      </c>
      <c r="N2141" s="312">
        <v>59048.67</v>
      </c>
      <c r="O2141" s="312">
        <v>171077.52</v>
      </c>
      <c r="P2141" s="312">
        <v>65154.400000000001</v>
      </c>
      <c r="Q2141" s="312">
        <v>115082.86</v>
      </c>
      <c r="R2141" s="312">
        <v>39034.06</v>
      </c>
    </row>
    <row r="2142" spans="6:18">
      <c r="F2142" t="s">
        <v>3906</v>
      </c>
      <c r="G2142" s="312">
        <v>239.1</v>
      </c>
      <c r="H2142" s="312">
        <v>324.05</v>
      </c>
      <c r="I2142" s="312">
        <v>65.539999999999992</v>
      </c>
      <c r="J2142" s="312">
        <v>241.26999999999998</v>
      </c>
      <c r="K2142" s="312">
        <v>227.48</v>
      </c>
      <c r="M2142" t="s">
        <v>3906</v>
      </c>
      <c r="N2142" s="312">
        <v>175928.85</v>
      </c>
      <c r="O2142" s="312">
        <v>188418.96000000002</v>
      </c>
      <c r="P2142" s="312">
        <v>75740.290000000008</v>
      </c>
      <c r="Q2142" s="312">
        <v>182814.46999999997</v>
      </c>
      <c r="R2142" s="312">
        <v>92082.26</v>
      </c>
    </row>
    <row r="2143" spans="6:18">
      <c r="F2143" t="s">
        <v>3907</v>
      </c>
      <c r="G2143" s="312">
        <v>153.30000000000001</v>
      </c>
      <c r="H2143" s="312">
        <v>278.32</v>
      </c>
      <c r="I2143" s="312">
        <v>88.07</v>
      </c>
      <c r="J2143" s="312">
        <v>256.43</v>
      </c>
      <c r="K2143" s="312">
        <v>218.05</v>
      </c>
      <c r="M2143" t="s">
        <v>3907</v>
      </c>
      <c r="N2143" s="312">
        <v>78391.12</v>
      </c>
      <c r="O2143" s="312">
        <v>120383.20000000001</v>
      </c>
      <c r="P2143" s="312">
        <v>80548.649999999994</v>
      </c>
      <c r="Q2143" s="312">
        <v>221637.27</v>
      </c>
      <c r="R2143" s="312">
        <v>70977.91</v>
      </c>
    </row>
    <row r="2144" spans="6:18">
      <c r="F2144" t="s">
        <v>3908</v>
      </c>
      <c r="G2144" s="312">
        <v>242.97</v>
      </c>
      <c r="H2144" s="312">
        <v>302.02</v>
      </c>
      <c r="I2144" s="312">
        <v>85.39</v>
      </c>
      <c r="J2144" s="312">
        <v>206.98000000000002</v>
      </c>
      <c r="K2144" s="312">
        <v>203.16000000000003</v>
      </c>
      <c r="M2144" t="s">
        <v>3908</v>
      </c>
      <c r="N2144" s="312">
        <v>117547.64</v>
      </c>
      <c r="O2144" s="312">
        <v>191607.4</v>
      </c>
      <c r="P2144" s="312">
        <v>68185.61</v>
      </c>
      <c r="Q2144" s="312">
        <v>173297.32</v>
      </c>
      <c r="R2144" s="312">
        <v>69638.12</v>
      </c>
    </row>
    <row r="2145" spans="6:18">
      <c r="F2145" t="s">
        <v>3909</v>
      </c>
      <c r="G2145" s="312">
        <v>195.4</v>
      </c>
      <c r="H2145" s="312">
        <v>178.7</v>
      </c>
      <c r="I2145" s="312">
        <v>22.57</v>
      </c>
      <c r="J2145" s="312">
        <v>133.60999999999999</v>
      </c>
      <c r="K2145" s="312">
        <v>103.64</v>
      </c>
      <c r="M2145" t="s">
        <v>3909</v>
      </c>
      <c r="N2145" s="312">
        <v>126394.43</v>
      </c>
      <c r="O2145" s="312">
        <v>60356.81</v>
      </c>
      <c r="P2145" s="312">
        <v>33873.61</v>
      </c>
      <c r="Q2145" s="312">
        <v>84323.65</v>
      </c>
      <c r="R2145" s="312">
        <v>31872.670000000002</v>
      </c>
    </row>
    <row r="2146" spans="6:18">
      <c r="F2146" t="s">
        <v>3910</v>
      </c>
      <c r="G2146" s="312">
        <v>182.5</v>
      </c>
      <c r="H2146" s="312">
        <v>267.51</v>
      </c>
      <c r="I2146" s="312">
        <v>10.55</v>
      </c>
      <c r="J2146" s="312">
        <v>163.78</v>
      </c>
      <c r="K2146" s="312">
        <v>103.38</v>
      </c>
      <c r="M2146" t="s">
        <v>3910</v>
      </c>
      <c r="N2146" s="312">
        <v>107145.23999999999</v>
      </c>
      <c r="O2146" s="312">
        <v>107096.56</v>
      </c>
      <c r="P2146" s="312">
        <v>6953.41</v>
      </c>
      <c r="Q2146" s="312">
        <v>148537.60999999999</v>
      </c>
      <c r="R2146" s="312">
        <v>51988.480000000003</v>
      </c>
    </row>
    <row r="2147" spans="6:18">
      <c r="F2147" t="s">
        <v>3911</v>
      </c>
      <c r="G2147" s="312">
        <v>198.60999999999999</v>
      </c>
      <c r="H2147" s="312">
        <v>328.29</v>
      </c>
      <c r="I2147" s="312">
        <v>90.57</v>
      </c>
      <c r="J2147" s="312">
        <v>177.25</v>
      </c>
      <c r="K2147" s="312">
        <v>376.58</v>
      </c>
      <c r="M2147" t="s">
        <v>3911</v>
      </c>
      <c r="N2147" s="312">
        <v>106000.92</v>
      </c>
      <c r="O2147" s="312">
        <v>174379.46</v>
      </c>
      <c r="P2147" s="312">
        <v>61730.69</v>
      </c>
      <c r="Q2147" s="312">
        <v>116496.38999999998</v>
      </c>
      <c r="R2147" s="312">
        <v>176870.49</v>
      </c>
    </row>
    <row r="2148" spans="6:18">
      <c r="F2148" t="s">
        <v>3912</v>
      </c>
      <c r="G2148" s="312">
        <v>135.30000000000001</v>
      </c>
      <c r="H2148" s="312">
        <v>182.92999999999998</v>
      </c>
      <c r="I2148" s="312">
        <v>89.81</v>
      </c>
      <c r="J2148" s="312">
        <v>254.62</v>
      </c>
      <c r="K2148" s="312">
        <v>480.64</v>
      </c>
      <c r="M2148" t="s">
        <v>3912</v>
      </c>
      <c r="N2148" s="312">
        <v>52336.19</v>
      </c>
      <c r="O2148" s="312">
        <v>113138.76999999999</v>
      </c>
      <c r="P2148" s="312">
        <v>56857.35</v>
      </c>
      <c r="Q2148" s="312">
        <v>212145.82</v>
      </c>
      <c r="R2148" s="312">
        <v>206386.97</v>
      </c>
    </row>
    <row r="2149" spans="6:18">
      <c r="F2149" t="s">
        <v>3913</v>
      </c>
      <c r="G2149" s="312">
        <v>155.79</v>
      </c>
      <c r="H2149" s="312">
        <v>216.39</v>
      </c>
      <c r="I2149" s="312">
        <v>82.11</v>
      </c>
      <c r="J2149" s="312">
        <v>205.58999999999997</v>
      </c>
      <c r="K2149" s="312">
        <v>308.85000000000002</v>
      </c>
      <c r="M2149" t="s">
        <v>3913</v>
      </c>
      <c r="N2149" s="312">
        <v>75023.510000000009</v>
      </c>
      <c r="O2149" s="312">
        <v>155282.32</v>
      </c>
      <c r="P2149" s="312">
        <v>54241.64</v>
      </c>
      <c r="Q2149" s="312">
        <v>138948.16</v>
      </c>
      <c r="R2149" s="312">
        <v>126286.66</v>
      </c>
    </row>
    <row r="2150" spans="6:18">
      <c r="F2150" t="s">
        <v>3914</v>
      </c>
      <c r="G2150" s="312">
        <v>140.60000000000002</v>
      </c>
      <c r="H2150" s="312">
        <v>427.51</v>
      </c>
      <c r="I2150" s="312">
        <v>107.80999999999999</v>
      </c>
      <c r="J2150" s="312">
        <v>260.66000000000003</v>
      </c>
      <c r="K2150" s="312">
        <v>333.55999999999995</v>
      </c>
      <c r="M2150" t="s">
        <v>3914</v>
      </c>
      <c r="N2150" s="312">
        <v>71665.820000000007</v>
      </c>
      <c r="O2150" s="312">
        <v>200432.24</v>
      </c>
      <c r="P2150" s="312">
        <v>63374.549999999996</v>
      </c>
      <c r="Q2150" s="312">
        <v>215974.96</v>
      </c>
      <c r="R2150" s="312">
        <v>123715.88</v>
      </c>
    </row>
    <row r="2151" spans="6:18">
      <c r="F2151" t="s">
        <v>3915</v>
      </c>
      <c r="G2151" s="312">
        <v>128.38999999999999</v>
      </c>
      <c r="H2151" s="312">
        <v>384.01</v>
      </c>
      <c r="I2151" s="312">
        <v>65.05</v>
      </c>
      <c r="J2151" s="312">
        <v>233.33</v>
      </c>
      <c r="K2151" s="312">
        <v>406.81</v>
      </c>
      <c r="M2151" t="s">
        <v>3915</v>
      </c>
      <c r="N2151" s="312">
        <v>65049.59</v>
      </c>
      <c r="O2151" s="312">
        <v>204166.51</v>
      </c>
      <c r="P2151" s="312">
        <v>44927.369999999995</v>
      </c>
      <c r="Q2151" s="312">
        <v>163795.09</v>
      </c>
      <c r="R2151" s="312">
        <v>142152.02000000002</v>
      </c>
    </row>
    <row r="2152" spans="6:18">
      <c r="F2152" t="s">
        <v>3916</v>
      </c>
      <c r="G2152" s="312">
        <v>96.8</v>
      </c>
      <c r="H2152" s="312">
        <v>329.2</v>
      </c>
      <c r="I2152" s="312">
        <v>56.8</v>
      </c>
      <c r="J2152" s="312">
        <v>108.28999999999999</v>
      </c>
      <c r="K2152" s="312">
        <v>219.96</v>
      </c>
      <c r="M2152" t="s">
        <v>3916</v>
      </c>
      <c r="N2152" s="312">
        <v>65282.73</v>
      </c>
      <c r="O2152" s="312">
        <v>196287.69999999998</v>
      </c>
      <c r="P2152" s="312">
        <v>60419.74</v>
      </c>
      <c r="Q2152" s="312">
        <v>98742.96</v>
      </c>
      <c r="R2152" s="312">
        <v>103533.38</v>
      </c>
    </row>
    <row r="2153" spans="6:18">
      <c r="F2153" t="s">
        <v>3917</v>
      </c>
      <c r="G2153" s="312">
        <v>83.61</v>
      </c>
      <c r="H2153" s="312">
        <v>249.82</v>
      </c>
      <c r="I2153" s="312">
        <v>3.09</v>
      </c>
      <c r="J2153" s="312">
        <v>162.47</v>
      </c>
      <c r="K2153" s="312">
        <v>221.04999999999998</v>
      </c>
      <c r="M2153" t="s">
        <v>3917</v>
      </c>
      <c r="N2153" s="312">
        <v>45763.43</v>
      </c>
      <c r="O2153" s="312">
        <v>120254.98999999999</v>
      </c>
      <c r="P2153" s="312">
        <v>521.34</v>
      </c>
      <c r="Q2153" s="312">
        <v>104773.79000000001</v>
      </c>
      <c r="R2153" s="312">
        <v>76179.09</v>
      </c>
    </row>
    <row r="2154" spans="6:18">
      <c r="F2154" t="s">
        <v>3918</v>
      </c>
      <c r="G2154" s="312">
        <v>157.11000000000001</v>
      </c>
      <c r="H2154" s="312">
        <v>417.48</v>
      </c>
      <c r="I2154" s="312">
        <v>104.92</v>
      </c>
      <c r="J2154" s="312">
        <v>262.81</v>
      </c>
      <c r="K2154" s="312">
        <v>839.39</v>
      </c>
      <c r="M2154" t="s">
        <v>3918</v>
      </c>
      <c r="N2154" s="312">
        <v>107691.23999999999</v>
      </c>
      <c r="O2154" s="312">
        <v>192990.97999999998</v>
      </c>
      <c r="P2154" s="312">
        <v>81719.37</v>
      </c>
      <c r="Q2154" s="312">
        <v>172770.06</v>
      </c>
      <c r="R2154" s="312">
        <v>329534.11</v>
      </c>
    </row>
    <row r="2155" spans="6:18">
      <c r="F2155" t="s">
        <v>3919</v>
      </c>
      <c r="G2155" s="312">
        <v>124.42999999999999</v>
      </c>
      <c r="H2155" s="312">
        <v>408.8</v>
      </c>
      <c r="I2155" s="312">
        <v>99</v>
      </c>
      <c r="J2155" s="312">
        <v>404.93</v>
      </c>
      <c r="K2155" s="312">
        <v>846.49</v>
      </c>
      <c r="M2155" t="s">
        <v>3919</v>
      </c>
      <c r="N2155" s="312">
        <v>58998</v>
      </c>
      <c r="O2155" s="312">
        <v>130713.79999999999</v>
      </c>
      <c r="P2155" s="312">
        <v>80644.659999999989</v>
      </c>
      <c r="Q2155" s="312">
        <v>264005.86</v>
      </c>
      <c r="R2155" s="312">
        <v>265920.45</v>
      </c>
    </row>
    <row r="2156" spans="6:18">
      <c r="F2156" t="s">
        <v>3920</v>
      </c>
      <c r="G2156" s="312">
        <v>92.1</v>
      </c>
      <c r="H2156" s="312">
        <v>467.79</v>
      </c>
      <c r="I2156" s="312">
        <v>69.42</v>
      </c>
      <c r="J2156" s="312">
        <v>285.24</v>
      </c>
      <c r="K2156" s="312">
        <v>956.58999999999992</v>
      </c>
      <c r="M2156" t="s">
        <v>3920</v>
      </c>
      <c r="N2156" s="312">
        <v>38431.19</v>
      </c>
      <c r="O2156" s="312">
        <v>193760.01</v>
      </c>
      <c r="P2156" s="312">
        <v>69878.5</v>
      </c>
      <c r="Q2156" s="312">
        <v>169543.18999999997</v>
      </c>
      <c r="R2156" s="312">
        <v>352571.79</v>
      </c>
    </row>
    <row r="2157" spans="6:18">
      <c r="F2157" t="s">
        <v>3921</v>
      </c>
      <c r="G2157" s="312">
        <v>196.09</v>
      </c>
      <c r="H2157" s="312">
        <v>608.05999999999995</v>
      </c>
      <c r="I2157" s="312">
        <v>73.210000000000008</v>
      </c>
      <c r="J2157" s="312">
        <v>266.66999999999996</v>
      </c>
      <c r="K2157" s="312">
        <v>906.74</v>
      </c>
      <c r="M2157" t="s">
        <v>3921</v>
      </c>
      <c r="N2157" s="312">
        <v>158798.51999999999</v>
      </c>
      <c r="O2157" s="312">
        <v>290258.40000000002</v>
      </c>
      <c r="P2157" s="312">
        <v>41593.409999999996</v>
      </c>
      <c r="Q2157" s="312">
        <v>124601.34000000001</v>
      </c>
      <c r="R2157" s="312">
        <v>332280.09000000003</v>
      </c>
    </row>
    <row r="2158" spans="6:18">
      <c r="F2158" t="s">
        <v>3922</v>
      </c>
      <c r="G2158" s="312">
        <v>295.19</v>
      </c>
      <c r="H2158" s="312">
        <v>731.64</v>
      </c>
      <c r="I2158" s="312">
        <v>79.94</v>
      </c>
      <c r="J2158" s="312">
        <v>286.03999999999996</v>
      </c>
      <c r="K2158" s="312">
        <v>1810.56</v>
      </c>
      <c r="M2158" t="s">
        <v>3922</v>
      </c>
      <c r="N2158" s="312">
        <v>130694.39999999999</v>
      </c>
      <c r="O2158" s="312">
        <v>333796.34999999998</v>
      </c>
      <c r="P2158" s="312">
        <v>55459.560000000005</v>
      </c>
      <c r="Q2158" s="312">
        <v>114080.74</v>
      </c>
      <c r="R2158" s="312">
        <v>532234.91999999993</v>
      </c>
    </row>
    <row r="2159" spans="6:18">
      <c r="F2159" t="s">
        <v>3923</v>
      </c>
      <c r="G2159" s="312">
        <v>267.89</v>
      </c>
      <c r="H2159" s="312">
        <v>684.41000000000008</v>
      </c>
      <c r="I2159" s="312">
        <v>116.51</v>
      </c>
      <c r="J2159" s="312">
        <v>363.99</v>
      </c>
      <c r="K2159" s="312">
        <v>1261.72</v>
      </c>
      <c r="M2159" t="s">
        <v>3923</v>
      </c>
      <c r="N2159" s="312">
        <v>177359.44</v>
      </c>
      <c r="O2159" s="312">
        <v>267011.33</v>
      </c>
      <c r="P2159" s="312">
        <v>101068.39</v>
      </c>
      <c r="Q2159" s="312">
        <v>188471.89</v>
      </c>
      <c r="R2159" s="312">
        <v>443802.35</v>
      </c>
    </row>
    <row r="2160" spans="6:18">
      <c r="F2160" t="s">
        <v>3924</v>
      </c>
      <c r="G2160" s="312">
        <v>154.96</v>
      </c>
      <c r="H2160" s="312">
        <v>399.81</v>
      </c>
      <c r="I2160" s="312">
        <v>22.28</v>
      </c>
      <c r="J2160" s="312">
        <v>343.85</v>
      </c>
      <c r="K2160" s="312">
        <v>1063.8</v>
      </c>
      <c r="M2160" t="s">
        <v>3924</v>
      </c>
      <c r="N2160" s="312">
        <v>88605.930000000008</v>
      </c>
      <c r="O2160" s="312">
        <v>191615.53999999998</v>
      </c>
      <c r="P2160" s="312">
        <v>9575.68</v>
      </c>
      <c r="Q2160" s="312">
        <v>179069.72</v>
      </c>
      <c r="R2160" s="312">
        <v>362651.04000000004</v>
      </c>
    </row>
    <row r="2161" spans="6:18">
      <c r="F2161" t="s">
        <v>3925</v>
      </c>
      <c r="G2161" s="312">
        <v>249.45</v>
      </c>
      <c r="H2161" s="312">
        <v>563.02</v>
      </c>
      <c r="I2161" s="312">
        <v>155.48999999999998</v>
      </c>
      <c r="J2161" s="312">
        <v>409.90999999999997</v>
      </c>
      <c r="K2161" s="312">
        <v>1189.58</v>
      </c>
      <c r="M2161" t="s">
        <v>3925</v>
      </c>
      <c r="N2161" s="312">
        <v>116986.8</v>
      </c>
      <c r="O2161" s="312">
        <v>246930.87</v>
      </c>
      <c r="P2161" s="312">
        <v>136023.69</v>
      </c>
      <c r="Q2161" s="312">
        <v>258541.08000000002</v>
      </c>
      <c r="R2161" s="312">
        <v>367942.44</v>
      </c>
    </row>
    <row r="2162" spans="6:18">
      <c r="F2162" t="s">
        <v>3926</v>
      </c>
      <c r="G2162" s="312">
        <v>185.31</v>
      </c>
      <c r="H2162" s="312">
        <v>686.9</v>
      </c>
      <c r="I2162" s="312">
        <v>130.25</v>
      </c>
      <c r="J2162" s="312">
        <v>243.06</v>
      </c>
      <c r="K2162" s="312">
        <v>921.85</v>
      </c>
      <c r="M2162" t="s">
        <v>3926</v>
      </c>
      <c r="N2162" s="312">
        <v>97686.69</v>
      </c>
      <c r="O2162" s="312">
        <v>349486.12</v>
      </c>
      <c r="P2162" s="312">
        <v>93967.06</v>
      </c>
      <c r="Q2162" s="312">
        <v>156180.94</v>
      </c>
      <c r="R2162" s="312">
        <v>286045.81</v>
      </c>
    </row>
    <row r="2163" spans="6:18">
      <c r="F2163" t="s">
        <v>3927</v>
      </c>
      <c r="G2163" s="312">
        <v>109.51</v>
      </c>
      <c r="H2163" s="312">
        <v>504.64000000000004</v>
      </c>
      <c r="I2163" s="312">
        <v>101.19</v>
      </c>
      <c r="J2163" s="312">
        <v>467.83000000000004</v>
      </c>
      <c r="K2163" s="312">
        <v>701.13</v>
      </c>
      <c r="M2163" t="s">
        <v>3927</v>
      </c>
      <c r="N2163" s="312">
        <v>59756.86</v>
      </c>
      <c r="O2163" s="312">
        <v>254404.40000000002</v>
      </c>
      <c r="P2163" s="312">
        <v>69196.34</v>
      </c>
      <c r="Q2163" s="312">
        <v>182751.95</v>
      </c>
      <c r="R2163" s="312">
        <v>277398.74</v>
      </c>
    </row>
    <row r="2164" spans="6:18">
      <c r="F2164" t="s">
        <v>3928</v>
      </c>
      <c r="G2164" s="312">
        <v>116.19999999999999</v>
      </c>
      <c r="H2164" s="312">
        <v>456.18</v>
      </c>
      <c r="I2164" s="312">
        <v>41.25</v>
      </c>
      <c r="J2164" s="312">
        <v>523.83000000000004</v>
      </c>
      <c r="K2164" s="312">
        <v>752.42000000000007</v>
      </c>
      <c r="M2164" t="s">
        <v>3928</v>
      </c>
      <c r="N2164" s="312">
        <v>55391.28</v>
      </c>
      <c r="O2164" s="312">
        <v>317210.58999999997</v>
      </c>
      <c r="P2164" s="312">
        <v>25650.57</v>
      </c>
      <c r="Q2164" s="312">
        <v>231653.21</v>
      </c>
      <c r="R2164" s="312">
        <v>215165.36000000002</v>
      </c>
    </row>
    <row r="2165" spans="6:18">
      <c r="F2165" t="s">
        <v>3929</v>
      </c>
      <c r="G2165" s="312">
        <v>87.18</v>
      </c>
      <c r="H2165" s="312">
        <v>501.64</v>
      </c>
      <c r="I2165" s="312">
        <v>75.88000000000001</v>
      </c>
      <c r="J2165" s="312">
        <v>591.9799999999999</v>
      </c>
      <c r="K2165" s="312">
        <v>693.13</v>
      </c>
      <c r="M2165" t="s">
        <v>3929</v>
      </c>
      <c r="N2165" s="312">
        <v>46968.020000000004</v>
      </c>
      <c r="O2165" s="312">
        <v>222836.92</v>
      </c>
      <c r="P2165" s="312">
        <v>55083.14</v>
      </c>
      <c r="Q2165" s="312">
        <v>311985.91000000003</v>
      </c>
      <c r="R2165" s="312">
        <v>262271.42</v>
      </c>
    </row>
    <row r="2166" spans="6:18">
      <c r="F2166" t="s">
        <v>3930</v>
      </c>
      <c r="G2166" s="312">
        <v>98.539999999999992</v>
      </c>
      <c r="H2166" s="312">
        <v>223.32000000000002</v>
      </c>
      <c r="I2166" s="312">
        <v>41.830000000000005</v>
      </c>
      <c r="J2166" s="312">
        <v>394.17</v>
      </c>
      <c r="K2166" s="312">
        <v>567.01</v>
      </c>
      <c r="M2166" t="s">
        <v>3930</v>
      </c>
      <c r="N2166" s="312">
        <v>52814.399999999994</v>
      </c>
      <c r="O2166" s="312">
        <v>151613.62</v>
      </c>
      <c r="P2166" s="312">
        <v>28264.959999999999</v>
      </c>
      <c r="Q2166" s="312">
        <v>206025.84999999998</v>
      </c>
      <c r="R2166" s="312">
        <v>191334.38999999998</v>
      </c>
    </row>
    <row r="2167" spans="6:18">
      <c r="F2167" t="s">
        <v>3931</v>
      </c>
      <c r="G2167" s="312">
        <v>125.05000000000001</v>
      </c>
      <c r="H2167" s="312">
        <v>176.06</v>
      </c>
      <c r="I2167" s="312">
        <v>19.8</v>
      </c>
      <c r="J2167" s="312">
        <v>291.13</v>
      </c>
      <c r="K2167" s="312">
        <v>543.13</v>
      </c>
      <c r="M2167" t="s">
        <v>3931</v>
      </c>
      <c r="N2167" s="312">
        <v>56948.58</v>
      </c>
      <c r="O2167" s="312">
        <v>151311.9</v>
      </c>
      <c r="P2167" s="312">
        <v>7429.5599999999995</v>
      </c>
      <c r="Q2167" s="312">
        <v>137025.49</v>
      </c>
      <c r="R2167" s="312">
        <v>141507.38</v>
      </c>
    </row>
    <row r="2168" spans="6:18">
      <c r="F2168" t="s">
        <v>3932</v>
      </c>
      <c r="G2168" s="312">
        <v>119.15</v>
      </c>
      <c r="H2168" s="312">
        <v>532.41999999999996</v>
      </c>
      <c r="I2168" s="312">
        <v>85.65</v>
      </c>
      <c r="J2168" s="312">
        <v>322.27999999999997</v>
      </c>
      <c r="K2168" s="312">
        <v>789.07999999999993</v>
      </c>
      <c r="M2168" t="s">
        <v>3932</v>
      </c>
      <c r="N2168" s="312">
        <v>112080.40000000001</v>
      </c>
      <c r="O2168" s="312">
        <v>220378.03</v>
      </c>
      <c r="P2168" s="312">
        <v>73205.98</v>
      </c>
      <c r="Q2168" s="312">
        <v>135583.79</v>
      </c>
      <c r="R2168" s="312">
        <v>283807.53000000003</v>
      </c>
    </row>
    <row r="2169" spans="6:18">
      <c r="F2169" t="s">
        <v>3933</v>
      </c>
      <c r="G2169" s="312">
        <v>116.21</v>
      </c>
      <c r="H2169" s="312">
        <v>574.38</v>
      </c>
      <c r="I2169" s="312">
        <v>110.2</v>
      </c>
      <c r="J2169" s="312">
        <v>452.40999999999997</v>
      </c>
      <c r="K2169" s="312">
        <v>726.03</v>
      </c>
      <c r="M2169" t="s">
        <v>3933</v>
      </c>
      <c r="N2169" s="312">
        <v>82716.149999999994</v>
      </c>
      <c r="O2169" s="312">
        <v>211720.89</v>
      </c>
      <c r="P2169" s="312">
        <v>70867.040000000008</v>
      </c>
      <c r="Q2169" s="312">
        <v>270906.51</v>
      </c>
      <c r="R2169" s="312">
        <v>298092.2</v>
      </c>
    </row>
    <row r="2170" spans="6:18">
      <c r="F2170" t="s">
        <v>3934</v>
      </c>
      <c r="G2170" s="312">
        <v>147.30000000000001</v>
      </c>
      <c r="H2170" s="312">
        <v>413.15000000000003</v>
      </c>
      <c r="I2170" s="312">
        <v>169.44</v>
      </c>
      <c r="J2170" s="312">
        <v>370.69</v>
      </c>
      <c r="K2170" s="312">
        <v>893.51</v>
      </c>
      <c r="M2170" t="s">
        <v>3934</v>
      </c>
      <c r="N2170" s="312">
        <v>89380.040000000008</v>
      </c>
      <c r="O2170" s="312">
        <v>191888.24</v>
      </c>
      <c r="P2170" s="312">
        <v>130677.87</v>
      </c>
      <c r="Q2170" s="312">
        <v>225449.34</v>
      </c>
      <c r="R2170" s="312">
        <v>291251.92</v>
      </c>
    </row>
    <row r="2171" spans="6:18">
      <c r="F2171" t="s">
        <v>3935</v>
      </c>
      <c r="G2171" s="312">
        <v>115.83</v>
      </c>
      <c r="H2171" s="312">
        <v>460.96</v>
      </c>
      <c r="I2171" s="312">
        <v>65.78</v>
      </c>
      <c r="J2171" s="312">
        <v>479.21000000000004</v>
      </c>
      <c r="K2171" s="312">
        <v>944.52</v>
      </c>
      <c r="M2171" t="s">
        <v>3935</v>
      </c>
      <c r="N2171" s="312">
        <v>57664.04</v>
      </c>
      <c r="O2171" s="312">
        <v>219413.92</v>
      </c>
      <c r="P2171" s="312">
        <v>49539.28</v>
      </c>
      <c r="Q2171" s="312">
        <v>188859.3</v>
      </c>
      <c r="R2171" s="312">
        <v>311496.95</v>
      </c>
    </row>
    <row r="2172" spans="6:18">
      <c r="F2172" t="s">
        <v>3936</v>
      </c>
      <c r="G2172" s="312">
        <v>126.31</v>
      </c>
      <c r="H2172" s="312">
        <v>364.15</v>
      </c>
      <c r="I2172" s="312">
        <v>111.28999999999999</v>
      </c>
      <c r="J2172" s="312">
        <v>444.33000000000004</v>
      </c>
      <c r="K2172" s="312">
        <v>869.93000000000006</v>
      </c>
      <c r="M2172" t="s">
        <v>3936</v>
      </c>
      <c r="N2172" s="312">
        <v>61637.17</v>
      </c>
      <c r="O2172" s="312">
        <v>127540.41</v>
      </c>
      <c r="P2172" s="312">
        <v>74824.12</v>
      </c>
      <c r="Q2172" s="312">
        <v>228565.78</v>
      </c>
      <c r="R2172" s="312">
        <v>256758.95</v>
      </c>
    </row>
    <row r="2173" spans="6:18">
      <c r="F2173" t="s">
        <v>3937</v>
      </c>
      <c r="G2173" s="312">
        <v>114</v>
      </c>
      <c r="H2173" s="312">
        <v>369.56</v>
      </c>
      <c r="I2173" s="312">
        <v>72.179999999999993</v>
      </c>
      <c r="J2173" s="312">
        <v>331.57</v>
      </c>
      <c r="K2173" s="312">
        <v>635.68999999999994</v>
      </c>
      <c r="M2173" t="s">
        <v>3937</v>
      </c>
      <c r="N2173" s="312">
        <v>80484.679999999993</v>
      </c>
      <c r="O2173" s="312">
        <v>170698.76</v>
      </c>
      <c r="P2173" s="312">
        <v>52938.36</v>
      </c>
      <c r="Q2173" s="312">
        <v>158214.00999999998</v>
      </c>
      <c r="R2173" s="312">
        <v>176907.48</v>
      </c>
    </row>
    <row r="2174" spans="6:18">
      <c r="F2174" t="s">
        <v>3938</v>
      </c>
      <c r="G2174" s="312">
        <v>95.99</v>
      </c>
      <c r="H2174" s="312">
        <v>393.02</v>
      </c>
      <c r="I2174" s="312">
        <v>19</v>
      </c>
      <c r="J2174" s="312">
        <v>265.67</v>
      </c>
      <c r="K2174" s="312">
        <v>710.07</v>
      </c>
      <c r="M2174" t="s">
        <v>3938</v>
      </c>
      <c r="N2174" s="312">
        <v>50058.85</v>
      </c>
      <c r="O2174" s="312">
        <v>211475.79</v>
      </c>
      <c r="P2174" s="312">
        <v>11471.560000000001</v>
      </c>
      <c r="Q2174" s="312">
        <v>144175.16</v>
      </c>
      <c r="R2174" s="312">
        <v>255867.44</v>
      </c>
    </row>
    <row r="2175" spans="6:18">
      <c r="F2175" t="s">
        <v>3939</v>
      </c>
      <c r="G2175" s="312">
        <v>160.58999999999997</v>
      </c>
      <c r="H2175" s="312">
        <v>494.53999999999996</v>
      </c>
      <c r="I2175" s="312">
        <v>66.740000000000009</v>
      </c>
      <c r="J2175" s="312">
        <v>286.89</v>
      </c>
      <c r="K2175" s="312">
        <v>853.28</v>
      </c>
      <c r="M2175" t="s">
        <v>3939</v>
      </c>
      <c r="N2175" s="312">
        <v>96147.24</v>
      </c>
      <c r="O2175" s="312">
        <v>183448.69</v>
      </c>
      <c r="P2175" s="312">
        <v>63159.85</v>
      </c>
      <c r="Q2175" s="312">
        <v>205143.72</v>
      </c>
      <c r="R2175" s="312">
        <v>289953.84999999998</v>
      </c>
    </row>
    <row r="2176" spans="6:18">
      <c r="F2176" t="s">
        <v>3940</v>
      </c>
      <c r="G2176" s="312">
        <v>152.31</v>
      </c>
      <c r="H2176" s="312">
        <v>553.75</v>
      </c>
      <c r="I2176" s="312">
        <v>131.30000000000001</v>
      </c>
      <c r="J2176" s="312">
        <v>358.75</v>
      </c>
      <c r="K2176" s="312">
        <v>886.3599999999999</v>
      </c>
      <c r="M2176" t="s">
        <v>3940</v>
      </c>
      <c r="N2176" s="312">
        <v>94989.209999999992</v>
      </c>
      <c r="O2176" s="312">
        <v>218136.68</v>
      </c>
      <c r="P2176" s="312">
        <v>94230.73</v>
      </c>
      <c r="Q2176" s="312">
        <v>185242.93</v>
      </c>
      <c r="R2176" s="312">
        <v>270001.26</v>
      </c>
    </row>
    <row r="2177" spans="6:18">
      <c r="F2177" t="s">
        <v>3941</v>
      </c>
      <c r="G2177" s="312">
        <v>160.44999999999999</v>
      </c>
      <c r="H2177" s="312">
        <v>461.65999999999997</v>
      </c>
      <c r="I2177" s="312">
        <v>107.35</v>
      </c>
      <c r="J2177" s="312">
        <v>314.43</v>
      </c>
      <c r="K2177" s="312">
        <v>942.92</v>
      </c>
      <c r="M2177" t="s">
        <v>3941</v>
      </c>
      <c r="N2177" s="312">
        <v>116468.34</v>
      </c>
      <c r="O2177" s="312">
        <v>216748.2</v>
      </c>
      <c r="P2177" s="312">
        <v>94589.86</v>
      </c>
      <c r="Q2177" s="312">
        <v>166080.85999999999</v>
      </c>
      <c r="R2177" s="312">
        <v>351459.48</v>
      </c>
    </row>
    <row r="2178" spans="6:18">
      <c r="F2178" t="s">
        <v>3942</v>
      </c>
      <c r="G2178" s="312">
        <v>97.4</v>
      </c>
      <c r="H2178" s="312">
        <v>466.81</v>
      </c>
      <c r="I2178" s="312">
        <v>80.16</v>
      </c>
      <c r="J2178" s="312">
        <v>422.6</v>
      </c>
      <c r="K2178" s="312">
        <v>995.38000000000011</v>
      </c>
      <c r="M2178" t="s">
        <v>3942</v>
      </c>
      <c r="N2178" s="312">
        <v>65224.11</v>
      </c>
      <c r="O2178" s="312">
        <v>178590.96</v>
      </c>
      <c r="P2178" s="312">
        <v>106966.55</v>
      </c>
      <c r="Q2178" s="312">
        <v>292647.79000000004</v>
      </c>
      <c r="R2178" s="312">
        <v>334919.53000000003</v>
      </c>
    </row>
    <row r="2179" spans="6:18">
      <c r="F2179" t="s">
        <v>3943</v>
      </c>
      <c r="G2179" s="312">
        <v>117.12</v>
      </c>
      <c r="H2179" s="312">
        <v>377.65</v>
      </c>
      <c r="I2179" s="312">
        <v>99.85</v>
      </c>
      <c r="J2179" s="312">
        <v>444.53999999999996</v>
      </c>
      <c r="K2179" s="312">
        <v>876.33</v>
      </c>
      <c r="M2179" t="s">
        <v>3943</v>
      </c>
      <c r="N2179" s="312">
        <v>58453.67</v>
      </c>
      <c r="O2179" s="312">
        <v>178502.90000000002</v>
      </c>
      <c r="P2179" s="312">
        <v>110069.56</v>
      </c>
      <c r="Q2179" s="312">
        <v>191644.41</v>
      </c>
      <c r="R2179" s="312">
        <v>298781.94</v>
      </c>
    </row>
    <row r="2180" spans="6:18">
      <c r="F2180" t="s">
        <v>3944</v>
      </c>
      <c r="G2180" s="312">
        <v>106.97999999999999</v>
      </c>
      <c r="H2180" s="312">
        <v>303.52999999999997</v>
      </c>
      <c r="I2180" s="312">
        <v>73.84</v>
      </c>
      <c r="J2180" s="312">
        <v>279.24</v>
      </c>
      <c r="K2180" s="312">
        <v>776.01</v>
      </c>
      <c r="M2180" t="s">
        <v>3944</v>
      </c>
      <c r="N2180" s="312">
        <v>72133.41</v>
      </c>
      <c r="O2180" s="312">
        <v>127308.66</v>
      </c>
      <c r="P2180" s="312">
        <v>75047.490000000005</v>
      </c>
      <c r="Q2180" s="312">
        <v>111290.20999999999</v>
      </c>
      <c r="R2180" s="312">
        <v>212671.75</v>
      </c>
    </row>
    <row r="2181" spans="6:18">
      <c r="F2181" t="s">
        <v>3945</v>
      </c>
      <c r="G2181" s="312">
        <v>131.38999999999999</v>
      </c>
      <c r="H2181" s="312">
        <v>224.07</v>
      </c>
      <c r="I2181" s="312">
        <v>29.27</v>
      </c>
      <c r="J2181" s="312">
        <v>260.84000000000003</v>
      </c>
      <c r="K2181" s="312">
        <v>618.66</v>
      </c>
      <c r="M2181" t="s">
        <v>3945</v>
      </c>
      <c r="N2181" s="312">
        <v>60136.37</v>
      </c>
      <c r="O2181" s="312">
        <v>98796.3</v>
      </c>
      <c r="P2181" s="312">
        <v>13269.41</v>
      </c>
      <c r="Q2181" s="312">
        <v>120031.03</v>
      </c>
      <c r="R2181" s="312">
        <v>176249.52000000002</v>
      </c>
    </row>
    <row r="2182" spans="6:18">
      <c r="F2182" t="s">
        <v>3946</v>
      </c>
      <c r="G2182" s="312">
        <v>179.70000000000002</v>
      </c>
      <c r="H2182" s="312">
        <v>494.68</v>
      </c>
      <c r="I2182" s="312">
        <v>87.93</v>
      </c>
      <c r="J2182" s="312">
        <v>288.99</v>
      </c>
      <c r="K2182" s="312">
        <v>768.71999999999991</v>
      </c>
      <c r="M2182" t="s">
        <v>3946</v>
      </c>
      <c r="N2182" s="312">
        <v>119627.71</v>
      </c>
      <c r="O2182" s="312">
        <v>211249.59</v>
      </c>
      <c r="P2182" s="312">
        <v>76512.850000000006</v>
      </c>
      <c r="Q2182" s="312">
        <v>148221.42000000001</v>
      </c>
      <c r="R2182" s="312">
        <v>232909.02</v>
      </c>
    </row>
    <row r="2183" spans="6:18">
      <c r="F2183" t="s">
        <v>3947</v>
      </c>
      <c r="G2183" s="312">
        <v>120.35999999999999</v>
      </c>
      <c r="H2183" s="312">
        <v>344.90999999999997</v>
      </c>
      <c r="I2183" s="312">
        <v>108.52</v>
      </c>
      <c r="J2183" s="312">
        <v>462.57000000000005</v>
      </c>
      <c r="K2183" s="312">
        <v>867.32999999999993</v>
      </c>
      <c r="M2183" t="s">
        <v>3947</v>
      </c>
      <c r="N2183" s="312">
        <v>72725</v>
      </c>
      <c r="O2183" s="312">
        <v>207210.83</v>
      </c>
      <c r="P2183" s="312">
        <v>69362.710000000006</v>
      </c>
      <c r="Q2183" s="312">
        <v>203808.17</v>
      </c>
      <c r="R2183" s="312">
        <v>250972</v>
      </c>
    </row>
    <row r="2184" spans="6:18">
      <c r="F2184" t="s">
        <v>3948</v>
      </c>
      <c r="G2184" s="312">
        <v>109.81</v>
      </c>
      <c r="H2184" s="312">
        <v>298.51</v>
      </c>
      <c r="I2184" s="312">
        <v>112.68</v>
      </c>
      <c r="J2184" s="312">
        <v>428.44</v>
      </c>
      <c r="K2184" s="312">
        <v>792.69</v>
      </c>
      <c r="M2184" t="s">
        <v>3948</v>
      </c>
      <c r="N2184" s="312">
        <v>69346.759999999995</v>
      </c>
      <c r="O2184" s="312">
        <v>158081.17000000001</v>
      </c>
      <c r="P2184" s="312">
        <v>124127.76000000001</v>
      </c>
      <c r="Q2184" s="312">
        <v>206843.02000000002</v>
      </c>
      <c r="R2184" s="312">
        <v>283975.69</v>
      </c>
    </row>
    <row r="2185" spans="6:18">
      <c r="F2185" t="s">
        <v>3949</v>
      </c>
      <c r="G2185" s="312">
        <v>88.800000000000011</v>
      </c>
      <c r="H2185" s="312">
        <v>298.36</v>
      </c>
      <c r="I2185" s="312">
        <v>68.91</v>
      </c>
      <c r="J2185" s="312">
        <v>512.49</v>
      </c>
      <c r="K2185" s="312">
        <v>801.94</v>
      </c>
      <c r="M2185" t="s">
        <v>3949</v>
      </c>
      <c r="N2185" s="312">
        <v>62840.659999999996</v>
      </c>
      <c r="O2185" s="312">
        <v>171011.05000000002</v>
      </c>
      <c r="P2185" s="312">
        <v>51260.09</v>
      </c>
      <c r="Q2185" s="312">
        <v>254488.45</v>
      </c>
      <c r="R2185" s="312">
        <v>306017.14</v>
      </c>
    </row>
    <row r="2186" spans="6:18">
      <c r="F2186" t="s">
        <v>3950</v>
      </c>
      <c r="G2186" s="312">
        <v>113.59</v>
      </c>
      <c r="H2186" s="312">
        <v>210.12</v>
      </c>
      <c r="I2186" s="312">
        <v>66.31</v>
      </c>
      <c r="J2186" s="312">
        <v>268.17</v>
      </c>
      <c r="K2186" s="312">
        <v>729.09</v>
      </c>
      <c r="M2186" t="s">
        <v>3950</v>
      </c>
      <c r="N2186" s="312">
        <v>65657.38</v>
      </c>
      <c r="O2186" s="312">
        <v>86702.45</v>
      </c>
      <c r="P2186" s="312">
        <v>46313.48</v>
      </c>
      <c r="Q2186" s="312">
        <v>188544.21000000002</v>
      </c>
      <c r="R2186" s="312">
        <v>252539.06</v>
      </c>
    </row>
    <row r="2187" spans="6:18">
      <c r="F2187" t="s">
        <v>3951</v>
      </c>
      <c r="G2187" s="312">
        <v>120.48</v>
      </c>
      <c r="H2187" s="312">
        <v>181.13</v>
      </c>
      <c r="I2187" s="312">
        <v>50.33</v>
      </c>
      <c r="J2187" s="312">
        <v>229.53</v>
      </c>
      <c r="K2187" s="312">
        <v>380.43</v>
      </c>
      <c r="M2187" t="s">
        <v>3951</v>
      </c>
      <c r="N2187" s="312">
        <v>69873.39</v>
      </c>
      <c r="O2187" s="312">
        <v>103567.26</v>
      </c>
      <c r="P2187" s="312">
        <v>42368.630000000005</v>
      </c>
      <c r="Q2187" s="312">
        <v>99670.65</v>
      </c>
      <c r="R2187" s="312">
        <v>158681</v>
      </c>
    </row>
    <row r="2188" spans="6:18">
      <c r="F2188" t="s">
        <v>3952</v>
      </c>
      <c r="G2188" s="312">
        <v>138.73000000000002</v>
      </c>
      <c r="H2188" s="312">
        <v>135.69</v>
      </c>
      <c r="I2188" s="312">
        <v>12.45</v>
      </c>
      <c r="J2188" s="312">
        <v>119.44</v>
      </c>
      <c r="K2188" s="312">
        <v>435.53</v>
      </c>
      <c r="M2188" t="s">
        <v>3952</v>
      </c>
      <c r="N2188" s="312">
        <v>74147.739999999991</v>
      </c>
      <c r="O2188" s="312">
        <v>88252.26</v>
      </c>
      <c r="P2188" s="312">
        <v>15676.490000000002</v>
      </c>
      <c r="Q2188" s="312">
        <v>73998.990000000005</v>
      </c>
      <c r="R2188" s="312">
        <v>163389.37</v>
      </c>
    </row>
    <row r="2189" spans="6:18">
      <c r="F2189" t="s">
        <v>3953</v>
      </c>
      <c r="G2189" s="312">
        <v>116.10000000000001</v>
      </c>
      <c r="H2189" s="312">
        <v>158.03</v>
      </c>
      <c r="I2189" s="312">
        <v>8.4700000000000006</v>
      </c>
      <c r="J2189" s="312">
        <v>74.42</v>
      </c>
      <c r="K2189" s="312">
        <v>542.80999999999995</v>
      </c>
      <c r="M2189" t="s">
        <v>3953</v>
      </c>
      <c r="N2189" s="312">
        <v>45236.590000000004</v>
      </c>
      <c r="O2189" s="312">
        <v>77276.87</v>
      </c>
      <c r="P2189" s="312">
        <v>5877.58</v>
      </c>
      <c r="Q2189" s="312">
        <v>42572.91</v>
      </c>
      <c r="R2189" s="312">
        <v>202161.33000000002</v>
      </c>
    </row>
    <row r="2190" spans="6:18">
      <c r="F2190" t="s">
        <v>3954</v>
      </c>
      <c r="G2190" s="312">
        <v>91.63</v>
      </c>
      <c r="H2190" s="312">
        <v>252.43</v>
      </c>
      <c r="I2190" s="312">
        <v>26.67</v>
      </c>
      <c r="J2190" s="312">
        <v>187.28</v>
      </c>
      <c r="K2190" s="312">
        <v>898.46</v>
      </c>
      <c r="M2190" t="s">
        <v>3954</v>
      </c>
      <c r="N2190" s="312">
        <v>59543.03</v>
      </c>
      <c r="O2190" s="312">
        <v>126082.37</v>
      </c>
      <c r="P2190" s="312">
        <v>14487.869999999999</v>
      </c>
      <c r="Q2190" s="312">
        <v>94002.78</v>
      </c>
      <c r="R2190" s="312">
        <v>338803.52</v>
      </c>
    </row>
    <row r="2191" spans="6:18">
      <c r="F2191" t="s">
        <v>3955</v>
      </c>
      <c r="G2191" s="312">
        <v>149.75</v>
      </c>
      <c r="H2191" s="312">
        <v>370.66999999999996</v>
      </c>
      <c r="I2191" s="312">
        <v>56.21</v>
      </c>
      <c r="J2191" s="312">
        <v>364.17</v>
      </c>
      <c r="K2191" s="312">
        <v>877.96</v>
      </c>
      <c r="M2191" t="s">
        <v>3955</v>
      </c>
      <c r="N2191" s="312">
        <v>70433.38</v>
      </c>
      <c r="O2191" s="312">
        <v>217592.77</v>
      </c>
      <c r="P2191" s="312">
        <v>72826.049999999988</v>
      </c>
      <c r="Q2191" s="312">
        <v>171190.89</v>
      </c>
      <c r="R2191" s="312">
        <v>301859.41000000003</v>
      </c>
    </row>
    <row r="2192" spans="6:18">
      <c r="F2192" t="s">
        <v>3956</v>
      </c>
      <c r="G2192" s="312">
        <v>110.39000000000001</v>
      </c>
      <c r="H2192" s="312">
        <v>240.45</v>
      </c>
      <c r="I2192" s="312">
        <v>168.47</v>
      </c>
      <c r="J2192" s="312">
        <v>406.29</v>
      </c>
      <c r="K2192" s="312">
        <v>889.69</v>
      </c>
      <c r="M2192" t="s">
        <v>3956</v>
      </c>
      <c r="N2192" s="312">
        <v>54092.23</v>
      </c>
      <c r="O2192" s="312">
        <v>85760.21</v>
      </c>
      <c r="P2192" s="312">
        <v>117656</v>
      </c>
      <c r="Q2192" s="312">
        <v>271498.19</v>
      </c>
      <c r="R2192" s="312">
        <v>309679.69</v>
      </c>
    </row>
    <row r="2193" spans="6:18">
      <c r="F2193" t="s">
        <v>3957</v>
      </c>
      <c r="G2193" s="312">
        <v>65.569999999999993</v>
      </c>
      <c r="H2193" s="312">
        <v>321.96999999999997</v>
      </c>
      <c r="I2193" s="312">
        <v>144.46</v>
      </c>
      <c r="J2193" s="312">
        <v>317.57</v>
      </c>
      <c r="K2193" s="312">
        <v>917.54</v>
      </c>
      <c r="M2193" t="s">
        <v>3957</v>
      </c>
      <c r="N2193" s="312">
        <v>43026.759999999995</v>
      </c>
      <c r="O2193" s="312">
        <v>109710.98</v>
      </c>
      <c r="P2193" s="312">
        <v>117272.6</v>
      </c>
      <c r="Q2193" s="312">
        <v>146128.60999999999</v>
      </c>
      <c r="R2193" s="312">
        <v>334255.16000000003</v>
      </c>
    </row>
    <row r="2194" spans="6:18">
      <c r="F2194" t="s">
        <v>3958</v>
      </c>
      <c r="G2194" s="312">
        <v>88.570000000000007</v>
      </c>
      <c r="H2194" s="312">
        <v>213.95000000000002</v>
      </c>
      <c r="I2194" s="312">
        <v>122.46000000000001</v>
      </c>
      <c r="J2194" s="312">
        <v>273.73</v>
      </c>
      <c r="K2194" s="312">
        <v>548.95000000000005</v>
      </c>
      <c r="M2194" t="s">
        <v>3958</v>
      </c>
      <c r="N2194" s="312">
        <v>44463.96</v>
      </c>
      <c r="O2194" s="312">
        <v>89513.12999999999</v>
      </c>
      <c r="P2194" s="312">
        <v>68397.22</v>
      </c>
      <c r="Q2194" s="312">
        <v>132552.29999999999</v>
      </c>
      <c r="R2194" s="312">
        <v>234470.84</v>
      </c>
    </row>
    <row r="2195" spans="6:18">
      <c r="F2195" t="s">
        <v>3959</v>
      </c>
      <c r="G2195" s="312">
        <v>56.91</v>
      </c>
      <c r="H2195" s="312">
        <v>153.47</v>
      </c>
      <c r="I2195" s="312">
        <v>12.73</v>
      </c>
      <c r="J2195" s="312">
        <v>217.61</v>
      </c>
      <c r="K2195" s="312">
        <v>491.13</v>
      </c>
      <c r="M2195" t="s">
        <v>3959</v>
      </c>
      <c r="N2195" s="312">
        <v>28874.620000000003</v>
      </c>
      <c r="O2195" s="312">
        <v>85272.290000000008</v>
      </c>
      <c r="P2195" s="312">
        <v>10124.209999999999</v>
      </c>
      <c r="Q2195" s="312">
        <v>107696.06</v>
      </c>
      <c r="R2195" s="312">
        <v>151015.07</v>
      </c>
    </row>
    <row r="2196" spans="6:18">
      <c r="F2196" t="s">
        <v>3960</v>
      </c>
      <c r="G2196" s="312">
        <v>27.71</v>
      </c>
      <c r="H2196" s="312">
        <v>165.4</v>
      </c>
      <c r="I2196" s="312">
        <v>7.129999999999999</v>
      </c>
      <c r="J2196" s="312">
        <v>56.460000000000008</v>
      </c>
      <c r="K2196" s="312">
        <v>427.74</v>
      </c>
      <c r="M2196" t="s">
        <v>3960</v>
      </c>
      <c r="N2196" s="312">
        <v>10876.85</v>
      </c>
      <c r="O2196" s="312">
        <v>87286.390000000014</v>
      </c>
      <c r="P2196" s="312">
        <v>4008.08</v>
      </c>
      <c r="Q2196" s="312">
        <v>22778.239999999998</v>
      </c>
      <c r="R2196" s="312">
        <v>178072.53</v>
      </c>
    </row>
    <row r="2197" spans="6:18">
      <c r="F2197" t="s">
        <v>3961</v>
      </c>
      <c r="G2197" s="312">
        <v>158.71</v>
      </c>
      <c r="H2197" s="312">
        <v>265.67</v>
      </c>
      <c r="I2197" s="312">
        <v>109.4</v>
      </c>
      <c r="J2197" s="312">
        <v>304.06</v>
      </c>
      <c r="K2197" s="312">
        <v>571.40000000000009</v>
      </c>
      <c r="M2197" t="s">
        <v>3961</v>
      </c>
      <c r="N2197" s="312">
        <v>125781.97</v>
      </c>
      <c r="O2197" s="312">
        <v>129425.34000000001</v>
      </c>
      <c r="P2197" s="312">
        <v>81527.23</v>
      </c>
      <c r="Q2197" s="312">
        <v>190829.93</v>
      </c>
      <c r="R2197" s="312">
        <v>227521.77</v>
      </c>
    </row>
    <row r="2198" spans="6:18">
      <c r="F2198" t="s">
        <v>3962</v>
      </c>
      <c r="G2198" s="312">
        <v>171.27</v>
      </c>
      <c r="H2198" s="312">
        <v>289.33</v>
      </c>
      <c r="I2198" s="312">
        <v>109.28999999999999</v>
      </c>
      <c r="J2198" s="312">
        <v>362.88</v>
      </c>
      <c r="K2198" s="312">
        <v>515.27</v>
      </c>
      <c r="M2198" t="s">
        <v>3962</v>
      </c>
      <c r="N2198" s="312">
        <v>84557.26</v>
      </c>
      <c r="O2198" s="312">
        <v>148660.16999999998</v>
      </c>
      <c r="P2198" s="312">
        <v>83501.840000000011</v>
      </c>
      <c r="Q2198" s="312">
        <v>118479.75</v>
      </c>
      <c r="R2198" s="312">
        <v>225959.83</v>
      </c>
    </row>
    <row r="2199" spans="6:18">
      <c r="F2199" t="s">
        <v>3963</v>
      </c>
      <c r="G2199" s="312">
        <v>88.37</v>
      </c>
      <c r="H2199" s="312">
        <v>347.24</v>
      </c>
      <c r="I2199" s="312">
        <v>125.16</v>
      </c>
      <c r="J2199" s="312">
        <v>333.52</v>
      </c>
      <c r="K2199" s="312">
        <v>657.19</v>
      </c>
      <c r="M2199" t="s">
        <v>3963</v>
      </c>
      <c r="N2199" s="312">
        <v>33749.07</v>
      </c>
      <c r="O2199" s="312">
        <v>144743.88</v>
      </c>
      <c r="P2199" s="312">
        <v>97658.97</v>
      </c>
      <c r="Q2199" s="312">
        <v>153295.51</v>
      </c>
      <c r="R2199" s="312">
        <v>231375.13</v>
      </c>
    </row>
    <row r="2200" spans="6:18">
      <c r="F2200" t="s">
        <v>3964</v>
      </c>
      <c r="G2200" s="312">
        <v>158.65</v>
      </c>
      <c r="H2200" s="312">
        <v>241.06</v>
      </c>
      <c r="I2200" s="312">
        <v>72.77</v>
      </c>
      <c r="J2200" s="312">
        <v>418.17</v>
      </c>
      <c r="K2200" s="312">
        <v>713.83</v>
      </c>
      <c r="M2200" t="s">
        <v>3964</v>
      </c>
      <c r="N2200" s="312">
        <v>73287.990000000005</v>
      </c>
      <c r="O2200" s="312">
        <v>114246.35</v>
      </c>
      <c r="P2200" s="312">
        <v>74820.63</v>
      </c>
      <c r="Q2200" s="312">
        <v>191015.13</v>
      </c>
      <c r="R2200" s="312">
        <v>234116.64</v>
      </c>
    </row>
    <row r="2201" spans="6:18">
      <c r="F2201" t="s">
        <v>3965</v>
      </c>
      <c r="G2201" s="312">
        <v>141.55000000000001</v>
      </c>
      <c r="H2201" s="312">
        <v>122.2</v>
      </c>
      <c r="I2201" s="312">
        <v>74.430000000000007</v>
      </c>
      <c r="J2201" s="312">
        <v>329.53999999999996</v>
      </c>
      <c r="K2201" s="312">
        <v>442.07000000000005</v>
      </c>
      <c r="M2201" t="s">
        <v>3965</v>
      </c>
      <c r="N2201" s="312">
        <v>84406.489999999991</v>
      </c>
      <c r="O2201" s="312">
        <v>51948.800000000003</v>
      </c>
      <c r="P2201" s="312">
        <v>48043.9</v>
      </c>
      <c r="Q2201" s="312">
        <v>151124.76999999999</v>
      </c>
      <c r="R2201" s="312">
        <v>158502.5</v>
      </c>
    </row>
    <row r="2202" spans="6:18">
      <c r="F2202" t="s">
        <v>3966</v>
      </c>
      <c r="G2202" s="312">
        <v>140.94999999999999</v>
      </c>
      <c r="H2202" s="312">
        <v>176.44</v>
      </c>
      <c r="I2202" s="312">
        <v>28.22</v>
      </c>
      <c r="J2202" s="312">
        <v>246.81</v>
      </c>
      <c r="K2202" s="312">
        <v>392.65</v>
      </c>
      <c r="M2202" t="s">
        <v>3966</v>
      </c>
      <c r="N2202" s="312">
        <v>71120.289999999994</v>
      </c>
      <c r="O2202" s="312">
        <v>120854.41</v>
      </c>
      <c r="P2202" s="312">
        <v>13780.46</v>
      </c>
      <c r="Q2202" s="312">
        <v>96347.79</v>
      </c>
      <c r="R2202" s="312">
        <v>134407.44</v>
      </c>
    </row>
    <row r="2203" spans="6:18">
      <c r="F2203" t="s">
        <v>3967</v>
      </c>
      <c r="G2203" s="312">
        <v>115.7</v>
      </c>
      <c r="H2203" s="312">
        <v>287.3</v>
      </c>
      <c r="I2203" s="312">
        <v>92.61999999999999</v>
      </c>
      <c r="J2203" s="312">
        <v>333.17</v>
      </c>
      <c r="K2203" s="312">
        <v>586.68999999999994</v>
      </c>
      <c r="M2203" t="s">
        <v>3967</v>
      </c>
      <c r="N2203" s="312">
        <v>48646.69</v>
      </c>
      <c r="O2203" s="312">
        <v>128538.48</v>
      </c>
      <c r="P2203" s="312">
        <v>69158.98</v>
      </c>
      <c r="Q2203" s="312">
        <v>155107.81999999998</v>
      </c>
      <c r="R2203" s="312">
        <v>198441.27000000002</v>
      </c>
    </row>
    <row r="2204" spans="6:18">
      <c r="F2204" t="s">
        <v>3968</v>
      </c>
      <c r="G2204" s="312">
        <v>126.02</v>
      </c>
      <c r="H2204" s="312">
        <v>202.73</v>
      </c>
      <c r="I2204" s="312">
        <v>132.70000000000002</v>
      </c>
      <c r="J2204" s="312">
        <v>481.29</v>
      </c>
      <c r="K2204" s="312">
        <v>600.73</v>
      </c>
      <c r="M2204" t="s">
        <v>3968</v>
      </c>
      <c r="N2204" s="312">
        <v>70570.13</v>
      </c>
      <c r="O2204" s="312">
        <v>131964.54</v>
      </c>
      <c r="P2204" s="312">
        <v>86642.47</v>
      </c>
      <c r="Q2204" s="312">
        <v>211369.92</v>
      </c>
      <c r="R2204" s="312">
        <v>202199.96</v>
      </c>
    </row>
    <row r="2205" spans="6:18">
      <c r="F2205" t="s">
        <v>3969</v>
      </c>
      <c r="G2205" s="312">
        <v>78.34</v>
      </c>
      <c r="H2205" s="312">
        <v>301.93</v>
      </c>
      <c r="I2205" s="312">
        <v>91.22999999999999</v>
      </c>
      <c r="J2205" s="312">
        <v>444.01</v>
      </c>
      <c r="K2205" s="312">
        <v>549.41999999999996</v>
      </c>
      <c r="M2205" t="s">
        <v>3969</v>
      </c>
      <c r="N2205" s="312">
        <v>35384.840000000004</v>
      </c>
      <c r="O2205" s="312">
        <v>173993.86000000002</v>
      </c>
      <c r="P2205" s="312">
        <v>111496.91</v>
      </c>
      <c r="Q2205" s="312">
        <v>240974.54</v>
      </c>
      <c r="R2205" s="312">
        <v>193512.34</v>
      </c>
    </row>
    <row r="2206" spans="6:18">
      <c r="F2206" t="s">
        <v>3970</v>
      </c>
      <c r="G2206" s="312">
        <v>106.21</v>
      </c>
      <c r="H2206" s="312">
        <v>295.8</v>
      </c>
      <c r="I2206" s="312">
        <v>104.12</v>
      </c>
      <c r="J2206" s="312">
        <v>381.21</v>
      </c>
      <c r="K2206" s="312">
        <v>791.56</v>
      </c>
      <c r="M2206" t="s">
        <v>3970</v>
      </c>
      <c r="N2206" s="312">
        <v>52459.5</v>
      </c>
      <c r="O2206" s="312">
        <v>188987.41</v>
      </c>
      <c r="P2206" s="312">
        <v>66785.78</v>
      </c>
      <c r="Q2206" s="312">
        <v>175595.92</v>
      </c>
      <c r="R2206" s="312">
        <v>280967.79000000004</v>
      </c>
    </row>
    <row r="2207" spans="6:18">
      <c r="F2207" t="s">
        <v>3971</v>
      </c>
      <c r="G2207" s="312">
        <v>134.87</v>
      </c>
      <c r="H2207" s="312">
        <v>300.69</v>
      </c>
      <c r="I2207" s="312">
        <v>120.49000000000001</v>
      </c>
      <c r="J2207" s="312">
        <v>324.06</v>
      </c>
      <c r="K2207" s="312">
        <v>660.49</v>
      </c>
      <c r="M2207" t="s">
        <v>3971</v>
      </c>
      <c r="N2207" s="312">
        <v>74312.489999999991</v>
      </c>
      <c r="O2207" s="312">
        <v>132450.78</v>
      </c>
      <c r="P2207" s="312">
        <v>75250.240000000005</v>
      </c>
      <c r="Q2207" s="312">
        <v>181937.09</v>
      </c>
      <c r="R2207" s="312">
        <v>231610.72999999998</v>
      </c>
    </row>
    <row r="2208" spans="6:18">
      <c r="F2208" t="s">
        <v>3972</v>
      </c>
      <c r="G2208" s="312">
        <v>98.81</v>
      </c>
      <c r="H2208" s="312">
        <v>206.59</v>
      </c>
      <c r="I2208" s="312">
        <v>71.66</v>
      </c>
      <c r="J2208" s="312">
        <v>264.58999999999997</v>
      </c>
      <c r="K2208" s="312">
        <v>533.52</v>
      </c>
      <c r="M2208" t="s">
        <v>3972</v>
      </c>
      <c r="N2208" s="312">
        <v>52608.03</v>
      </c>
      <c r="O2208" s="312">
        <v>129169.18</v>
      </c>
      <c r="P2208" s="312">
        <v>36765.160000000003</v>
      </c>
      <c r="Q2208" s="312">
        <v>106601.91</v>
      </c>
      <c r="R2208" s="312">
        <v>249448.44</v>
      </c>
    </row>
    <row r="2209" spans="6:18">
      <c r="F2209" t="s">
        <v>3973</v>
      </c>
      <c r="G2209" s="312">
        <v>113.1</v>
      </c>
      <c r="H2209" s="312">
        <v>156.59</v>
      </c>
      <c r="I2209" s="312">
        <v>33.950000000000003</v>
      </c>
      <c r="J2209" s="312">
        <v>232.66</v>
      </c>
      <c r="K2209" s="312">
        <v>420.34999999999997</v>
      </c>
      <c r="M2209" t="s">
        <v>3973</v>
      </c>
      <c r="N2209" s="312">
        <v>45183.619999999995</v>
      </c>
      <c r="O2209" s="312">
        <v>63642.770000000004</v>
      </c>
      <c r="P2209" s="312">
        <v>22076.32</v>
      </c>
      <c r="Q2209" s="312">
        <v>108281.7</v>
      </c>
      <c r="R2209" s="312">
        <v>143274.85999999999</v>
      </c>
    </row>
    <row r="2210" spans="6:18">
      <c r="F2210" t="s">
        <v>3974</v>
      </c>
      <c r="G2210" s="312">
        <v>87.72999999999999</v>
      </c>
      <c r="H2210" s="312">
        <v>289.18</v>
      </c>
      <c r="I2210" s="312">
        <v>130.94999999999999</v>
      </c>
      <c r="J2210" s="312">
        <v>435.70000000000005</v>
      </c>
      <c r="K2210" s="312">
        <v>531.38</v>
      </c>
      <c r="M2210" t="s">
        <v>3974</v>
      </c>
      <c r="N2210" s="312">
        <v>40609.760000000002</v>
      </c>
      <c r="O2210" s="312">
        <v>169805.03</v>
      </c>
      <c r="P2210" s="312">
        <v>121318.94</v>
      </c>
      <c r="Q2210" s="312">
        <v>207285.96</v>
      </c>
      <c r="R2210" s="312">
        <v>152157.10999999999</v>
      </c>
    </row>
    <row r="2211" spans="6:18">
      <c r="F2211" t="s">
        <v>3975</v>
      </c>
      <c r="G2211" s="312">
        <v>144.82</v>
      </c>
      <c r="H2211" s="312">
        <v>222.52999999999997</v>
      </c>
      <c r="I2211" s="312">
        <v>130.68</v>
      </c>
      <c r="J2211" s="312">
        <v>474.81</v>
      </c>
      <c r="K2211" s="312">
        <v>586.11</v>
      </c>
      <c r="M2211" t="s">
        <v>3975</v>
      </c>
      <c r="N2211" s="312">
        <v>65037.91</v>
      </c>
      <c r="O2211" s="312">
        <v>106626.32</v>
      </c>
      <c r="P2211" s="312">
        <v>83800.88</v>
      </c>
      <c r="Q2211" s="312">
        <v>232656.75</v>
      </c>
      <c r="R2211" s="312">
        <v>210238.69999999998</v>
      </c>
    </row>
    <row r="2212" spans="6:18">
      <c r="F2212" t="s">
        <v>3976</v>
      </c>
      <c r="G2212" s="312">
        <v>177.28</v>
      </c>
      <c r="H2212" s="312">
        <v>250.14</v>
      </c>
      <c r="I2212" s="312">
        <v>89.4</v>
      </c>
      <c r="J2212" s="312">
        <v>355.07</v>
      </c>
      <c r="K2212" s="312">
        <v>573.9</v>
      </c>
      <c r="M2212" t="s">
        <v>3976</v>
      </c>
      <c r="N2212" s="312">
        <v>80711.819999999992</v>
      </c>
      <c r="O2212" s="312">
        <v>161418.88999999998</v>
      </c>
      <c r="P2212" s="312">
        <v>86682.090000000011</v>
      </c>
      <c r="Q2212" s="312">
        <v>216405.47</v>
      </c>
      <c r="R2212" s="312">
        <v>205773.32</v>
      </c>
    </row>
    <row r="2213" spans="6:18">
      <c r="F2213" t="s">
        <v>3977</v>
      </c>
      <c r="G2213" s="312">
        <v>83.19</v>
      </c>
      <c r="H2213" s="312">
        <v>214.33</v>
      </c>
      <c r="I2213" s="312">
        <v>45.629999999999995</v>
      </c>
      <c r="J2213" s="312">
        <v>379.16999999999996</v>
      </c>
      <c r="K2213" s="312">
        <v>440.67</v>
      </c>
      <c r="M2213" t="s">
        <v>3977</v>
      </c>
      <c r="N2213" s="312">
        <v>41859.230000000003</v>
      </c>
      <c r="O2213" s="312">
        <v>120182.73999999999</v>
      </c>
      <c r="P2213" s="312">
        <v>45224.2</v>
      </c>
      <c r="Q2213" s="312">
        <v>200719.76</v>
      </c>
      <c r="R2213" s="312">
        <v>163322.14000000001</v>
      </c>
    </row>
    <row r="2214" spans="6:18">
      <c r="F2214" t="s">
        <v>3978</v>
      </c>
      <c r="G2214" s="312">
        <v>113.67</v>
      </c>
      <c r="H2214" s="312">
        <v>234.24</v>
      </c>
      <c r="I2214" s="312">
        <v>48.85</v>
      </c>
      <c r="J2214" s="312">
        <v>384.06</v>
      </c>
      <c r="K2214" s="312">
        <v>564.16</v>
      </c>
      <c r="M2214" t="s">
        <v>3978</v>
      </c>
      <c r="N2214" s="312">
        <v>65332.439999999995</v>
      </c>
      <c r="O2214" s="312">
        <v>131166</v>
      </c>
      <c r="P2214" s="312">
        <v>43311.05</v>
      </c>
      <c r="Q2214" s="312">
        <v>256014.52</v>
      </c>
      <c r="R2214" s="312">
        <v>217160.2</v>
      </c>
    </row>
    <row r="2215" spans="6:18">
      <c r="F2215" t="s">
        <v>3979</v>
      </c>
      <c r="G2215" s="312">
        <v>148.22</v>
      </c>
      <c r="H2215" s="312">
        <v>202.01</v>
      </c>
      <c r="I2215" s="312">
        <v>75.070000000000007</v>
      </c>
      <c r="J2215" s="312">
        <v>212.93</v>
      </c>
      <c r="K2215" s="312">
        <v>505.74</v>
      </c>
      <c r="M2215" t="s">
        <v>3979</v>
      </c>
      <c r="N2215" s="312">
        <v>65787.819999999992</v>
      </c>
      <c r="O2215" s="312">
        <v>154384.69999999998</v>
      </c>
      <c r="P2215" s="312">
        <v>46427.460000000006</v>
      </c>
      <c r="Q2215" s="312">
        <v>106575.21</v>
      </c>
      <c r="R2215" s="312">
        <v>167489.89000000001</v>
      </c>
    </row>
    <row r="2216" spans="6:18">
      <c r="F2216" t="s">
        <v>3980</v>
      </c>
      <c r="G2216" s="312">
        <v>121.78</v>
      </c>
      <c r="H2216" s="312">
        <v>206.16</v>
      </c>
      <c r="I2216" s="312">
        <v>17</v>
      </c>
      <c r="J2216" s="312">
        <v>246.21999999999997</v>
      </c>
      <c r="K2216" s="312">
        <v>335.21</v>
      </c>
      <c r="M2216" t="s">
        <v>3980</v>
      </c>
      <c r="N2216" s="312">
        <v>66691.87</v>
      </c>
      <c r="O2216" s="312">
        <v>140508.31</v>
      </c>
      <c r="P2216" s="312">
        <v>9082.02</v>
      </c>
      <c r="Q2216" s="312">
        <v>116960.52</v>
      </c>
      <c r="R2216" s="312">
        <v>119481.51000000001</v>
      </c>
    </row>
    <row r="2217" spans="6:18">
      <c r="F2217" t="s">
        <v>3981</v>
      </c>
      <c r="G2217" s="312">
        <v>142.53</v>
      </c>
      <c r="H2217" s="312">
        <v>282.25</v>
      </c>
      <c r="I2217" s="312">
        <v>160.19</v>
      </c>
      <c r="J2217" s="312">
        <v>391.27000000000004</v>
      </c>
      <c r="K2217" s="312">
        <v>490.85</v>
      </c>
      <c r="M2217" t="s">
        <v>3981</v>
      </c>
      <c r="N2217" s="312">
        <v>72421.119999999995</v>
      </c>
      <c r="O2217" s="312">
        <v>159221.94</v>
      </c>
      <c r="P2217" s="312">
        <v>123585.83</v>
      </c>
      <c r="Q2217" s="312">
        <v>193100.48</v>
      </c>
      <c r="R2217" s="312">
        <v>203780.27000000002</v>
      </c>
    </row>
    <row r="2218" spans="6:18">
      <c r="F2218" t="s">
        <v>3982</v>
      </c>
      <c r="G2218" s="312">
        <v>107.54</v>
      </c>
      <c r="H2218" s="312">
        <v>445</v>
      </c>
      <c r="I2218" s="312">
        <v>111.33</v>
      </c>
      <c r="J2218" s="312">
        <v>249.26999999999998</v>
      </c>
      <c r="K2218" s="312">
        <v>527.67999999999995</v>
      </c>
      <c r="M2218" t="s">
        <v>3982</v>
      </c>
      <c r="N2218" s="312">
        <v>40295.9</v>
      </c>
      <c r="O2218" s="312">
        <v>219946.45</v>
      </c>
      <c r="P2218" s="312">
        <v>87687.89</v>
      </c>
      <c r="Q2218" s="312">
        <v>139269.32999999999</v>
      </c>
      <c r="R2218" s="312">
        <v>170282.76</v>
      </c>
    </row>
    <row r="2219" spans="6:18">
      <c r="F2219" t="s">
        <v>3983</v>
      </c>
      <c r="G2219" s="312">
        <v>140.25</v>
      </c>
      <c r="H2219" s="312">
        <v>386.71000000000004</v>
      </c>
      <c r="I2219" s="312">
        <v>142.9</v>
      </c>
      <c r="J2219" s="312">
        <v>349.53</v>
      </c>
      <c r="K2219" s="312">
        <v>529.17999999999995</v>
      </c>
      <c r="M2219" t="s">
        <v>3983</v>
      </c>
      <c r="N2219" s="312">
        <v>78198.12999999999</v>
      </c>
      <c r="O2219" s="312">
        <v>225754.26</v>
      </c>
      <c r="P2219" s="312">
        <v>88961.59</v>
      </c>
      <c r="Q2219" s="312">
        <v>242769.54</v>
      </c>
      <c r="R2219" s="312">
        <v>187952.83000000002</v>
      </c>
    </row>
    <row r="2220" spans="6:18">
      <c r="F2220" t="s">
        <v>3984</v>
      </c>
      <c r="G2220" s="312">
        <v>152.13999999999999</v>
      </c>
      <c r="H2220" s="312">
        <v>316.21999999999997</v>
      </c>
      <c r="I2220" s="312">
        <v>151.96</v>
      </c>
      <c r="J2220" s="312">
        <v>368.2</v>
      </c>
      <c r="K2220" s="312">
        <v>473.8</v>
      </c>
      <c r="M2220" t="s">
        <v>3984</v>
      </c>
      <c r="N2220" s="312">
        <v>98062.489999999991</v>
      </c>
      <c r="O2220" s="312">
        <v>145982.70000000001</v>
      </c>
      <c r="P2220" s="312">
        <v>101557.83</v>
      </c>
      <c r="Q2220" s="312">
        <v>201071.50999999998</v>
      </c>
      <c r="R2220" s="312">
        <v>236187.56</v>
      </c>
    </row>
    <row r="2221" spans="6:18">
      <c r="F2221" t="s">
        <v>3985</v>
      </c>
      <c r="G2221" s="312">
        <v>223.98</v>
      </c>
      <c r="H2221" s="312">
        <v>310.48</v>
      </c>
      <c r="I2221" s="312">
        <v>184.97</v>
      </c>
      <c r="J2221" s="312">
        <v>417.44</v>
      </c>
      <c r="K2221" s="312">
        <v>720.5</v>
      </c>
      <c r="M2221" t="s">
        <v>3985</v>
      </c>
      <c r="N2221" s="312">
        <v>128439.31</v>
      </c>
      <c r="O2221" s="312">
        <v>152536.43</v>
      </c>
      <c r="P2221" s="312">
        <v>124404.99</v>
      </c>
      <c r="Q2221" s="312">
        <v>193237.99</v>
      </c>
      <c r="R2221" s="312">
        <v>273296.61</v>
      </c>
    </row>
    <row r="2222" spans="6:18">
      <c r="F2222" t="s">
        <v>3986</v>
      </c>
      <c r="G2222" s="312">
        <v>125.80000000000001</v>
      </c>
      <c r="H2222" s="312">
        <v>204.85999999999999</v>
      </c>
      <c r="I2222" s="312">
        <v>67.239999999999995</v>
      </c>
      <c r="J2222" s="312">
        <v>223.92000000000002</v>
      </c>
      <c r="K2222" s="312">
        <v>480.52000000000004</v>
      </c>
      <c r="M2222" t="s">
        <v>3986</v>
      </c>
      <c r="N2222" s="312">
        <v>71269.490000000005</v>
      </c>
      <c r="O2222" s="312">
        <v>105140.5</v>
      </c>
      <c r="P2222" s="312">
        <v>44244</v>
      </c>
      <c r="Q2222" s="312">
        <v>153265.50999999998</v>
      </c>
      <c r="R2222" s="312">
        <v>161470.72999999998</v>
      </c>
    </row>
    <row r="2223" spans="6:18">
      <c r="F2223" t="s">
        <v>3987</v>
      </c>
      <c r="G2223" s="312">
        <v>158.46</v>
      </c>
      <c r="H2223" s="312">
        <v>156.67000000000002</v>
      </c>
      <c r="I2223" s="312">
        <v>39.32</v>
      </c>
      <c r="J2223" s="312">
        <v>325.34000000000003</v>
      </c>
      <c r="K2223" s="312">
        <v>398.71999999999997</v>
      </c>
      <c r="M2223" t="s">
        <v>3987</v>
      </c>
      <c r="N2223" s="312">
        <v>88860.78</v>
      </c>
      <c r="O2223" s="312">
        <v>92193.359999999986</v>
      </c>
      <c r="P2223" s="312">
        <v>33200.630000000005</v>
      </c>
      <c r="Q2223" s="312">
        <v>208455.41999999998</v>
      </c>
      <c r="R2223" s="312">
        <v>133623.76</v>
      </c>
    </row>
    <row r="2224" spans="6:18">
      <c r="F2224" t="s">
        <v>3988</v>
      </c>
      <c r="G2224" s="312">
        <v>157.51</v>
      </c>
      <c r="H2224" s="312">
        <v>324.89999999999998</v>
      </c>
      <c r="I2224" s="312">
        <v>138.87</v>
      </c>
      <c r="J2224" s="312">
        <v>598.1</v>
      </c>
      <c r="K2224" s="312">
        <v>658.01</v>
      </c>
      <c r="M2224" t="s">
        <v>3988</v>
      </c>
      <c r="N2224" s="312">
        <v>69351.42</v>
      </c>
      <c r="O2224" s="312">
        <v>151171.78</v>
      </c>
      <c r="P2224" s="312">
        <v>102232.35999999999</v>
      </c>
      <c r="Q2224" s="312">
        <v>244636.1</v>
      </c>
      <c r="R2224" s="312">
        <v>223880.65</v>
      </c>
    </row>
    <row r="2225" spans="6:18">
      <c r="F2225" t="s">
        <v>3989</v>
      </c>
      <c r="G2225" s="312">
        <v>110.88</v>
      </c>
      <c r="H2225" s="312">
        <v>271.42</v>
      </c>
      <c r="I2225" s="312">
        <v>161.48000000000002</v>
      </c>
      <c r="J2225" s="312">
        <v>392.82</v>
      </c>
      <c r="K2225" s="312">
        <v>537.43000000000006</v>
      </c>
      <c r="M2225" t="s">
        <v>3989</v>
      </c>
      <c r="N2225" s="312">
        <v>54613.350000000006</v>
      </c>
      <c r="O2225" s="312">
        <v>156096.42000000001</v>
      </c>
      <c r="P2225" s="312">
        <v>165508.45000000001</v>
      </c>
      <c r="Q2225" s="312">
        <v>178655.16999999998</v>
      </c>
      <c r="R2225" s="312">
        <v>168924.22999999998</v>
      </c>
    </row>
    <row r="2226" spans="6:18">
      <c r="F2226" t="s">
        <v>3990</v>
      </c>
      <c r="G2226" s="312">
        <v>118.97999999999999</v>
      </c>
      <c r="H2226" s="312">
        <v>304.48</v>
      </c>
      <c r="I2226" s="312">
        <v>144.29999999999998</v>
      </c>
      <c r="J2226" s="312">
        <v>340.16999999999996</v>
      </c>
      <c r="K2226" s="312">
        <v>640.63</v>
      </c>
      <c r="M2226" t="s">
        <v>3990</v>
      </c>
      <c r="N2226" s="312">
        <v>38781.64</v>
      </c>
      <c r="O2226" s="312">
        <v>200763.14</v>
      </c>
      <c r="P2226" s="312">
        <v>100103.29999999999</v>
      </c>
      <c r="Q2226" s="312">
        <v>196261.64</v>
      </c>
      <c r="R2226" s="312">
        <v>226405.75</v>
      </c>
    </row>
    <row r="2227" spans="6:18">
      <c r="F2227" t="s">
        <v>3991</v>
      </c>
      <c r="G2227" s="312">
        <v>138.43</v>
      </c>
      <c r="H2227" s="312">
        <v>341.26</v>
      </c>
      <c r="I2227" s="312">
        <v>103.55000000000001</v>
      </c>
      <c r="J2227" s="312">
        <v>310.95999999999998</v>
      </c>
      <c r="K2227" s="312">
        <v>895.81</v>
      </c>
      <c r="M2227" t="s">
        <v>3991</v>
      </c>
      <c r="N2227" s="312">
        <v>62917.27</v>
      </c>
      <c r="O2227" s="312">
        <v>163373.89000000001</v>
      </c>
      <c r="P2227" s="312">
        <v>84615.079999999987</v>
      </c>
      <c r="Q2227" s="312">
        <v>175266.36</v>
      </c>
      <c r="R2227" s="312">
        <v>404166.37</v>
      </c>
    </row>
    <row r="2228" spans="6:18">
      <c r="F2228" t="s">
        <v>3992</v>
      </c>
      <c r="G2228" s="312">
        <v>119.03999999999999</v>
      </c>
      <c r="H2228" s="312">
        <v>249.82</v>
      </c>
      <c r="I2228" s="312">
        <v>191.86</v>
      </c>
      <c r="J2228" s="312">
        <v>288.14</v>
      </c>
      <c r="K2228" s="312">
        <v>1081.58</v>
      </c>
      <c r="M2228" t="s">
        <v>3992</v>
      </c>
      <c r="N2228" s="312">
        <v>52667.85</v>
      </c>
      <c r="O2228" s="312">
        <v>148141.71</v>
      </c>
      <c r="P2228" s="312">
        <v>133486.26999999999</v>
      </c>
      <c r="Q2228" s="312">
        <v>150648.28</v>
      </c>
      <c r="R2228" s="312">
        <v>461129.81999999995</v>
      </c>
    </row>
    <row r="2229" spans="6:18">
      <c r="F2229" t="s">
        <v>3993</v>
      </c>
      <c r="G2229" s="312">
        <v>125.50999999999999</v>
      </c>
      <c r="H2229" s="312">
        <v>180.11</v>
      </c>
      <c r="I2229" s="312">
        <v>90.6</v>
      </c>
      <c r="J2229" s="312">
        <v>193.24</v>
      </c>
      <c r="K2229" s="312">
        <v>836.4</v>
      </c>
      <c r="M2229" t="s">
        <v>3993</v>
      </c>
      <c r="N2229" s="312">
        <v>54252.71</v>
      </c>
      <c r="O2229" s="312">
        <v>78955.14</v>
      </c>
      <c r="P2229" s="312">
        <v>54657.9</v>
      </c>
      <c r="Q2229" s="312">
        <v>104955.29000000001</v>
      </c>
      <c r="R2229" s="312">
        <v>388757.04000000004</v>
      </c>
    </row>
    <row r="2230" spans="6:18">
      <c r="F2230" t="s">
        <v>3994</v>
      </c>
      <c r="G2230" s="312">
        <v>140.96</v>
      </c>
      <c r="H2230" s="312">
        <v>136.03</v>
      </c>
      <c r="I2230" s="312">
        <v>26.7</v>
      </c>
      <c r="J2230" s="312">
        <v>261.91000000000003</v>
      </c>
      <c r="K2230" s="312">
        <v>980.8</v>
      </c>
      <c r="M2230" t="s">
        <v>3994</v>
      </c>
      <c r="N2230" s="312">
        <v>62592.55</v>
      </c>
      <c r="O2230" s="312">
        <v>54718.89</v>
      </c>
      <c r="P2230" s="312">
        <v>32785.480000000003</v>
      </c>
      <c r="Q2230" s="312">
        <v>83937.31</v>
      </c>
      <c r="R2230" s="312">
        <v>393900.22000000003</v>
      </c>
    </row>
    <row r="2231" spans="6:18">
      <c r="F2231" t="s">
        <v>3995</v>
      </c>
      <c r="G2231" s="312">
        <v>135.38</v>
      </c>
      <c r="H2231" s="312">
        <v>293.31</v>
      </c>
      <c r="I2231" s="312">
        <v>126.94</v>
      </c>
      <c r="J2231" s="312">
        <v>312.87</v>
      </c>
      <c r="K2231" s="312">
        <v>814.68000000000006</v>
      </c>
      <c r="M2231" t="s">
        <v>3995</v>
      </c>
      <c r="N2231" s="312">
        <v>82133.009999999995</v>
      </c>
      <c r="O2231" s="312">
        <v>145092.44</v>
      </c>
      <c r="P2231" s="312">
        <v>79439.45</v>
      </c>
      <c r="Q2231" s="312">
        <v>144042.85999999999</v>
      </c>
      <c r="R2231" s="312">
        <v>281847.24</v>
      </c>
    </row>
    <row r="2232" spans="6:18">
      <c r="F2232" t="s">
        <v>3996</v>
      </c>
      <c r="G2232" s="312">
        <v>107.47</v>
      </c>
      <c r="H2232" s="312">
        <v>293.76</v>
      </c>
      <c r="I2232" s="312">
        <v>138.29999999999998</v>
      </c>
      <c r="J2232" s="312">
        <v>368.43</v>
      </c>
      <c r="K2232" s="312">
        <v>638.18999999999994</v>
      </c>
      <c r="M2232" t="s">
        <v>3996</v>
      </c>
      <c r="N2232" s="312">
        <v>65969.58</v>
      </c>
      <c r="O2232" s="312">
        <v>110892.34000000001</v>
      </c>
      <c r="P2232" s="312">
        <v>83587.520000000004</v>
      </c>
      <c r="Q2232" s="312">
        <v>203452.97</v>
      </c>
      <c r="R2232" s="312">
        <v>225620.36</v>
      </c>
    </row>
    <row r="2233" spans="6:18">
      <c r="F2233" t="s">
        <v>3997</v>
      </c>
      <c r="G2233" s="312">
        <v>82.4</v>
      </c>
      <c r="H2233" s="312">
        <v>197.32999999999998</v>
      </c>
      <c r="I2233" s="312">
        <v>139.55000000000001</v>
      </c>
      <c r="J2233" s="312">
        <v>235.95000000000002</v>
      </c>
      <c r="K2233" s="312">
        <v>622.64</v>
      </c>
      <c r="M2233" t="s">
        <v>3997</v>
      </c>
      <c r="N2233" s="312">
        <v>42872.07</v>
      </c>
      <c r="O2233" s="312">
        <v>84729.31</v>
      </c>
      <c r="P2233" s="312">
        <v>116140.31</v>
      </c>
      <c r="Q2233" s="312">
        <v>211521.24</v>
      </c>
      <c r="R2233" s="312">
        <v>190771.27</v>
      </c>
    </row>
    <row r="2234" spans="6:18">
      <c r="F2234" t="s">
        <v>3998</v>
      </c>
      <c r="G2234" s="312">
        <v>111.07</v>
      </c>
      <c r="H2234" s="312">
        <v>249.64</v>
      </c>
      <c r="I2234" s="312">
        <v>139.43</v>
      </c>
      <c r="J2234" s="312">
        <v>317.31</v>
      </c>
      <c r="K2234" s="312">
        <v>640.62</v>
      </c>
      <c r="M2234" t="s">
        <v>3998</v>
      </c>
      <c r="N2234" s="312">
        <v>49073.740000000005</v>
      </c>
      <c r="O2234" s="312">
        <v>115878.91</v>
      </c>
      <c r="P2234" s="312">
        <v>105574.48</v>
      </c>
      <c r="Q2234" s="312">
        <v>221382.21</v>
      </c>
      <c r="R2234" s="312">
        <v>245071.19</v>
      </c>
    </row>
    <row r="2235" spans="6:18">
      <c r="F2235" t="s">
        <v>3999</v>
      </c>
      <c r="G2235" s="312">
        <v>91.009999999999991</v>
      </c>
      <c r="H2235" s="312">
        <v>228.81</v>
      </c>
      <c r="I2235" s="312">
        <v>78.13</v>
      </c>
      <c r="J2235" s="312">
        <v>243.97</v>
      </c>
      <c r="K2235" s="312">
        <v>776.95</v>
      </c>
      <c r="M2235" t="s">
        <v>3999</v>
      </c>
      <c r="N2235" s="312">
        <v>49225.83</v>
      </c>
      <c r="O2235" s="312">
        <v>118020.84</v>
      </c>
      <c r="P2235" s="312">
        <v>68417.06</v>
      </c>
      <c r="Q2235" s="312">
        <v>177614.45</v>
      </c>
      <c r="R2235" s="312">
        <v>140849.35</v>
      </c>
    </row>
    <row r="2236" spans="6:18">
      <c r="F2236" t="s">
        <v>4000</v>
      </c>
      <c r="G2236" s="312">
        <v>119.17</v>
      </c>
      <c r="H2236" s="312">
        <v>135.17000000000002</v>
      </c>
      <c r="I2236" s="312">
        <v>76.710000000000008</v>
      </c>
      <c r="J2236" s="312">
        <v>214.76000000000002</v>
      </c>
      <c r="K2236" s="312">
        <v>389.03</v>
      </c>
      <c r="M2236" t="s">
        <v>4000</v>
      </c>
      <c r="N2236" s="312">
        <v>50785.399999999994</v>
      </c>
      <c r="O2236" s="312">
        <v>58977.63</v>
      </c>
      <c r="P2236" s="312">
        <v>56185.919999999998</v>
      </c>
      <c r="Q2236" s="312">
        <v>146315.4</v>
      </c>
      <c r="R2236" s="312">
        <v>118653</v>
      </c>
    </row>
    <row r="2237" spans="6:18">
      <c r="F2237" t="s">
        <v>4001</v>
      </c>
      <c r="G2237" s="312">
        <v>98.08</v>
      </c>
      <c r="H2237" s="312">
        <v>134.75</v>
      </c>
      <c r="I2237" s="312">
        <v>37.78</v>
      </c>
      <c r="J2237" s="312">
        <v>255.19</v>
      </c>
      <c r="K2237" s="312">
        <v>314.51</v>
      </c>
      <c r="M2237" t="s">
        <v>4001</v>
      </c>
      <c r="N2237" s="312">
        <v>55041.810000000005</v>
      </c>
      <c r="O2237" s="312">
        <v>72068.45</v>
      </c>
      <c r="P2237" s="312">
        <v>45712.159999999996</v>
      </c>
      <c r="Q2237" s="312">
        <v>139394.23999999999</v>
      </c>
      <c r="R2237" s="312">
        <v>125165.32999999999</v>
      </c>
    </row>
    <row r="2238" spans="6:18">
      <c r="F2238" t="s">
        <v>4002</v>
      </c>
      <c r="G2238" s="312">
        <v>117.39</v>
      </c>
      <c r="H2238" s="312">
        <v>258.33999999999997</v>
      </c>
      <c r="I2238" s="312">
        <v>94.449999999999989</v>
      </c>
      <c r="J2238" s="312">
        <v>252.18</v>
      </c>
      <c r="K2238" s="312">
        <v>636.96</v>
      </c>
      <c r="M2238" t="s">
        <v>4002</v>
      </c>
      <c r="N2238" s="312">
        <v>59122.700000000004</v>
      </c>
      <c r="O2238" s="312">
        <v>156932.09</v>
      </c>
      <c r="P2238" s="312">
        <v>73990.27</v>
      </c>
      <c r="Q2238" s="312">
        <v>191241.78</v>
      </c>
      <c r="R2238" s="312">
        <v>241688.59999999998</v>
      </c>
    </row>
    <row r="2239" spans="6:18">
      <c r="F2239" t="s">
        <v>4003</v>
      </c>
      <c r="G2239" s="312">
        <v>123.2</v>
      </c>
      <c r="H2239" s="312">
        <v>230.68</v>
      </c>
      <c r="I2239" s="312">
        <v>109</v>
      </c>
      <c r="J2239" s="312">
        <v>286.68</v>
      </c>
      <c r="K2239" s="312">
        <v>714.36</v>
      </c>
      <c r="M2239" t="s">
        <v>4003</v>
      </c>
      <c r="N2239" s="312">
        <v>68039.350000000006</v>
      </c>
      <c r="O2239" s="312">
        <v>120585.84</v>
      </c>
      <c r="P2239" s="312">
        <v>69156.850000000006</v>
      </c>
      <c r="Q2239" s="312">
        <v>192033.75</v>
      </c>
      <c r="R2239" s="312">
        <v>240166.66999999998</v>
      </c>
    </row>
    <row r="2240" spans="6:18">
      <c r="F2240" t="s">
        <v>4004</v>
      </c>
      <c r="G2240" s="312">
        <v>96.55</v>
      </c>
      <c r="H2240" s="312">
        <v>243.95000000000002</v>
      </c>
      <c r="I2240" s="312">
        <v>88.28</v>
      </c>
      <c r="J2240" s="312">
        <v>277.02999999999997</v>
      </c>
      <c r="K2240" s="312">
        <v>705.54</v>
      </c>
      <c r="M2240" t="s">
        <v>4004</v>
      </c>
      <c r="N2240" s="312">
        <v>48262.080000000002</v>
      </c>
      <c r="O2240" s="312">
        <v>112992.7</v>
      </c>
      <c r="P2240" s="312">
        <v>49423.789999999994</v>
      </c>
      <c r="Q2240" s="312">
        <v>137269.72999999998</v>
      </c>
      <c r="R2240" s="312">
        <v>212435.89</v>
      </c>
    </row>
    <row r="2241" spans="6:18">
      <c r="F2241" t="s">
        <v>4005</v>
      </c>
      <c r="G2241" s="312">
        <v>96.28</v>
      </c>
      <c r="H2241" s="312">
        <v>292.96000000000004</v>
      </c>
      <c r="I2241" s="312">
        <v>77.09</v>
      </c>
      <c r="J2241" s="312">
        <v>270.22000000000003</v>
      </c>
      <c r="K2241" s="312">
        <v>822.24</v>
      </c>
      <c r="M2241" t="s">
        <v>4005</v>
      </c>
      <c r="N2241" s="312">
        <v>48121.979999999996</v>
      </c>
      <c r="O2241" s="312">
        <v>116568.45</v>
      </c>
      <c r="P2241" s="312">
        <v>55731.11</v>
      </c>
      <c r="Q2241" s="312">
        <v>138706.53</v>
      </c>
      <c r="R2241" s="312">
        <v>273787</v>
      </c>
    </row>
    <row r="2242" spans="6:18">
      <c r="F2242" t="s">
        <v>4006</v>
      </c>
      <c r="G2242" s="312">
        <v>75.789999999999992</v>
      </c>
      <c r="H2242" s="312">
        <v>238.14999999999998</v>
      </c>
      <c r="I2242" s="312">
        <v>90.37</v>
      </c>
      <c r="J2242" s="312">
        <v>275.63</v>
      </c>
      <c r="K2242" s="312">
        <v>742.89</v>
      </c>
      <c r="M2242" t="s">
        <v>4006</v>
      </c>
      <c r="N2242" s="312">
        <v>38198.5</v>
      </c>
      <c r="O2242" s="312">
        <v>151909.35</v>
      </c>
      <c r="P2242" s="312">
        <v>45376.43</v>
      </c>
      <c r="Q2242" s="312">
        <v>131419.82</v>
      </c>
      <c r="R2242" s="312">
        <v>285348.46000000002</v>
      </c>
    </row>
    <row r="2243" spans="6:18">
      <c r="F2243" t="s">
        <v>4007</v>
      </c>
      <c r="G2243" s="312">
        <v>116.22</v>
      </c>
      <c r="H2243" s="312">
        <v>166.53</v>
      </c>
      <c r="I2243" s="312">
        <v>71.47999999999999</v>
      </c>
      <c r="J2243" s="312">
        <v>177.54000000000002</v>
      </c>
      <c r="K2243" s="312">
        <v>108.46000000000001</v>
      </c>
      <c r="M2243" t="s">
        <v>4007</v>
      </c>
      <c r="N2243" s="312">
        <v>62396.939999999995</v>
      </c>
      <c r="O2243" s="312">
        <v>122671.84</v>
      </c>
      <c r="P2243" s="312">
        <v>66905.06</v>
      </c>
      <c r="Q2243" s="312">
        <v>106808.84</v>
      </c>
      <c r="R2243" s="312">
        <v>29598.309999999998</v>
      </c>
    </row>
    <row r="2244" spans="6:18">
      <c r="F2244" t="s">
        <v>4008</v>
      </c>
      <c r="G2244" s="312">
        <v>131.03</v>
      </c>
      <c r="H2244" s="312">
        <v>118.19</v>
      </c>
      <c r="I2244" s="312">
        <v>25.05</v>
      </c>
      <c r="J2244" s="312">
        <v>199.57</v>
      </c>
      <c r="K2244" s="312">
        <v>118.67</v>
      </c>
      <c r="M2244" t="s">
        <v>4008</v>
      </c>
      <c r="N2244" s="312">
        <v>84805.22</v>
      </c>
      <c r="O2244" s="312">
        <v>55510.789999999994</v>
      </c>
      <c r="P2244" s="312">
        <v>12907.73</v>
      </c>
      <c r="Q2244" s="312">
        <v>99041.05</v>
      </c>
      <c r="R2244" s="312">
        <v>28291.43</v>
      </c>
    </row>
    <row r="2245" spans="6:18">
      <c r="F2245" t="s">
        <v>4009</v>
      </c>
      <c r="G2245" s="312">
        <v>116.67</v>
      </c>
      <c r="H2245" s="312">
        <v>230.82000000000002</v>
      </c>
      <c r="I2245" s="312">
        <v>75.72</v>
      </c>
      <c r="J2245" s="312">
        <v>277.34000000000003</v>
      </c>
      <c r="K2245" s="312">
        <v>287.01</v>
      </c>
      <c r="M2245" t="s">
        <v>4009</v>
      </c>
      <c r="N2245" s="312">
        <v>53436.100000000006</v>
      </c>
      <c r="O2245" s="312">
        <v>139921.76</v>
      </c>
      <c r="P2245" s="312">
        <v>44059.130000000005</v>
      </c>
      <c r="Q2245" s="312">
        <v>167382.44</v>
      </c>
      <c r="R2245" s="312">
        <v>75338.289999999994</v>
      </c>
    </row>
    <row r="2246" spans="6:18">
      <c r="F2246" t="s">
        <v>4010</v>
      </c>
      <c r="G2246" s="312">
        <v>105.74</v>
      </c>
      <c r="H2246" s="312">
        <v>237.75</v>
      </c>
      <c r="I2246" s="312">
        <v>121.08</v>
      </c>
      <c r="J2246" s="312">
        <v>414.03</v>
      </c>
      <c r="K2246" s="312">
        <v>236.09</v>
      </c>
      <c r="M2246" t="s">
        <v>4010</v>
      </c>
      <c r="N2246" s="312">
        <v>78527.02</v>
      </c>
      <c r="O2246" s="312">
        <v>127487.31999999999</v>
      </c>
      <c r="P2246" s="312">
        <v>91847.67</v>
      </c>
      <c r="Q2246" s="312">
        <v>196261.64</v>
      </c>
      <c r="R2246" s="312">
        <v>64485.91</v>
      </c>
    </row>
    <row r="2247" spans="6:18">
      <c r="F2247" t="s">
        <v>4011</v>
      </c>
      <c r="G2247" s="312">
        <v>95.12</v>
      </c>
      <c r="H2247" s="312">
        <v>287.61</v>
      </c>
      <c r="I2247" s="312">
        <v>129.97999999999999</v>
      </c>
      <c r="J2247" s="312">
        <v>290.05</v>
      </c>
      <c r="K2247" s="312">
        <v>255.48</v>
      </c>
      <c r="M2247" t="s">
        <v>4011</v>
      </c>
      <c r="N2247" s="312">
        <v>51623.05</v>
      </c>
      <c r="O2247" s="312">
        <v>195892.93</v>
      </c>
      <c r="P2247" s="312">
        <v>93981.48</v>
      </c>
      <c r="Q2247" s="312">
        <v>163671.86000000002</v>
      </c>
      <c r="R2247" s="312">
        <v>75941.06</v>
      </c>
    </row>
    <row r="2248" spans="6:18">
      <c r="F2248" t="s">
        <v>4012</v>
      </c>
      <c r="G2248" s="312">
        <v>178.72</v>
      </c>
      <c r="H2248" s="312">
        <v>279.52999999999997</v>
      </c>
      <c r="I2248" s="312">
        <v>64.64</v>
      </c>
      <c r="J2248" s="312">
        <v>349.21999999999997</v>
      </c>
      <c r="K2248" s="312">
        <v>359.93</v>
      </c>
      <c r="M2248" t="s">
        <v>4012</v>
      </c>
      <c r="N2248" s="312">
        <v>95307.01</v>
      </c>
      <c r="O2248" s="312">
        <v>111442.08</v>
      </c>
      <c r="P2248" s="312">
        <v>69084.33</v>
      </c>
      <c r="Q2248" s="312">
        <v>256389.23</v>
      </c>
      <c r="R2248" s="312">
        <v>108109.92</v>
      </c>
    </row>
    <row r="2249" spans="6:18">
      <c r="F2249" t="s">
        <v>4013</v>
      </c>
      <c r="G2249" s="312">
        <v>102.5</v>
      </c>
      <c r="H2249" s="312">
        <v>219.86</v>
      </c>
      <c r="I2249" s="312">
        <v>65.34</v>
      </c>
      <c r="J2249" s="312">
        <v>312.89000000000004</v>
      </c>
      <c r="K2249" s="312">
        <v>328.16</v>
      </c>
      <c r="M2249" t="s">
        <v>4013</v>
      </c>
      <c r="N2249" s="312">
        <v>58659.71</v>
      </c>
      <c r="O2249" s="312">
        <v>133561.02000000002</v>
      </c>
      <c r="P2249" s="312">
        <v>72902.48</v>
      </c>
      <c r="Q2249" s="312">
        <v>191809.47</v>
      </c>
      <c r="R2249" s="312">
        <v>118727.55</v>
      </c>
    </row>
    <row r="2250" spans="6:18">
      <c r="F2250" t="s">
        <v>4014</v>
      </c>
      <c r="G2250" s="312">
        <v>68.009999999999991</v>
      </c>
      <c r="H2250" s="312">
        <v>173.51</v>
      </c>
      <c r="I2250" s="312">
        <v>63.75</v>
      </c>
      <c r="J2250" s="312">
        <v>210.03</v>
      </c>
      <c r="K2250" s="312">
        <v>167.02</v>
      </c>
      <c r="M2250" t="s">
        <v>4014</v>
      </c>
      <c r="N2250" s="312">
        <v>36619.850000000006</v>
      </c>
      <c r="O2250" s="312">
        <v>73111.03</v>
      </c>
      <c r="P2250" s="312">
        <v>56061.45</v>
      </c>
      <c r="Q2250" s="312">
        <v>90753.41</v>
      </c>
      <c r="R2250" s="312">
        <v>63329.619999999995</v>
      </c>
    </row>
    <row r="2251" spans="6:18">
      <c r="F2251" t="s">
        <v>4015</v>
      </c>
      <c r="G2251" s="312">
        <v>98.59</v>
      </c>
      <c r="H2251" s="312">
        <v>193.98000000000002</v>
      </c>
      <c r="I2251" s="312">
        <v>14.46</v>
      </c>
      <c r="J2251" s="312">
        <v>232.03</v>
      </c>
      <c r="K2251" s="312">
        <v>135.63</v>
      </c>
      <c r="M2251" t="s">
        <v>4015</v>
      </c>
      <c r="N2251" s="312">
        <v>60003.39</v>
      </c>
      <c r="O2251" s="312">
        <v>103686.56</v>
      </c>
      <c r="P2251" s="312">
        <v>11381.650000000001</v>
      </c>
      <c r="Q2251" s="312">
        <v>152180.59999999998</v>
      </c>
      <c r="R2251" s="312">
        <v>42689.72</v>
      </c>
    </row>
    <row r="2252" spans="6:18">
      <c r="F2252" t="s">
        <v>4016</v>
      </c>
      <c r="G2252" s="312">
        <v>105.75999999999999</v>
      </c>
      <c r="H2252" s="312">
        <v>370.21000000000004</v>
      </c>
      <c r="I2252" s="312">
        <v>101.22</v>
      </c>
      <c r="J2252" s="312">
        <v>420.69000000000005</v>
      </c>
      <c r="K2252" s="312">
        <v>279.18</v>
      </c>
      <c r="M2252" t="s">
        <v>4016</v>
      </c>
      <c r="N2252" s="312">
        <v>55906.13</v>
      </c>
      <c r="O2252" s="312">
        <v>199944.52000000002</v>
      </c>
      <c r="P2252" s="312">
        <v>67500.900000000009</v>
      </c>
      <c r="Q2252" s="312">
        <v>245998.38</v>
      </c>
      <c r="R2252" s="312">
        <v>87429.579999999987</v>
      </c>
    </row>
    <row r="2253" spans="6:18">
      <c r="F2253" t="s">
        <v>4017</v>
      </c>
      <c r="G2253" s="312">
        <v>75.459999999999994</v>
      </c>
      <c r="H2253" s="312">
        <v>220.35</v>
      </c>
      <c r="I2253" s="312">
        <v>75.97</v>
      </c>
      <c r="J2253" s="312">
        <v>337.76</v>
      </c>
      <c r="K2253" s="312">
        <v>344.52</v>
      </c>
      <c r="M2253" t="s">
        <v>4017</v>
      </c>
      <c r="N2253" s="312">
        <v>43621.53</v>
      </c>
      <c r="O2253" s="312">
        <v>100207.38</v>
      </c>
      <c r="P2253" s="312">
        <v>50483.11</v>
      </c>
      <c r="Q2253" s="312">
        <v>226010.39</v>
      </c>
      <c r="R2253" s="312">
        <v>119972.32</v>
      </c>
    </row>
    <row r="2254" spans="6:18">
      <c r="F2254" t="s">
        <v>4018</v>
      </c>
      <c r="G2254" s="312">
        <v>60.17</v>
      </c>
      <c r="H2254" s="312">
        <v>248.94</v>
      </c>
      <c r="I2254" s="312">
        <v>97.04</v>
      </c>
      <c r="J2254" s="312">
        <v>171</v>
      </c>
      <c r="K2254" s="312">
        <v>349.54</v>
      </c>
      <c r="M2254" t="s">
        <v>4018</v>
      </c>
      <c r="N2254" s="312">
        <v>38132.720000000001</v>
      </c>
      <c r="O2254" s="312">
        <v>151163.85999999999</v>
      </c>
      <c r="P2254" s="312">
        <v>49636.36</v>
      </c>
      <c r="Q2254" s="312">
        <v>130564.28</v>
      </c>
      <c r="R2254" s="312">
        <v>88188.58</v>
      </c>
    </row>
    <row r="2255" spans="6:18">
      <c r="F2255" t="s">
        <v>4019</v>
      </c>
      <c r="G2255" s="312">
        <v>135.5</v>
      </c>
      <c r="H2255" s="312">
        <v>269.63</v>
      </c>
      <c r="I2255" s="312">
        <v>80.84</v>
      </c>
      <c r="J2255" s="312">
        <v>155.88</v>
      </c>
      <c r="K2255" s="312">
        <v>221.31</v>
      </c>
      <c r="M2255" t="s">
        <v>4019</v>
      </c>
      <c r="N2255" s="312">
        <v>65340.11</v>
      </c>
      <c r="O2255" s="312">
        <v>152424.29</v>
      </c>
      <c r="P2255" s="312">
        <v>66439.23</v>
      </c>
      <c r="Q2255" s="312">
        <v>97693.36</v>
      </c>
      <c r="R2255" s="312">
        <v>59292.41</v>
      </c>
    </row>
    <row r="2256" spans="6:18">
      <c r="F2256" t="s">
        <v>4020</v>
      </c>
      <c r="G2256" s="312">
        <v>127.31</v>
      </c>
      <c r="H2256" s="312">
        <v>281.36</v>
      </c>
      <c r="I2256" s="312">
        <v>74.31</v>
      </c>
      <c r="J2256" s="312">
        <v>286.67</v>
      </c>
      <c r="K2256" s="312">
        <v>271.64</v>
      </c>
      <c r="M2256" t="s">
        <v>4020</v>
      </c>
      <c r="N2256" s="312">
        <v>87530.559999999998</v>
      </c>
      <c r="O2256" s="312">
        <v>126996.70999999999</v>
      </c>
      <c r="P2256" s="312">
        <v>68031.42</v>
      </c>
      <c r="Q2256" s="312">
        <v>213779.22</v>
      </c>
      <c r="R2256" s="312">
        <v>87530.03</v>
      </c>
    </row>
    <row r="2257" spans="6:18">
      <c r="F2257" t="s">
        <v>4021</v>
      </c>
      <c r="G2257" s="312">
        <v>90.93</v>
      </c>
      <c r="H2257" s="312">
        <v>190.03</v>
      </c>
      <c r="I2257" s="312">
        <v>79.040000000000006</v>
      </c>
      <c r="J2257" s="312">
        <v>246.3</v>
      </c>
      <c r="K2257" s="312">
        <v>238.69</v>
      </c>
      <c r="M2257" t="s">
        <v>4021</v>
      </c>
      <c r="N2257" s="312">
        <v>60298.59</v>
      </c>
      <c r="O2257" s="312">
        <v>117471.46</v>
      </c>
      <c r="P2257" s="312">
        <v>76790.310000000012</v>
      </c>
      <c r="Q2257" s="312">
        <v>178647.66999999998</v>
      </c>
      <c r="R2257" s="312">
        <v>77128.03</v>
      </c>
    </row>
    <row r="2258" spans="6:18">
      <c r="F2258" t="s">
        <v>4022</v>
      </c>
      <c r="G2258" s="312">
        <v>88.08</v>
      </c>
      <c r="H2258" s="312">
        <v>147.85999999999999</v>
      </c>
      <c r="I2258" s="312">
        <v>17.440000000000001</v>
      </c>
      <c r="J2258" s="312">
        <v>162.95000000000002</v>
      </c>
      <c r="K2258" s="312">
        <v>207.89999999999998</v>
      </c>
      <c r="M2258" t="s">
        <v>4022</v>
      </c>
      <c r="N2258" s="312">
        <v>58934.239999999998</v>
      </c>
      <c r="O2258" s="312">
        <v>67992.58</v>
      </c>
      <c r="P2258" s="312">
        <v>11590.720000000001</v>
      </c>
      <c r="Q2258" s="312">
        <v>96137.959999999992</v>
      </c>
      <c r="R2258" s="312">
        <v>79866.790000000008</v>
      </c>
    </row>
    <row r="2259" spans="6:18">
      <c r="F2259" t="s">
        <v>4023</v>
      </c>
      <c r="G2259" s="312">
        <v>110.86000000000001</v>
      </c>
      <c r="H2259" s="312">
        <v>366.43</v>
      </c>
      <c r="I2259" s="312">
        <v>118.08000000000001</v>
      </c>
      <c r="J2259" s="312">
        <v>166.23</v>
      </c>
      <c r="K2259" s="312">
        <v>257.61</v>
      </c>
      <c r="M2259" t="s">
        <v>4023</v>
      </c>
      <c r="N2259" s="312">
        <v>34857.879999999997</v>
      </c>
      <c r="O2259" s="312">
        <v>173649.26</v>
      </c>
      <c r="P2259" s="312">
        <v>93963.959999999992</v>
      </c>
      <c r="Q2259" s="312">
        <v>135340.1</v>
      </c>
      <c r="R2259" s="312">
        <v>92516.01999999999</v>
      </c>
    </row>
    <row r="2260" spans="6:18">
      <c r="F2260" t="s">
        <v>4024</v>
      </c>
      <c r="G2260" s="312">
        <v>92.73</v>
      </c>
      <c r="H2260" s="312">
        <v>326.97000000000003</v>
      </c>
      <c r="I2260" s="312">
        <v>107.75999999999999</v>
      </c>
      <c r="J2260" s="312">
        <v>246.10999999999999</v>
      </c>
      <c r="K2260" s="312">
        <v>326.74</v>
      </c>
      <c r="M2260" t="s">
        <v>4024</v>
      </c>
      <c r="N2260" s="312">
        <v>46536.72</v>
      </c>
      <c r="O2260" s="312">
        <v>142528.09</v>
      </c>
      <c r="P2260" s="312">
        <v>74596.069999999992</v>
      </c>
      <c r="Q2260" s="312">
        <v>185863.19</v>
      </c>
      <c r="R2260" s="312">
        <v>133553.34</v>
      </c>
    </row>
    <row r="2261" spans="6:18">
      <c r="F2261" t="s">
        <v>4025</v>
      </c>
      <c r="G2261" s="312">
        <v>129.32999999999998</v>
      </c>
      <c r="H2261" s="312">
        <v>370.09000000000003</v>
      </c>
      <c r="I2261" s="312">
        <v>87.15</v>
      </c>
      <c r="J2261" s="312">
        <v>224.82999999999998</v>
      </c>
      <c r="K2261" s="312">
        <v>326.37</v>
      </c>
      <c r="M2261" t="s">
        <v>4025</v>
      </c>
      <c r="N2261" s="312">
        <v>54673.35</v>
      </c>
      <c r="O2261" s="312">
        <v>185392.1</v>
      </c>
      <c r="P2261" s="312">
        <v>56851.380000000005</v>
      </c>
      <c r="Q2261" s="312">
        <v>163152.66</v>
      </c>
      <c r="R2261" s="312">
        <v>100785.84</v>
      </c>
    </row>
    <row r="2262" spans="6:18">
      <c r="F2262" t="s">
        <v>4026</v>
      </c>
      <c r="G2262" s="312">
        <v>136.45999999999998</v>
      </c>
      <c r="H2262" s="312">
        <v>320.81</v>
      </c>
      <c r="I2262" s="312">
        <v>76.77000000000001</v>
      </c>
      <c r="J2262" s="312">
        <v>204.62</v>
      </c>
      <c r="K2262" s="312">
        <v>340.23</v>
      </c>
      <c r="M2262" t="s">
        <v>4026</v>
      </c>
      <c r="N2262" s="312">
        <v>68172.86</v>
      </c>
      <c r="O2262" s="312">
        <v>111592.18</v>
      </c>
      <c r="P2262" s="312">
        <v>36859.629999999997</v>
      </c>
      <c r="Q2262" s="312">
        <v>245550.73</v>
      </c>
      <c r="R2262" s="312">
        <v>126359.06</v>
      </c>
    </row>
    <row r="2263" spans="6:18">
      <c r="F2263" t="s">
        <v>4027</v>
      </c>
      <c r="G2263" s="312">
        <v>134.71</v>
      </c>
      <c r="H2263" s="312">
        <v>239.27999999999997</v>
      </c>
      <c r="I2263" s="312">
        <v>90.42</v>
      </c>
      <c r="J2263" s="312">
        <v>116.86</v>
      </c>
      <c r="K2263" s="312">
        <v>289.73</v>
      </c>
      <c r="M2263" t="s">
        <v>4027</v>
      </c>
      <c r="N2263" s="312">
        <v>69513.430000000008</v>
      </c>
      <c r="O2263" s="312">
        <v>112810.42</v>
      </c>
      <c r="P2263" s="312">
        <v>90069.34</v>
      </c>
      <c r="Q2263" s="312">
        <v>62205.85</v>
      </c>
      <c r="R2263" s="312">
        <v>86104.95</v>
      </c>
    </row>
    <row r="2264" spans="6:18">
      <c r="F2264" t="s">
        <v>4028</v>
      </c>
      <c r="G2264" s="312">
        <v>137.97999999999999</v>
      </c>
      <c r="H2264" s="312">
        <v>251.74</v>
      </c>
      <c r="I2264" s="312">
        <v>55.17</v>
      </c>
      <c r="J2264" s="312">
        <v>151.43</v>
      </c>
      <c r="K2264" s="312">
        <v>188.42999999999998</v>
      </c>
      <c r="M2264" t="s">
        <v>4028</v>
      </c>
      <c r="N2264" s="312">
        <v>92477.37000000001</v>
      </c>
      <c r="O2264" s="312">
        <v>95483.98</v>
      </c>
      <c r="P2264" s="312">
        <v>42758.86</v>
      </c>
      <c r="Q2264" s="312">
        <v>104747.56</v>
      </c>
      <c r="R2264" s="312">
        <v>65300.32</v>
      </c>
    </row>
    <row r="2265" spans="6:18">
      <c r="F2265" t="s">
        <v>4029</v>
      </c>
      <c r="G2265" s="312">
        <v>91.65</v>
      </c>
      <c r="H2265" s="312">
        <v>278.22000000000003</v>
      </c>
      <c r="I2265" s="312">
        <v>12.09</v>
      </c>
      <c r="J2265" s="312">
        <v>202.67000000000002</v>
      </c>
      <c r="K2265" s="312">
        <v>175.76</v>
      </c>
      <c r="M2265" t="s">
        <v>4029</v>
      </c>
      <c r="N2265" s="312">
        <v>66038.23000000001</v>
      </c>
      <c r="O2265" s="312">
        <v>131926.16999999998</v>
      </c>
      <c r="P2265" s="312">
        <v>9894.5299999999988</v>
      </c>
      <c r="Q2265" s="312">
        <v>126093.70999999999</v>
      </c>
      <c r="R2265" s="312">
        <v>72327.08</v>
      </c>
    </row>
    <row r="2266" spans="6:18">
      <c r="F2266" t="s">
        <v>4030</v>
      </c>
      <c r="G2266" s="312">
        <v>118.78</v>
      </c>
      <c r="H2266" s="312">
        <v>391.21</v>
      </c>
      <c r="I2266" s="312">
        <v>117.37</v>
      </c>
      <c r="J2266" s="312">
        <v>137.58000000000001</v>
      </c>
      <c r="K2266" s="312">
        <v>252.16</v>
      </c>
      <c r="M2266" t="s">
        <v>4030</v>
      </c>
      <c r="N2266" s="312">
        <v>48921.89</v>
      </c>
      <c r="O2266" s="312">
        <v>201604.78000000003</v>
      </c>
      <c r="P2266" s="312">
        <v>98007.48000000001</v>
      </c>
      <c r="Q2266" s="312">
        <v>158511.38</v>
      </c>
      <c r="R2266" s="312">
        <v>89517.28</v>
      </c>
    </row>
    <row r="2267" spans="6:18">
      <c r="F2267" t="s">
        <v>4031</v>
      </c>
      <c r="G2267" s="312">
        <v>79.759999999999991</v>
      </c>
      <c r="H2267" s="312">
        <v>306.75</v>
      </c>
      <c r="I2267" s="312">
        <v>105.85</v>
      </c>
      <c r="J2267" s="312">
        <v>138.21</v>
      </c>
      <c r="K2267" s="312">
        <v>288.37</v>
      </c>
      <c r="M2267" t="s">
        <v>4031</v>
      </c>
      <c r="N2267" s="312">
        <v>58433.8</v>
      </c>
      <c r="O2267" s="312">
        <v>159786.97</v>
      </c>
      <c r="P2267" s="312">
        <v>64612.479999999996</v>
      </c>
      <c r="Q2267" s="312">
        <v>97118.62</v>
      </c>
      <c r="R2267" s="312">
        <v>129739.42000000001</v>
      </c>
    </row>
    <row r="2268" spans="6:18">
      <c r="F2268" t="s">
        <v>4032</v>
      </c>
      <c r="G2268" s="312">
        <v>132.41</v>
      </c>
      <c r="H2268" s="312">
        <v>199.11</v>
      </c>
      <c r="I2268" s="312">
        <v>67.03</v>
      </c>
      <c r="J2268" s="312">
        <v>313.54000000000002</v>
      </c>
      <c r="K2268" s="312">
        <v>300.29000000000002</v>
      </c>
      <c r="M2268" t="s">
        <v>4032</v>
      </c>
      <c r="N2268" s="312">
        <v>70237.22</v>
      </c>
      <c r="O2268" s="312">
        <v>70896.75</v>
      </c>
      <c r="P2268" s="312">
        <v>87794.42</v>
      </c>
      <c r="Q2268" s="312">
        <v>283620.13999999996</v>
      </c>
      <c r="R2268" s="312">
        <v>100811.9</v>
      </c>
    </row>
    <row r="2269" spans="6:18">
      <c r="F2269" t="s">
        <v>4033</v>
      </c>
      <c r="G2269" s="312">
        <v>177.20000000000002</v>
      </c>
      <c r="H2269" s="312">
        <v>253.9</v>
      </c>
      <c r="I2269" s="312">
        <v>58.64</v>
      </c>
      <c r="J2269" s="312">
        <v>261.19</v>
      </c>
      <c r="K2269" s="312">
        <v>325.09000000000003</v>
      </c>
      <c r="M2269" t="s">
        <v>4033</v>
      </c>
      <c r="N2269" s="312">
        <v>103061.95</v>
      </c>
      <c r="O2269" s="312">
        <v>109667.34</v>
      </c>
      <c r="P2269" s="312">
        <v>56468.869999999995</v>
      </c>
      <c r="Q2269" s="312">
        <v>215684.77</v>
      </c>
      <c r="R2269" s="312">
        <v>134466.91</v>
      </c>
    </row>
    <row r="2270" spans="6:18">
      <c r="F2270" t="s">
        <v>4034</v>
      </c>
      <c r="G2270" s="312">
        <v>137.94999999999999</v>
      </c>
      <c r="H2270" s="312">
        <v>230.79000000000002</v>
      </c>
      <c r="I2270" s="312">
        <v>80.41</v>
      </c>
      <c r="J2270" s="312">
        <v>220.57999999999998</v>
      </c>
      <c r="K2270" s="312">
        <v>361.43</v>
      </c>
      <c r="M2270" t="s">
        <v>4034</v>
      </c>
      <c r="N2270" s="312">
        <v>90251.49</v>
      </c>
      <c r="O2270" s="312">
        <v>141036.35</v>
      </c>
      <c r="P2270" s="312">
        <v>71456.009999999995</v>
      </c>
      <c r="Q2270" s="312">
        <v>140906.28</v>
      </c>
      <c r="R2270" s="312">
        <v>113951.94</v>
      </c>
    </row>
    <row r="2271" spans="6:18">
      <c r="F2271" t="s">
        <v>4035</v>
      </c>
      <c r="G2271" s="312">
        <v>104.37</v>
      </c>
      <c r="H2271" s="312">
        <v>211.59</v>
      </c>
      <c r="I2271" s="312">
        <v>66.540000000000006</v>
      </c>
      <c r="J2271" s="312">
        <v>106.63</v>
      </c>
      <c r="K2271" s="312">
        <v>205.89000000000001</v>
      </c>
      <c r="M2271" t="s">
        <v>4035</v>
      </c>
      <c r="N2271" s="312">
        <v>54920.130000000005</v>
      </c>
      <c r="O2271" s="312">
        <v>100444.73000000001</v>
      </c>
      <c r="P2271" s="312">
        <v>35771.379999999997</v>
      </c>
      <c r="Q2271" s="312">
        <v>51077.36</v>
      </c>
      <c r="R2271" s="312">
        <v>78183.039999999994</v>
      </c>
    </row>
    <row r="2272" spans="6:18">
      <c r="F2272" t="s">
        <v>4036</v>
      </c>
      <c r="G2272" s="312">
        <v>101.22</v>
      </c>
      <c r="H2272" s="312">
        <v>134.92000000000002</v>
      </c>
      <c r="I2272" s="312">
        <v>10.29</v>
      </c>
      <c r="J2272" s="312">
        <v>184.12</v>
      </c>
      <c r="K2272" s="312">
        <v>226.06</v>
      </c>
      <c r="M2272" t="s">
        <v>4036</v>
      </c>
      <c r="N2272" s="312">
        <v>46680.270000000004</v>
      </c>
      <c r="O2272" s="312">
        <v>70745.08</v>
      </c>
      <c r="P2272" s="312">
        <v>5134</v>
      </c>
      <c r="Q2272" s="312">
        <v>160809.67000000001</v>
      </c>
      <c r="R2272" s="312">
        <v>77335.69</v>
      </c>
    </row>
    <row r="2273" spans="6:18">
      <c r="F2273" t="s">
        <v>4037</v>
      </c>
      <c r="G2273" s="312">
        <v>130.68</v>
      </c>
      <c r="H2273" s="312">
        <v>318.18</v>
      </c>
      <c r="I2273" s="312">
        <v>48.64</v>
      </c>
      <c r="J2273" s="312">
        <v>173.5</v>
      </c>
      <c r="K2273" s="312">
        <v>331.97</v>
      </c>
      <c r="M2273" t="s">
        <v>4037</v>
      </c>
      <c r="N2273" s="312">
        <v>109337.11</v>
      </c>
      <c r="O2273" s="312">
        <v>171431.6</v>
      </c>
      <c r="P2273" s="312">
        <v>49899.32</v>
      </c>
      <c r="Q2273" s="312">
        <v>146778.71</v>
      </c>
      <c r="R2273" s="312">
        <v>97247.86</v>
      </c>
    </row>
    <row r="2274" spans="6:18">
      <c r="F2274" t="s">
        <v>4038</v>
      </c>
      <c r="G2274" s="312">
        <v>76.56</v>
      </c>
      <c r="H2274" s="312">
        <v>305.88</v>
      </c>
      <c r="I2274" s="312">
        <v>87.850000000000009</v>
      </c>
      <c r="J2274" s="312">
        <v>218.88</v>
      </c>
      <c r="K2274" s="312">
        <v>261.08</v>
      </c>
      <c r="M2274" t="s">
        <v>4038</v>
      </c>
      <c r="N2274" s="312">
        <v>34201.18</v>
      </c>
      <c r="O2274" s="312">
        <v>155669.14000000001</v>
      </c>
      <c r="P2274" s="312">
        <v>50095.16</v>
      </c>
      <c r="Q2274" s="312">
        <v>158811.32</v>
      </c>
      <c r="R2274" s="312">
        <v>91409.89</v>
      </c>
    </row>
    <row r="2275" spans="6:18">
      <c r="F2275" t="s">
        <v>4039</v>
      </c>
      <c r="G2275" s="312">
        <v>122.39999999999999</v>
      </c>
      <c r="H2275" s="312">
        <v>311.37</v>
      </c>
      <c r="I2275" s="312">
        <v>94.09</v>
      </c>
      <c r="J2275" s="312">
        <v>156.9</v>
      </c>
      <c r="K2275" s="312">
        <v>316.86</v>
      </c>
      <c r="M2275" t="s">
        <v>4039</v>
      </c>
      <c r="N2275" s="312">
        <v>56437.56</v>
      </c>
      <c r="O2275" s="312">
        <v>131737.45000000001</v>
      </c>
      <c r="P2275" s="312">
        <v>91296.38</v>
      </c>
      <c r="Q2275" s="312">
        <v>144942.23000000001</v>
      </c>
      <c r="R2275" s="312">
        <v>87348.42</v>
      </c>
    </row>
    <row r="2276" spans="6:18">
      <c r="F2276" t="s">
        <v>4040</v>
      </c>
      <c r="G2276" s="312">
        <v>127.27000000000001</v>
      </c>
      <c r="H2276" s="312">
        <v>269.85000000000002</v>
      </c>
      <c r="I2276" s="312">
        <v>80.69</v>
      </c>
      <c r="J2276" s="312">
        <v>108.45</v>
      </c>
      <c r="K2276" s="312">
        <v>316.06</v>
      </c>
      <c r="M2276" t="s">
        <v>4040</v>
      </c>
      <c r="N2276" s="312">
        <v>44048.92</v>
      </c>
      <c r="O2276" s="312">
        <v>134699.62</v>
      </c>
      <c r="P2276" s="312">
        <v>58364.420000000006</v>
      </c>
      <c r="Q2276" s="312">
        <v>56563.100000000006</v>
      </c>
      <c r="R2276" s="312">
        <v>110951.63</v>
      </c>
    </row>
    <row r="2277" spans="6:18">
      <c r="F2277" t="s">
        <v>4041</v>
      </c>
      <c r="G2277" s="312">
        <v>78.55</v>
      </c>
      <c r="H2277" s="312">
        <v>250.34</v>
      </c>
      <c r="I2277" s="312">
        <v>61.900000000000006</v>
      </c>
      <c r="J2277" s="312">
        <v>108.72</v>
      </c>
      <c r="K2277" s="312">
        <v>379.57</v>
      </c>
      <c r="M2277" t="s">
        <v>4041</v>
      </c>
      <c r="N2277" s="312">
        <v>37530.949999999997</v>
      </c>
      <c r="O2277" s="312">
        <v>143602.54999999999</v>
      </c>
      <c r="P2277" s="312">
        <v>64939.45</v>
      </c>
      <c r="Q2277" s="312">
        <v>62994.53</v>
      </c>
      <c r="R2277" s="312">
        <v>156115.31999999998</v>
      </c>
    </row>
    <row r="2278" spans="6:18">
      <c r="F2278" t="s">
        <v>4042</v>
      </c>
      <c r="G2278" s="312">
        <v>92.59</v>
      </c>
      <c r="H2278" s="312">
        <v>179.13</v>
      </c>
      <c r="I2278" s="312">
        <v>51.11</v>
      </c>
      <c r="J2278" s="312">
        <v>237.03</v>
      </c>
      <c r="K2278" s="312">
        <v>155.98000000000002</v>
      </c>
      <c r="M2278" t="s">
        <v>4042</v>
      </c>
      <c r="N2278" s="312">
        <v>51054.09</v>
      </c>
      <c r="O2278" s="312">
        <v>78415.19</v>
      </c>
      <c r="P2278" s="312">
        <v>29235.09</v>
      </c>
      <c r="Q2278" s="312">
        <v>104442.96</v>
      </c>
      <c r="R2278" s="312">
        <v>39851.24</v>
      </c>
    </row>
    <row r="2279" spans="6:18">
      <c r="F2279" t="s">
        <v>4043</v>
      </c>
      <c r="G2279" s="312">
        <v>129.80000000000001</v>
      </c>
      <c r="H2279" s="312">
        <v>160.69999999999999</v>
      </c>
      <c r="I2279" s="312">
        <v>57.11</v>
      </c>
      <c r="J2279" s="312">
        <v>213.38</v>
      </c>
      <c r="K2279" s="312">
        <v>230.14999999999998</v>
      </c>
      <c r="M2279" t="s">
        <v>4043</v>
      </c>
      <c r="N2279" s="312">
        <v>75129.81</v>
      </c>
      <c r="O2279" s="312">
        <v>99328.94</v>
      </c>
      <c r="P2279" s="312">
        <v>64347.399999999994</v>
      </c>
      <c r="Q2279" s="312">
        <v>142023.16</v>
      </c>
      <c r="R2279" s="312">
        <v>138354.85</v>
      </c>
    </row>
    <row r="2280" spans="6:18">
      <c r="F2280" t="s">
        <v>4044</v>
      </c>
      <c r="G2280" s="312">
        <v>120.1</v>
      </c>
      <c r="H2280" s="312">
        <v>296.62</v>
      </c>
      <c r="I2280" s="312">
        <v>92.83</v>
      </c>
      <c r="J2280" s="312">
        <v>180.01</v>
      </c>
      <c r="K2280" s="312">
        <v>344.18</v>
      </c>
      <c r="M2280" t="s">
        <v>4044</v>
      </c>
      <c r="N2280" s="312">
        <v>67377.459999999992</v>
      </c>
      <c r="O2280" s="312">
        <v>147758.78</v>
      </c>
      <c r="P2280" s="312">
        <v>51051.68</v>
      </c>
      <c r="Q2280" s="312">
        <v>105097.48</v>
      </c>
      <c r="R2280" s="312">
        <v>126718.48000000001</v>
      </c>
    </row>
    <row r="2281" spans="6:18">
      <c r="F2281" t="s">
        <v>4045</v>
      </c>
      <c r="G2281" s="312">
        <v>116.59</v>
      </c>
      <c r="H2281" s="312">
        <v>237.63</v>
      </c>
      <c r="I2281" s="312">
        <v>72.259999999999991</v>
      </c>
      <c r="J2281" s="312">
        <v>194.7</v>
      </c>
      <c r="K2281" s="312">
        <v>363.22</v>
      </c>
      <c r="M2281" t="s">
        <v>4045</v>
      </c>
      <c r="N2281" s="312">
        <v>59331.49</v>
      </c>
      <c r="O2281" s="312">
        <v>113450.69</v>
      </c>
      <c r="P2281" s="312">
        <v>94844.22</v>
      </c>
      <c r="Q2281" s="312">
        <v>175417.82</v>
      </c>
      <c r="R2281" s="312">
        <v>141571.34999999998</v>
      </c>
    </row>
    <row r="2282" spans="6:18">
      <c r="F2282" t="s">
        <v>4046</v>
      </c>
      <c r="G2282" s="312">
        <v>191.14000000000001</v>
      </c>
      <c r="H2282" s="312">
        <v>337.34000000000003</v>
      </c>
      <c r="I2282" s="312">
        <v>118.59</v>
      </c>
      <c r="J2282" s="312">
        <v>167.5</v>
      </c>
      <c r="K2282" s="312">
        <v>256.14999999999998</v>
      </c>
      <c r="M2282" t="s">
        <v>4046</v>
      </c>
      <c r="N2282" s="312">
        <v>200847.52</v>
      </c>
      <c r="O2282" s="312">
        <v>205176.62</v>
      </c>
      <c r="P2282" s="312">
        <v>60574.879999999997</v>
      </c>
      <c r="Q2282" s="312">
        <v>149571.72</v>
      </c>
      <c r="R2282" s="312">
        <v>90130.81</v>
      </c>
    </row>
    <row r="2283" spans="6:18">
      <c r="F2283" t="s">
        <v>4047</v>
      </c>
      <c r="G2283" s="312">
        <v>159.16999999999999</v>
      </c>
      <c r="H2283" s="312">
        <v>319.45999999999998</v>
      </c>
      <c r="I2283" s="312">
        <v>103.77</v>
      </c>
      <c r="J2283" s="312">
        <v>128.93</v>
      </c>
      <c r="K2283" s="312">
        <v>295.02</v>
      </c>
      <c r="M2283" t="s">
        <v>4047</v>
      </c>
      <c r="N2283" s="312">
        <v>102995.4</v>
      </c>
      <c r="O2283" s="312">
        <v>153948.85</v>
      </c>
      <c r="P2283" s="312">
        <v>63219.839999999997</v>
      </c>
      <c r="Q2283" s="312">
        <v>68441.01999999999</v>
      </c>
      <c r="R2283" s="312">
        <v>88424.010000000009</v>
      </c>
    </row>
    <row r="2284" spans="6:18">
      <c r="F2284" t="s">
        <v>4048</v>
      </c>
      <c r="G2284" s="312">
        <v>53.78</v>
      </c>
      <c r="H2284" s="312">
        <v>193.37</v>
      </c>
      <c r="I2284" s="312">
        <v>14.95</v>
      </c>
      <c r="J2284" s="312">
        <v>204.70999999999998</v>
      </c>
      <c r="K2284" s="312">
        <v>261.69</v>
      </c>
      <c r="M2284" t="s">
        <v>4048</v>
      </c>
      <c r="N2284" s="312">
        <v>24664.27</v>
      </c>
      <c r="O2284" s="312">
        <v>128721.08</v>
      </c>
      <c r="P2284" s="312">
        <v>8481.2799999999988</v>
      </c>
      <c r="Q2284" s="312">
        <v>128914.81</v>
      </c>
      <c r="R2284" s="312">
        <v>70104.36</v>
      </c>
    </row>
    <row r="2285" spans="6:18">
      <c r="F2285" t="s">
        <v>4049</v>
      </c>
      <c r="G2285" s="312">
        <v>50.879999999999995</v>
      </c>
      <c r="H2285" s="312">
        <v>148.99</v>
      </c>
      <c r="I2285" s="312">
        <v>73.399999999999991</v>
      </c>
      <c r="J2285" s="312">
        <v>134.17000000000002</v>
      </c>
      <c r="K2285" s="312">
        <v>118.55</v>
      </c>
      <c r="M2285" t="s">
        <v>4049</v>
      </c>
      <c r="N2285" s="312">
        <v>22493.16</v>
      </c>
      <c r="O2285" s="312">
        <v>80632.73000000001</v>
      </c>
      <c r="P2285" s="312">
        <v>69469.16</v>
      </c>
      <c r="Q2285" s="312">
        <v>87159.38</v>
      </c>
      <c r="R2285" s="312">
        <v>44558.950000000004</v>
      </c>
    </row>
    <row r="2286" spans="6:18">
      <c r="F2286" t="s">
        <v>4050</v>
      </c>
      <c r="G2286" s="312">
        <v>104.97999999999999</v>
      </c>
      <c r="H2286" s="312">
        <v>206.16000000000003</v>
      </c>
      <c r="I2286" s="312">
        <v>5.91</v>
      </c>
      <c r="J2286" s="312">
        <v>93.21</v>
      </c>
      <c r="K2286" s="312">
        <v>179.21</v>
      </c>
      <c r="M2286" t="s">
        <v>4050</v>
      </c>
      <c r="N2286" s="312">
        <v>53193.1</v>
      </c>
      <c r="O2286" s="312">
        <v>144792.49</v>
      </c>
      <c r="P2286" s="312">
        <v>4549.97</v>
      </c>
      <c r="Q2286" s="312">
        <v>79407.539999999994</v>
      </c>
      <c r="R2286" s="312">
        <v>81966.98</v>
      </c>
    </row>
    <row r="2287" spans="6:18">
      <c r="F2287" t="s">
        <v>4051</v>
      </c>
      <c r="G2287" s="312">
        <v>149.12</v>
      </c>
      <c r="H2287" s="312">
        <v>184.04000000000002</v>
      </c>
      <c r="I2287" s="312">
        <v>16.240000000000002</v>
      </c>
      <c r="J2287" s="312">
        <v>227.17000000000002</v>
      </c>
      <c r="K2287" s="312">
        <v>288.69</v>
      </c>
      <c r="M2287" t="s">
        <v>4051</v>
      </c>
      <c r="N2287" s="312">
        <v>95346.94</v>
      </c>
      <c r="O2287" s="312">
        <v>73565.259999999995</v>
      </c>
      <c r="P2287" s="312">
        <v>8323.6299999999992</v>
      </c>
      <c r="Q2287" s="312">
        <v>203795.34999999998</v>
      </c>
      <c r="R2287" s="312">
        <v>103544.76000000001</v>
      </c>
    </row>
    <row r="2288" spans="6:18">
      <c r="F2288" t="s">
        <v>4052</v>
      </c>
      <c r="G2288" s="312">
        <v>117.14</v>
      </c>
      <c r="H2288" s="312">
        <v>258.37</v>
      </c>
      <c r="I2288" s="312">
        <v>143.52000000000001</v>
      </c>
      <c r="J2288" s="312">
        <v>224.45999999999998</v>
      </c>
      <c r="K2288" s="312">
        <v>292.87</v>
      </c>
      <c r="M2288" t="s">
        <v>4052</v>
      </c>
      <c r="N2288" s="312">
        <v>45029.289999999994</v>
      </c>
      <c r="O2288" s="312">
        <v>139419.39000000001</v>
      </c>
      <c r="P2288" s="312">
        <v>86136.04</v>
      </c>
      <c r="Q2288" s="312">
        <v>214297.53</v>
      </c>
      <c r="R2288" s="312">
        <v>86648.390000000014</v>
      </c>
    </row>
    <row r="2289" spans="6:18">
      <c r="F2289" t="s">
        <v>4053</v>
      </c>
      <c r="G2289" s="312">
        <v>82.89</v>
      </c>
      <c r="H2289" s="312">
        <v>306.13</v>
      </c>
      <c r="I2289" s="312">
        <v>97.29</v>
      </c>
      <c r="J2289" s="312">
        <v>171.03</v>
      </c>
      <c r="K2289" s="312">
        <v>355.53999999999996</v>
      </c>
      <c r="M2289" t="s">
        <v>4053</v>
      </c>
      <c r="N2289" s="312">
        <v>31287.599999999999</v>
      </c>
      <c r="O2289" s="312">
        <v>182234.93</v>
      </c>
      <c r="P2289" s="312">
        <v>59675.770000000004</v>
      </c>
      <c r="Q2289" s="312">
        <v>111660.76999999999</v>
      </c>
      <c r="R2289" s="312">
        <v>105065.45</v>
      </c>
    </row>
    <row r="2290" spans="6:18">
      <c r="F2290" t="s">
        <v>4054</v>
      </c>
      <c r="G2290" s="312">
        <v>113.16999999999999</v>
      </c>
      <c r="H2290" s="312">
        <v>309.68</v>
      </c>
      <c r="I2290" s="312">
        <v>77.94</v>
      </c>
      <c r="J2290" s="312">
        <v>140.74</v>
      </c>
      <c r="K2290" s="312">
        <v>342.19</v>
      </c>
      <c r="M2290" t="s">
        <v>4054</v>
      </c>
      <c r="N2290" s="312">
        <v>41537.81</v>
      </c>
      <c r="O2290" s="312">
        <v>136392.70000000001</v>
      </c>
      <c r="P2290" s="312">
        <v>55469.7</v>
      </c>
      <c r="Q2290" s="312">
        <v>127197.13</v>
      </c>
      <c r="R2290" s="312">
        <v>126794.2</v>
      </c>
    </row>
    <row r="2291" spans="6:18">
      <c r="F2291" t="s">
        <v>4055</v>
      </c>
      <c r="G2291" s="312">
        <v>70.989999999999995</v>
      </c>
      <c r="H2291" s="312">
        <v>222.59</v>
      </c>
      <c r="I2291" s="312">
        <v>90.820000000000007</v>
      </c>
      <c r="J2291" s="312">
        <v>148.07999999999998</v>
      </c>
      <c r="K2291" s="312">
        <v>193.82</v>
      </c>
      <c r="M2291" t="s">
        <v>4055</v>
      </c>
      <c r="N2291" s="312">
        <v>36184.46</v>
      </c>
      <c r="O2291" s="312">
        <v>101442.59</v>
      </c>
      <c r="P2291" s="312">
        <v>51315.659999999996</v>
      </c>
      <c r="Q2291" s="312">
        <v>93003.36</v>
      </c>
      <c r="R2291" s="312">
        <v>66291.569999999992</v>
      </c>
    </row>
    <row r="2292" spans="6:18">
      <c r="F2292" t="s">
        <v>4056</v>
      </c>
      <c r="G2292" s="312">
        <v>117.16</v>
      </c>
      <c r="H2292" s="312">
        <v>190.52</v>
      </c>
      <c r="I2292" s="312">
        <v>49.29</v>
      </c>
      <c r="J2292" s="312">
        <v>116.2</v>
      </c>
      <c r="K2292" s="312">
        <v>176.9</v>
      </c>
      <c r="M2292" t="s">
        <v>4056</v>
      </c>
      <c r="N2292" s="312">
        <v>55523.32</v>
      </c>
      <c r="O2292" s="312">
        <v>125170.27</v>
      </c>
      <c r="P2292" s="312">
        <v>40369.949999999997</v>
      </c>
      <c r="Q2292" s="312">
        <v>65035.75</v>
      </c>
      <c r="R2292" s="312">
        <v>55967.229999999996</v>
      </c>
    </row>
    <row r="2293" spans="6:18">
      <c r="F2293" t="s">
        <v>4057</v>
      </c>
      <c r="G2293" s="312">
        <v>129.51999999999998</v>
      </c>
      <c r="H2293" s="312">
        <v>144.78</v>
      </c>
      <c r="I2293" s="312">
        <v>22.2</v>
      </c>
      <c r="J2293" s="312">
        <v>149.03</v>
      </c>
      <c r="K2293" s="312">
        <v>209.75</v>
      </c>
      <c r="M2293" t="s">
        <v>4057</v>
      </c>
      <c r="N2293" s="312">
        <v>57459.19</v>
      </c>
      <c r="O2293" s="312">
        <v>97836.35</v>
      </c>
      <c r="P2293" s="312">
        <v>16776.870000000003</v>
      </c>
      <c r="Q2293" s="312">
        <v>109844.94</v>
      </c>
      <c r="R2293" s="312">
        <v>71114.22</v>
      </c>
    </row>
    <row r="2294" spans="6:18">
      <c r="F2294" t="s">
        <v>4058</v>
      </c>
      <c r="G2294" s="312">
        <v>102.62</v>
      </c>
      <c r="H2294" s="312">
        <v>322.87</v>
      </c>
      <c r="I2294" s="312">
        <v>43.61</v>
      </c>
      <c r="J2294" s="312">
        <v>190.78</v>
      </c>
      <c r="K2294" s="312">
        <v>267.19</v>
      </c>
      <c r="M2294" t="s">
        <v>4058</v>
      </c>
      <c r="N2294" s="312">
        <v>41325.760000000002</v>
      </c>
      <c r="O2294" s="312">
        <v>157155.40000000002</v>
      </c>
      <c r="P2294" s="312">
        <v>31995.61</v>
      </c>
      <c r="Q2294" s="312">
        <v>165317.20000000001</v>
      </c>
      <c r="R2294" s="312">
        <v>86978.22</v>
      </c>
    </row>
    <row r="2295" spans="6:18">
      <c r="F2295" t="s">
        <v>4059</v>
      </c>
      <c r="G2295" s="312">
        <v>146.69</v>
      </c>
      <c r="H2295" s="312">
        <v>287.77999999999997</v>
      </c>
      <c r="I2295" s="312">
        <v>100.97999999999999</v>
      </c>
      <c r="J2295" s="312">
        <v>124.53</v>
      </c>
      <c r="K2295" s="312">
        <v>342.3</v>
      </c>
      <c r="M2295" t="s">
        <v>4059</v>
      </c>
      <c r="N2295" s="312">
        <v>67878.880000000005</v>
      </c>
      <c r="O2295" s="312">
        <v>146036.73000000001</v>
      </c>
      <c r="P2295" s="312">
        <v>71165.03</v>
      </c>
      <c r="Q2295" s="312">
        <v>92378.23000000001</v>
      </c>
      <c r="R2295" s="312">
        <v>114591.15</v>
      </c>
    </row>
    <row r="2296" spans="6:18">
      <c r="F2296" t="s">
        <v>4060</v>
      </c>
      <c r="G2296" s="312">
        <v>155.37</v>
      </c>
      <c r="H2296" s="312">
        <v>256.37</v>
      </c>
      <c r="I2296" s="312">
        <v>47.43</v>
      </c>
      <c r="J2296" s="312">
        <v>150.1</v>
      </c>
      <c r="K2296" s="312">
        <v>376.35</v>
      </c>
      <c r="M2296" t="s">
        <v>4060</v>
      </c>
      <c r="N2296" s="312">
        <v>59427.33</v>
      </c>
      <c r="O2296" s="312">
        <v>116109.64</v>
      </c>
      <c r="P2296" s="312">
        <v>31083.809999999998</v>
      </c>
      <c r="Q2296" s="312">
        <v>124402.6</v>
      </c>
      <c r="R2296" s="312">
        <v>153210.76</v>
      </c>
    </row>
    <row r="2297" spans="6:18">
      <c r="F2297" t="s">
        <v>4061</v>
      </c>
      <c r="G2297" s="312">
        <v>142.31</v>
      </c>
      <c r="H2297" s="312">
        <v>249.46</v>
      </c>
      <c r="I2297" s="312">
        <v>96.67</v>
      </c>
      <c r="J2297" s="312">
        <v>152.99</v>
      </c>
      <c r="K2297" s="312">
        <v>394.03</v>
      </c>
      <c r="M2297" t="s">
        <v>4061</v>
      </c>
      <c r="N2297" s="312">
        <v>79655.22</v>
      </c>
      <c r="O2297" s="312">
        <v>123379.26</v>
      </c>
      <c r="P2297" s="312">
        <v>102308.09</v>
      </c>
      <c r="Q2297" s="312">
        <v>93626.23</v>
      </c>
      <c r="R2297" s="312">
        <v>163540.04</v>
      </c>
    </row>
    <row r="2298" spans="6:18">
      <c r="F2298" t="s">
        <v>4062</v>
      </c>
      <c r="G2298" s="312">
        <v>130.53</v>
      </c>
      <c r="H2298" s="312">
        <v>250.14</v>
      </c>
      <c r="I2298" s="312">
        <v>47.11</v>
      </c>
      <c r="J2298" s="312">
        <v>127.91</v>
      </c>
      <c r="K2298" s="312">
        <v>399.15</v>
      </c>
      <c r="M2298" t="s">
        <v>4062</v>
      </c>
      <c r="N2298" s="312">
        <v>70485.95</v>
      </c>
      <c r="O2298" s="312">
        <v>125856.75</v>
      </c>
      <c r="P2298" s="312">
        <v>50101.079999999994</v>
      </c>
      <c r="Q2298" s="312">
        <v>88785</v>
      </c>
      <c r="R2298" s="312">
        <v>140910.18</v>
      </c>
    </row>
    <row r="2299" spans="6:18">
      <c r="F2299" t="s">
        <v>4063</v>
      </c>
      <c r="G2299" s="312">
        <v>185.29999999999998</v>
      </c>
      <c r="H2299" s="312">
        <v>176.68</v>
      </c>
      <c r="I2299" s="312">
        <v>41.480000000000004</v>
      </c>
      <c r="J2299" s="312">
        <v>139.07999999999998</v>
      </c>
      <c r="K2299" s="312">
        <v>223.57</v>
      </c>
      <c r="M2299" t="s">
        <v>4063</v>
      </c>
      <c r="N2299" s="312">
        <v>111220.76</v>
      </c>
      <c r="O2299" s="312">
        <v>106118.66</v>
      </c>
      <c r="P2299" s="312">
        <v>39845.119999999995</v>
      </c>
      <c r="Q2299" s="312">
        <v>123723.39</v>
      </c>
      <c r="R2299" s="312">
        <v>100198.73999999999</v>
      </c>
    </row>
    <row r="2300" spans="6:18">
      <c r="F2300" t="s">
        <v>4064</v>
      </c>
      <c r="G2300" s="312">
        <v>94.02</v>
      </c>
      <c r="H2300" s="312">
        <v>207.48000000000002</v>
      </c>
      <c r="I2300" s="312">
        <v>30.090000000000003</v>
      </c>
      <c r="J2300" s="312">
        <v>146.61000000000001</v>
      </c>
      <c r="K2300" s="312">
        <v>147.22</v>
      </c>
      <c r="M2300" t="s">
        <v>4064</v>
      </c>
      <c r="N2300" s="312">
        <v>54106.67</v>
      </c>
      <c r="O2300" s="312">
        <v>87354.85</v>
      </c>
      <c r="P2300" s="312">
        <v>26030.48</v>
      </c>
      <c r="Q2300" s="312">
        <v>116355.70000000001</v>
      </c>
      <c r="R2300" s="312">
        <v>38161.769999999997</v>
      </c>
    </row>
    <row r="2301" spans="6:18">
      <c r="F2301" t="s">
        <v>4065</v>
      </c>
      <c r="G2301" s="312">
        <v>133.55000000000001</v>
      </c>
      <c r="H2301" s="312">
        <v>308.7</v>
      </c>
      <c r="I2301" s="312">
        <v>68.47</v>
      </c>
      <c r="J2301" s="312">
        <v>139.68</v>
      </c>
      <c r="K2301" s="312">
        <v>366.01</v>
      </c>
      <c r="M2301" t="s">
        <v>4065</v>
      </c>
      <c r="N2301" s="312">
        <v>71165.41</v>
      </c>
      <c r="O2301" s="312">
        <v>160820.41</v>
      </c>
      <c r="P2301" s="312">
        <v>73150.37000000001</v>
      </c>
      <c r="Q2301" s="312">
        <v>98948.989999999991</v>
      </c>
      <c r="R2301" s="312">
        <v>178621.34000000003</v>
      </c>
    </row>
    <row r="2302" spans="6:18">
      <c r="F2302" t="s">
        <v>4066</v>
      </c>
      <c r="G2302" s="312">
        <v>137.51999999999998</v>
      </c>
      <c r="H2302" s="312">
        <v>291.31</v>
      </c>
      <c r="I2302" s="312">
        <v>21.4</v>
      </c>
      <c r="J2302" s="312">
        <v>164.92</v>
      </c>
      <c r="K2302" s="312">
        <v>239.49</v>
      </c>
      <c r="M2302" t="s">
        <v>4066</v>
      </c>
      <c r="N2302" s="312">
        <v>70191.94</v>
      </c>
      <c r="O2302" s="312">
        <v>163048</v>
      </c>
      <c r="P2302" s="312">
        <v>16117</v>
      </c>
      <c r="Q2302" s="312">
        <v>143495.19999999998</v>
      </c>
      <c r="R2302" s="312">
        <v>86976.5</v>
      </c>
    </row>
    <row r="2303" spans="6:18">
      <c r="F2303" t="s">
        <v>4067</v>
      </c>
      <c r="G2303" s="312">
        <v>106.71000000000001</v>
      </c>
      <c r="H2303" s="312">
        <v>291</v>
      </c>
      <c r="I2303" s="312">
        <v>79.09</v>
      </c>
      <c r="J2303" s="312">
        <v>137.1</v>
      </c>
      <c r="K2303" s="312">
        <v>296.64</v>
      </c>
      <c r="M2303" t="s">
        <v>4067</v>
      </c>
      <c r="N2303" s="312">
        <v>76632.459999999992</v>
      </c>
      <c r="O2303" s="312">
        <v>133910.54999999999</v>
      </c>
      <c r="P2303" s="312">
        <v>54945.55</v>
      </c>
      <c r="Q2303" s="312">
        <v>125526.16</v>
      </c>
      <c r="R2303" s="312">
        <v>99526.399999999994</v>
      </c>
    </row>
    <row r="2304" spans="6:18">
      <c r="F2304" t="s">
        <v>4068</v>
      </c>
      <c r="G2304" s="312">
        <v>135.65</v>
      </c>
      <c r="H2304" s="312">
        <v>307.76</v>
      </c>
      <c r="I2304" s="312">
        <v>83.78</v>
      </c>
      <c r="J2304" s="312">
        <v>223.91000000000003</v>
      </c>
      <c r="K2304" s="312">
        <v>372.9</v>
      </c>
      <c r="M2304" t="s">
        <v>4068</v>
      </c>
      <c r="N2304" s="312">
        <v>57802.44</v>
      </c>
      <c r="O2304" s="312">
        <v>145659.85999999999</v>
      </c>
      <c r="P2304" s="312">
        <v>84388.2</v>
      </c>
      <c r="Q2304" s="312">
        <v>157944.72</v>
      </c>
      <c r="R2304" s="312">
        <v>117260.18</v>
      </c>
    </row>
    <row r="2305" spans="6:18">
      <c r="F2305" t="s">
        <v>4069</v>
      </c>
      <c r="G2305" s="312">
        <v>107.76</v>
      </c>
      <c r="H2305" s="312">
        <v>360.55</v>
      </c>
      <c r="I2305" s="312">
        <v>82.38</v>
      </c>
      <c r="J2305" s="312">
        <v>189.19</v>
      </c>
      <c r="K2305" s="312">
        <v>223.33</v>
      </c>
      <c r="M2305" t="s">
        <v>4069</v>
      </c>
      <c r="N2305" s="312">
        <v>56280.539999999994</v>
      </c>
      <c r="O2305" s="312">
        <v>210730.52</v>
      </c>
      <c r="P2305" s="312">
        <v>85600.97</v>
      </c>
      <c r="Q2305" s="312">
        <v>191133.85</v>
      </c>
      <c r="R2305" s="312">
        <v>82027.69</v>
      </c>
    </row>
    <row r="2306" spans="6:18">
      <c r="F2306" t="s">
        <v>4070</v>
      </c>
      <c r="G2306" s="312">
        <v>87.28</v>
      </c>
      <c r="H2306" s="312">
        <v>158.35</v>
      </c>
      <c r="I2306" s="312">
        <v>69.44</v>
      </c>
      <c r="J2306" s="312">
        <v>133.35</v>
      </c>
      <c r="K2306" s="312">
        <v>125.32</v>
      </c>
      <c r="M2306" t="s">
        <v>4070</v>
      </c>
      <c r="N2306" s="312">
        <v>37777.85</v>
      </c>
      <c r="O2306" s="312">
        <v>114653.19</v>
      </c>
      <c r="P2306" s="312">
        <v>55774.619999999995</v>
      </c>
      <c r="Q2306" s="312">
        <v>91841.510000000009</v>
      </c>
      <c r="R2306" s="312">
        <v>34302.770000000004</v>
      </c>
    </row>
    <row r="2307" spans="6:18">
      <c r="F2307" t="s">
        <v>4071</v>
      </c>
      <c r="G2307" s="312">
        <v>96.69</v>
      </c>
      <c r="H2307" s="312">
        <v>167.26</v>
      </c>
      <c r="I2307" s="312">
        <v>11.7</v>
      </c>
      <c r="J2307" s="312">
        <v>113.34</v>
      </c>
      <c r="K2307" s="312">
        <v>153.79000000000002</v>
      </c>
      <c r="M2307" t="s">
        <v>4071</v>
      </c>
      <c r="N2307" s="312">
        <v>53274.869999999995</v>
      </c>
      <c r="O2307" s="312">
        <v>89421.67</v>
      </c>
      <c r="P2307" s="312">
        <v>5884.84</v>
      </c>
      <c r="Q2307" s="312">
        <v>160459.16</v>
      </c>
      <c r="R2307" s="312">
        <v>57734.91</v>
      </c>
    </row>
    <row r="2308" spans="6:18">
      <c r="F2308" t="s">
        <v>4072</v>
      </c>
      <c r="G2308" s="312">
        <v>127.13</v>
      </c>
      <c r="H2308" s="312">
        <v>283.51</v>
      </c>
      <c r="I2308" s="312">
        <v>73.11</v>
      </c>
      <c r="J2308" s="312">
        <v>156.32</v>
      </c>
      <c r="K2308" s="312">
        <v>222.7</v>
      </c>
      <c r="M2308" t="s">
        <v>4072</v>
      </c>
      <c r="N2308" s="312">
        <v>75570.13</v>
      </c>
      <c r="O2308" s="312">
        <v>282146.96000000002</v>
      </c>
      <c r="P2308" s="312">
        <v>57562.81</v>
      </c>
      <c r="Q2308" s="312">
        <v>108531.07</v>
      </c>
      <c r="R2308" s="312">
        <v>58523.67</v>
      </c>
    </row>
    <row r="2309" spans="6:18">
      <c r="F2309" t="s">
        <v>4073</v>
      </c>
      <c r="G2309" s="312">
        <v>126.30000000000001</v>
      </c>
      <c r="H2309" s="312">
        <v>231</v>
      </c>
      <c r="I2309" s="312">
        <v>105.47</v>
      </c>
      <c r="J2309" s="312">
        <v>162.25</v>
      </c>
      <c r="K2309" s="312">
        <v>260.45999999999998</v>
      </c>
      <c r="M2309" t="s">
        <v>4073</v>
      </c>
      <c r="N2309" s="312">
        <v>69362.64</v>
      </c>
      <c r="O2309" s="312">
        <v>116199.43999999999</v>
      </c>
      <c r="P2309" s="312">
        <v>113879.06</v>
      </c>
      <c r="Q2309" s="312">
        <v>155930.45000000001</v>
      </c>
      <c r="R2309" s="312">
        <v>102402.45000000001</v>
      </c>
    </row>
    <row r="2310" spans="6:18">
      <c r="F2310" t="s">
        <v>4074</v>
      </c>
      <c r="G2310" s="312">
        <v>140.44999999999999</v>
      </c>
      <c r="H2310" s="312">
        <v>302.06</v>
      </c>
      <c r="I2310" s="312">
        <v>58.1</v>
      </c>
      <c r="J2310" s="312">
        <v>120.36999999999999</v>
      </c>
      <c r="K2310" s="312">
        <v>202.78</v>
      </c>
      <c r="M2310" t="s">
        <v>4074</v>
      </c>
      <c r="N2310" s="312">
        <v>75674.98</v>
      </c>
      <c r="O2310" s="312">
        <v>187939.3</v>
      </c>
      <c r="P2310" s="312">
        <v>39747.94</v>
      </c>
      <c r="Q2310" s="312">
        <v>65104.89</v>
      </c>
      <c r="R2310" s="312">
        <v>80209.25</v>
      </c>
    </row>
    <row r="2311" spans="6:18">
      <c r="F2311" t="s">
        <v>4075</v>
      </c>
      <c r="G2311" s="312">
        <v>332.41</v>
      </c>
      <c r="H2311" s="312">
        <v>276.19</v>
      </c>
      <c r="I2311" s="312">
        <v>106.75</v>
      </c>
      <c r="J2311" s="312">
        <v>205.91000000000003</v>
      </c>
      <c r="K2311" s="312">
        <v>236.91000000000003</v>
      </c>
      <c r="M2311" t="s">
        <v>4075</v>
      </c>
      <c r="N2311" s="312">
        <v>185888</v>
      </c>
      <c r="O2311" s="312">
        <v>135331.17000000001</v>
      </c>
      <c r="P2311" s="312">
        <v>108882.5</v>
      </c>
      <c r="Q2311" s="312">
        <v>152167.53000000003</v>
      </c>
      <c r="R2311" s="312">
        <v>83226.05</v>
      </c>
    </row>
    <row r="2312" spans="6:18">
      <c r="F2312" t="s">
        <v>4076</v>
      </c>
      <c r="G2312" s="312">
        <v>271.48</v>
      </c>
      <c r="H2312" s="312">
        <v>213.01</v>
      </c>
      <c r="I2312" s="312">
        <v>87.5</v>
      </c>
      <c r="J2312" s="312">
        <v>192.99</v>
      </c>
      <c r="K2312" s="312">
        <v>155.29000000000002</v>
      </c>
      <c r="M2312" t="s">
        <v>4076</v>
      </c>
      <c r="N2312" s="312">
        <v>161429.41</v>
      </c>
      <c r="O2312" s="312">
        <v>135159.39000000001</v>
      </c>
      <c r="P2312" s="312">
        <v>139895.49000000002</v>
      </c>
      <c r="Q2312" s="312">
        <v>110510.55</v>
      </c>
      <c r="R2312" s="312">
        <v>41612.160000000003</v>
      </c>
    </row>
    <row r="2313" spans="6:18">
      <c r="F2313" t="s">
        <v>4077</v>
      </c>
      <c r="G2313" s="312">
        <v>92.58</v>
      </c>
      <c r="H2313" s="312">
        <v>217.7</v>
      </c>
      <c r="I2313" s="312">
        <v>31.919999999999998</v>
      </c>
      <c r="J2313" s="312">
        <v>145.18</v>
      </c>
      <c r="K2313" s="312">
        <v>137.57999999999998</v>
      </c>
      <c r="M2313" t="s">
        <v>4077</v>
      </c>
      <c r="N2313" s="312">
        <v>49054.66</v>
      </c>
      <c r="O2313" s="312">
        <v>114910.39000000001</v>
      </c>
      <c r="P2313" s="312">
        <v>22860.550000000003</v>
      </c>
      <c r="Q2313" s="312">
        <v>112984.94</v>
      </c>
      <c r="R2313" s="312">
        <v>95711.51</v>
      </c>
    </row>
    <row r="2314" spans="6:18">
      <c r="F2314" t="s">
        <v>4078</v>
      </c>
      <c r="G2314" s="312">
        <v>95.93</v>
      </c>
      <c r="H2314" s="312">
        <v>192.56</v>
      </c>
      <c r="I2314" s="312">
        <v>8.3099999999999987</v>
      </c>
      <c r="J2314" s="312">
        <v>154.54000000000002</v>
      </c>
      <c r="K2314" s="312">
        <v>99.490000000000009</v>
      </c>
      <c r="M2314" t="s">
        <v>4078</v>
      </c>
      <c r="N2314" s="312">
        <v>64053.200000000004</v>
      </c>
      <c r="O2314" s="312">
        <v>84679.95</v>
      </c>
      <c r="P2314" s="312">
        <v>50999.61</v>
      </c>
      <c r="Q2314" s="312">
        <v>105677.31</v>
      </c>
      <c r="R2314" s="312">
        <v>35221.339999999997</v>
      </c>
    </row>
    <row r="2315" spans="6:18">
      <c r="F2315" t="s">
        <v>4079</v>
      </c>
      <c r="G2315" s="312">
        <v>122</v>
      </c>
      <c r="H2315" s="312">
        <v>313.60000000000002</v>
      </c>
      <c r="I2315" s="312">
        <v>105.83</v>
      </c>
      <c r="J2315" s="312">
        <v>183.88</v>
      </c>
      <c r="K2315" s="312">
        <v>169.55</v>
      </c>
      <c r="M2315" t="s">
        <v>4079</v>
      </c>
      <c r="N2315" s="312">
        <v>72314.86</v>
      </c>
      <c r="O2315" s="312">
        <v>140049.12</v>
      </c>
      <c r="P2315" s="312">
        <v>85640.670000000013</v>
      </c>
      <c r="Q2315" s="312">
        <v>113912.33</v>
      </c>
      <c r="R2315" s="312">
        <v>65247.37</v>
      </c>
    </row>
    <row r="2316" spans="6:18">
      <c r="F2316" t="s">
        <v>4080</v>
      </c>
      <c r="G2316" s="312">
        <v>92.740000000000009</v>
      </c>
      <c r="H2316" s="312">
        <v>283.29000000000002</v>
      </c>
      <c r="I2316" s="312">
        <v>106.88</v>
      </c>
      <c r="J2316" s="312">
        <v>214.33</v>
      </c>
      <c r="K2316" s="312">
        <v>176.75</v>
      </c>
      <c r="M2316" t="s">
        <v>4080</v>
      </c>
      <c r="N2316" s="312">
        <v>50119.22</v>
      </c>
      <c r="O2316" s="312">
        <v>185331.57</v>
      </c>
      <c r="P2316" s="312">
        <v>77305.279999999999</v>
      </c>
      <c r="Q2316" s="312">
        <v>180416.36000000002</v>
      </c>
      <c r="R2316" s="312">
        <v>57313.5</v>
      </c>
    </row>
    <row r="2317" spans="6:18">
      <c r="F2317" t="s">
        <v>4081</v>
      </c>
      <c r="G2317" s="312">
        <v>103.86</v>
      </c>
      <c r="H2317" s="312">
        <v>248.06</v>
      </c>
      <c r="I2317" s="312">
        <v>18.11</v>
      </c>
      <c r="J2317" s="312">
        <v>222.34</v>
      </c>
      <c r="K2317" s="312">
        <v>198.56</v>
      </c>
      <c r="M2317" t="s">
        <v>4081</v>
      </c>
      <c r="N2317" s="312">
        <v>53509.599999999999</v>
      </c>
      <c r="O2317" s="312">
        <v>116676.96</v>
      </c>
      <c r="P2317" s="312">
        <v>14636.05</v>
      </c>
      <c r="Q2317" s="312">
        <v>123369.83</v>
      </c>
      <c r="R2317" s="312">
        <v>56587.91</v>
      </c>
    </row>
    <row r="2318" spans="6:18">
      <c r="F2318" t="s">
        <v>4082</v>
      </c>
      <c r="G2318" s="312">
        <v>112.72</v>
      </c>
      <c r="H2318" s="312">
        <v>267.74</v>
      </c>
      <c r="I2318" s="312">
        <v>49.11</v>
      </c>
      <c r="J2318" s="312">
        <v>272.21999999999997</v>
      </c>
      <c r="K2318" s="312">
        <v>248.29000000000002</v>
      </c>
      <c r="M2318" t="s">
        <v>4082</v>
      </c>
      <c r="N2318" s="312">
        <v>99422.98000000001</v>
      </c>
      <c r="O2318" s="312">
        <v>121813.51000000001</v>
      </c>
      <c r="P2318" s="312">
        <v>61814.29</v>
      </c>
      <c r="Q2318" s="312">
        <v>163132.07</v>
      </c>
      <c r="R2318" s="312">
        <v>88416.23</v>
      </c>
    </row>
    <row r="2319" spans="6:18">
      <c r="F2319" t="s">
        <v>4083</v>
      </c>
      <c r="G2319" s="312">
        <v>131.59</v>
      </c>
      <c r="H2319" s="312">
        <v>349.55</v>
      </c>
      <c r="I2319" s="312">
        <v>96.56</v>
      </c>
      <c r="J2319" s="312">
        <v>149.27000000000001</v>
      </c>
      <c r="K2319" s="312">
        <v>178.39999999999998</v>
      </c>
      <c r="M2319" t="s">
        <v>4083</v>
      </c>
      <c r="N2319" s="312">
        <v>71833.08</v>
      </c>
      <c r="O2319" s="312">
        <v>216485.91999999998</v>
      </c>
      <c r="P2319" s="312">
        <v>86260.28</v>
      </c>
      <c r="Q2319" s="312">
        <v>93978.47</v>
      </c>
      <c r="R2319" s="312">
        <v>120642.31999999999</v>
      </c>
    </row>
    <row r="2320" spans="6:18">
      <c r="F2320" t="s">
        <v>4084</v>
      </c>
      <c r="G2320" s="312">
        <v>84.38</v>
      </c>
      <c r="H2320" s="312">
        <v>213.89000000000001</v>
      </c>
      <c r="I2320" s="312">
        <v>70.38</v>
      </c>
      <c r="J2320" s="312">
        <v>100.91</v>
      </c>
      <c r="K2320" s="312">
        <v>168.29999999999998</v>
      </c>
      <c r="M2320" t="s">
        <v>4084</v>
      </c>
      <c r="N2320" s="312">
        <v>44042.720000000001</v>
      </c>
      <c r="O2320" s="312">
        <v>102054.62000000001</v>
      </c>
      <c r="P2320" s="312">
        <v>53185.060000000005</v>
      </c>
      <c r="Q2320" s="312">
        <v>62582.64</v>
      </c>
      <c r="R2320" s="312">
        <v>56663.98</v>
      </c>
    </row>
    <row r="2321" spans="6:18">
      <c r="F2321" t="s">
        <v>4085</v>
      </c>
      <c r="G2321" s="312">
        <v>70.349999999999994</v>
      </c>
      <c r="H2321" s="312">
        <v>230.60999999999999</v>
      </c>
      <c r="I2321" s="312">
        <v>12.66</v>
      </c>
      <c r="J2321" s="312">
        <v>77.459999999999994</v>
      </c>
      <c r="K2321" s="312">
        <v>138.60999999999999</v>
      </c>
      <c r="M2321" t="s">
        <v>4085</v>
      </c>
      <c r="N2321" s="312">
        <v>31656.409999999996</v>
      </c>
      <c r="O2321" s="312">
        <v>105416.12000000001</v>
      </c>
      <c r="P2321" s="312">
        <v>8936.7799999999988</v>
      </c>
      <c r="Q2321" s="312">
        <v>65022.84</v>
      </c>
      <c r="R2321" s="312">
        <v>86204.84</v>
      </c>
    </row>
    <row r="2322" spans="6:18">
      <c r="F2322" t="s">
        <v>4086</v>
      </c>
      <c r="G2322" s="312">
        <v>118.38</v>
      </c>
      <c r="H2322" s="312">
        <v>361.67</v>
      </c>
      <c r="I2322" s="312">
        <v>143.88999999999999</v>
      </c>
      <c r="J2322" s="312">
        <v>254.1</v>
      </c>
      <c r="K2322" s="312">
        <v>275.51</v>
      </c>
      <c r="M2322" t="s">
        <v>4086</v>
      </c>
      <c r="N2322" s="312">
        <v>101246.79999999999</v>
      </c>
      <c r="O2322" s="312">
        <v>149417.16</v>
      </c>
      <c r="P2322" s="312">
        <v>134366.89000000001</v>
      </c>
      <c r="Q2322" s="312">
        <v>148165.07</v>
      </c>
      <c r="R2322" s="312">
        <v>173511.88</v>
      </c>
    </row>
    <row r="2323" spans="6:18">
      <c r="F2323" t="s">
        <v>4087</v>
      </c>
      <c r="G2323" s="312">
        <v>143.06</v>
      </c>
      <c r="H2323" s="312">
        <v>369.89</v>
      </c>
      <c r="I2323" s="312">
        <v>127.97</v>
      </c>
      <c r="J2323" s="312">
        <v>158.24</v>
      </c>
      <c r="K2323" s="312">
        <v>300.48</v>
      </c>
      <c r="M2323" t="s">
        <v>4087</v>
      </c>
      <c r="N2323" s="312">
        <v>69387.47</v>
      </c>
      <c r="O2323" s="312">
        <v>141663.46</v>
      </c>
      <c r="P2323" s="312">
        <v>116148.20000000001</v>
      </c>
      <c r="Q2323" s="312">
        <v>148852.62</v>
      </c>
      <c r="R2323" s="312">
        <v>125473.28</v>
      </c>
    </row>
    <row r="2324" spans="6:18">
      <c r="F2324" t="s">
        <v>4088</v>
      </c>
      <c r="G2324" s="312">
        <v>167.74</v>
      </c>
      <c r="H2324" s="312">
        <v>457.58</v>
      </c>
      <c r="I2324" s="312">
        <v>63.81</v>
      </c>
      <c r="J2324" s="312">
        <v>249.85</v>
      </c>
      <c r="K2324" s="312">
        <v>356.35</v>
      </c>
      <c r="M2324" t="s">
        <v>4088</v>
      </c>
      <c r="N2324" s="312">
        <v>80537.279999999999</v>
      </c>
      <c r="O2324" s="312">
        <v>253819.3</v>
      </c>
      <c r="P2324" s="312">
        <v>59543.41</v>
      </c>
      <c r="Q2324" s="312">
        <v>173527.63999999998</v>
      </c>
      <c r="R2324" s="312">
        <v>154284.57999999999</v>
      </c>
    </row>
    <row r="2325" spans="6:18">
      <c r="F2325" t="s">
        <v>4089</v>
      </c>
      <c r="G2325" s="312">
        <v>103.21000000000001</v>
      </c>
      <c r="H2325" s="312">
        <v>381.08000000000004</v>
      </c>
      <c r="I2325" s="312">
        <v>11.2</v>
      </c>
      <c r="J2325" s="312">
        <v>236.47</v>
      </c>
      <c r="K2325" s="312">
        <v>250.36</v>
      </c>
      <c r="M2325" t="s">
        <v>4089</v>
      </c>
      <c r="N2325" s="312">
        <v>49467.94</v>
      </c>
      <c r="O2325" s="312">
        <v>151265.5</v>
      </c>
      <c r="P2325" s="312">
        <v>7398.35</v>
      </c>
      <c r="Q2325" s="312">
        <v>148176.84999999998</v>
      </c>
      <c r="R2325" s="312">
        <v>116881.73000000001</v>
      </c>
    </row>
    <row r="2326" spans="6:18">
      <c r="F2326" t="s">
        <v>4090</v>
      </c>
      <c r="G2326" s="312">
        <v>137.46</v>
      </c>
      <c r="H2326" s="312">
        <v>352.64</v>
      </c>
      <c r="I2326" s="312">
        <v>100.52</v>
      </c>
      <c r="J2326" s="312">
        <v>179.55</v>
      </c>
      <c r="K2326" s="312">
        <v>348.57</v>
      </c>
      <c r="M2326" t="s">
        <v>4090</v>
      </c>
      <c r="N2326" s="312">
        <v>61916.600000000006</v>
      </c>
      <c r="O2326" s="312">
        <v>147504.77000000002</v>
      </c>
      <c r="P2326" s="312">
        <v>137313.75999999998</v>
      </c>
      <c r="Q2326" s="312">
        <v>166978.75</v>
      </c>
      <c r="R2326" s="312">
        <v>121213.66</v>
      </c>
    </row>
    <row r="2327" spans="6:18">
      <c r="F2327" t="s">
        <v>4091</v>
      </c>
      <c r="G2327" s="312">
        <v>89.399999999999991</v>
      </c>
      <c r="H2327" s="312">
        <v>234.03</v>
      </c>
      <c r="I2327" s="312">
        <v>64.45</v>
      </c>
      <c r="J2327" s="312">
        <v>114.27000000000001</v>
      </c>
      <c r="K2327" s="312">
        <v>206.07</v>
      </c>
      <c r="M2327" t="s">
        <v>4091</v>
      </c>
      <c r="N2327" s="312">
        <v>42017.94</v>
      </c>
      <c r="O2327" s="312">
        <v>110626.11000000002</v>
      </c>
      <c r="P2327" s="312">
        <v>65176.76</v>
      </c>
      <c r="Q2327" s="312">
        <v>100099.6</v>
      </c>
      <c r="R2327" s="312">
        <v>74195.38</v>
      </c>
    </row>
    <row r="2328" spans="6:18">
      <c r="F2328" t="s">
        <v>4092</v>
      </c>
      <c r="G2328" s="312">
        <v>80.650000000000006</v>
      </c>
      <c r="H2328" s="312">
        <v>172.32</v>
      </c>
      <c r="I2328" s="312">
        <v>14.01</v>
      </c>
      <c r="J2328" s="312">
        <v>129.72</v>
      </c>
      <c r="K2328" s="312">
        <v>189.13</v>
      </c>
      <c r="M2328" t="s">
        <v>4092</v>
      </c>
      <c r="N2328" s="312">
        <v>37120.69</v>
      </c>
      <c r="O2328" s="312">
        <v>81581.98000000001</v>
      </c>
      <c r="P2328" s="312">
        <v>11998.53</v>
      </c>
      <c r="Q2328" s="312">
        <v>68606.94</v>
      </c>
      <c r="R2328" s="312">
        <v>76870.679999999993</v>
      </c>
    </row>
    <row r="2329" spans="6:18">
      <c r="F2329" t="s">
        <v>4093</v>
      </c>
      <c r="G2329" s="312">
        <v>112.46000000000001</v>
      </c>
      <c r="H2329" s="312">
        <v>321.81</v>
      </c>
      <c r="I2329" s="312">
        <v>91.75</v>
      </c>
      <c r="J2329" s="312">
        <v>204.39000000000001</v>
      </c>
      <c r="K2329" s="312">
        <v>354.37</v>
      </c>
      <c r="M2329" t="s">
        <v>4093</v>
      </c>
      <c r="N2329" s="312">
        <v>63322.990000000005</v>
      </c>
      <c r="O2329" s="312">
        <v>214779.71000000002</v>
      </c>
      <c r="P2329" s="312">
        <v>104056.55</v>
      </c>
      <c r="Q2329" s="312">
        <v>165016.91999999998</v>
      </c>
      <c r="R2329" s="312">
        <v>131415.66</v>
      </c>
    </row>
    <row r="2330" spans="6:18">
      <c r="F2330" t="s">
        <v>4094</v>
      </c>
      <c r="G2330" s="312">
        <v>113.77000000000001</v>
      </c>
      <c r="H2330" s="312">
        <v>389.12</v>
      </c>
      <c r="I2330" s="312">
        <v>76.679999999999993</v>
      </c>
      <c r="J2330" s="312">
        <v>170.23000000000002</v>
      </c>
      <c r="K2330" s="312">
        <v>499.64</v>
      </c>
      <c r="M2330" t="s">
        <v>4094</v>
      </c>
      <c r="N2330" s="312">
        <v>60850.090000000004</v>
      </c>
      <c r="O2330" s="312">
        <v>173473.97</v>
      </c>
      <c r="P2330" s="312">
        <v>60065.61</v>
      </c>
      <c r="Q2330" s="312">
        <v>155046.18</v>
      </c>
      <c r="R2330" s="312">
        <v>168579.47</v>
      </c>
    </row>
    <row r="2331" spans="6:18">
      <c r="F2331" t="s">
        <v>4095</v>
      </c>
      <c r="G2331" s="312">
        <v>96.85</v>
      </c>
      <c r="H2331" s="312">
        <v>445.07</v>
      </c>
      <c r="I2331" s="312">
        <v>96.87</v>
      </c>
      <c r="J2331" s="312">
        <v>205.02</v>
      </c>
      <c r="K2331" s="312">
        <v>491.78999999999996</v>
      </c>
      <c r="M2331" t="s">
        <v>4095</v>
      </c>
      <c r="N2331" s="312">
        <v>48732.31</v>
      </c>
      <c r="O2331" s="312">
        <v>346422.25</v>
      </c>
      <c r="P2331" s="312">
        <v>58099.200000000004</v>
      </c>
      <c r="Q2331" s="312">
        <v>121891.01000000001</v>
      </c>
      <c r="R2331" s="312">
        <v>155560.26</v>
      </c>
    </row>
    <row r="2332" spans="6:18">
      <c r="F2332" t="s">
        <v>4096</v>
      </c>
      <c r="G2332" s="312">
        <v>143.26</v>
      </c>
      <c r="H2332" s="312">
        <v>420.32</v>
      </c>
      <c r="I2332" s="312">
        <v>81.010000000000005</v>
      </c>
      <c r="J2332" s="312">
        <v>157.47</v>
      </c>
      <c r="K2332" s="312">
        <v>372.05</v>
      </c>
      <c r="M2332" t="s">
        <v>4096</v>
      </c>
      <c r="N2332" s="312">
        <v>75292.070000000007</v>
      </c>
      <c r="O2332" s="312">
        <v>212279.11000000002</v>
      </c>
      <c r="P2332" s="312">
        <v>74734.62</v>
      </c>
      <c r="Q2332" s="312">
        <v>99157.319999999992</v>
      </c>
      <c r="R2332" s="312">
        <v>135310.70000000001</v>
      </c>
    </row>
    <row r="2333" spans="6:18">
      <c r="F2333" t="s">
        <v>4097</v>
      </c>
      <c r="G2333" s="312">
        <v>136.84</v>
      </c>
      <c r="H2333" s="312">
        <v>492.14</v>
      </c>
      <c r="I2333" s="312">
        <v>145.82999999999998</v>
      </c>
      <c r="J2333" s="312">
        <v>201.87</v>
      </c>
      <c r="K2333" s="312">
        <v>392.5</v>
      </c>
      <c r="M2333" t="s">
        <v>4097</v>
      </c>
      <c r="N2333" s="312">
        <v>94000.81</v>
      </c>
      <c r="O2333" s="312">
        <v>220311.99</v>
      </c>
      <c r="P2333" s="312">
        <v>114255.02</v>
      </c>
      <c r="Q2333" s="312">
        <v>114141.65</v>
      </c>
      <c r="R2333" s="312">
        <v>127252.79000000001</v>
      </c>
    </row>
    <row r="2334" spans="6:18">
      <c r="F2334" t="s">
        <v>4098</v>
      </c>
      <c r="G2334" s="312">
        <v>98.83</v>
      </c>
      <c r="H2334" s="312">
        <v>265.57</v>
      </c>
      <c r="I2334" s="312">
        <v>85.18</v>
      </c>
      <c r="J2334" s="312">
        <v>103.34</v>
      </c>
      <c r="K2334" s="312">
        <v>305.36</v>
      </c>
      <c r="M2334" t="s">
        <v>4098</v>
      </c>
      <c r="N2334" s="312">
        <v>48682.060000000005</v>
      </c>
      <c r="O2334" s="312">
        <v>125482.94</v>
      </c>
      <c r="P2334" s="312">
        <v>64012.03</v>
      </c>
      <c r="Q2334" s="312">
        <v>59891.55</v>
      </c>
      <c r="R2334" s="312">
        <v>128864.96000000001</v>
      </c>
    </row>
    <row r="2335" spans="6:18">
      <c r="F2335" t="s">
        <v>4099</v>
      </c>
      <c r="G2335" s="312">
        <v>142.68</v>
      </c>
      <c r="H2335" s="312">
        <v>225.07999999999998</v>
      </c>
      <c r="I2335" s="312">
        <v>11.19</v>
      </c>
      <c r="J2335" s="312">
        <v>150.60999999999999</v>
      </c>
      <c r="K2335" s="312">
        <v>402.07</v>
      </c>
      <c r="M2335" t="s">
        <v>4099</v>
      </c>
      <c r="N2335" s="312">
        <v>72459.03</v>
      </c>
      <c r="O2335" s="312">
        <v>84792.11</v>
      </c>
      <c r="P2335" s="312">
        <v>11530.55</v>
      </c>
      <c r="Q2335" s="312">
        <v>144500.47</v>
      </c>
      <c r="R2335" s="312">
        <v>172621.5</v>
      </c>
    </row>
    <row r="2336" spans="6:18">
      <c r="F2336" t="s">
        <v>4100</v>
      </c>
      <c r="G2336" s="312">
        <v>111.07</v>
      </c>
      <c r="H2336" s="312">
        <v>322.79999999999995</v>
      </c>
      <c r="I2336" s="312">
        <v>36.64</v>
      </c>
      <c r="J2336" s="312">
        <v>195.03</v>
      </c>
      <c r="K2336" s="312">
        <v>351.54</v>
      </c>
      <c r="M2336" t="s">
        <v>4100</v>
      </c>
      <c r="N2336" s="312">
        <v>65492.9</v>
      </c>
      <c r="O2336" s="312">
        <v>158759.51</v>
      </c>
      <c r="P2336" s="312">
        <v>34240.39</v>
      </c>
      <c r="Q2336" s="312">
        <v>163361.76999999999</v>
      </c>
      <c r="R2336" s="312">
        <v>124451.56999999999</v>
      </c>
    </row>
    <row r="2337" spans="6:18">
      <c r="F2337" t="s">
        <v>4101</v>
      </c>
      <c r="G2337" s="312">
        <v>106.67</v>
      </c>
      <c r="H2337" s="312">
        <v>367.62</v>
      </c>
      <c r="I2337" s="312">
        <v>130.52000000000001</v>
      </c>
      <c r="J2337" s="312">
        <v>273.22000000000003</v>
      </c>
      <c r="K2337" s="312">
        <v>371.25</v>
      </c>
      <c r="M2337" t="s">
        <v>4101</v>
      </c>
      <c r="N2337" s="312">
        <v>45076.35</v>
      </c>
      <c r="O2337" s="312">
        <v>191782.04</v>
      </c>
      <c r="P2337" s="312">
        <v>150708.29999999999</v>
      </c>
      <c r="Q2337" s="312">
        <v>131072.6</v>
      </c>
      <c r="R2337" s="312">
        <v>108970.70999999999</v>
      </c>
    </row>
    <row r="2338" spans="6:18">
      <c r="F2338" t="s">
        <v>4102</v>
      </c>
      <c r="G2338" s="312">
        <v>73.789999999999992</v>
      </c>
      <c r="H2338" s="312">
        <v>376.13</v>
      </c>
      <c r="I2338" s="312">
        <v>117.6</v>
      </c>
      <c r="J2338" s="312">
        <v>327.57000000000005</v>
      </c>
      <c r="K2338" s="312">
        <v>287.46999999999997</v>
      </c>
      <c r="M2338" t="s">
        <v>4102</v>
      </c>
      <c r="N2338" s="312">
        <v>42137.440000000002</v>
      </c>
      <c r="O2338" s="312">
        <v>183157.72999999998</v>
      </c>
      <c r="P2338" s="312">
        <v>85621.02</v>
      </c>
      <c r="Q2338" s="312">
        <v>205170.24000000002</v>
      </c>
      <c r="R2338" s="312">
        <v>100090.55</v>
      </c>
    </row>
    <row r="2339" spans="6:18">
      <c r="F2339" t="s">
        <v>4103</v>
      </c>
      <c r="G2339" s="312">
        <v>88.039999999999992</v>
      </c>
      <c r="H2339" s="312">
        <v>273.67</v>
      </c>
      <c r="I2339" s="312">
        <v>126.09</v>
      </c>
      <c r="J2339" s="312">
        <v>292.98</v>
      </c>
      <c r="K2339" s="312">
        <v>392.24</v>
      </c>
      <c r="M2339" t="s">
        <v>4103</v>
      </c>
      <c r="N2339" s="312">
        <v>43985.96</v>
      </c>
      <c r="O2339" s="312">
        <v>118939.95999999999</v>
      </c>
      <c r="P2339" s="312">
        <v>112951.8</v>
      </c>
      <c r="Q2339" s="312">
        <v>166398.75999999998</v>
      </c>
      <c r="R2339" s="312">
        <v>156548.19</v>
      </c>
    </row>
    <row r="2340" spans="6:18">
      <c r="F2340" t="s">
        <v>4104</v>
      </c>
      <c r="G2340" s="312">
        <v>148.10999999999999</v>
      </c>
      <c r="H2340" s="312">
        <v>358.66999999999996</v>
      </c>
      <c r="I2340" s="312">
        <v>148.45999999999998</v>
      </c>
      <c r="J2340" s="312">
        <v>321.76</v>
      </c>
      <c r="K2340" s="312">
        <v>322.73</v>
      </c>
      <c r="M2340" t="s">
        <v>4104</v>
      </c>
      <c r="N2340" s="312">
        <v>76588.649999999994</v>
      </c>
      <c r="O2340" s="312">
        <v>169992.89</v>
      </c>
      <c r="P2340" s="312">
        <v>111285.95999999999</v>
      </c>
      <c r="Q2340" s="312">
        <v>206309.15999999997</v>
      </c>
      <c r="R2340" s="312">
        <v>138713.5</v>
      </c>
    </row>
    <row r="2341" spans="6:18">
      <c r="F2341" t="s">
        <v>4105</v>
      </c>
      <c r="G2341" s="312">
        <v>67.02</v>
      </c>
      <c r="H2341" s="312">
        <v>244.03000000000003</v>
      </c>
      <c r="I2341" s="312">
        <v>101.14</v>
      </c>
      <c r="J2341" s="312">
        <v>187.97</v>
      </c>
      <c r="K2341" s="312">
        <v>320.55</v>
      </c>
      <c r="M2341" t="s">
        <v>4105</v>
      </c>
      <c r="N2341" s="312">
        <v>27586.959999999999</v>
      </c>
      <c r="O2341" s="312">
        <v>125944.12</v>
      </c>
      <c r="P2341" s="312">
        <v>72616.489999999991</v>
      </c>
      <c r="Q2341" s="312">
        <v>65357.979999999996</v>
      </c>
      <c r="R2341" s="312">
        <v>152289.03</v>
      </c>
    </row>
    <row r="2342" spans="6:18">
      <c r="F2342" t="s">
        <v>4106</v>
      </c>
      <c r="G2342" s="312">
        <v>119.50999999999999</v>
      </c>
      <c r="H2342" s="312">
        <v>223</v>
      </c>
      <c r="I2342" s="312">
        <v>15.120000000000001</v>
      </c>
      <c r="J2342" s="312">
        <v>189.26</v>
      </c>
      <c r="K2342" s="312">
        <v>316.52999999999997</v>
      </c>
      <c r="M2342" t="s">
        <v>4106</v>
      </c>
      <c r="N2342" s="312">
        <v>89431.44</v>
      </c>
      <c r="O2342" s="312">
        <v>99591.89</v>
      </c>
      <c r="P2342" s="312">
        <v>9873.6299999999992</v>
      </c>
      <c r="Q2342" s="312">
        <v>115897.29999999999</v>
      </c>
      <c r="R2342" s="312">
        <v>126777.31</v>
      </c>
    </row>
    <row r="2343" spans="6:18">
      <c r="F2343" t="s">
        <v>4107</v>
      </c>
      <c r="G2343" s="312">
        <v>115.72999999999999</v>
      </c>
      <c r="H2343" s="312">
        <v>403.62</v>
      </c>
      <c r="I2343" s="312">
        <v>108.03</v>
      </c>
      <c r="J2343" s="312">
        <v>403.14</v>
      </c>
      <c r="K2343" s="312">
        <v>348.81</v>
      </c>
      <c r="M2343" t="s">
        <v>4107</v>
      </c>
      <c r="N2343" s="312">
        <v>54229.73</v>
      </c>
      <c r="O2343" s="312">
        <v>172716.41</v>
      </c>
      <c r="P2343" s="312">
        <v>66976.800000000003</v>
      </c>
      <c r="Q2343" s="312">
        <v>175721.88</v>
      </c>
      <c r="R2343" s="312">
        <v>134890.84</v>
      </c>
    </row>
    <row r="2344" spans="6:18">
      <c r="F2344" t="s">
        <v>4108</v>
      </c>
      <c r="G2344" s="312">
        <v>144.76999999999998</v>
      </c>
      <c r="H2344" s="312">
        <v>484.52000000000004</v>
      </c>
      <c r="I2344" s="312">
        <v>108.17999999999999</v>
      </c>
      <c r="J2344" s="312">
        <v>486.1</v>
      </c>
      <c r="K2344" s="312">
        <v>366.06</v>
      </c>
      <c r="M2344" t="s">
        <v>4108</v>
      </c>
      <c r="N2344" s="312">
        <v>60446.009999999995</v>
      </c>
      <c r="O2344" s="312">
        <v>204431.23</v>
      </c>
      <c r="P2344" s="312">
        <v>85058.31</v>
      </c>
      <c r="Q2344" s="312">
        <v>279934.37</v>
      </c>
      <c r="R2344" s="312">
        <v>133582.35</v>
      </c>
    </row>
    <row r="2345" spans="6:18">
      <c r="F2345" t="s">
        <v>4109</v>
      </c>
      <c r="G2345" s="312">
        <v>105.66</v>
      </c>
      <c r="H2345" s="312">
        <v>416.96999999999997</v>
      </c>
      <c r="I2345" s="312">
        <v>93.88</v>
      </c>
      <c r="J2345" s="312">
        <v>331.08</v>
      </c>
      <c r="K2345" s="312">
        <v>317.85000000000002</v>
      </c>
      <c r="M2345" t="s">
        <v>4109</v>
      </c>
      <c r="N2345" s="312">
        <v>53287.33</v>
      </c>
      <c r="O2345" s="312">
        <v>210508.13999999998</v>
      </c>
      <c r="P2345" s="312">
        <v>58002.66</v>
      </c>
      <c r="Q2345" s="312">
        <v>181765.56</v>
      </c>
      <c r="R2345" s="312">
        <v>151504.73000000001</v>
      </c>
    </row>
    <row r="2346" spans="6:18">
      <c r="F2346" t="s">
        <v>4110</v>
      </c>
      <c r="G2346" s="312">
        <v>247.33999999999997</v>
      </c>
      <c r="H2346" s="312">
        <v>418.35999999999996</v>
      </c>
      <c r="I2346" s="312">
        <v>64.289999999999992</v>
      </c>
      <c r="J2346" s="312">
        <v>266.54000000000002</v>
      </c>
      <c r="K2346" s="312">
        <v>284.27</v>
      </c>
      <c r="M2346" t="s">
        <v>4110</v>
      </c>
      <c r="N2346" s="312">
        <v>151636.81</v>
      </c>
      <c r="O2346" s="312">
        <v>161876.63</v>
      </c>
      <c r="P2346" s="312">
        <v>69413.990000000005</v>
      </c>
      <c r="Q2346" s="312">
        <v>187753.47999999998</v>
      </c>
      <c r="R2346" s="312">
        <v>84633.68</v>
      </c>
    </row>
    <row r="2347" spans="6:18">
      <c r="F2347" t="s">
        <v>4111</v>
      </c>
      <c r="G2347" s="312">
        <v>228.34</v>
      </c>
      <c r="H2347" s="312">
        <v>401.78000000000003</v>
      </c>
      <c r="I2347" s="312">
        <v>86.09</v>
      </c>
      <c r="J2347" s="312">
        <v>275.92999999999995</v>
      </c>
      <c r="K2347" s="312">
        <v>367.23</v>
      </c>
      <c r="M2347" t="s">
        <v>4111</v>
      </c>
      <c r="N2347" s="312">
        <v>116508.73999999999</v>
      </c>
      <c r="O2347" s="312">
        <v>176065.13</v>
      </c>
      <c r="P2347" s="312">
        <v>46210.36</v>
      </c>
      <c r="Q2347" s="312">
        <v>164499.09</v>
      </c>
      <c r="R2347" s="312">
        <v>125187</v>
      </c>
    </row>
    <row r="2348" spans="6:18">
      <c r="F2348" t="s">
        <v>4112</v>
      </c>
      <c r="G2348" s="312">
        <v>94.86999999999999</v>
      </c>
      <c r="H2348" s="312">
        <v>261.19</v>
      </c>
      <c r="I2348" s="312">
        <v>59.620000000000005</v>
      </c>
      <c r="J2348" s="312">
        <v>221.75</v>
      </c>
      <c r="K2348" s="312">
        <v>200.04</v>
      </c>
      <c r="M2348" t="s">
        <v>4112</v>
      </c>
      <c r="N2348" s="312">
        <v>61224.399999999994</v>
      </c>
      <c r="O2348" s="312">
        <v>109912.12999999999</v>
      </c>
      <c r="P2348" s="312">
        <v>40488.19</v>
      </c>
      <c r="Q2348" s="312">
        <v>111960.24</v>
      </c>
      <c r="R2348" s="312">
        <v>78737.7</v>
      </c>
    </row>
    <row r="2349" spans="6:18">
      <c r="F2349" t="s">
        <v>4113</v>
      </c>
      <c r="G2349" s="312">
        <v>64.429999999999993</v>
      </c>
      <c r="H2349" s="312">
        <v>237.91</v>
      </c>
      <c r="I2349" s="312">
        <v>33.660000000000004</v>
      </c>
      <c r="J2349" s="312">
        <v>128.94</v>
      </c>
      <c r="K2349" s="312">
        <v>252.57</v>
      </c>
      <c r="M2349" t="s">
        <v>4113</v>
      </c>
      <c r="N2349" s="312">
        <v>26704.910000000003</v>
      </c>
      <c r="O2349" s="312">
        <v>118212.38</v>
      </c>
      <c r="P2349" s="312">
        <v>19171.84</v>
      </c>
      <c r="Q2349" s="312">
        <v>117319.02</v>
      </c>
      <c r="R2349" s="312">
        <v>105594.69</v>
      </c>
    </row>
    <row r="2350" spans="6:18">
      <c r="F2350" t="s">
        <v>4114</v>
      </c>
      <c r="G2350" s="312">
        <v>92.75</v>
      </c>
      <c r="H2350" s="312">
        <v>396.65</v>
      </c>
      <c r="I2350" s="312">
        <v>194.08</v>
      </c>
      <c r="J2350" s="312">
        <v>241.06</v>
      </c>
      <c r="K2350" s="312">
        <v>374.24</v>
      </c>
      <c r="M2350" t="s">
        <v>4114</v>
      </c>
      <c r="N2350" s="312">
        <v>48855.7</v>
      </c>
      <c r="O2350" s="312">
        <v>172254.19</v>
      </c>
      <c r="P2350" s="312">
        <v>161732.13</v>
      </c>
      <c r="Q2350" s="312">
        <v>92735.86</v>
      </c>
      <c r="R2350" s="312">
        <v>156475.98000000001</v>
      </c>
    </row>
    <row r="2351" spans="6:18">
      <c r="F2351" t="s">
        <v>4115</v>
      </c>
      <c r="G2351" s="312">
        <v>98.070000000000007</v>
      </c>
      <c r="H2351" s="312">
        <v>389.1</v>
      </c>
      <c r="I2351" s="312">
        <v>109.17</v>
      </c>
      <c r="J2351" s="312">
        <v>335.13</v>
      </c>
      <c r="K2351" s="312">
        <v>326.84000000000003</v>
      </c>
      <c r="M2351" t="s">
        <v>4115</v>
      </c>
      <c r="N2351" s="312">
        <v>46540.12</v>
      </c>
      <c r="O2351" s="312">
        <v>196927.82</v>
      </c>
      <c r="P2351" s="312">
        <v>156514.5</v>
      </c>
      <c r="Q2351" s="312">
        <v>226153.61000000002</v>
      </c>
      <c r="R2351" s="312">
        <v>119468.54</v>
      </c>
    </row>
    <row r="2352" spans="6:18">
      <c r="F2352" t="s">
        <v>4116</v>
      </c>
      <c r="G2352" s="312">
        <v>122.46000000000001</v>
      </c>
      <c r="H2352" s="312">
        <v>340.45</v>
      </c>
      <c r="I2352" s="312">
        <v>113.53</v>
      </c>
      <c r="J2352" s="312">
        <v>256.97000000000003</v>
      </c>
      <c r="K2352" s="312">
        <v>325.91999999999996</v>
      </c>
      <c r="M2352" t="s">
        <v>4116</v>
      </c>
      <c r="N2352" s="312">
        <v>49450.509999999995</v>
      </c>
      <c r="O2352" s="312">
        <v>176865.03000000003</v>
      </c>
      <c r="P2352" s="312">
        <v>72326.44</v>
      </c>
      <c r="Q2352" s="312">
        <v>142044.37</v>
      </c>
      <c r="R2352" s="312">
        <v>111328.04999999999</v>
      </c>
    </row>
    <row r="2353" spans="6:18">
      <c r="F2353" t="s">
        <v>4117</v>
      </c>
      <c r="G2353" s="312">
        <v>82.24</v>
      </c>
      <c r="H2353" s="312">
        <v>315.17</v>
      </c>
      <c r="I2353" s="312">
        <v>104.52000000000001</v>
      </c>
      <c r="J2353" s="312">
        <v>262.67</v>
      </c>
      <c r="K2353" s="312">
        <v>409.13</v>
      </c>
      <c r="M2353" t="s">
        <v>4117</v>
      </c>
      <c r="N2353" s="312">
        <v>43823.99</v>
      </c>
      <c r="O2353" s="312">
        <v>156328.22</v>
      </c>
      <c r="P2353" s="312">
        <v>106681.58</v>
      </c>
      <c r="Q2353" s="312">
        <v>184511.04</v>
      </c>
      <c r="R2353" s="312">
        <v>132463.21</v>
      </c>
    </row>
    <row r="2354" spans="6:18">
      <c r="F2354" t="s">
        <v>4118</v>
      </c>
      <c r="G2354" s="312">
        <v>85.22999999999999</v>
      </c>
      <c r="H2354" s="312">
        <v>573.35</v>
      </c>
      <c r="I2354" s="312">
        <v>88.89</v>
      </c>
      <c r="J2354" s="312">
        <v>272.7</v>
      </c>
      <c r="K2354" s="312">
        <v>460.56</v>
      </c>
      <c r="M2354" t="s">
        <v>4118</v>
      </c>
      <c r="N2354" s="312">
        <v>53713.350000000006</v>
      </c>
      <c r="O2354" s="312">
        <v>208655.36000000002</v>
      </c>
      <c r="P2354" s="312">
        <v>73551.039999999994</v>
      </c>
      <c r="Q2354" s="312">
        <v>199083.93</v>
      </c>
      <c r="R2354" s="312">
        <v>149657.07</v>
      </c>
    </row>
    <row r="2355" spans="6:18">
      <c r="F2355" t="s">
        <v>4119</v>
      </c>
      <c r="G2355" s="312">
        <v>117.16999999999999</v>
      </c>
      <c r="H2355" s="312">
        <v>339.64</v>
      </c>
      <c r="I2355" s="312">
        <v>64.31</v>
      </c>
      <c r="J2355" s="312">
        <v>215.44</v>
      </c>
      <c r="K2355" s="312">
        <v>188.36</v>
      </c>
      <c r="M2355" t="s">
        <v>4119</v>
      </c>
      <c r="N2355" s="312">
        <v>56868.08</v>
      </c>
      <c r="O2355" s="312">
        <v>176961.69</v>
      </c>
      <c r="P2355" s="312">
        <v>60870.05</v>
      </c>
      <c r="Q2355" s="312">
        <v>84364.96</v>
      </c>
      <c r="R2355" s="312">
        <v>72674.299999999988</v>
      </c>
    </row>
    <row r="2356" spans="6:18">
      <c r="F2356" t="s">
        <v>4120</v>
      </c>
      <c r="G2356" s="312">
        <v>91.97999999999999</v>
      </c>
      <c r="H2356" s="312">
        <v>347.53</v>
      </c>
      <c r="I2356" s="312">
        <v>23.84</v>
      </c>
      <c r="J2356" s="312">
        <v>221.08999999999997</v>
      </c>
      <c r="K2356" s="312">
        <v>340.79</v>
      </c>
      <c r="M2356" t="s">
        <v>4120</v>
      </c>
      <c r="N2356" s="312">
        <v>56346.87</v>
      </c>
      <c r="O2356" s="312">
        <v>159456.58000000002</v>
      </c>
      <c r="P2356" s="312">
        <v>15640.670000000002</v>
      </c>
      <c r="Q2356" s="312">
        <v>115420.36</v>
      </c>
      <c r="R2356" s="312">
        <v>110865.02</v>
      </c>
    </row>
    <row r="2357" spans="6:18">
      <c r="F2357" t="s">
        <v>4121</v>
      </c>
      <c r="G2357" s="312">
        <v>121.02</v>
      </c>
      <c r="H2357" s="312">
        <v>467.99</v>
      </c>
      <c r="I2357" s="312">
        <v>109.86</v>
      </c>
      <c r="J2357" s="312">
        <v>329.72</v>
      </c>
      <c r="K2357" s="312">
        <v>479.21999999999997</v>
      </c>
      <c r="M2357" t="s">
        <v>4121</v>
      </c>
      <c r="N2357" s="312">
        <v>69872.45</v>
      </c>
      <c r="O2357" s="312">
        <v>242214.82</v>
      </c>
      <c r="P2357" s="312">
        <v>94032.02</v>
      </c>
      <c r="Q2357" s="312">
        <v>214780.39</v>
      </c>
      <c r="R2357" s="312">
        <v>195556.43</v>
      </c>
    </row>
    <row r="2358" spans="6:18">
      <c r="F2358" t="s">
        <v>4122</v>
      </c>
      <c r="G2358" s="312">
        <v>132.54</v>
      </c>
      <c r="H2358" s="312">
        <v>525.92000000000007</v>
      </c>
      <c r="I2358" s="312">
        <v>55.39</v>
      </c>
      <c r="J2358" s="312">
        <v>366.81</v>
      </c>
      <c r="K2358" s="312">
        <v>473.85</v>
      </c>
      <c r="M2358" t="s">
        <v>4122</v>
      </c>
      <c r="N2358" s="312">
        <v>61931.66</v>
      </c>
      <c r="O2358" s="312">
        <v>185862.44</v>
      </c>
      <c r="P2358" s="312">
        <v>35707.69</v>
      </c>
      <c r="Q2358" s="312">
        <v>197449.92</v>
      </c>
      <c r="R2358" s="312">
        <v>168698</v>
      </c>
    </row>
    <row r="2359" spans="6:18">
      <c r="F2359" t="s">
        <v>4123</v>
      </c>
      <c r="G2359" s="312">
        <v>107.89000000000001</v>
      </c>
      <c r="H2359" s="312">
        <v>363.15</v>
      </c>
      <c r="I2359" s="312">
        <v>68.97</v>
      </c>
      <c r="J2359" s="312">
        <v>384.96000000000004</v>
      </c>
      <c r="K2359" s="312">
        <v>368.71999999999997</v>
      </c>
      <c r="M2359" t="s">
        <v>4123</v>
      </c>
      <c r="N2359" s="312">
        <v>62923.55</v>
      </c>
      <c r="O2359" s="312">
        <v>139451.20000000001</v>
      </c>
      <c r="P2359" s="312">
        <v>39397.130000000005</v>
      </c>
      <c r="Q2359" s="312">
        <v>240382.12</v>
      </c>
      <c r="R2359" s="312">
        <v>145214.49</v>
      </c>
    </row>
    <row r="2360" spans="6:18">
      <c r="F2360" t="s">
        <v>4124</v>
      </c>
      <c r="G2360" s="312">
        <v>117.07</v>
      </c>
      <c r="H2360" s="312">
        <v>383.68</v>
      </c>
      <c r="I2360" s="312">
        <v>104.26</v>
      </c>
      <c r="J2360" s="312">
        <v>346.33</v>
      </c>
      <c r="K2360" s="312">
        <v>395.84000000000003</v>
      </c>
      <c r="M2360" t="s">
        <v>4124</v>
      </c>
      <c r="N2360" s="312">
        <v>76218.009999999995</v>
      </c>
      <c r="O2360" s="312">
        <v>178191.15</v>
      </c>
      <c r="P2360" s="312">
        <v>82701.23</v>
      </c>
      <c r="Q2360" s="312">
        <v>161508.47999999998</v>
      </c>
      <c r="R2360" s="312">
        <v>187900.34</v>
      </c>
    </row>
    <row r="2361" spans="6:18">
      <c r="F2361" t="s">
        <v>4125</v>
      </c>
      <c r="G2361" s="312">
        <v>131.70999999999998</v>
      </c>
      <c r="H2361" s="312">
        <v>382.54</v>
      </c>
      <c r="I2361" s="312">
        <v>130.39000000000001</v>
      </c>
      <c r="J2361" s="312">
        <v>367.11</v>
      </c>
      <c r="K2361" s="312">
        <v>297.87</v>
      </c>
      <c r="M2361" t="s">
        <v>4125</v>
      </c>
      <c r="N2361" s="312">
        <v>65828.22</v>
      </c>
      <c r="O2361" s="312">
        <v>146330.71</v>
      </c>
      <c r="P2361" s="312">
        <v>91314.09</v>
      </c>
      <c r="Q2361" s="312">
        <v>260974.57</v>
      </c>
      <c r="R2361" s="312">
        <v>100587.14000000001</v>
      </c>
    </row>
    <row r="2362" spans="6:18">
      <c r="F2362" t="s">
        <v>4126</v>
      </c>
      <c r="G2362" s="312">
        <v>131.87</v>
      </c>
      <c r="H2362" s="312">
        <v>306.75</v>
      </c>
      <c r="I2362" s="312">
        <v>56.65</v>
      </c>
      <c r="J2362" s="312">
        <v>164.12</v>
      </c>
      <c r="K2362" s="312">
        <v>293.01</v>
      </c>
      <c r="M2362" t="s">
        <v>4126</v>
      </c>
      <c r="N2362" s="312">
        <v>57812.41</v>
      </c>
      <c r="O2362" s="312">
        <v>115341.09</v>
      </c>
      <c r="P2362" s="312">
        <v>47732.350000000006</v>
      </c>
      <c r="Q2362" s="312">
        <v>115380.90999999999</v>
      </c>
      <c r="R2362" s="312">
        <v>96430.23</v>
      </c>
    </row>
    <row r="2363" spans="6:18">
      <c r="F2363" t="s">
        <v>4127</v>
      </c>
      <c r="G2363" s="312">
        <v>137.91</v>
      </c>
      <c r="H2363" s="312">
        <v>234.32</v>
      </c>
      <c r="I2363" s="312">
        <v>14.49</v>
      </c>
      <c r="J2363" s="312">
        <v>141.79</v>
      </c>
      <c r="K2363" s="312">
        <v>282.3</v>
      </c>
      <c r="M2363" t="s">
        <v>4127</v>
      </c>
      <c r="N2363" s="312">
        <v>67110.59</v>
      </c>
      <c r="O2363" s="312">
        <v>81061.56</v>
      </c>
      <c r="P2363" s="312">
        <v>7047.83</v>
      </c>
      <c r="Q2363" s="312">
        <v>71683.459999999992</v>
      </c>
      <c r="R2363" s="312">
        <v>101547.81</v>
      </c>
    </row>
    <row r="2364" spans="6:18">
      <c r="F2364" t="s">
        <v>4128</v>
      </c>
      <c r="G2364" s="312">
        <v>140.07</v>
      </c>
      <c r="H2364" s="312">
        <v>482.95000000000005</v>
      </c>
      <c r="I2364" s="312">
        <v>121.61</v>
      </c>
      <c r="J2364" s="312">
        <v>418.17</v>
      </c>
      <c r="K2364" s="312">
        <v>547.31000000000006</v>
      </c>
      <c r="M2364" t="s">
        <v>4128</v>
      </c>
      <c r="N2364" s="312">
        <v>101543.45999999999</v>
      </c>
      <c r="O2364" s="312">
        <v>207090.44</v>
      </c>
      <c r="P2364" s="312">
        <v>64170.63</v>
      </c>
      <c r="Q2364" s="312">
        <v>203151.54</v>
      </c>
      <c r="R2364" s="312">
        <v>171003.36</v>
      </c>
    </row>
    <row r="2365" spans="6:18">
      <c r="F2365" t="s">
        <v>4129</v>
      </c>
      <c r="G2365" s="312">
        <v>121.81</v>
      </c>
      <c r="H2365" s="312">
        <v>316.57</v>
      </c>
      <c r="I2365" s="312">
        <v>127.3</v>
      </c>
      <c r="J2365" s="312">
        <v>270.5</v>
      </c>
      <c r="K2365" s="312">
        <v>677.93000000000006</v>
      </c>
      <c r="M2365" t="s">
        <v>4129</v>
      </c>
      <c r="N2365" s="312">
        <v>43439.56</v>
      </c>
      <c r="O2365" s="312">
        <v>195016.13</v>
      </c>
      <c r="P2365" s="312">
        <v>69132.710000000006</v>
      </c>
      <c r="Q2365" s="312">
        <v>138424.46</v>
      </c>
      <c r="R2365" s="312">
        <v>241524.7</v>
      </c>
    </row>
    <row r="2366" spans="6:18">
      <c r="F2366" t="s">
        <v>4130</v>
      </c>
      <c r="G2366" s="312">
        <v>133.18</v>
      </c>
      <c r="H2366" s="312">
        <v>430.34999999999997</v>
      </c>
      <c r="I2366" s="312">
        <v>130.01</v>
      </c>
      <c r="J2366" s="312">
        <v>348.79</v>
      </c>
      <c r="K2366" s="312">
        <v>582.24</v>
      </c>
      <c r="M2366" t="s">
        <v>4130</v>
      </c>
      <c r="N2366" s="312">
        <v>55234.259999999995</v>
      </c>
      <c r="O2366" s="312">
        <v>192488.41999999998</v>
      </c>
      <c r="P2366" s="312">
        <v>110771.14</v>
      </c>
      <c r="Q2366" s="312">
        <v>204700.97</v>
      </c>
      <c r="R2366" s="312">
        <v>231717.81</v>
      </c>
    </row>
    <row r="2367" spans="6:18">
      <c r="F2367" t="s">
        <v>4131</v>
      </c>
      <c r="G2367" s="312">
        <v>106.31</v>
      </c>
      <c r="H2367" s="312">
        <v>369.06</v>
      </c>
      <c r="I2367" s="312">
        <v>183.69</v>
      </c>
      <c r="J2367" s="312">
        <v>360.7</v>
      </c>
      <c r="K2367" s="312">
        <v>499.03000000000003</v>
      </c>
      <c r="M2367" t="s">
        <v>4131</v>
      </c>
      <c r="N2367" s="312">
        <v>63044.83</v>
      </c>
      <c r="O2367" s="312">
        <v>175268.90000000002</v>
      </c>
      <c r="P2367" s="312">
        <v>143577.24</v>
      </c>
      <c r="Q2367" s="312">
        <v>211901.01</v>
      </c>
      <c r="R2367" s="312">
        <v>170863.38999999998</v>
      </c>
    </row>
    <row r="2368" spans="6:18">
      <c r="F2368" t="s">
        <v>4132</v>
      </c>
      <c r="G2368" s="312">
        <v>154.88</v>
      </c>
      <c r="H2368" s="312">
        <v>288.34000000000003</v>
      </c>
      <c r="I2368" s="312">
        <v>179.78</v>
      </c>
      <c r="J2368" s="312">
        <v>272.67</v>
      </c>
      <c r="K2368" s="312">
        <v>566.30999999999995</v>
      </c>
      <c r="M2368" t="s">
        <v>4132</v>
      </c>
      <c r="N2368" s="312">
        <v>67268.639999999999</v>
      </c>
      <c r="O2368" s="312">
        <v>137193.61000000002</v>
      </c>
      <c r="P2368" s="312">
        <v>145821.25999999998</v>
      </c>
      <c r="Q2368" s="312">
        <v>148023.44999999998</v>
      </c>
      <c r="R2368" s="312">
        <v>217771.02000000002</v>
      </c>
    </row>
    <row r="2369" spans="6:18">
      <c r="F2369" t="s">
        <v>4133</v>
      </c>
      <c r="G2369" s="312">
        <v>92.669999999999987</v>
      </c>
      <c r="H2369" s="312">
        <v>291.28999999999996</v>
      </c>
      <c r="I2369" s="312">
        <v>114.31</v>
      </c>
      <c r="J2369" s="312">
        <v>223.54999999999998</v>
      </c>
      <c r="K2369" s="312">
        <v>318.94</v>
      </c>
      <c r="M2369" t="s">
        <v>4133</v>
      </c>
      <c r="N2369" s="312">
        <v>41488.69</v>
      </c>
      <c r="O2369" s="312">
        <v>133382.97999999998</v>
      </c>
      <c r="P2369" s="312">
        <v>44503.979999999996</v>
      </c>
      <c r="Q2369" s="312">
        <v>115184.79000000001</v>
      </c>
      <c r="R2369" s="312">
        <v>170762.2</v>
      </c>
    </row>
    <row r="2370" spans="6:18">
      <c r="F2370" t="s">
        <v>4134</v>
      </c>
      <c r="G2370" s="312">
        <v>104.85000000000001</v>
      </c>
      <c r="H2370" s="312">
        <v>218.35</v>
      </c>
      <c r="I2370" s="312">
        <v>28.05</v>
      </c>
      <c r="J2370" s="312">
        <v>239.95999999999998</v>
      </c>
      <c r="K2370" s="312">
        <v>446.65</v>
      </c>
      <c r="M2370" t="s">
        <v>4134</v>
      </c>
      <c r="N2370" s="312">
        <v>50719.91</v>
      </c>
      <c r="O2370" s="312">
        <v>96040.87</v>
      </c>
      <c r="P2370" s="312">
        <v>14321.4</v>
      </c>
      <c r="Q2370" s="312">
        <v>229415.27</v>
      </c>
      <c r="R2370" s="312">
        <v>124012.98999999999</v>
      </c>
    </row>
    <row r="2371" spans="6:18">
      <c r="F2371" t="s">
        <v>4135</v>
      </c>
      <c r="G2371" s="312">
        <v>143.05000000000001</v>
      </c>
      <c r="H2371" s="312">
        <v>392</v>
      </c>
      <c r="I2371" s="312">
        <v>166.36</v>
      </c>
      <c r="J2371" s="312">
        <v>307.94</v>
      </c>
      <c r="K2371" s="312">
        <v>385.3</v>
      </c>
      <c r="M2371" t="s">
        <v>4135</v>
      </c>
      <c r="N2371" s="312">
        <v>82700.83</v>
      </c>
      <c r="O2371" s="312">
        <v>204862.61000000002</v>
      </c>
      <c r="P2371" s="312">
        <v>100940.43</v>
      </c>
      <c r="Q2371" s="312">
        <v>195984.2</v>
      </c>
      <c r="R2371" s="312">
        <v>132193.68</v>
      </c>
    </row>
    <row r="2372" spans="6:18">
      <c r="F2372" t="s">
        <v>4136</v>
      </c>
      <c r="G2372" s="312">
        <v>184.63</v>
      </c>
      <c r="H2372" s="312">
        <v>312.12</v>
      </c>
      <c r="I2372" s="312">
        <v>96.73</v>
      </c>
      <c r="J2372" s="312">
        <v>299.48</v>
      </c>
      <c r="K2372" s="312">
        <v>468.36</v>
      </c>
      <c r="M2372" t="s">
        <v>4136</v>
      </c>
      <c r="N2372" s="312">
        <v>116718.42000000001</v>
      </c>
      <c r="O2372" s="312">
        <v>148191.84</v>
      </c>
      <c r="P2372" s="312">
        <v>75262.320000000007</v>
      </c>
      <c r="Q2372" s="312">
        <v>166484.16999999998</v>
      </c>
      <c r="R2372" s="312">
        <v>195785.21999999997</v>
      </c>
    </row>
    <row r="2373" spans="6:18">
      <c r="F2373" t="s">
        <v>4137</v>
      </c>
      <c r="G2373" s="312">
        <v>146.64000000000001</v>
      </c>
      <c r="H2373" s="312">
        <v>386.33</v>
      </c>
      <c r="I2373" s="312">
        <v>60.24</v>
      </c>
      <c r="J2373" s="312">
        <v>338.62</v>
      </c>
      <c r="K2373" s="312">
        <v>472.68</v>
      </c>
      <c r="M2373" t="s">
        <v>4137</v>
      </c>
      <c r="N2373" s="312">
        <v>72542.11</v>
      </c>
      <c r="O2373" s="312">
        <v>121274.57</v>
      </c>
      <c r="P2373" s="312">
        <v>59345.69</v>
      </c>
      <c r="Q2373" s="312">
        <v>256188.5</v>
      </c>
      <c r="R2373" s="312">
        <v>190874.87</v>
      </c>
    </row>
    <row r="2374" spans="6:18">
      <c r="F2374" t="s">
        <v>4138</v>
      </c>
      <c r="G2374" s="312">
        <v>47.8</v>
      </c>
      <c r="H2374" s="312">
        <v>240.68</v>
      </c>
      <c r="I2374" s="312">
        <v>66.06</v>
      </c>
      <c r="J2374" s="312">
        <v>242.85</v>
      </c>
      <c r="K2374" s="312">
        <v>650.76</v>
      </c>
      <c r="M2374" t="s">
        <v>4138</v>
      </c>
      <c r="N2374" s="312">
        <v>20767.8</v>
      </c>
      <c r="O2374" s="312">
        <v>93002.109999999986</v>
      </c>
      <c r="P2374" s="312">
        <v>47610.94</v>
      </c>
      <c r="Q2374" s="312">
        <v>153806.49</v>
      </c>
      <c r="R2374" s="312">
        <v>273553.93</v>
      </c>
    </row>
    <row r="2375" spans="6:18">
      <c r="F2375" t="s">
        <v>4139</v>
      </c>
      <c r="G2375" s="312">
        <v>133.18</v>
      </c>
      <c r="H2375" s="312">
        <v>222.95</v>
      </c>
      <c r="I2375" s="312">
        <v>116.28</v>
      </c>
      <c r="J2375" s="312">
        <v>276.38</v>
      </c>
      <c r="K2375" s="312">
        <v>522.56999999999994</v>
      </c>
      <c r="M2375" t="s">
        <v>4139</v>
      </c>
      <c r="N2375" s="312">
        <v>70953.3</v>
      </c>
      <c r="O2375" s="312">
        <v>74512.66</v>
      </c>
      <c r="P2375" s="312">
        <v>83935.92</v>
      </c>
      <c r="Q2375" s="312">
        <v>179255.72</v>
      </c>
      <c r="R2375" s="312">
        <v>161748.18</v>
      </c>
    </row>
    <row r="2376" spans="6:18">
      <c r="F2376" t="s">
        <v>4140</v>
      </c>
      <c r="G2376" s="312">
        <v>92.56</v>
      </c>
      <c r="H2376" s="312">
        <v>191.73000000000002</v>
      </c>
      <c r="I2376" s="312">
        <v>55.33</v>
      </c>
      <c r="J2376" s="312">
        <v>148.97</v>
      </c>
      <c r="K2376" s="312">
        <v>277.40999999999997</v>
      </c>
      <c r="M2376" t="s">
        <v>4140</v>
      </c>
      <c r="N2376" s="312">
        <v>49625.17</v>
      </c>
      <c r="O2376" s="312">
        <v>77887.08</v>
      </c>
      <c r="P2376" s="312">
        <v>28822.969999999998</v>
      </c>
      <c r="Q2376" s="312">
        <v>59398.96</v>
      </c>
      <c r="R2376" s="312">
        <v>83364.740000000005</v>
      </c>
    </row>
    <row r="2377" spans="6:18">
      <c r="F2377" t="s">
        <v>4141</v>
      </c>
      <c r="G2377" s="312">
        <v>86.09</v>
      </c>
      <c r="H2377" s="312">
        <v>169.59</v>
      </c>
      <c r="I2377" s="312">
        <v>38.64</v>
      </c>
      <c r="J2377" s="312">
        <v>205.7</v>
      </c>
      <c r="K2377" s="312">
        <v>369.48</v>
      </c>
      <c r="M2377" t="s">
        <v>4141</v>
      </c>
      <c r="N2377" s="312">
        <v>44319.85</v>
      </c>
      <c r="O2377" s="312">
        <v>56031.46</v>
      </c>
      <c r="P2377" s="312">
        <v>24291.87</v>
      </c>
      <c r="Q2377" s="312">
        <v>115286.64</v>
      </c>
      <c r="R2377" s="312">
        <v>118927.85</v>
      </c>
    </row>
    <row r="2378" spans="6:18">
      <c r="F2378" t="s">
        <v>4142</v>
      </c>
      <c r="G2378" s="312">
        <v>85.35</v>
      </c>
      <c r="H2378" s="312">
        <v>309.39</v>
      </c>
      <c r="I2378" s="312">
        <v>127.77000000000001</v>
      </c>
      <c r="J2378" s="312">
        <v>277.99</v>
      </c>
      <c r="K2378" s="312">
        <v>363.54</v>
      </c>
      <c r="M2378" t="s">
        <v>4142</v>
      </c>
      <c r="N2378" s="312">
        <v>42945.119999999995</v>
      </c>
      <c r="O2378" s="312">
        <v>155602.95000000001</v>
      </c>
      <c r="P2378" s="312">
        <v>64533.57</v>
      </c>
      <c r="Q2378" s="312">
        <v>176209.42</v>
      </c>
      <c r="R2378" s="312">
        <v>150494.85</v>
      </c>
    </row>
    <row r="2379" spans="6:18">
      <c r="F2379" t="s">
        <v>4143</v>
      </c>
      <c r="G2379" s="312">
        <v>55.980000000000004</v>
      </c>
      <c r="H2379" s="312">
        <v>259.45999999999998</v>
      </c>
      <c r="I2379" s="312">
        <v>147</v>
      </c>
      <c r="J2379" s="312">
        <v>275.7</v>
      </c>
      <c r="K2379" s="312">
        <v>512.70000000000005</v>
      </c>
      <c r="M2379" t="s">
        <v>4143</v>
      </c>
      <c r="N2379" s="312">
        <v>40192.18</v>
      </c>
      <c r="O2379" s="312">
        <v>100153.99</v>
      </c>
      <c r="P2379" s="312">
        <v>96573.63</v>
      </c>
      <c r="Q2379" s="312">
        <v>148482.30000000002</v>
      </c>
      <c r="R2379" s="312">
        <v>208621.77000000002</v>
      </c>
    </row>
    <row r="2380" spans="6:18">
      <c r="F2380" t="s">
        <v>4144</v>
      </c>
      <c r="G2380" s="312">
        <v>55.1</v>
      </c>
      <c r="H2380" s="312">
        <v>344.2</v>
      </c>
      <c r="I2380" s="312">
        <v>76.739999999999995</v>
      </c>
      <c r="J2380" s="312">
        <v>218.93</v>
      </c>
      <c r="K2380" s="312">
        <v>543.59</v>
      </c>
      <c r="M2380" t="s">
        <v>4144</v>
      </c>
      <c r="N2380" s="312">
        <v>26841</v>
      </c>
      <c r="O2380" s="312">
        <v>145262.16</v>
      </c>
      <c r="P2380" s="312">
        <v>65357.55</v>
      </c>
      <c r="Q2380" s="312">
        <v>106132.66</v>
      </c>
      <c r="R2380" s="312">
        <v>196028.54</v>
      </c>
    </row>
    <row r="2381" spans="6:18">
      <c r="F2381" t="s">
        <v>4145</v>
      </c>
      <c r="G2381" s="312">
        <v>49.14</v>
      </c>
      <c r="H2381" s="312">
        <v>239.25</v>
      </c>
      <c r="I2381" s="312">
        <v>58.160000000000004</v>
      </c>
      <c r="J2381" s="312">
        <v>239.84</v>
      </c>
      <c r="K2381" s="312">
        <v>489.72</v>
      </c>
      <c r="M2381" t="s">
        <v>4145</v>
      </c>
      <c r="N2381" s="312">
        <v>30285.01</v>
      </c>
      <c r="O2381" s="312">
        <v>100662.42</v>
      </c>
      <c r="P2381" s="312">
        <v>53181.439999999995</v>
      </c>
      <c r="Q2381" s="312">
        <v>111231.73000000001</v>
      </c>
      <c r="R2381" s="312">
        <v>197992.41</v>
      </c>
    </row>
    <row r="2382" spans="6:18">
      <c r="F2382" t="s">
        <v>4146</v>
      </c>
      <c r="G2382" s="312">
        <v>59.4</v>
      </c>
      <c r="H2382" s="312">
        <v>291.79000000000002</v>
      </c>
      <c r="I2382" s="312">
        <v>53.54</v>
      </c>
      <c r="J2382" s="312">
        <v>234.21</v>
      </c>
      <c r="K2382" s="312">
        <v>387.52</v>
      </c>
      <c r="M2382" t="s">
        <v>4146</v>
      </c>
      <c r="N2382" s="312">
        <v>30088.809999999998</v>
      </c>
      <c r="O2382" s="312">
        <v>138555.98000000001</v>
      </c>
      <c r="P2382" s="312">
        <v>32274.339999999997</v>
      </c>
      <c r="Q2382" s="312">
        <v>114264.12</v>
      </c>
      <c r="R2382" s="312">
        <v>136732.29999999999</v>
      </c>
    </row>
    <row r="2383" spans="6:18">
      <c r="F2383" t="s">
        <v>4147</v>
      </c>
      <c r="G2383" s="312">
        <v>45.71</v>
      </c>
      <c r="H2383" s="312">
        <v>206.97</v>
      </c>
      <c r="I2383" s="312">
        <v>47.86</v>
      </c>
      <c r="J2383" s="312">
        <v>146.43</v>
      </c>
      <c r="K2383" s="312">
        <v>317.12</v>
      </c>
      <c r="M2383" t="s">
        <v>4147</v>
      </c>
      <c r="N2383" s="312">
        <v>25514.240000000002</v>
      </c>
      <c r="O2383" s="312">
        <v>94948.549999999988</v>
      </c>
      <c r="P2383" s="312">
        <v>30652.9</v>
      </c>
      <c r="Q2383" s="312">
        <v>119291.56</v>
      </c>
      <c r="R2383" s="312">
        <v>106983.23999999999</v>
      </c>
    </row>
    <row r="2384" spans="6:18">
      <c r="F2384" t="s">
        <v>4148</v>
      </c>
      <c r="G2384" s="312">
        <v>60.269999999999996</v>
      </c>
      <c r="H2384" s="312">
        <v>198.89</v>
      </c>
      <c r="I2384" s="312">
        <v>11.8</v>
      </c>
      <c r="J2384" s="312">
        <v>168.1</v>
      </c>
      <c r="K2384" s="312">
        <v>239.93</v>
      </c>
      <c r="M2384" t="s">
        <v>4148</v>
      </c>
      <c r="N2384" s="312">
        <v>37402.54</v>
      </c>
      <c r="O2384" s="312">
        <v>100881.60999999999</v>
      </c>
      <c r="P2384" s="312">
        <v>5941.5599999999995</v>
      </c>
      <c r="Q2384" s="312">
        <v>87543.2</v>
      </c>
      <c r="R2384" s="312">
        <v>62425.619999999995</v>
      </c>
    </row>
    <row r="2385" spans="6:18">
      <c r="F2385" t="s">
        <v>4149</v>
      </c>
      <c r="G2385" s="312">
        <v>109.63</v>
      </c>
      <c r="H2385" s="312">
        <v>304.14</v>
      </c>
      <c r="I2385" s="312">
        <v>68.099999999999994</v>
      </c>
      <c r="J2385" s="312">
        <v>334.58</v>
      </c>
      <c r="K2385" s="312">
        <v>425.01</v>
      </c>
      <c r="M2385" t="s">
        <v>4149</v>
      </c>
      <c r="N2385" s="312">
        <v>54096.880000000005</v>
      </c>
      <c r="O2385" s="312">
        <v>146142.95000000001</v>
      </c>
      <c r="P2385" s="312">
        <v>63890.03</v>
      </c>
      <c r="Q2385" s="312">
        <v>142731.97</v>
      </c>
      <c r="R2385" s="312">
        <v>142983.35</v>
      </c>
    </row>
    <row r="2386" spans="6:18">
      <c r="F2386" t="s">
        <v>4150</v>
      </c>
      <c r="G2386" s="312">
        <v>58.98</v>
      </c>
      <c r="H2386" s="312">
        <v>238.47</v>
      </c>
      <c r="I2386" s="312">
        <v>119.49</v>
      </c>
      <c r="J2386" s="312">
        <v>323.83</v>
      </c>
      <c r="K2386" s="312">
        <v>501.75</v>
      </c>
      <c r="M2386" t="s">
        <v>4150</v>
      </c>
      <c r="N2386" s="312">
        <v>31069.75</v>
      </c>
      <c r="O2386" s="312">
        <v>94342.59</v>
      </c>
      <c r="P2386" s="312">
        <v>87781</v>
      </c>
      <c r="Q2386" s="312">
        <v>175694.57</v>
      </c>
      <c r="R2386" s="312">
        <v>174017.34999999998</v>
      </c>
    </row>
    <row r="2387" spans="6:18">
      <c r="F2387" t="s">
        <v>4151</v>
      </c>
      <c r="G2387" s="312">
        <v>60.6</v>
      </c>
      <c r="H2387" s="312">
        <v>314.89</v>
      </c>
      <c r="I2387" s="312">
        <v>108.91</v>
      </c>
      <c r="J2387" s="312">
        <v>288.34000000000003</v>
      </c>
      <c r="K2387" s="312">
        <v>452.06</v>
      </c>
      <c r="M2387" t="s">
        <v>4151</v>
      </c>
      <c r="N2387" s="312">
        <v>30523.73</v>
      </c>
      <c r="O2387" s="312">
        <v>176770.89</v>
      </c>
      <c r="P2387" s="312">
        <v>65853.27</v>
      </c>
      <c r="Q2387" s="312">
        <v>213371.81</v>
      </c>
      <c r="R2387" s="312">
        <v>146564.69</v>
      </c>
    </row>
    <row r="2388" spans="6:18">
      <c r="F2388" t="s">
        <v>4152</v>
      </c>
      <c r="G2388" s="312">
        <v>76.3</v>
      </c>
      <c r="H2388" s="312">
        <v>306.66999999999996</v>
      </c>
      <c r="I2388" s="312">
        <v>86.41</v>
      </c>
      <c r="J2388" s="312">
        <v>249.22</v>
      </c>
      <c r="K2388" s="312">
        <v>559.62</v>
      </c>
      <c r="M2388" t="s">
        <v>4152</v>
      </c>
      <c r="N2388" s="312">
        <v>28129</v>
      </c>
      <c r="O2388" s="312">
        <v>189499.06</v>
      </c>
      <c r="P2388" s="312">
        <v>81012.03</v>
      </c>
      <c r="Q2388" s="312">
        <v>128607.9</v>
      </c>
      <c r="R2388" s="312">
        <v>186598.86</v>
      </c>
    </row>
    <row r="2389" spans="6:18">
      <c r="F2389" t="s">
        <v>4153</v>
      </c>
      <c r="G2389" s="312">
        <v>83.35</v>
      </c>
      <c r="H2389" s="312">
        <v>213.59</v>
      </c>
      <c r="I2389" s="312">
        <v>73.960000000000008</v>
      </c>
      <c r="J2389" s="312">
        <v>167.34</v>
      </c>
      <c r="K2389" s="312">
        <v>434.29</v>
      </c>
      <c r="M2389" t="s">
        <v>4153</v>
      </c>
      <c r="N2389" s="312">
        <v>30506.75</v>
      </c>
      <c r="O2389" s="312">
        <v>115415.08</v>
      </c>
      <c r="P2389" s="312">
        <v>73083.59</v>
      </c>
      <c r="Q2389" s="312">
        <v>144042.51</v>
      </c>
      <c r="R2389" s="312">
        <v>154819.1</v>
      </c>
    </row>
    <row r="2390" spans="6:18">
      <c r="F2390" t="s">
        <v>4154</v>
      </c>
      <c r="G2390" s="312">
        <v>97.009999999999991</v>
      </c>
      <c r="H2390" s="312">
        <v>144.44</v>
      </c>
      <c r="I2390" s="312">
        <v>61.83</v>
      </c>
      <c r="J2390" s="312">
        <v>163.85</v>
      </c>
      <c r="K2390" s="312">
        <v>241.76999999999998</v>
      </c>
      <c r="M2390" t="s">
        <v>4154</v>
      </c>
      <c r="N2390" s="312">
        <v>61378.61</v>
      </c>
      <c r="O2390" s="312">
        <v>65060.11</v>
      </c>
      <c r="P2390" s="312">
        <v>57967.9</v>
      </c>
      <c r="Q2390" s="312">
        <v>133199.22</v>
      </c>
      <c r="R2390" s="312">
        <v>62031.770000000004</v>
      </c>
    </row>
    <row r="2391" spans="6:18">
      <c r="F2391" t="s">
        <v>4155</v>
      </c>
      <c r="G2391" s="312">
        <v>66.25</v>
      </c>
      <c r="H2391" s="312">
        <v>172.48</v>
      </c>
      <c r="I2391" s="312">
        <v>19.37</v>
      </c>
      <c r="J2391" s="312">
        <v>116.87</v>
      </c>
      <c r="K2391" s="312">
        <v>289.45999999999998</v>
      </c>
      <c r="M2391" t="s">
        <v>4155</v>
      </c>
      <c r="N2391" s="312">
        <v>23207.38</v>
      </c>
      <c r="O2391" s="312">
        <v>73817.05</v>
      </c>
      <c r="P2391" s="312">
        <v>16026.35</v>
      </c>
      <c r="Q2391" s="312">
        <v>56950.32</v>
      </c>
      <c r="R2391" s="312">
        <v>102285.7</v>
      </c>
    </row>
    <row r="2392" spans="6:18">
      <c r="F2392" t="s">
        <v>4156</v>
      </c>
      <c r="G2392" s="312">
        <v>76.5</v>
      </c>
      <c r="H2392" s="312">
        <v>286.41000000000003</v>
      </c>
      <c r="I2392" s="312">
        <v>113.13</v>
      </c>
      <c r="J2392" s="312">
        <v>201.39</v>
      </c>
      <c r="K2392" s="312">
        <v>327.31</v>
      </c>
      <c r="M2392" t="s">
        <v>4156</v>
      </c>
      <c r="N2392" s="312">
        <v>37589.57</v>
      </c>
      <c r="O2392" s="312">
        <v>161033.87</v>
      </c>
      <c r="P2392" s="312">
        <v>76232.030000000013</v>
      </c>
      <c r="Q2392" s="312">
        <v>105898.34</v>
      </c>
      <c r="R2392" s="312">
        <v>105453.78</v>
      </c>
    </row>
    <row r="2393" spans="6:18">
      <c r="F2393" t="s">
        <v>4157</v>
      </c>
      <c r="G2393" s="312">
        <v>76.81</v>
      </c>
      <c r="H2393" s="312">
        <v>237.53000000000003</v>
      </c>
      <c r="I2393" s="312">
        <v>60.709999999999994</v>
      </c>
      <c r="J2393" s="312">
        <v>208.87</v>
      </c>
      <c r="K2393" s="312">
        <v>336.24</v>
      </c>
      <c r="M2393" t="s">
        <v>4157</v>
      </c>
      <c r="N2393" s="312">
        <v>35733.26</v>
      </c>
      <c r="O2393" s="312">
        <v>119170.55</v>
      </c>
      <c r="P2393" s="312">
        <v>54986.32</v>
      </c>
      <c r="Q2393" s="312">
        <v>132046.51999999999</v>
      </c>
      <c r="R2393" s="312">
        <v>126301.25</v>
      </c>
    </row>
    <row r="2394" spans="6:18">
      <c r="F2394" t="s">
        <v>4158</v>
      </c>
      <c r="G2394" s="312">
        <v>65.5</v>
      </c>
      <c r="H2394" s="312">
        <v>268.5</v>
      </c>
      <c r="I2394" s="312">
        <v>93.27000000000001</v>
      </c>
      <c r="J2394" s="312">
        <v>195.45</v>
      </c>
      <c r="K2394" s="312">
        <v>413.99</v>
      </c>
      <c r="M2394" t="s">
        <v>4158</v>
      </c>
      <c r="N2394" s="312">
        <v>33408.080000000002</v>
      </c>
      <c r="O2394" s="312">
        <v>161312.65</v>
      </c>
      <c r="P2394" s="312">
        <v>73021.97</v>
      </c>
      <c r="Q2394" s="312">
        <v>158464.35999999999</v>
      </c>
      <c r="R2394" s="312">
        <v>142380.47</v>
      </c>
    </row>
    <row r="2395" spans="6:18">
      <c r="F2395" t="s">
        <v>4159</v>
      </c>
      <c r="G2395" s="312">
        <v>78.599999999999994</v>
      </c>
      <c r="H2395" s="312">
        <v>267.86</v>
      </c>
      <c r="I2395" s="312">
        <v>56.43</v>
      </c>
      <c r="J2395" s="312">
        <v>267.67</v>
      </c>
      <c r="K2395" s="312">
        <v>457.82</v>
      </c>
      <c r="M2395" t="s">
        <v>4159</v>
      </c>
      <c r="N2395" s="312">
        <v>27166.46</v>
      </c>
      <c r="O2395" s="312">
        <v>123091.13</v>
      </c>
      <c r="P2395" s="312">
        <v>44388.94</v>
      </c>
      <c r="Q2395" s="312">
        <v>184199.51</v>
      </c>
      <c r="R2395" s="312">
        <v>148827.01</v>
      </c>
    </row>
    <row r="2396" spans="6:18">
      <c r="F2396" t="s">
        <v>4160</v>
      </c>
      <c r="G2396" s="312">
        <v>82.92</v>
      </c>
      <c r="H2396" s="312">
        <v>334.1</v>
      </c>
      <c r="I2396" s="312">
        <v>101.05</v>
      </c>
      <c r="J2396" s="312">
        <v>230.01</v>
      </c>
      <c r="K2396" s="312">
        <v>483.56000000000006</v>
      </c>
      <c r="M2396" t="s">
        <v>4160</v>
      </c>
      <c r="N2396" s="312">
        <v>51374.38</v>
      </c>
      <c r="O2396" s="312">
        <v>204842.19</v>
      </c>
      <c r="P2396" s="312">
        <v>107174.78</v>
      </c>
      <c r="Q2396" s="312">
        <v>101700.34999999999</v>
      </c>
      <c r="R2396" s="312">
        <v>170953.1</v>
      </c>
    </row>
    <row r="2397" spans="6:18">
      <c r="F2397" t="s">
        <v>4161</v>
      </c>
      <c r="G2397" s="312">
        <v>68.39</v>
      </c>
      <c r="H2397" s="312">
        <v>146.85000000000002</v>
      </c>
      <c r="I2397" s="312">
        <v>70.7</v>
      </c>
      <c r="J2397" s="312">
        <v>193.42</v>
      </c>
      <c r="K2397" s="312">
        <v>457.78000000000003</v>
      </c>
      <c r="M2397" t="s">
        <v>4161</v>
      </c>
      <c r="N2397" s="312">
        <v>35594.03</v>
      </c>
      <c r="O2397" s="312">
        <v>58784.55</v>
      </c>
      <c r="P2397" s="312">
        <v>66127.520000000004</v>
      </c>
      <c r="Q2397" s="312">
        <v>86038.38</v>
      </c>
      <c r="R2397" s="312">
        <v>157504.9</v>
      </c>
    </row>
    <row r="2398" spans="6:18">
      <c r="F2398" t="s">
        <v>4162</v>
      </c>
      <c r="G2398" s="312">
        <v>61.160000000000004</v>
      </c>
      <c r="H2398" s="312">
        <v>184.89</v>
      </c>
      <c r="I2398" s="312">
        <v>13.440000000000001</v>
      </c>
      <c r="J2398" s="312">
        <v>158.44</v>
      </c>
      <c r="K2398" s="312">
        <v>400.51</v>
      </c>
      <c r="M2398" t="s">
        <v>4162</v>
      </c>
      <c r="N2398" s="312">
        <v>28169.040000000001</v>
      </c>
      <c r="O2398" s="312">
        <v>89205.88</v>
      </c>
      <c r="P2398" s="312">
        <v>12916.27</v>
      </c>
      <c r="Q2398" s="312">
        <v>92490.96</v>
      </c>
      <c r="R2398" s="312">
        <v>167914.36000000002</v>
      </c>
    </row>
    <row r="2399" spans="6:18">
      <c r="F2399" t="s">
        <v>4163</v>
      </c>
      <c r="G2399" s="312">
        <v>139.91</v>
      </c>
      <c r="H2399" s="312">
        <v>295.06</v>
      </c>
      <c r="I2399" s="312">
        <v>138.13999999999999</v>
      </c>
      <c r="J2399" s="312">
        <v>272.63</v>
      </c>
      <c r="K2399" s="312">
        <v>369.95</v>
      </c>
      <c r="M2399" t="s">
        <v>4163</v>
      </c>
      <c r="N2399" s="312">
        <v>83086.06</v>
      </c>
      <c r="O2399" s="312">
        <v>137756.82</v>
      </c>
      <c r="P2399" s="312">
        <v>91536.78</v>
      </c>
      <c r="Q2399" s="312">
        <v>186307.63</v>
      </c>
      <c r="R2399" s="312">
        <v>116986.76999999999</v>
      </c>
    </row>
    <row r="2400" spans="6:18">
      <c r="F2400" t="s">
        <v>4164</v>
      </c>
      <c r="G2400" s="312">
        <v>81.19</v>
      </c>
      <c r="H2400" s="312">
        <v>328.06</v>
      </c>
      <c r="I2400" s="312">
        <v>88.26</v>
      </c>
      <c r="J2400" s="312">
        <v>255.85000000000002</v>
      </c>
      <c r="K2400" s="312">
        <v>396.76</v>
      </c>
      <c r="M2400" t="s">
        <v>4164</v>
      </c>
      <c r="N2400" s="312">
        <v>32342.25</v>
      </c>
      <c r="O2400" s="312">
        <v>122196.11</v>
      </c>
      <c r="P2400" s="312">
        <v>80471.62</v>
      </c>
      <c r="Q2400" s="312">
        <v>154645.14000000001</v>
      </c>
      <c r="R2400" s="312">
        <v>119440.53</v>
      </c>
    </row>
    <row r="2401" spans="6:18">
      <c r="F2401" t="s">
        <v>4165</v>
      </c>
      <c r="G2401" s="312">
        <v>81.61</v>
      </c>
      <c r="H2401" s="312">
        <v>366.11</v>
      </c>
      <c r="I2401" s="312">
        <v>73.05</v>
      </c>
      <c r="J2401" s="312">
        <v>249.23</v>
      </c>
      <c r="K2401" s="312">
        <v>362.2</v>
      </c>
      <c r="M2401" t="s">
        <v>4165</v>
      </c>
      <c r="N2401" s="312">
        <v>45285.14</v>
      </c>
      <c r="O2401" s="312">
        <v>186191.31</v>
      </c>
      <c r="P2401" s="312">
        <v>52364.83</v>
      </c>
      <c r="Q2401" s="312">
        <v>150208.03</v>
      </c>
      <c r="R2401" s="312">
        <v>144281.07</v>
      </c>
    </row>
    <row r="2402" spans="6:18">
      <c r="F2402" t="s">
        <v>4166</v>
      </c>
      <c r="G2402" s="312">
        <v>75.199999999999989</v>
      </c>
      <c r="H2402" s="312">
        <v>234.01</v>
      </c>
      <c r="I2402" s="312">
        <v>57.65</v>
      </c>
      <c r="J2402" s="312">
        <v>223.82000000000002</v>
      </c>
      <c r="K2402" s="312">
        <v>441.88</v>
      </c>
      <c r="M2402" t="s">
        <v>4166</v>
      </c>
      <c r="N2402" s="312">
        <v>39226.590000000004</v>
      </c>
      <c r="O2402" s="312">
        <v>95125.72</v>
      </c>
      <c r="P2402" s="312">
        <v>41734.049999999996</v>
      </c>
      <c r="Q2402" s="312">
        <v>180447.68000000002</v>
      </c>
      <c r="R2402" s="312">
        <v>168691.22999999998</v>
      </c>
    </row>
    <row r="2403" spans="6:18">
      <c r="F2403" t="s">
        <v>4167</v>
      </c>
      <c r="G2403" s="312">
        <v>68.27</v>
      </c>
      <c r="H2403" s="312">
        <v>305.64</v>
      </c>
      <c r="I2403" s="312">
        <v>82.63</v>
      </c>
      <c r="J2403" s="312">
        <v>257.72000000000003</v>
      </c>
      <c r="K2403" s="312">
        <v>429.04</v>
      </c>
      <c r="M2403" t="s">
        <v>4167</v>
      </c>
      <c r="N2403" s="312">
        <v>31976.97</v>
      </c>
      <c r="O2403" s="312">
        <v>135058.10999999999</v>
      </c>
      <c r="P2403" s="312">
        <v>51301.710000000006</v>
      </c>
      <c r="Q2403" s="312">
        <v>140910.41</v>
      </c>
      <c r="R2403" s="312">
        <v>151622.96000000002</v>
      </c>
    </row>
    <row r="2404" spans="6:18">
      <c r="F2404" t="s">
        <v>4168</v>
      </c>
      <c r="G2404" s="312">
        <v>64.7</v>
      </c>
      <c r="H2404" s="312">
        <v>189.2</v>
      </c>
      <c r="I2404" s="312">
        <v>37.119999999999997</v>
      </c>
      <c r="J2404" s="312">
        <v>216.17000000000002</v>
      </c>
      <c r="K2404" s="312">
        <v>400.12</v>
      </c>
      <c r="M2404" t="s">
        <v>4168</v>
      </c>
      <c r="N2404" s="312">
        <v>31389.89</v>
      </c>
      <c r="O2404" s="312">
        <v>93054.44</v>
      </c>
      <c r="P2404" s="312">
        <v>34025.07</v>
      </c>
      <c r="Q2404" s="312">
        <v>121156.37</v>
      </c>
      <c r="R2404" s="312">
        <v>162944.61000000002</v>
      </c>
    </row>
    <row r="2405" spans="6:18">
      <c r="F2405" t="s">
        <v>4169</v>
      </c>
      <c r="G2405" s="312">
        <v>94.539999999999992</v>
      </c>
      <c r="H2405" s="312">
        <v>169.42000000000002</v>
      </c>
      <c r="I2405" s="312">
        <v>9.57</v>
      </c>
      <c r="J2405" s="312">
        <v>147.45000000000002</v>
      </c>
      <c r="K2405" s="312">
        <v>369.65</v>
      </c>
      <c r="M2405" t="s">
        <v>4169</v>
      </c>
      <c r="N2405" s="312">
        <v>57006.119999999995</v>
      </c>
      <c r="O2405" s="312">
        <v>100968.93</v>
      </c>
      <c r="P2405" s="312">
        <v>24153</v>
      </c>
      <c r="Q2405" s="312">
        <v>80888.23</v>
      </c>
      <c r="R2405" s="312">
        <v>180323.63</v>
      </c>
    </row>
    <row r="2406" spans="6:18">
      <c r="F2406" t="s">
        <v>4170</v>
      </c>
      <c r="G2406" s="312">
        <v>88.29</v>
      </c>
      <c r="H2406" s="312">
        <v>313.27999999999997</v>
      </c>
      <c r="I2406" s="312">
        <v>112.36999999999999</v>
      </c>
      <c r="J2406" s="312">
        <v>215.70000000000002</v>
      </c>
      <c r="K2406" s="312">
        <v>358.86</v>
      </c>
      <c r="M2406" t="s">
        <v>4170</v>
      </c>
      <c r="N2406" s="312">
        <v>39310.959999999999</v>
      </c>
      <c r="O2406" s="312">
        <v>149915.81</v>
      </c>
      <c r="P2406" s="312">
        <v>104192.86</v>
      </c>
      <c r="Q2406" s="312">
        <v>81774.959999999992</v>
      </c>
      <c r="R2406" s="312">
        <v>136715.38</v>
      </c>
    </row>
    <row r="2407" spans="6:18">
      <c r="F2407" t="s">
        <v>4171</v>
      </c>
      <c r="G2407" s="312">
        <v>111.33</v>
      </c>
      <c r="H2407" s="312">
        <v>295.61</v>
      </c>
      <c r="I2407" s="312">
        <v>74.31</v>
      </c>
      <c r="J2407" s="312">
        <v>227.75</v>
      </c>
      <c r="K2407" s="312">
        <v>331.48</v>
      </c>
      <c r="M2407" t="s">
        <v>4171</v>
      </c>
      <c r="N2407" s="312">
        <v>71468.649999999994</v>
      </c>
      <c r="O2407" s="312">
        <v>129424.87000000001</v>
      </c>
      <c r="P2407" s="312">
        <v>39999.79</v>
      </c>
      <c r="Q2407" s="312">
        <v>139318.1</v>
      </c>
      <c r="R2407" s="312">
        <v>194533.25</v>
      </c>
    </row>
    <row r="2408" spans="6:18">
      <c r="F2408" t="s">
        <v>4172</v>
      </c>
      <c r="G2408" s="312">
        <v>104.39</v>
      </c>
      <c r="H2408" s="312">
        <v>336.84000000000003</v>
      </c>
      <c r="I2408" s="312">
        <v>67.900000000000006</v>
      </c>
      <c r="J2408" s="312">
        <v>220.12</v>
      </c>
      <c r="K2408" s="312">
        <v>425.03</v>
      </c>
      <c r="M2408" t="s">
        <v>4172</v>
      </c>
      <c r="N2408" s="312">
        <v>41877.06</v>
      </c>
      <c r="O2408" s="312">
        <v>185146.35</v>
      </c>
      <c r="P2408" s="312">
        <v>56933.369999999995</v>
      </c>
      <c r="Q2408" s="312">
        <v>157576.24000000002</v>
      </c>
      <c r="R2408" s="312">
        <v>156889.60000000001</v>
      </c>
    </row>
    <row r="2409" spans="6:18">
      <c r="F2409" t="s">
        <v>4173</v>
      </c>
      <c r="G2409" s="312">
        <v>63.6</v>
      </c>
      <c r="H2409" s="312">
        <v>216.9</v>
      </c>
      <c r="I2409" s="312">
        <v>72.34</v>
      </c>
      <c r="J2409" s="312"/>
      <c r="K2409" s="312">
        <v>415.77</v>
      </c>
      <c r="M2409" t="s">
        <v>4173</v>
      </c>
      <c r="N2409" s="312">
        <v>32787.839999999997</v>
      </c>
      <c r="O2409" s="312">
        <v>81749.649999999994</v>
      </c>
      <c r="P2409" s="312">
        <v>57286.82</v>
      </c>
      <c r="Q2409" s="312"/>
      <c r="R2409" s="312">
        <v>116359.42</v>
      </c>
    </row>
    <row r="2410" spans="6:18">
      <c r="F2410" t="s">
        <v>4174</v>
      </c>
      <c r="G2410" s="312">
        <v>59.64</v>
      </c>
      <c r="H2410" s="312">
        <v>262.43</v>
      </c>
      <c r="I2410" s="312">
        <v>71.2</v>
      </c>
      <c r="J2410" s="312"/>
      <c r="K2410" s="312">
        <v>527.07999999999993</v>
      </c>
      <c r="M2410" t="s">
        <v>4174</v>
      </c>
      <c r="N2410" s="312">
        <v>31141.279999999999</v>
      </c>
      <c r="O2410" s="312">
        <v>110970.70999999999</v>
      </c>
      <c r="P2410" s="312">
        <v>78305.3</v>
      </c>
      <c r="Q2410" s="312"/>
      <c r="R2410" s="312">
        <v>180329.51</v>
      </c>
    </row>
    <row r="2411" spans="6:18">
      <c r="F2411" t="s">
        <v>4175</v>
      </c>
      <c r="G2411" s="312">
        <v>36.9</v>
      </c>
      <c r="H2411" s="312">
        <v>245.09</v>
      </c>
      <c r="I2411" s="312">
        <v>44.43</v>
      </c>
      <c r="J2411" s="312"/>
      <c r="K2411" s="312">
        <v>432.71999999999997</v>
      </c>
      <c r="M2411" t="s">
        <v>4175</v>
      </c>
      <c r="N2411" s="312">
        <v>17674.84</v>
      </c>
      <c r="O2411" s="312">
        <v>137623.19</v>
      </c>
      <c r="P2411" s="312">
        <v>40589.93</v>
      </c>
      <c r="Q2411" s="312"/>
      <c r="R2411" s="312">
        <v>164061.70000000001</v>
      </c>
    </row>
    <row r="2412" spans="6:18">
      <c r="F2412" t="s">
        <v>4176</v>
      </c>
      <c r="G2412" s="312">
        <v>51.81</v>
      </c>
      <c r="H2412" s="312">
        <v>177.21</v>
      </c>
      <c r="I2412" s="312">
        <v>4.74</v>
      </c>
      <c r="J2412" s="312"/>
      <c r="K2412" s="312">
        <v>414.28000000000003</v>
      </c>
      <c r="M2412" t="s">
        <v>4176</v>
      </c>
      <c r="N2412" s="312">
        <v>33902.83</v>
      </c>
      <c r="O2412" s="312">
        <v>95865.47</v>
      </c>
      <c r="P2412" s="312">
        <v>4465.13</v>
      </c>
      <c r="Q2412" s="312"/>
      <c r="R2412" s="312">
        <v>132463.54</v>
      </c>
    </row>
    <row r="2416" spans="6:18">
      <c r="F2416" s="399">
        <v>2023</v>
      </c>
      <c r="G2416" s="312">
        <f>+SUM(G1831:G2195)</f>
        <v>33651.57</v>
      </c>
      <c r="H2416" s="312">
        <f>+SUM(H1831:H2195)</f>
        <v>114825.50000000003</v>
      </c>
      <c r="I2416" s="312">
        <f t="shared" ref="I2416:K2416" si="0">+SUM(I1831:I2195)</f>
        <v>26920.299999999996</v>
      </c>
      <c r="J2416" s="312">
        <f t="shared" si="0"/>
        <v>107522.87999999998</v>
      </c>
      <c r="K2416" s="312">
        <f t="shared" si="0"/>
        <v>198818.41000000006</v>
      </c>
      <c r="L2416" s="312"/>
      <c r="M2416" s="312"/>
      <c r="N2416" s="312">
        <f t="shared" ref="N2416:R2416" si="1">+SUM(N1831:N2195)</f>
        <v>17958655.760000005</v>
      </c>
      <c r="O2416" s="312">
        <f t="shared" si="1"/>
        <v>56115761.07000006</v>
      </c>
      <c r="P2416" s="312">
        <f t="shared" si="1"/>
        <v>19625606.080000006</v>
      </c>
      <c r="Q2416" s="312">
        <f t="shared" si="1"/>
        <v>62351282.430000015</v>
      </c>
      <c r="R2416" s="312">
        <f t="shared" si="1"/>
        <v>66073062.80999995</v>
      </c>
    </row>
    <row r="2418" spans="6:11">
      <c r="F2418" s="399" t="s">
        <v>4177</v>
      </c>
      <c r="G2418">
        <f>+N2416/G2416</f>
        <v>533.66472232944864</v>
      </c>
      <c r="H2418">
        <f t="shared" ref="H2418:K2418" si="2">+O2416/H2416</f>
        <v>488.70469599522795</v>
      </c>
      <c r="I2418">
        <f t="shared" si="2"/>
        <v>729.02627682455284</v>
      </c>
      <c r="J2418">
        <f t="shared" si="2"/>
        <v>579.88850772970397</v>
      </c>
      <c r="K2418">
        <f t="shared" si="2"/>
        <v>332.32869536578596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BD707-B987-4F44-8094-975137F2F4D1}">
  <dimension ref="A1:L70"/>
  <sheetViews>
    <sheetView zoomScale="85" zoomScaleNormal="85" workbookViewId="0"/>
  </sheetViews>
  <sheetFormatPr defaultRowHeight="14.5" outlineLevelRow="1"/>
  <cols>
    <col min="1" max="1" width="28.81640625" bestFit="1" customWidth="1"/>
    <col min="2" max="2" width="11.1796875" bestFit="1" customWidth="1"/>
    <col min="6" max="6" width="8.54296875" customWidth="1"/>
    <col min="7" max="7" width="13" customWidth="1"/>
  </cols>
  <sheetData>
    <row r="1" spans="1:9">
      <c r="A1" t="s">
        <v>529</v>
      </c>
    </row>
    <row r="2" spans="1:9" s="126" customFormat="1">
      <c r="A2" s="126" t="s">
        <v>1639</v>
      </c>
    </row>
    <row r="3" spans="1:9" ht="16">
      <c r="C3" s="208" t="s">
        <v>1629</v>
      </c>
      <c r="D3" s="208" t="s">
        <v>1626</v>
      </c>
      <c r="E3" s="208" t="s">
        <v>1627</v>
      </c>
    </row>
    <row r="4" spans="1:9">
      <c r="A4" t="s">
        <v>1625</v>
      </c>
      <c r="B4" t="s">
        <v>1628</v>
      </c>
      <c r="C4" s="8">
        <f>838/71722</f>
        <v>1.168400211929394E-2</v>
      </c>
      <c r="D4" s="182" t="s">
        <v>251</v>
      </c>
      <c r="E4" s="8">
        <f>1032/91722</f>
        <v>1.1251390069994113E-2</v>
      </c>
      <c r="F4" s="29" t="s">
        <v>277</v>
      </c>
      <c r="H4">
        <v>207095</v>
      </c>
      <c r="I4">
        <v>395513</v>
      </c>
    </row>
    <row r="5" spans="1:9">
      <c r="A5" t="s">
        <v>1630</v>
      </c>
      <c r="B5" t="s">
        <v>1631</v>
      </c>
      <c r="C5" s="8">
        <f>2351/207095</f>
        <v>1.135227794007581E-2</v>
      </c>
      <c r="D5" s="8">
        <f>+(I5-H5)/(I4-H4)</f>
        <v>1.0206031270897685E-2</v>
      </c>
      <c r="E5" s="8">
        <f>2681/253827</f>
        <v>1.0562312125975566E-2</v>
      </c>
      <c r="F5" s="29" t="s">
        <v>277</v>
      </c>
      <c r="H5">
        <v>2351</v>
      </c>
      <c r="I5">
        <v>4274</v>
      </c>
    </row>
    <row r="6" spans="1:9">
      <c r="A6" t="s">
        <v>1632</v>
      </c>
      <c r="B6" t="s">
        <v>1633</v>
      </c>
      <c r="C6" s="8">
        <f>2935/324230</f>
        <v>9.0522160194923349E-3</v>
      </c>
      <c r="D6" s="8">
        <f>+(I7-H7)/(I6-H6)</f>
        <v>9.286279261540532E-3</v>
      </c>
      <c r="E6" s="8">
        <f>2921/302410</f>
        <v>9.6590721206309318E-3</v>
      </c>
      <c r="F6" s="29" t="s">
        <v>277</v>
      </c>
      <c r="H6">
        <v>621335</v>
      </c>
      <c r="I6">
        <v>324230</v>
      </c>
    </row>
    <row r="7" spans="1:9">
      <c r="A7" t="s">
        <v>635</v>
      </c>
      <c r="B7" t="s">
        <v>0</v>
      </c>
      <c r="C7" s="8">
        <f>+'Detailed Disclosure'!AD46/-'Detailed Disclosure'!AD17</f>
        <v>4.0883003974945611E-2</v>
      </c>
      <c r="D7" s="8">
        <f>+'Detailed Disclosure'!AE46/-'Detailed Disclosure'!AE17</f>
        <v>4.0293508776231161E-2</v>
      </c>
      <c r="E7" s="8">
        <f>+'Detailed Disclosure'!AF46/-'Detailed Disclosure'!AF17</f>
        <v>3.619091638160226E-2</v>
      </c>
      <c r="F7" s="29" t="s">
        <v>277</v>
      </c>
      <c r="H7">
        <v>5694</v>
      </c>
      <c r="I7">
        <v>2935</v>
      </c>
    </row>
    <row r="8" spans="1:9">
      <c r="A8" t="s">
        <v>1646</v>
      </c>
      <c r="B8" t="s">
        <v>1647</v>
      </c>
      <c r="C8" s="8">
        <f>+(45.125+38.607)/(9004.916+2319.46)</f>
        <v>7.3939614862664396E-3</v>
      </c>
      <c r="D8" s="8">
        <f>(38.965+32.7)/(2397.708+1708.5)</f>
        <v>1.7452842135615147E-2</v>
      </c>
      <c r="E8" s="8">
        <f>+(45.078+39.5)/(10250.56+2431.7)</f>
        <v>6.6690006355334154E-3</v>
      </c>
      <c r="F8" s="29" t="s">
        <v>1648</v>
      </c>
    </row>
    <row r="9" spans="1:9">
      <c r="A9" t="s">
        <v>1640</v>
      </c>
      <c r="B9" t="s">
        <v>1641</v>
      </c>
      <c r="C9" s="8">
        <f>+C11/-C10</f>
        <v>2.0309271004061855E-2</v>
      </c>
      <c r="D9" s="8">
        <f t="shared" ref="D9:E9" si="0">+D11/-D10</f>
        <v>1.9889586326854721E-2</v>
      </c>
      <c r="E9" s="8">
        <f t="shared" si="0"/>
        <v>1.8452696059895635E-2</v>
      </c>
      <c r="F9" s="29" t="s">
        <v>1645</v>
      </c>
    </row>
    <row r="10" spans="1:9" hidden="1" outlineLevel="1">
      <c r="C10" s="8">
        <v>14033</v>
      </c>
      <c r="D10" s="8">
        <v>13223</v>
      </c>
      <c r="E10" s="8">
        <v>13223</v>
      </c>
      <c r="F10" s="29"/>
    </row>
    <row r="11" spans="1:9" hidden="1" outlineLevel="1">
      <c r="C11">
        <v>-285</v>
      </c>
      <c r="D11">
        <v>-263</v>
      </c>
      <c r="E11">
        <v>-244</v>
      </c>
      <c r="F11" s="29"/>
    </row>
    <row r="12" spans="1:9" collapsed="1">
      <c r="F12" s="29"/>
    </row>
    <row r="13" spans="1:9" ht="16">
      <c r="C13" s="364" t="s">
        <v>185</v>
      </c>
      <c r="E13" s="364" t="s">
        <v>407</v>
      </c>
      <c r="F13" s="29"/>
    </row>
    <row r="14" spans="1:9">
      <c r="A14" t="s">
        <v>1642</v>
      </c>
      <c r="B14" t="s">
        <v>1643</v>
      </c>
      <c r="C14" s="8">
        <f>+C15/C16</f>
        <v>9.9213576545527562E-3</v>
      </c>
      <c r="E14" s="8">
        <f>+E15/E16</f>
        <v>9.5040993744919967E-3</v>
      </c>
      <c r="F14" s="29" t="s">
        <v>1644</v>
      </c>
    </row>
    <row r="15" spans="1:9" hidden="1" outlineLevel="1">
      <c r="C15">
        <v>424.9</v>
      </c>
      <c r="E15">
        <v>430.3</v>
      </c>
      <c r="F15" s="29"/>
    </row>
    <row r="16" spans="1:9" hidden="1" outlineLevel="1">
      <c r="C16">
        <v>42826.8</v>
      </c>
      <c r="E16">
        <v>45275.199999999997</v>
      </c>
      <c r="F16" s="29"/>
    </row>
    <row r="17" spans="1:7" collapsed="1">
      <c r="F17" s="29"/>
    </row>
    <row r="18" spans="1:7" ht="16">
      <c r="A18" s="4" t="s">
        <v>148</v>
      </c>
      <c r="C18" s="364" t="s">
        <v>1635</v>
      </c>
      <c r="D18" s="364" t="s">
        <v>614</v>
      </c>
      <c r="E18" s="364" t="s">
        <v>1636</v>
      </c>
      <c r="F18" s="364" t="s">
        <v>1637</v>
      </c>
    </row>
    <row r="19" spans="1:7">
      <c r="A19" t="s">
        <v>1634</v>
      </c>
      <c r="C19" s="365">
        <v>4.6699198695896095E-2</v>
      </c>
      <c r="D19" s="365">
        <v>3.9804967969935538E-2</v>
      </c>
      <c r="E19" s="365">
        <v>5.087410091692747E-2</v>
      </c>
      <c r="F19" s="365">
        <v>4.384961564543588E-2</v>
      </c>
    </row>
    <row r="20" spans="1:7">
      <c r="A20" t="s">
        <v>1638</v>
      </c>
      <c r="C20" s="182" t="s">
        <v>251</v>
      </c>
      <c r="D20" s="182" t="s">
        <v>251</v>
      </c>
      <c r="E20" s="182" t="s">
        <v>251</v>
      </c>
      <c r="F20" s="365">
        <v>3.8095238095238099E-2</v>
      </c>
      <c r="G20" s="365"/>
    </row>
    <row r="21" spans="1:7">
      <c r="C21" s="182"/>
      <c r="D21" s="182"/>
      <c r="E21" s="182"/>
      <c r="F21" s="365"/>
      <c r="G21" s="365"/>
    </row>
    <row r="22" spans="1:7">
      <c r="A22" t="s">
        <v>1649</v>
      </c>
      <c r="F22" s="365">
        <v>3.811880104219123E-2</v>
      </c>
    </row>
    <row r="23" spans="1:7">
      <c r="A23" t="s">
        <v>1650</v>
      </c>
      <c r="F23" s="365">
        <v>1.4830060064662564E-2</v>
      </c>
    </row>
    <row r="25" spans="1:7">
      <c r="A25" t="s">
        <v>1651</v>
      </c>
      <c r="F25" s="365">
        <v>1.7569912971459115E-2</v>
      </c>
    </row>
    <row r="26" spans="1:7">
      <c r="A26" t="s">
        <v>1652</v>
      </c>
      <c r="F26" s="365">
        <v>8.1592119216605755E-3</v>
      </c>
    </row>
    <row r="28" spans="1:7">
      <c r="A28" t="s">
        <v>1653</v>
      </c>
      <c r="C28" s="366">
        <v>2.9000000000000001E-2</v>
      </c>
      <c r="D28" s="219" t="s">
        <v>1654</v>
      </c>
      <c r="E28" s="219" t="s">
        <v>1655</v>
      </c>
    </row>
    <row r="29" spans="1:7">
      <c r="E29" s="219" t="s">
        <v>1656</v>
      </c>
    </row>
    <row r="30" spans="1:7">
      <c r="E30" s="219" t="s">
        <v>1657</v>
      </c>
    </row>
    <row r="48" spans="12:12">
      <c r="L48" s="366"/>
    </row>
    <row r="49" spans="12:12">
      <c r="L49" s="366"/>
    </row>
    <row r="50" spans="12:12">
      <c r="L50" s="366"/>
    </row>
    <row r="51" spans="12:12">
      <c r="L51" s="366"/>
    </row>
    <row r="52" spans="12:12">
      <c r="L52" s="366"/>
    </row>
    <row r="53" spans="12:12">
      <c r="L53" s="366"/>
    </row>
    <row r="54" spans="12:12">
      <c r="L54" s="366"/>
    </row>
    <row r="55" spans="12:12">
      <c r="L55" s="366"/>
    </row>
    <row r="56" spans="12:12">
      <c r="L56" s="366"/>
    </row>
    <row r="57" spans="12:12">
      <c r="L57" s="366"/>
    </row>
    <row r="58" spans="12:12">
      <c r="L58" s="366"/>
    </row>
    <row r="59" spans="12:12">
      <c r="L59" s="366"/>
    </row>
    <row r="60" spans="12:12">
      <c r="L60" s="366"/>
    </row>
    <row r="61" spans="12:12">
      <c r="L61" s="366"/>
    </row>
    <row r="62" spans="12:12">
      <c r="L62" s="366"/>
    </row>
    <row r="63" spans="12:12">
      <c r="L63" s="366"/>
    </row>
    <row r="64" spans="12:12">
      <c r="L64" s="366"/>
    </row>
    <row r="65" spans="12:12">
      <c r="L65" s="366"/>
    </row>
    <row r="66" spans="12:12">
      <c r="L66" s="366"/>
    </row>
    <row r="67" spans="12:12">
      <c r="L67" s="366"/>
    </row>
    <row r="68" spans="12:12">
      <c r="L68" s="366"/>
    </row>
    <row r="69" spans="12:12">
      <c r="L69" s="9"/>
    </row>
    <row r="70" spans="12:12">
      <c r="L70" s="366"/>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A4DB-4464-480E-806C-F0E0F1BCE4A3}">
  <sheetPr>
    <pageSetUpPr fitToPage="1"/>
  </sheetPr>
  <dimension ref="A1:X59"/>
  <sheetViews>
    <sheetView view="pageBreakPreview" zoomScale="60" zoomScaleNormal="70" workbookViewId="0"/>
  </sheetViews>
  <sheetFormatPr defaultRowHeight="14.5"/>
  <cols>
    <col min="1" max="1" width="53" customWidth="1"/>
    <col min="2" max="2" width="1.54296875" customWidth="1"/>
    <col min="3" max="4" width="11.7265625" customWidth="1"/>
    <col min="5" max="12" width="12.1796875" customWidth="1"/>
    <col min="13" max="13" width="19.54296875" customWidth="1"/>
    <col min="14" max="16" width="12.1796875" customWidth="1"/>
    <col min="17" max="18" width="11" customWidth="1"/>
    <col min="19" max="19" width="59.453125" bestFit="1" customWidth="1"/>
    <col min="20" max="20" width="1.453125" customWidth="1"/>
    <col min="21" max="23" width="11" customWidth="1"/>
  </cols>
  <sheetData>
    <row r="1" spans="1:24">
      <c r="A1" t="s">
        <v>430</v>
      </c>
      <c r="G1" t="s">
        <v>430</v>
      </c>
      <c r="M1" t="s">
        <v>430</v>
      </c>
      <c r="S1" t="s">
        <v>430</v>
      </c>
    </row>
    <row r="2" spans="1:24" s="127" customFormat="1">
      <c r="A2" s="126" t="s">
        <v>1551</v>
      </c>
      <c r="G2" s="126" t="s">
        <v>1591</v>
      </c>
      <c r="M2" s="126" t="s">
        <v>1592</v>
      </c>
      <c r="S2" s="126" t="s">
        <v>1599</v>
      </c>
    </row>
    <row r="3" spans="1:24">
      <c r="A3" t="s">
        <v>409</v>
      </c>
      <c r="G3" t="s">
        <v>409</v>
      </c>
      <c r="M3" t="s">
        <v>409</v>
      </c>
      <c r="S3" t="s">
        <v>409</v>
      </c>
    </row>
    <row r="5" spans="1:24" ht="16">
      <c r="A5" s="1" t="s">
        <v>529</v>
      </c>
      <c r="B5" s="15"/>
      <c r="C5" s="24" t="s">
        <v>105</v>
      </c>
      <c r="D5" s="24"/>
      <c r="E5" s="24"/>
      <c r="I5" s="24" t="s">
        <v>105</v>
      </c>
      <c r="J5" s="24"/>
      <c r="K5" s="24"/>
      <c r="O5" s="24" t="s">
        <v>105</v>
      </c>
      <c r="P5" s="24"/>
      <c r="Q5" s="24"/>
      <c r="U5" s="24" t="s">
        <v>105</v>
      </c>
      <c r="V5" s="24"/>
      <c r="W5" s="24"/>
    </row>
    <row r="6" spans="1:24" ht="16">
      <c r="C6" s="16" t="s">
        <v>219</v>
      </c>
      <c r="D6" s="16" t="s">
        <v>220</v>
      </c>
      <c r="E6" s="16" t="s">
        <v>221</v>
      </c>
      <c r="I6" s="16" t="s">
        <v>219</v>
      </c>
      <c r="J6" s="16" t="s">
        <v>220</v>
      </c>
      <c r="K6" s="16" t="s">
        <v>221</v>
      </c>
      <c r="O6" s="16" t="s">
        <v>219</v>
      </c>
      <c r="P6" s="16" t="s">
        <v>220</v>
      </c>
      <c r="Q6" s="16" t="s">
        <v>221</v>
      </c>
      <c r="U6" s="16" t="s">
        <v>219</v>
      </c>
      <c r="V6" s="16" t="s">
        <v>220</v>
      </c>
      <c r="W6" s="16" t="s">
        <v>221</v>
      </c>
    </row>
    <row r="7" spans="1:24">
      <c r="A7" t="str">
        <f>+'Detailed Disclosure'!A219</f>
        <v>Receipts from Customers (inclusive of GST)</v>
      </c>
      <c r="C7" s="9">
        <f>+'Detailed Disclosure'!AM219</f>
        <v>94537.909</v>
      </c>
      <c r="D7" s="9">
        <f>+'Detailed Disclosure'!AN219</f>
        <v>212219.57800000001</v>
      </c>
      <c r="E7" s="9">
        <f>+'Detailed Disclosure'!AO219</f>
        <v>452113.54599999997</v>
      </c>
      <c r="G7" s="216" t="s">
        <v>1588</v>
      </c>
      <c r="I7" s="9">
        <f>+'Detailed Disclosure'!AM8-'Detailed Disclosure'!AM17</f>
        <v>32046</v>
      </c>
      <c r="J7" s="9">
        <f>+'Detailed Disclosure'!AN8-'Detailed Disclosure'!AN17</f>
        <v>77916.14499999999</v>
      </c>
      <c r="K7" s="9">
        <f>+'Detailed Disclosure'!AO8-'Detailed Disclosure'!AO17</f>
        <v>122973</v>
      </c>
      <c r="M7" s="216" t="s">
        <v>1595</v>
      </c>
      <c r="O7" s="9">
        <f t="shared" ref="O7:P7" si="0">+C7-C12</f>
        <v>3683.8919999999925</v>
      </c>
      <c r="P7" s="9">
        <f t="shared" si="0"/>
        <v>6036.0350000000035</v>
      </c>
      <c r="Q7" s="9">
        <f>+E7-E12</f>
        <v>52562.600999999966</v>
      </c>
      <c r="S7" s="216" t="str">
        <f>+'Detailed Disclosure'!A220</f>
        <v>Payments to Suppliers and Employees (inclusive of GST)</v>
      </c>
      <c r="U7" s="9">
        <f>+'Detailed Disclosure'!AM220*-1</f>
        <v>81118.226999999999</v>
      </c>
      <c r="V7" s="9">
        <f>+'Detailed Disclosure'!AN220*-1</f>
        <v>226935.60200000001</v>
      </c>
      <c r="W7" s="9">
        <f>+'Detailed Disclosure'!AO220*-1</f>
        <v>415877.24400000001</v>
      </c>
    </row>
    <row r="8" spans="1:24">
      <c r="A8" t="s">
        <v>272</v>
      </c>
      <c r="B8" s="9"/>
      <c r="C8" s="9">
        <f>+'Detailed Disclosure'!AM17</f>
        <v>92409</v>
      </c>
      <c r="D8" s="9">
        <f>+'Detailed Disclosure'!AN17</f>
        <v>209883.85500000001</v>
      </c>
      <c r="E8" s="9">
        <f>+'Detailed Disclosure'!AO17</f>
        <v>416227</v>
      </c>
      <c r="G8" s="216" t="s">
        <v>1587</v>
      </c>
      <c r="I8" s="160">
        <v>1529.059</v>
      </c>
      <c r="J8" s="160">
        <v>1339.742</v>
      </c>
      <c r="K8" s="160">
        <v>5558.3090000000002</v>
      </c>
      <c r="M8" s="216" t="s">
        <v>1593</v>
      </c>
      <c r="O8" s="160">
        <v>916.64499999999998</v>
      </c>
      <c r="P8" s="160">
        <v>3038.3240000000001</v>
      </c>
      <c r="Q8" s="160">
        <v>5876.6610000000001</v>
      </c>
      <c r="S8" s="216" t="s">
        <v>1594</v>
      </c>
      <c r="U8" s="9">
        <f>'Detailed Disclosure'!AM47</f>
        <v>-1865.239</v>
      </c>
      <c r="V8" s="9">
        <f>'Detailed Disclosure'!AN47</f>
        <v>-2935.9639999999999</v>
      </c>
      <c r="W8" s="9">
        <f>'Detailed Disclosure'!AO47</f>
        <v>-3702.6410000000001</v>
      </c>
    </row>
    <row r="9" spans="1:24" s="29" customFormat="1" ht="16">
      <c r="A9" s="91" t="s">
        <v>1583</v>
      </c>
      <c r="C9" s="165">
        <f>+C7/C8-1</f>
        <v>2.3037896741659347E-2</v>
      </c>
      <c r="D9" s="165">
        <f>+D7/D8-1</f>
        <v>1.1128645412006533E-2</v>
      </c>
      <c r="E9" s="165">
        <f>+E7/E8-1</f>
        <v>8.6218688359957385E-2</v>
      </c>
      <c r="G9" s="91" t="s">
        <v>1589</v>
      </c>
      <c r="I9" s="130">
        <f t="shared" ref="I9:J9" si="1">+I7/I8</f>
        <v>20.957987886667553</v>
      </c>
      <c r="J9" s="130">
        <f t="shared" si="1"/>
        <v>58.157574368796375</v>
      </c>
      <c r="K9" s="130">
        <f>+K7/K8</f>
        <v>22.124174816477456</v>
      </c>
      <c r="M9" s="91" t="s">
        <v>1589</v>
      </c>
      <c r="O9" s="130">
        <f t="shared" ref="O9" si="2">+O7/O8</f>
        <v>4.0188862645844274</v>
      </c>
      <c r="P9" s="130">
        <f t="shared" ref="P9" si="3">+P7/P8</f>
        <v>1.9866330911384051</v>
      </c>
      <c r="Q9" s="130">
        <f>+Q7/Q8</f>
        <v>8.9442969400480923</v>
      </c>
      <c r="S9" s="216" t="s">
        <v>1596</v>
      </c>
      <c r="U9" s="13">
        <f t="shared" ref="U9:V9" si="4">-O7</f>
        <v>-3683.8919999999925</v>
      </c>
      <c r="V9" s="13">
        <f t="shared" si="4"/>
        <v>-6036.0350000000035</v>
      </c>
      <c r="W9" s="13">
        <f>-Q7</f>
        <v>-52562.600999999966</v>
      </c>
    </row>
    <row r="10" spans="1:24" s="29" customFormat="1">
      <c r="A10" s="91"/>
      <c r="C10" s="165"/>
      <c r="D10" s="165"/>
      <c r="E10" s="165"/>
      <c r="G10" s="91"/>
      <c r="I10" s="130"/>
      <c r="J10" s="130"/>
      <c r="K10" s="130"/>
      <c r="M10" s="91"/>
      <c r="O10" s="130"/>
      <c r="P10" s="130"/>
      <c r="Q10" s="130"/>
      <c r="S10" s="5" t="s">
        <v>1597</v>
      </c>
      <c r="U10" s="9">
        <f t="shared" ref="U10:V10" si="5">+SUM(U7:U9)</f>
        <v>75569.096000000005</v>
      </c>
      <c r="V10" s="9">
        <f t="shared" si="5"/>
        <v>217963.603</v>
      </c>
      <c r="W10" s="9">
        <f>+SUM(W7:W9)</f>
        <v>359612.00200000004</v>
      </c>
    </row>
    <row r="11" spans="1:24" s="4" customFormat="1">
      <c r="A11" t="str">
        <f>+'Detailed Disclosure'!A255</f>
        <v>(Increase) in trade and other receivables</v>
      </c>
      <c r="B11" s="10"/>
      <c r="C11" s="10">
        <f>+'Detailed Disclosure'!AM255</f>
        <v>-1554.9829999999999</v>
      </c>
      <c r="D11" s="10">
        <f>+'Detailed Disclosure'!AN255</f>
        <v>-3700.3119999999999</v>
      </c>
      <c r="E11" s="10">
        <f>+'Detailed Disclosure'!AO255</f>
        <v>-16676.055</v>
      </c>
      <c r="G11" s="133" t="s">
        <v>148</v>
      </c>
      <c r="H11" s="29"/>
      <c r="I11" s="165"/>
      <c r="J11" s="165"/>
      <c r="K11" s="165"/>
      <c r="M11" s="216" t="s">
        <v>1600</v>
      </c>
      <c r="N11" s="29"/>
      <c r="O11" s="9">
        <f>+'Detailed Disclosure'!I17/3</f>
        <v>11127.165666666669</v>
      </c>
      <c r="P11" s="9">
        <f>+'Detailed Disclosure'!M17/3</f>
        <v>15792.528666666671</v>
      </c>
      <c r="Q11" s="9">
        <f>+'Detailed Disclosure'!Q17/3</f>
        <v>42343.196333333333</v>
      </c>
      <c r="S11" s="216" t="s">
        <v>1598</v>
      </c>
      <c r="T11"/>
      <c r="U11" s="160">
        <v>14753.855</v>
      </c>
      <c r="V11" s="160">
        <v>24659.367999999999</v>
      </c>
      <c r="W11" s="160">
        <v>41632.633000000002</v>
      </c>
    </row>
    <row r="12" spans="1:24">
      <c r="A12" s="5" t="s">
        <v>1582</v>
      </c>
      <c r="B12" s="9"/>
      <c r="C12" s="9">
        <f t="shared" ref="C12:D12" si="6">+C8+C11</f>
        <v>90854.017000000007</v>
      </c>
      <c r="D12" s="9">
        <f t="shared" si="6"/>
        <v>206183.54300000001</v>
      </c>
      <c r="E12" s="9">
        <f>+E8+E11</f>
        <v>399550.94500000001</v>
      </c>
      <c r="G12" s="91" t="s">
        <v>1590</v>
      </c>
      <c r="H12" s="29"/>
      <c r="I12" s="165">
        <f>+'Detailed Disclosure'!AM21</f>
        <v>0.7425093407255634</v>
      </c>
      <c r="J12" s="165">
        <f>+'Detailed Disclosure'!AN21</f>
        <v>0.72926982279360675</v>
      </c>
      <c r="K12" s="165">
        <f>+'Detailed Disclosure'!AO21</f>
        <v>0.77193434718100895</v>
      </c>
      <c r="M12" s="216" t="s">
        <v>1593</v>
      </c>
      <c r="O12" s="9">
        <f>+O8</f>
        <v>916.64499999999998</v>
      </c>
      <c r="P12" s="9">
        <f>+P8</f>
        <v>3038.3240000000001</v>
      </c>
      <c r="Q12" s="9">
        <f>+Q8</f>
        <v>5876.6610000000001</v>
      </c>
      <c r="S12" s="91" t="s">
        <v>1589</v>
      </c>
      <c r="T12" s="29"/>
      <c r="U12" s="130">
        <f t="shared" ref="U12" si="7">+U10/U11</f>
        <v>5.1219898799330759</v>
      </c>
      <c r="V12" s="130">
        <f t="shared" ref="V12" si="8">+V10/V11</f>
        <v>8.8389776656076506</v>
      </c>
      <c r="W12" s="130">
        <f>+W10/W11</f>
        <v>8.6377434259322499</v>
      </c>
    </row>
    <row r="13" spans="1:24" s="29" customFormat="1">
      <c r="A13" s="116" t="s">
        <v>1583</v>
      </c>
      <c r="C13" s="165">
        <f t="shared" ref="C13:D13" si="9">+C7/C12-1</f>
        <v>4.0547376127573864E-2</v>
      </c>
      <c r="D13" s="165">
        <f t="shared" si="9"/>
        <v>2.9275057127134518E-2</v>
      </c>
      <c r="E13" s="165">
        <f>+E7/E12-1</f>
        <v>0.13155419016716374</v>
      </c>
      <c r="M13" s="91" t="s">
        <v>1601</v>
      </c>
      <c r="O13" s="165">
        <f t="shared" ref="O13:P13" si="10">+O12/O11</f>
        <v>8.2379019730601036E-2</v>
      </c>
      <c r="P13" s="165">
        <f t="shared" si="10"/>
        <v>0.19238996262916389</v>
      </c>
      <c r="Q13" s="165">
        <f>+Q12/Q11</f>
        <v>0.13878642872724717</v>
      </c>
    </row>
    <row r="14" spans="1:24" s="29" customFormat="1">
      <c r="A14" s="91"/>
      <c r="C14" s="165"/>
      <c r="D14" s="165"/>
      <c r="E14" s="165"/>
      <c r="S14" s="133"/>
      <c r="U14" s="165"/>
      <c r="V14" s="165"/>
      <c r="W14" s="165"/>
      <c r="X14"/>
    </row>
    <row r="15" spans="1:24" s="29" customFormat="1">
      <c r="A15" s="133" t="s">
        <v>148</v>
      </c>
      <c r="C15" s="165"/>
      <c r="D15" s="165"/>
      <c r="E15" s="165"/>
      <c r="S15" s="91"/>
      <c r="U15" s="165"/>
      <c r="V15" s="165"/>
      <c r="W15" s="165"/>
    </row>
    <row r="16" spans="1:24" s="29" customFormat="1">
      <c r="A16" s="91" t="s">
        <v>1585</v>
      </c>
      <c r="C16" s="165">
        <f>+'Detailed Disclosure'!AM14/'Detailed Disclosure'!AM17</f>
        <v>0.67443005551407331</v>
      </c>
      <c r="D16" s="165">
        <f>+'Detailed Disclosure'!AN14/'Detailed Disclosure'!AN17</f>
        <v>0.57924580716320451</v>
      </c>
      <c r="E16" s="165">
        <f>+'Detailed Disclosure'!AO14/'Detailed Disclosure'!AO17</f>
        <v>0.5940373906546188</v>
      </c>
    </row>
    <row r="17" spans="1:5" s="29" customFormat="1">
      <c r="A17" s="91" t="s">
        <v>1554</v>
      </c>
      <c r="C17" s="165">
        <f>+'Detailed Disclosure'!AM15/'Detailed Disclosure'!AM17</f>
        <v>9.0030267614626278E-2</v>
      </c>
      <c r="D17" s="165">
        <f>+'Detailed Disclosure'!AN15/'Detailed Disclosure'!AN17</f>
        <v>0.11023139917074612</v>
      </c>
      <c r="E17" s="165">
        <f>+'Detailed Disclosure'!AO15/'Detailed Disclosure'!AO17</f>
        <v>8.2414543025800827E-2</v>
      </c>
    </row>
    <row r="18" spans="1:5" s="29" customFormat="1">
      <c r="A18" s="91" t="s">
        <v>1586</v>
      </c>
      <c r="C18" s="229" t="s">
        <v>251</v>
      </c>
      <c r="D18" s="165">
        <f t="shared" ref="D18" si="11">1-D16-D17-D19</f>
        <v>0.10052279366604944</v>
      </c>
      <c r="E18" s="165">
        <f>1-E16-E17-E19</f>
        <v>5.3548066319580312E-2</v>
      </c>
    </row>
    <row r="19" spans="1:5" s="29" customFormat="1">
      <c r="A19" s="91" t="s">
        <v>1584</v>
      </c>
      <c r="C19" s="229" t="s">
        <v>251</v>
      </c>
      <c r="D19" s="165">
        <f>+('Detailed Disclosure'!AN17-'Detailed Disclosure'!AN33-'Detailed Disclosure'!AN14-'Detailed Disclosure'!AN15)/'Detailed Disclosure'!AN17</f>
        <v>0.20999999999999996</v>
      </c>
      <c r="E19" s="165">
        <f>+('Detailed Disclosure'!AO17-'Detailed Disclosure'!AO33-'Detailed Disclosure'!AO14-'Detailed Disclosure'!AO15)/'Detailed Disclosure'!AO17</f>
        <v>0.27000000000000007</v>
      </c>
    </row>
    <row r="20" spans="1:5" s="29" customFormat="1">
      <c r="A20" s="91"/>
      <c r="C20" s="229"/>
      <c r="D20" s="165"/>
      <c r="E20" s="165"/>
    </row>
    <row r="21" spans="1:5" s="29" customFormat="1">
      <c r="A21" t="str">
        <f>+S7</f>
        <v>Payments to Suppliers and Employees (inclusive of GST)</v>
      </c>
      <c r="B21"/>
      <c r="C21" s="9">
        <f t="shared" ref="C21:D21" si="12">+U7</f>
        <v>81118.226999999999</v>
      </c>
      <c r="D21" s="9">
        <f t="shared" si="12"/>
        <v>226935.60200000001</v>
      </c>
      <c r="E21" s="9">
        <f>+W7</f>
        <v>415877.24400000001</v>
      </c>
    </row>
    <row r="22" spans="1:5" s="29" customFormat="1">
      <c r="A22" t="str">
        <f>+'Detailed Disclosure'!A188</f>
        <v>Trade and Other Payables</v>
      </c>
      <c r="B22" s="10"/>
      <c r="C22" s="10">
        <f>+'Detailed Disclosure'!AM188</f>
        <v>18011</v>
      </c>
      <c r="D22" s="10">
        <f>+'Detailed Disclosure'!AN188</f>
        <v>30658.560000000001</v>
      </c>
      <c r="E22" s="10">
        <f>+'Detailed Disclosure'!AO188</f>
        <v>56928.843999999997</v>
      </c>
    </row>
    <row r="23" spans="1:5" s="29" customFormat="1">
      <c r="A23" s="5" t="s">
        <v>1602</v>
      </c>
      <c r="B23" s="9"/>
      <c r="C23" s="9">
        <f t="shared" ref="C23:D23" si="13">+C22+C21</f>
        <v>99129.226999999999</v>
      </c>
      <c r="D23" s="9">
        <f t="shared" si="13"/>
        <v>257594.16200000001</v>
      </c>
      <c r="E23" s="9">
        <f>+E22+E21</f>
        <v>472806.08799999999</v>
      </c>
    </row>
    <row r="24" spans="1:5" s="29" customFormat="1">
      <c r="A24" t="str">
        <f>+A12</f>
        <v>Cash Revenue</v>
      </c>
      <c r="B24" s="9"/>
      <c r="C24" s="9">
        <f t="shared" ref="C24:E24" si="14">+C12</f>
        <v>90854.017000000007</v>
      </c>
      <c r="D24" s="9">
        <f t="shared" si="14"/>
        <v>206183.54300000001</v>
      </c>
      <c r="E24" s="9">
        <f t="shared" si="14"/>
        <v>399550.94500000001</v>
      </c>
    </row>
    <row r="25" spans="1:5" s="29" customFormat="1">
      <c r="A25" s="91" t="s">
        <v>1603</v>
      </c>
      <c r="B25" s="9"/>
      <c r="C25" s="165">
        <f>+C23/C24-1</f>
        <v>9.1082488955881669E-2</v>
      </c>
      <c r="D25" s="165">
        <f t="shared" ref="D25:E25" si="15">+D23/D24-1</f>
        <v>0.24934394982241637</v>
      </c>
      <c r="E25" s="165">
        <f t="shared" si="15"/>
        <v>0.18334368599728879</v>
      </c>
    </row>
    <row r="26" spans="1:5" s="127" customFormat="1"/>
    <row r="27" spans="1:5">
      <c r="A27" s="119" t="s">
        <v>413</v>
      </c>
    </row>
    <row r="28" spans="1:5">
      <c r="A28" s="29" t="s">
        <v>1553</v>
      </c>
    </row>
    <row r="31" spans="1:5">
      <c r="A31" s="119" t="s">
        <v>1546</v>
      </c>
    </row>
    <row r="32" spans="1:5">
      <c r="A32" s="29" t="s">
        <v>1547</v>
      </c>
    </row>
    <row r="33" spans="1:5">
      <c r="A33" s="29" t="s">
        <v>1548</v>
      </c>
    </row>
    <row r="34" spans="1:5">
      <c r="A34" s="29" t="s">
        <v>1549</v>
      </c>
    </row>
    <row r="35" spans="1:5">
      <c r="A35" s="29" t="s">
        <v>1550</v>
      </c>
    </row>
    <row r="39" spans="1:5" ht="16">
      <c r="A39" s="1" t="s">
        <v>1556</v>
      </c>
      <c r="B39" s="15"/>
      <c r="C39" s="24" t="s">
        <v>105</v>
      </c>
      <c r="D39" s="24"/>
      <c r="E39" s="24"/>
    </row>
    <row r="40" spans="1:5" ht="16">
      <c r="C40" s="16" t="s">
        <v>219</v>
      </c>
      <c r="D40" s="16" t="s">
        <v>220</v>
      </c>
      <c r="E40" s="16" t="s">
        <v>221</v>
      </c>
    </row>
    <row r="41" spans="1:5">
      <c r="A41" t="s">
        <v>1555</v>
      </c>
      <c r="C41" s="312">
        <v>362276</v>
      </c>
      <c r="D41" s="312">
        <v>467264</v>
      </c>
      <c r="E41" s="312">
        <v>434651</v>
      </c>
    </row>
    <row r="42" spans="1:5">
      <c r="A42" t="s">
        <v>272</v>
      </c>
      <c r="B42" s="9"/>
      <c r="C42" s="312">
        <v>326344</v>
      </c>
      <c r="D42" s="312">
        <v>426335</v>
      </c>
      <c r="E42" s="312">
        <v>395513</v>
      </c>
    </row>
    <row r="43" spans="1:5" s="29" customFormat="1">
      <c r="A43" s="91" t="s">
        <v>1552</v>
      </c>
      <c r="C43" s="165">
        <f>+C41/C42-1</f>
        <v>0.11010467482166053</v>
      </c>
      <c r="D43" s="165">
        <f>+D41/D42-1</f>
        <v>9.6001970281585969E-2</v>
      </c>
      <c r="E43" s="165">
        <f>+E41/E42-1</f>
        <v>9.89550280268916E-2</v>
      </c>
    </row>
    <row r="44" spans="1:5" s="29" customFormat="1">
      <c r="A44" s="91"/>
      <c r="C44" s="165"/>
      <c r="D44" s="165"/>
      <c r="E44" s="165"/>
    </row>
    <row r="45" spans="1:5" s="4" customFormat="1">
      <c r="A45" t="s">
        <v>1569</v>
      </c>
      <c r="B45" s="10"/>
      <c r="C45" s="10">
        <v>-49</v>
      </c>
      <c r="D45" s="10">
        <v>-169</v>
      </c>
      <c r="E45" s="10">
        <v>-294</v>
      </c>
    </row>
    <row r="46" spans="1:5">
      <c r="A46" s="5" t="s">
        <v>1582</v>
      </c>
      <c r="B46" s="9"/>
      <c r="C46" s="9">
        <f t="shared" ref="C46" si="16">+C42+C45</f>
        <v>326295</v>
      </c>
      <c r="D46" s="9">
        <f t="shared" ref="D46" si="17">+D42+D45</f>
        <v>426166</v>
      </c>
      <c r="E46" s="9">
        <f>+E42+E45</f>
        <v>395219</v>
      </c>
    </row>
    <row r="47" spans="1:5" s="29" customFormat="1">
      <c r="A47" s="116" t="s">
        <v>1583</v>
      </c>
      <c r="C47" s="165">
        <f t="shared" ref="C47" si="18">+C41/C46-1</f>
        <v>0.11027138019277039</v>
      </c>
      <c r="D47" s="165">
        <f t="shared" ref="D47" si="19">+D41/D46-1</f>
        <v>9.6436599822604441E-2</v>
      </c>
      <c r="E47" s="165">
        <f>+E41/E46-1</f>
        <v>9.9772531178915935E-2</v>
      </c>
    </row>
    <row r="48" spans="1:5" s="29" customFormat="1">
      <c r="A48" s="116"/>
      <c r="C48" s="165"/>
      <c r="D48" s="165"/>
      <c r="E48" s="165"/>
    </row>
    <row r="49" spans="1:5" s="29" customFormat="1">
      <c r="A49" s="133" t="s">
        <v>148</v>
      </c>
      <c r="C49" s="165"/>
      <c r="D49" s="165"/>
      <c r="E49" s="165"/>
    </row>
    <row r="50" spans="1:5" s="29" customFormat="1">
      <c r="A50" s="91" t="s">
        <v>1554</v>
      </c>
      <c r="C50" s="165">
        <v>1</v>
      </c>
      <c r="D50" s="165">
        <v>1</v>
      </c>
      <c r="E50" s="165">
        <v>1</v>
      </c>
    </row>
    <row r="51" spans="1:5" s="29" customFormat="1">
      <c r="A51" s="91"/>
      <c r="C51" s="165"/>
      <c r="D51" s="165"/>
      <c r="E51" s="165"/>
    </row>
    <row r="52" spans="1:5">
      <c r="A52" s="119" t="s">
        <v>413</v>
      </c>
    </row>
    <row r="53" spans="1:5">
      <c r="A53" s="29" t="s">
        <v>1561</v>
      </c>
    </row>
    <row r="55" spans="1:5">
      <c r="A55" s="119" t="s">
        <v>1546</v>
      </c>
    </row>
    <row r="56" spans="1:5">
      <c r="A56" s="29" t="s">
        <v>1557</v>
      </c>
    </row>
    <row r="57" spans="1:5">
      <c r="A57" s="29" t="s">
        <v>1558</v>
      </c>
    </row>
    <row r="58" spans="1:5">
      <c r="A58" s="29" t="s">
        <v>1559</v>
      </c>
    </row>
    <row r="59" spans="1:5">
      <c r="A59" s="29" t="s">
        <v>1560</v>
      </c>
    </row>
  </sheetData>
  <pageMargins left="0.3" right="0.3" top="0.3" bottom="0.3" header="0.3" footer="0.3"/>
  <pageSetup scale="37"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69AC-C178-4263-BD59-F2966B75CE34}">
  <sheetPr>
    <pageSetUpPr fitToPage="1"/>
  </sheetPr>
  <dimension ref="A1:BI163"/>
  <sheetViews>
    <sheetView view="pageBreakPreview" zoomScale="60" zoomScaleNormal="55" workbookViewId="0">
      <pane xSplit="1" ySplit="5" topLeftCell="B6" activePane="bottomRight" state="frozen"/>
      <selection pane="topRight" activeCell="B1" sqref="B1"/>
      <selection pane="bottomLeft" activeCell="A6" sqref="A6"/>
      <selection pane="bottomRight" activeCell="AD9" sqref="AD9"/>
    </sheetView>
  </sheetViews>
  <sheetFormatPr defaultRowHeight="14.5" outlineLevelRow="1" outlineLevelCol="1"/>
  <cols>
    <col min="1" max="1" width="18.81640625" customWidth="1"/>
    <col min="2" max="2" width="3.54296875" customWidth="1"/>
    <col min="3" max="6" width="9.26953125" hidden="1" customWidth="1" outlineLevel="1"/>
    <col min="7" max="7" width="9.26953125" bestFit="1" customWidth="1" collapsed="1"/>
    <col min="8" max="9" width="9.26953125" bestFit="1" customWidth="1"/>
    <col min="10" max="10" width="10.453125" bestFit="1" customWidth="1"/>
    <col min="11" max="11" width="9.26953125" bestFit="1" customWidth="1"/>
    <col min="12" max="14" width="10.453125" bestFit="1" customWidth="1"/>
    <col min="15" max="15" width="9.26953125" bestFit="1" customWidth="1"/>
    <col min="16" max="16" width="10.453125" bestFit="1" customWidth="1"/>
    <col min="17" max="17" width="9.26953125" bestFit="1" customWidth="1"/>
    <col min="18" max="18" width="10.453125" bestFit="1" customWidth="1"/>
    <col min="19" max="19" width="9.26953125" bestFit="1" customWidth="1"/>
    <col min="20" max="20" width="10.453125" bestFit="1" customWidth="1"/>
    <col min="21" max="24" width="9.26953125" bestFit="1" customWidth="1"/>
    <col min="25" max="26" width="0" hidden="1" customWidth="1" outlineLevel="1"/>
    <col min="27" max="27" width="9.1796875" collapsed="1"/>
    <col min="28" max="29" width="9.26953125" hidden="1" customWidth="1" outlineLevel="1"/>
    <col min="30" max="30" width="9.26953125" bestFit="1" customWidth="1" collapsed="1"/>
    <col min="31" max="38" width="9.26953125" bestFit="1" customWidth="1"/>
    <col min="39" max="39" width="0" hidden="1" customWidth="1" outlineLevel="1"/>
    <col min="40" max="40" width="8.7265625" collapsed="1"/>
    <col min="41" max="41" width="8.7265625" hidden="1" customWidth="1" outlineLevel="1"/>
    <col min="42" max="42" width="9.26953125" bestFit="1" customWidth="1" collapsed="1"/>
    <col min="43" max="46" width="9.26953125" bestFit="1" customWidth="1"/>
  </cols>
  <sheetData>
    <row r="1" spans="1:61">
      <c r="A1" s="18" t="s">
        <v>0</v>
      </c>
      <c r="B1" s="18"/>
      <c r="C1" s="18"/>
      <c r="D1" s="18"/>
      <c r="E1" s="18"/>
      <c r="F1" s="18"/>
      <c r="G1" s="18"/>
      <c r="H1" s="18"/>
      <c r="I1" s="18"/>
      <c r="AQ1" s="19"/>
      <c r="AR1" s="19"/>
      <c r="AS1" s="19"/>
      <c r="AT1" s="19">
        <f t="shared" ref="AT1" ca="1" si="0">TODAY()</f>
        <v>45797</v>
      </c>
      <c r="AU1" s="19"/>
    </row>
    <row r="2" spans="1:61">
      <c r="A2" s="20" t="s">
        <v>1675</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21"/>
      <c r="AF2" s="21"/>
      <c r="AG2" s="21"/>
      <c r="AH2" s="21"/>
      <c r="AI2" s="21"/>
      <c r="AJ2" s="21"/>
      <c r="AK2" s="21"/>
      <c r="AL2" s="21"/>
      <c r="AM2" s="21"/>
      <c r="AN2" s="21"/>
      <c r="AO2" s="21"/>
      <c r="AP2" s="21"/>
      <c r="AQ2" s="21"/>
      <c r="AR2" s="21"/>
      <c r="AS2" s="21"/>
      <c r="AT2" s="21"/>
      <c r="AU2" s="21"/>
    </row>
    <row r="3" spans="1:61">
      <c r="A3" s="22" t="s">
        <v>3</v>
      </c>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row>
    <row r="4" spans="1:61" ht="16">
      <c r="C4" s="24"/>
      <c r="D4" s="24"/>
      <c r="E4" s="24"/>
      <c r="F4" s="24"/>
      <c r="G4" s="24" t="s">
        <v>1676</v>
      </c>
      <c r="H4" s="24"/>
      <c r="I4" s="24"/>
      <c r="J4" s="24"/>
      <c r="K4" s="24"/>
      <c r="L4" s="24"/>
      <c r="M4" s="24"/>
      <c r="N4" s="24"/>
      <c r="O4" s="24"/>
      <c r="P4" s="24"/>
      <c r="Q4" s="24"/>
      <c r="R4" s="24"/>
      <c r="S4" s="24"/>
      <c r="T4" s="24"/>
      <c r="U4" s="24"/>
      <c r="V4" s="24"/>
      <c r="W4" s="24"/>
      <c r="X4" s="24"/>
      <c r="Y4" s="24"/>
      <c r="Z4" s="24"/>
      <c r="AD4" s="24" t="str">
        <f>+G4</f>
        <v>Calendar Year</v>
      </c>
      <c r="AE4" s="24"/>
      <c r="AF4" s="24"/>
      <c r="AG4" s="24"/>
      <c r="AH4" s="24"/>
      <c r="AI4" s="24"/>
      <c r="AJ4" s="24"/>
      <c r="AK4" s="24"/>
      <c r="AL4" s="24"/>
      <c r="AM4" s="24"/>
      <c r="AO4" s="24"/>
      <c r="AP4" s="24" t="str">
        <f>+AD4</f>
        <v>Calendar Year</v>
      </c>
      <c r="AQ4" s="24"/>
      <c r="AR4" s="24"/>
      <c r="AS4" s="24"/>
      <c r="AT4" s="24"/>
      <c r="AU4" s="24"/>
    </row>
    <row r="5" spans="1:61" s="3" customFormat="1" ht="16">
      <c r="C5" s="16" t="s">
        <v>193</v>
      </c>
      <c r="D5" s="16" t="s">
        <v>194</v>
      </c>
      <c r="E5" s="16" t="s">
        <v>195</v>
      </c>
      <c r="F5" s="16" t="s">
        <v>196</v>
      </c>
      <c r="G5" s="16" t="s">
        <v>197</v>
      </c>
      <c r="H5" s="16" t="s">
        <v>198</v>
      </c>
      <c r="I5" s="16" t="s">
        <v>199</v>
      </c>
      <c r="J5" s="373" t="s">
        <v>200</v>
      </c>
      <c r="K5" s="16" t="s">
        <v>201</v>
      </c>
      <c r="L5" s="16" t="s">
        <v>202</v>
      </c>
      <c r="M5" s="16" t="s">
        <v>203</v>
      </c>
      <c r="N5" s="373" t="s">
        <v>204</v>
      </c>
      <c r="O5" s="16" t="s">
        <v>205</v>
      </c>
      <c r="P5" s="16" t="s">
        <v>206</v>
      </c>
      <c r="Q5" s="16" t="s">
        <v>207</v>
      </c>
      <c r="R5" s="373" t="s">
        <v>208</v>
      </c>
      <c r="S5" s="16" t="s">
        <v>209</v>
      </c>
      <c r="T5" s="16" t="s">
        <v>210</v>
      </c>
      <c r="U5" s="16" t="s">
        <v>211</v>
      </c>
      <c r="V5" s="373" t="s">
        <v>212</v>
      </c>
      <c r="W5" s="16" t="s">
        <v>213</v>
      </c>
      <c r="X5" s="16" t="s">
        <v>1684</v>
      </c>
      <c r="Y5" s="16" t="s">
        <v>1605</v>
      </c>
      <c r="Z5" s="16" t="s">
        <v>215</v>
      </c>
      <c r="AB5" s="16" t="s">
        <v>1681</v>
      </c>
      <c r="AC5" s="16" t="s">
        <v>1682</v>
      </c>
      <c r="AD5" s="16" t="s">
        <v>106</v>
      </c>
      <c r="AE5" s="373" t="s">
        <v>107</v>
      </c>
      <c r="AF5" s="16" t="s">
        <v>108</v>
      </c>
      <c r="AG5" s="373" t="s">
        <v>109</v>
      </c>
      <c r="AH5" s="16" t="s">
        <v>110</v>
      </c>
      <c r="AI5" s="373" t="s">
        <v>111</v>
      </c>
      <c r="AJ5" s="16" t="s">
        <v>112</v>
      </c>
      <c r="AK5" s="373" t="s">
        <v>113</v>
      </c>
      <c r="AL5" s="16" t="s">
        <v>1685</v>
      </c>
      <c r="AM5" s="16" t="s">
        <v>115</v>
      </c>
      <c r="AN5" s="16"/>
      <c r="AO5" s="16" t="s">
        <v>216</v>
      </c>
      <c r="AP5" s="16" t="s">
        <v>217</v>
      </c>
      <c r="AQ5" s="16" t="s">
        <v>218</v>
      </c>
      <c r="AR5" s="16" t="s">
        <v>219</v>
      </c>
      <c r="AS5" s="16" t="s">
        <v>220</v>
      </c>
      <c r="AT5" s="16" t="s">
        <v>221</v>
      </c>
      <c r="AU5" s="16" t="s">
        <v>1658</v>
      </c>
    </row>
    <row r="6" spans="1:61">
      <c r="J6" s="374"/>
      <c r="N6" s="374"/>
      <c r="R6" s="374"/>
      <c r="V6" s="374"/>
      <c r="AE6" s="374"/>
      <c r="AG6" s="374"/>
      <c r="AI6" s="374"/>
      <c r="AK6" s="374"/>
    </row>
    <row r="7" spans="1:61">
      <c r="A7" s="4" t="s">
        <v>653</v>
      </c>
      <c r="J7" s="374"/>
      <c r="N7" s="374"/>
      <c r="R7" s="374"/>
      <c r="V7" s="374"/>
      <c r="AE7" s="374"/>
      <c r="AG7" s="374"/>
      <c r="AI7" s="374"/>
      <c r="AK7" s="374"/>
    </row>
    <row r="8" spans="1:61">
      <c r="A8" t="s">
        <v>529</v>
      </c>
      <c r="C8" s="372"/>
      <c r="D8" s="372"/>
      <c r="E8" s="372"/>
      <c r="F8" s="372"/>
      <c r="G8" s="9">
        <f>+'Q4 FY21e analysis'!J54/1000</f>
        <v>2.8180669942590137</v>
      </c>
      <c r="H8" s="9">
        <f>+'Q4 FY21e analysis'!K54/1000</f>
        <v>7.5860184433036126</v>
      </c>
      <c r="I8" s="9">
        <f>+'Q4 FY21e analysis'!L54/1000</f>
        <v>10.433909896445495</v>
      </c>
      <c r="J8" s="375">
        <f>+'Q4 FY21e analysis'!M54/1000</f>
        <v>16.320612554405223</v>
      </c>
      <c r="K8" s="381">
        <f>+'Q4 FY21e analysis'!N54/1000</f>
        <v>14.289331061916167</v>
      </c>
      <c r="L8" s="381">
        <f>+'Q4 FY21e analysis'!O54/1000</f>
        <v>25.692908306317189</v>
      </c>
      <c r="M8" s="381">
        <f>+'Q4 FY21e analysis'!P54/1000</f>
        <v>28.360864690116475</v>
      </c>
      <c r="N8" s="375">
        <f>+'Q4 FY21e analysis'!Q54/1000</f>
        <v>54.814952235218236</v>
      </c>
      <c r="O8" s="381">
        <f>+'Q4 FY21e analysis'!R54/1000</f>
        <v>35.337935096314439</v>
      </c>
      <c r="P8" s="381">
        <f>+'Q4 FY21e analysis'!S54/1000</f>
        <v>33.821943231292174</v>
      </c>
      <c r="Q8" s="381">
        <f>+'Q4 FY21e analysis'!T54/1000</f>
        <v>45.37787569430273</v>
      </c>
      <c r="R8" s="375">
        <f>+'Q4 FY21e analysis'!U54/1000</f>
        <v>79.696312663890339</v>
      </c>
      <c r="S8" s="381">
        <f>+'Q4 FY21e analysis'!V54/1000</f>
        <v>69.347179995217445</v>
      </c>
      <c r="T8" s="381">
        <f>+'Q4 FY21e analysis'!W54/1000</f>
        <v>84.842091890245626</v>
      </c>
      <c r="U8" s="381">
        <f>+'Q4 FY21e analysis'!X54/1000</f>
        <v>83.201905791267592</v>
      </c>
      <c r="V8" s="375">
        <f>+'Q4 FY21e analysis'!Y54/1000</f>
        <v>147.92775226172566</v>
      </c>
      <c r="W8" s="381">
        <f>+'Q4 FY21e analysis'!Z54/1000</f>
        <v>125.59242904761163</v>
      </c>
      <c r="X8" s="381">
        <f>+'Q4 FY21e analysis'!AA54/1000</f>
        <v>129.80066692394877</v>
      </c>
      <c r="Y8" s="381"/>
      <c r="Z8" s="381"/>
      <c r="AA8" s="381"/>
      <c r="AB8" s="385"/>
      <c r="AC8" s="381">
        <f>+'Historical - USD'!C33</f>
        <v>4.7904872505815446</v>
      </c>
      <c r="AD8" s="381">
        <f>+SUM(G8:H8)</f>
        <v>10.404085437562626</v>
      </c>
      <c r="AE8" s="375">
        <f>+SUM(I8:J8)</f>
        <v>26.754522450850718</v>
      </c>
      <c r="AF8" s="381">
        <f>+SUM(K8:L8)</f>
        <v>39.982239368233358</v>
      </c>
      <c r="AG8" s="375">
        <f>+SUM(M8:N8)</f>
        <v>83.175816925334715</v>
      </c>
      <c r="AH8" s="381">
        <f>+SUM(O8:P8)</f>
        <v>69.159878327606606</v>
      </c>
      <c r="AI8" s="375">
        <f>+SUM(Q8:R8)</f>
        <v>125.07418835819307</v>
      </c>
      <c r="AJ8" s="381">
        <f>+SUM(S8:T8)</f>
        <v>154.18927188546309</v>
      </c>
      <c r="AK8" s="375">
        <f>+SUM(U8:V8)</f>
        <v>231.12965805299325</v>
      </c>
      <c r="AL8" s="9">
        <f>+SUM(W8:X8)</f>
        <v>255.3930959715604</v>
      </c>
      <c r="AM8" s="9"/>
      <c r="AN8" s="9"/>
      <c r="AO8" s="9"/>
      <c r="AP8" s="372"/>
      <c r="AQ8" s="9">
        <f>+SUM(AD8:AE8)</f>
        <v>37.158607888413343</v>
      </c>
      <c r="AR8" s="9">
        <f>+SUM(AF8:AG8)</f>
        <v>123.15805629356808</v>
      </c>
      <c r="AS8" s="9">
        <f>+SUM(AH8:AI8)</f>
        <v>194.23406668579969</v>
      </c>
      <c r="AT8" s="9">
        <f>+SUM(AJ8:AK8)</f>
        <v>385.31892993845634</v>
      </c>
      <c r="AU8" s="9"/>
      <c r="AV8" s="9"/>
      <c r="AW8" s="9"/>
      <c r="AX8" s="9"/>
      <c r="AY8" s="9"/>
      <c r="AZ8" s="9"/>
      <c r="BA8" s="9"/>
      <c r="BB8" s="9"/>
      <c r="BC8" s="9"/>
      <c r="BD8" s="9"/>
      <c r="BE8" s="9"/>
      <c r="BF8" s="9"/>
      <c r="BG8" s="9"/>
      <c r="BH8" s="9"/>
      <c r="BI8" s="9"/>
    </row>
    <row r="9" spans="1:61">
      <c r="A9" t="s">
        <v>1677</v>
      </c>
      <c r="C9" s="9">
        <v>99.215000000000003</v>
      </c>
      <c r="D9" s="9">
        <v>101.19499999999999</v>
      </c>
      <c r="E9" s="9">
        <v>99.111999999999995</v>
      </c>
      <c r="F9" s="9">
        <v>119.369</v>
      </c>
      <c r="G9" s="9">
        <v>111.735</v>
      </c>
      <c r="H9" s="9">
        <v>119.271</v>
      </c>
      <c r="I9" s="9">
        <v>126.35899999999999</v>
      </c>
      <c r="J9" s="375">
        <v>158.59299999999999</v>
      </c>
      <c r="K9" s="381">
        <v>164.77600000000001</v>
      </c>
      <c r="L9" s="381">
        <v>162.36799999999999</v>
      </c>
      <c r="M9" s="381">
        <v>157.83199999999999</v>
      </c>
      <c r="N9" s="375">
        <v>187.571</v>
      </c>
      <c r="O9" s="381">
        <v>169.512</v>
      </c>
      <c r="P9" s="381">
        <v>174.83500000000004</v>
      </c>
      <c r="Q9" s="381">
        <v>175.89</v>
      </c>
      <c r="R9" s="375">
        <v>190.09200000000001</v>
      </c>
      <c r="S9" s="381">
        <v>198.88300000000001</v>
      </c>
      <c r="T9" s="381">
        <v>203.75599999999997</v>
      </c>
      <c r="U9" s="381">
        <v>187.779</v>
      </c>
      <c r="V9" s="375">
        <v>197.029</v>
      </c>
      <c r="W9" s="381">
        <v>233.89499999999998</v>
      </c>
      <c r="X9" s="381">
        <v>230.29700000000003</v>
      </c>
      <c r="Y9" s="381"/>
      <c r="Z9" s="381"/>
      <c r="AA9" s="381"/>
      <c r="AB9" s="381">
        <f>+SUM(C9:D9)</f>
        <v>200.41</v>
      </c>
      <c r="AC9" s="381">
        <f>+SUM(E9:F9)</f>
        <v>218.48099999999999</v>
      </c>
      <c r="AD9" s="381">
        <f t="shared" ref="AD9" si="1">+SUM(G9:H9)</f>
        <v>231.006</v>
      </c>
      <c r="AE9" s="375">
        <f t="shared" ref="AE9" si="2">+SUM(I9:J9)</f>
        <v>284.952</v>
      </c>
      <c r="AF9" s="381">
        <f t="shared" ref="AF9" si="3">+SUM(K9:L9)</f>
        <v>327.14400000000001</v>
      </c>
      <c r="AG9" s="375">
        <f t="shared" ref="AG9" si="4">+SUM(M9:N9)</f>
        <v>345.40300000000002</v>
      </c>
      <c r="AH9" s="381">
        <f t="shared" ref="AH9" si="5">+SUM(O9:P9)</f>
        <v>344.34700000000004</v>
      </c>
      <c r="AI9" s="375">
        <f t="shared" ref="AI9" si="6">+SUM(Q9:R9)</f>
        <v>365.98199999999997</v>
      </c>
      <c r="AJ9" s="381">
        <f t="shared" ref="AJ9" si="7">+SUM(S9:T9)</f>
        <v>402.63900000000001</v>
      </c>
      <c r="AK9" s="375">
        <f t="shared" ref="AK9" si="8">+SUM(U9:V9)</f>
        <v>384.80799999999999</v>
      </c>
      <c r="AL9" s="9">
        <f t="shared" ref="AL9" si="9">+SUM(W9:X9)</f>
        <v>464.19200000000001</v>
      </c>
      <c r="AM9" s="9"/>
      <c r="AN9" s="9"/>
      <c r="AO9" s="9"/>
      <c r="AP9" s="9">
        <f t="shared" ref="AP9" si="10">+SUM(AB9:AC9)</f>
        <v>418.89099999999996</v>
      </c>
      <c r="AQ9" s="9">
        <f t="shared" ref="AQ9" si="11">+SUM(AD9:AE9)</f>
        <v>515.95799999999997</v>
      </c>
      <c r="AR9" s="9">
        <f t="shared" ref="AR9" si="12">+SUM(AF9:AG9)</f>
        <v>672.54700000000003</v>
      </c>
      <c r="AS9" s="9">
        <f t="shared" ref="AS9" si="13">+SUM(AH9:AI9)</f>
        <v>710.32899999999995</v>
      </c>
      <c r="AT9" s="9">
        <f t="shared" ref="AT9" si="14">+SUM(AJ9:AK9)</f>
        <v>787.447</v>
      </c>
      <c r="AU9" s="9"/>
      <c r="AV9" s="9"/>
      <c r="AW9" s="9"/>
      <c r="AX9" s="9"/>
      <c r="AY9" s="9"/>
      <c r="AZ9" s="9"/>
      <c r="BA9" s="9"/>
      <c r="BB9" s="9"/>
      <c r="BC9" s="9"/>
      <c r="BD9" s="9"/>
      <c r="BE9" s="9"/>
      <c r="BF9" s="9"/>
      <c r="BG9" s="9"/>
      <c r="BH9" s="9"/>
      <c r="BI9" s="9"/>
    </row>
    <row r="10" spans="1:61">
      <c r="A10" t="s">
        <v>647</v>
      </c>
      <c r="C10" s="9">
        <v>419.27300000000002</v>
      </c>
      <c r="D10" s="9">
        <v>488.47500000000002</v>
      </c>
      <c r="E10" s="9">
        <v>492.01400000000001</v>
      </c>
      <c r="F10" s="9">
        <v>739.9369999999999</v>
      </c>
      <c r="G10" s="9">
        <v>610.87400000000002</v>
      </c>
      <c r="H10" s="9">
        <v>721.31</v>
      </c>
      <c r="I10" s="9">
        <v>797.84</v>
      </c>
      <c r="J10" s="375">
        <v>1056.99</v>
      </c>
      <c r="K10" s="381">
        <v>915.60400000000004</v>
      </c>
      <c r="L10" s="381">
        <v>1007.811</v>
      </c>
      <c r="M10" s="381">
        <v>1017.314</v>
      </c>
      <c r="N10" s="375">
        <v>1289.145</v>
      </c>
      <c r="O10" s="381">
        <v>930.75199999999995</v>
      </c>
      <c r="P10" s="381">
        <v>1020.448</v>
      </c>
      <c r="Q10" s="381">
        <v>967.37199999999996</v>
      </c>
      <c r="R10" s="375">
        <v>1139.9290000000001</v>
      </c>
      <c r="S10" s="381">
        <v>931.65800000000002</v>
      </c>
      <c r="T10" s="381">
        <v>1032.617</v>
      </c>
      <c r="U10" s="385"/>
      <c r="V10" s="380"/>
      <c r="W10" s="385"/>
      <c r="X10" s="385"/>
      <c r="Y10" s="381"/>
      <c r="Z10" s="381"/>
      <c r="AA10" s="381"/>
      <c r="AB10" s="381">
        <f>+SUM(C10:D10)</f>
        <v>907.74800000000005</v>
      </c>
      <c r="AC10" s="381">
        <f>+SUM(E10:F10)</f>
        <v>1231.951</v>
      </c>
      <c r="AD10" s="381">
        <f t="shared" ref="AD10" si="15">+SUM(G10:H10)</f>
        <v>1332.184</v>
      </c>
      <c r="AE10" s="375">
        <f t="shared" ref="AE10" si="16">+SUM(I10:J10)</f>
        <v>1854.83</v>
      </c>
      <c r="AF10" s="381">
        <f t="shared" ref="AF10" si="17">+SUM(K10:L10)</f>
        <v>1923.415</v>
      </c>
      <c r="AG10" s="375">
        <f t="shared" ref="AG10" si="18">+SUM(M10:N10)</f>
        <v>2306.4589999999998</v>
      </c>
      <c r="AH10" s="381">
        <f t="shared" ref="AH10" si="19">+SUM(O10:P10)</f>
        <v>1951.1999999999998</v>
      </c>
      <c r="AI10" s="375">
        <f t="shared" ref="AI10" si="20">+SUM(Q10:R10)</f>
        <v>2107.3009999999999</v>
      </c>
      <c r="AJ10" s="381">
        <f t="shared" ref="AJ10" si="21">+SUM(S10:T10)</f>
        <v>1964.2750000000001</v>
      </c>
      <c r="AK10" s="380"/>
      <c r="AL10" s="372"/>
      <c r="AM10" s="9"/>
      <c r="AN10" s="9"/>
      <c r="AO10" s="9"/>
      <c r="AP10" s="9">
        <f t="shared" ref="AP10" si="22">+SUM(AB10:AC10)</f>
        <v>2139.6990000000001</v>
      </c>
      <c r="AQ10" s="9">
        <f t="shared" ref="AQ10" si="23">+SUM(AD10:AE10)</f>
        <v>3187.0140000000001</v>
      </c>
      <c r="AR10" s="9">
        <f t="shared" ref="AR10" si="24">+SUM(AF10:AG10)</f>
        <v>4229.8739999999998</v>
      </c>
      <c r="AS10" s="9">
        <f t="shared" ref="AS10" si="25">+SUM(AH10:AI10)</f>
        <v>4058.5009999999997</v>
      </c>
      <c r="AT10" s="372"/>
      <c r="AU10" s="9"/>
      <c r="AV10" s="9"/>
      <c r="AW10" s="9"/>
      <c r="AX10" s="9"/>
      <c r="AY10" s="9"/>
      <c r="AZ10" s="9"/>
      <c r="BA10" s="9"/>
      <c r="BB10" s="9"/>
      <c r="BC10" s="9"/>
      <c r="BD10" s="9"/>
      <c r="BE10" s="9"/>
      <c r="BF10" s="9"/>
      <c r="BG10" s="9"/>
      <c r="BH10" s="9"/>
      <c r="BI10" s="9"/>
    </row>
    <row r="11" spans="1:61">
      <c r="A11" t="s">
        <v>1683</v>
      </c>
      <c r="C11" s="9">
        <v>414.73700000000002</v>
      </c>
      <c r="D11" s="9">
        <v>484.255</v>
      </c>
      <c r="E11" s="9">
        <v>420.26600000000002</v>
      </c>
      <c r="F11" s="9">
        <v>628.6099999999999</v>
      </c>
      <c r="G11" s="9">
        <v>494.899</v>
      </c>
      <c r="H11" s="9">
        <v>651.03599999999994</v>
      </c>
      <c r="I11" s="9">
        <v>674.09699999999998</v>
      </c>
      <c r="J11" s="375">
        <v>939.44399999999996</v>
      </c>
      <c r="K11" s="381">
        <v>790.01400000000001</v>
      </c>
      <c r="L11" s="381">
        <v>913.35</v>
      </c>
      <c r="M11" s="381">
        <v>828.471</v>
      </c>
      <c r="N11" s="375">
        <v>1146.153</v>
      </c>
      <c r="O11" s="381">
        <v>809.50900000000001</v>
      </c>
      <c r="P11" s="381">
        <v>883.13</v>
      </c>
      <c r="Q11" s="381">
        <v>787.37599999999998</v>
      </c>
      <c r="R11" s="375">
        <v>1012.5</v>
      </c>
      <c r="S11" s="381">
        <v>799.654</v>
      </c>
      <c r="T11" s="381">
        <v>944.298</v>
      </c>
      <c r="U11" s="385"/>
      <c r="V11" s="380"/>
      <c r="W11" s="385"/>
      <c r="X11" s="385"/>
      <c r="Y11" s="381"/>
      <c r="Z11" s="381"/>
      <c r="AA11" s="381"/>
      <c r="AB11" s="381">
        <f>+SUM(C11:D11)</f>
        <v>898.99199999999996</v>
      </c>
      <c r="AC11" s="381">
        <f>+SUM(E11:F11)</f>
        <v>1048.876</v>
      </c>
      <c r="AD11" s="381">
        <f t="shared" ref="AD11:AD12" si="26">+SUM(G11:H11)</f>
        <v>1145.9349999999999</v>
      </c>
      <c r="AE11" s="375">
        <f t="shared" ref="AE11:AE12" si="27">+SUM(I11:J11)</f>
        <v>1613.5409999999999</v>
      </c>
      <c r="AF11" s="381">
        <f t="shared" ref="AF11:AF12" si="28">+SUM(K11:L11)</f>
        <v>1703.364</v>
      </c>
      <c r="AG11" s="375">
        <f t="shared" ref="AG11:AG12" si="29">+SUM(M11:N11)</f>
        <v>1974.624</v>
      </c>
      <c r="AH11" s="381">
        <f t="shared" ref="AH11" si="30">+SUM(O11:P11)</f>
        <v>1692.6390000000001</v>
      </c>
      <c r="AI11" s="375">
        <f t="shared" ref="AI11" si="31">+SUM(Q11:R11)</f>
        <v>1799.876</v>
      </c>
      <c r="AJ11" s="381">
        <f t="shared" ref="AJ11" si="32">+SUM(S11:T11)</f>
        <v>1743.952</v>
      </c>
      <c r="AK11" s="380"/>
      <c r="AL11" s="372"/>
      <c r="AM11" s="9"/>
      <c r="AN11" s="9"/>
      <c r="AO11" s="9"/>
      <c r="AP11" s="9">
        <f t="shared" ref="AP11" si="33">+SUM(AB11:AC11)</f>
        <v>1947.8679999999999</v>
      </c>
      <c r="AQ11" s="9">
        <f t="shared" ref="AQ11" si="34">+SUM(AD11:AE11)</f>
        <v>2759.4759999999997</v>
      </c>
      <c r="AR11" s="9">
        <f t="shared" ref="AR11" si="35">+SUM(AF11:AG11)</f>
        <v>3677.9880000000003</v>
      </c>
      <c r="AS11" s="9">
        <f t="shared" ref="AS11" si="36">+SUM(AH11:AI11)</f>
        <v>3492.5150000000003</v>
      </c>
      <c r="AT11" s="372"/>
      <c r="AU11" s="9"/>
      <c r="AV11" s="9"/>
      <c r="AW11" s="9"/>
      <c r="AX11" s="9"/>
      <c r="AY11" s="9"/>
      <c r="AZ11" s="9"/>
      <c r="BA11" s="9"/>
      <c r="BB11" s="9"/>
      <c r="BC11" s="9"/>
      <c r="BD11" s="9"/>
      <c r="BE11" s="9"/>
      <c r="BF11" s="9"/>
      <c r="BG11" s="9"/>
      <c r="BH11" s="9"/>
      <c r="BI11" s="9"/>
    </row>
    <row r="12" spans="1:61">
      <c r="A12" t="s">
        <v>1678</v>
      </c>
      <c r="C12" s="9">
        <v>574</v>
      </c>
      <c r="D12" s="9">
        <v>612</v>
      </c>
      <c r="E12" s="9">
        <v>567</v>
      </c>
      <c r="F12" s="9">
        <v>670</v>
      </c>
      <c r="G12" s="9">
        <v>578</v>
      </c>
      <c r="H12" s="9">
        <v>356</v>
      </c>
      <c r="I12" s="9">
        <v>578</v>
      </c>
      <c r="J12" s="375">
        <v>668</v>
      </c>
      <c r="K12" s="381">
        <v>595</v>
      </c>
      <c r="L12" s="381">
        <v>637</v>
      </c>
      <c r="M12" s="381">
        <v>641</v>
      </c>
      <c r="N12" s="375">
        <v>785</v>
      </c>
      <c r="O12" s="381">
        <v>725</v>
      </c>
      <c r="P12" s="385"/>
      <c r="Q12" s="385"/>
      <c r="R12" s="380"/>
      <c r="S12" s="385"/>
      <c r="T12" s="385"/>
      <c r="U12" s="385"/>
      <c r="V12" s="380"/>
      <c r="W12" s="385"/>
      <c r="X12" s="385"/>
      <c r="Y12" s="381"/>
      <c r="Z12" s="381"/>
      <c r="AA12" s="381"/>
      <c r="AB12" s="381">
        <f>+SUM(C12:D12)</f>
        <v>1186</v>
      </c>
      <c r="AC12" s="381">
        <f>+SUM(E12:F12)</f>
        <v>1237</v>
      </c>
      <c r="AD12" s="381">
        <f t="shared" si="26"/>
        <v>934</v>
      </c>
      <c r="AE12" s="375">
        <f t="shared" si="27"/>
        <v>1246</v>
      </c>
      <c r="AF12" s="381">
        <f t="shared" si="28"/>
        <v>1232</v>
      </c>
      <c r="AG12" s="375">
        <f t="shared" si="29"/>
        <v>1426</v>
      </c>
      <c r="AH12" s="385"/>
      <c r="AI12" s="380"/>
      <c r="AJ12" s="385"/>
      <c r="AK12" s="380"/>
      <c r="AL12" s="372"/>
      <c r="AM12" s="32"/>
      <c r="AN12" s="9"/>
      <c r="AO12" s="9"/>
      <c r="AP12" s="9">
        <f t="shared" ref="AP12" si="37">+SUM(AB12:AC12)</f>
        <v>2423</v>
      </c>
      <c r="AQ12" s="9">
        <f t="shared" ref="AQ12" si="38">+SUM(AD12:AE12)</f>
        <v>2180</v>
      </c>
      <c r="AR12" s="9">
        <f t="shared" ref="AR12" si="39">+SUM(AF12:AG12)</f>
        <v>2658</v>
      </c>
      <c r="AS12" s="372"/>
      <c r="AT12" s="372"/>
      <c r="AU12" s="9"/>
      <c r="AV12" s="9"/>
      <c r="AW12" s="9"/>
      <c r="AX12" s="9"/>
      <c r="AY12" s="9"/>
      <c r="AZ12" s="9"/>
      <c r="BA12" s="9"/>
      <c r="BB12" s="9"/>
      <c r="BC12" s="9"/>
      <c r="BD12" s="9"/>
      <c r="BE12" s="9"/>
      <c r="BF12" s="9"/>
      <c r="BG12" s="9"/>
      <c r="BH12" s="9"/>
      <c r="BI12" s="9"/>
    </row>
    <row r="13" spans="1:61" hidden="1" outlineLevel="1">
      <c r="A13" s="5" t="s">
        <v>1679</v>
      </c>
      <c r="C13" s="135"/>
      <c r="D13" s="135"/>
      <c r="E13" s="135"/>
      <c r="F13" s="135"/>
      <c r="G13" s="135"/>
      <c r="H13" s="135"/>
      <c r="I13" s="135"/>
      <c r="J13" s="377"/>
      <c r="K13" s="383"/>
      <c r="L13" s="383"/>
      <c r="M13" s="383"/>
      <c r="N13" s="377"/>
      <c r="O13" s="383"/>
      <c r="P13" s="383"/>
      <c r="Q13" s="383"/>
      <c r="R13" s="377"/>
      <c r="S13" s="383"/>
      <c r="T13" s="383"/>
      <c r="U13" s="383"/>
      <c r="V13" s="377"/>
      <c r="W13" s="383"/>
      <c r="X13" s="383"/>
      <c r="Y13" s="383"/>
      <c r="Z13" s="383"/>
      <c r="AA13" s="383"/>
      <c r="AB13" s="383"/>
      <c r="AC13" s="383"/>
      <c r="AD13" s="383"/>
      <c r="AE13" s="375"/>
      <c r="AF13" s="381"/>
      <c r="AG13" s="375"/>
      <c r="AH13" s="383"/>
      <c r="AI13" s="377"/>
      <c r="AJ13" s="383"/>
      <c r="AK13" s="377"/>
      <c r="AL13" s="135"/>
      <c r="AM13" s="135"/>
      <c r="AN13" s="32"/>
      <c r="AO13" s="32"/>
      <c r="AP13" s="32"/>
      <c r="AQ13" s="135"/>
      <c r="AR13" s="9"/>
      <c r="AS13" s="9"/>
      <c r="AT13" s="9"/>
      <c r="AU13" s="9"/>
      <c r="AV13" s="9"/>
      <c r="AW13" s="9"/>
      <c r="AX13" s="9"/>
      <c r="AY13" s="9"/>
      <c r="AZ13" s="9"/>
      <c r="BA13" s="9"/>
      <c r="BB13" s="9"/>
      <c r="BC13" s="9"/>
      <c r="BD13" s="9"/>
      <c r="BE13" s="9"/>
      <c r="BF13" s="9"/>
      <c r="BG13" s="9"/>
      <c r="BH13" s="9"/>
      <c r="BI13" s="9"/>
    </row>
    <row r="14" spans="1:61" collapsed="1">
      <c r="C14" s="9"/>
      <c r="D14" s="9"/>
      <c r="E14" s="9"/>
      <c r="F14" s="9"/>
      <c r="G14" s="9"/>
      <c r="H14" s="9"/>
      <c r="I14" s="9"/>
      <c r="J14" s="375"/>
      <c r="K14" s="381"/>
      <c r="L14" s="381"/>
      <c r="M14" s="381"/>
      <c r="N14" s="375"/>
      <c r="O14" s="381"/>
      <c r="P14" s="381"/>
      <c r="Q14" s="381"/>
      <c r="R14" s="375"/>
      <c r="S14" s="381"/>
      <c r="T14" s="381"/>
      <c r="U14" s="381"/>
      <c r="V14" s="375"/>
      <c r="W14" s="381"/>
      <c r="X14" s="381"/>
      <c r="Y14" s="381"/>
      <c r="Z14" s="381"/>
      <c r="AA14" s="381"/>
      <c r="AB14" s="381"/>
      <c r="AC14" s="381"/>
      <c r="AD14" s="381"/>
      <c r="AE14" s="375"/>
      <c r="AF14" s="381"/>
      <c r="AG14" s="375"/>
      <c r="AH14" s="381"/>
      <c r="AI14" s="375"/>
      <c r="AJ14" s="381"/>
      <c r="AK14" s="375"/>
      <c r="AL14" s="9"/>
      <c r="AM14" s="9"/>
      <c r="AN14" s="9"/>
      <c r="AO14" s="9"/>
      <c r="AP14" s="9"/>
      <c r="AQ14" s="9"/>
      <c r="AR14" s="9"/>
      <c r="AS14" s="9"/>
      <c r="AT14" s="9"/>
      <c r="AU14" s="9"/>
      <c r="AV14" s="9"/>
      <c r="AW14" s="9"/>
      <c r="AX14" s="9"/>
      <c r="AY14" s="9"/>
      <c r="AZ14" s="9"/>
      <c r="BA14" s="9"/>
      <c r="BB14" s="9"/>
      <c r="BC14" s="9"/>
      <c r="BD14" s="9"/>
      <c r="BE14" s="9"/>
      <c r="BF14" s="9"/>
      <c r="BG14" s="9"/>
      <c r="BH14" s="9"/>
      <c r="BI14" s="9"/>
    </row>
    <row r="15" spans="1:61" s="29" customFormat="1">
      <c r="A15" s="133" t="s">
        <v>237</v>
      </c>
      <c r="C15" s="111"/>
      <c r="D15" s="111"/>
      <c r="E15" s="111"/>
      <c r="F15" s="111"/>
      <c r="G15" s="111"/>
      <c r="H15" s="111"/>
      <c r="I15" s="111"/>
      <c r="J15" s="378"/>
      <c r="K15" s="384"/>
      <c r="L15" s="384"/>
      <c r="M15" s="384"/>
      <c r="N15" s="378"/>
      <c r="O15" s="384"/>
      <c r="P15" s="384"/>
      <c r="Q15" s="384"/>
      <c r="R15" s="378"/>
      <c r="S15" s="384"/>
      <c r="T15" s="384"/>
      <c r="U15" s="384"/>
      <c r="V15" s="378"/>
      <c r="W15" s="384"/>
      <c r="X15" s="384"/>
      <c r="Y15" s="384"/>
      <c r="Z15" s="384"/>
      <c r="AA15" s="384"/>
      <c r="AB15" s="384"/>
      <c r="AC15" s="384"/>
      <c r="AD15" s="384"/>
      <c r="AE15" s="378"/>
      <c r="AF15" s="384"/>
      <c r="AG15" s="378"/>
      <c r="AH15" s="384"/>
      <c r="AI15" s="378"/>
      <c r="AJ15" s="384"/>
      <c r="AK15" s="378"/>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row>
    <row r="16" spans="1:61" s="29" customFormat="1">
      <c r="A16" s="91" t="s">
        <v>529</v>
      </c>
      <c r="C16" s="111"/>
      <c r="D16" s="111"/>
      <c r="E16" s="111"/>
      <c r="F16" s="111"/>
      <c r="G16" s="167" t="s">
        <v>251</v>
      </c>
      <c r="H16" s="167" t="s">
        <v>251</v>
      </c>
      <c r="I16" s="167" t="s">
        <v>251</v>
      </c>
      <c r="J16" s="379" t="s">
        <v>251</v>
      </c>
      <c r="K16" s="167">
        <f t="shared" ref="K16:X16" si="40">+IFERROR(K8/G8-1,"")</f>
        <v>4.070614393137741</v>
      </c>
      <c r="L16" s="167">
        <f t="shared" si="40"/>
        <v>2.386876593873434</v>
      </c>
      <c r="M16" s="167">
        <f t="shared" si="40"/>
        <v>1.7181435311970761</v>
      </c>
      <c r="N16" s="379">
        <f t="shared" si="40"/>
        <v>2.3586332652951012</v>
      </c>
      <c r="O16" s="167">
        <f t="shared" si="40"/>
        <v>1.4730293491832431</v>
      </c>
      <c r="P16" s="167">
        <f t="shared" si="40"/>
        <v>0.31639216658770675</v>
      </c>
      <c r="Q16" s="167">
        <f t="shared" si="40"/>
        <v>0.6000173545525409</v>
      </c>
      <c r="R16" s="379">
        <f t="shared" si="40"/>
        <v>0.45391557255952497</v>
      </c>
      <c r="S16" s="167">
        <f t="shared" si="40"/>
        <v>0.96240045736147128</v>
      </c>
      <c r="T16" s="167">
        <f t="shared" si="40"/>
        <v>1.5084925283580231</v>
      </c>
      <c r="U16" s="167">
        <f t="shared" si="40"/>
        <v>0.83353461391128403</v>
      </c>
      <c r="V16" s="379">
        <f t="shared" si="40"/>
        <v>0.85614299228112656</v>
      </c>
      <c r="W16" s="167">
        <f t="shared" si="40"/>
        <v>0.81106757414321917</v>
      </c>
      <c r="X16" s="167">
        <f t="shared" si="40"/>
        <v>0.529908846329048</v>
      </c>
      <c r="Y16" s="384"/>
      <c r="Z16" s="384"/>
      <c r="AA16" s="384"/>
      <c r="AB16" s="384"/>
      <c r="AC16" s="384"/>
      <c r="AD16" s="167" t="s">
        <v>251</v>
      </c>
      <c r="AE16" s="379">
        <f t="shared" ref="AE16" si="41">+IFERROR(AE8/AC8-1,"")</f>
        <v>4.5849271799236782</v>
      </c>
      <c r="AF16" s="167">
        <f>+IFERROR(AF8/AD8-1,"")</f>
        <v>2.8429364703102658</v>
      </c>
      <c r="AG16" s="379">
        <f t="shared" ref="AG16:AL18" si="42">+IFERROR(AG8/AE8-1,"")</f>
        <v>2.1088507402115848</v>
      </c>
      <c r="AH16" s="167">
        <f t="shared" si="42"/>
        <v>0.72976500117088072</v>
      </c>
      <c r="AI16" s="379">
        <f t="shared" si="42"/>
        <v>0.50373261101204081</v>
      </c>
      <c r="AJ16" s="167">
        <f t="shared" si="42"/>
        <v>1.2294612948142682</v>
      </c>
      <c r="AK16" s="379">
        <f t="shared" si="42"/>
        <v>0.84794049905064162</v>
      </c>
      <c r="AL16" s="167">
        <f t="shared" si="42"/>
        <v>0.65636099612218723</v>
      </c>
      <c r="AM16" s="111"/>
      <c r="AN16" s="111"/>
      <c r="AO16" s="111"/>
      <c r="AP16" s="111"/>
      <c r="AQ16" s="167" t="s">
        <v>251</v>
      </c>
      <c r="AR16" s="167">
        <f>+IFERROR(AR8/AQ8-1,"")</f>
        <v>2.3143883286319444</v>
      </c>
      <c r="AS16" s="167">
        <f>+IFERROR(AS8/AR8-1,"")</f>
        <v>0.57711214784690901</v>
      </c>
      <c r="AT16" s="167">
        <f t="shared" ref="AT16:AT17" si="43">+IFERROR(AT8/AS8-1,"")</f>
        <v>0.98378655460971576</v>
      </c>
      <c r="AU16" s="111"/>
      <c r="AV16" s="111"/>
      <c r="AW16" s="111"/>
      <c r="AX16" s="111"/>
      <c r="AY16" s="111"/>
      <c r="AZ16" s="111"/>
      <c r="BA16" s="111"/>
      <c r="BB16" s="111"/>
      <c r="BC16" s="111"/>
      <c r="BD16" s="111"/>
      <c r="BE16" s="111"/>
      <c r="BF16" s="111"/>
      <c r="BG16" s="111"/>
      <c r="BH16" s="111"/>
      <c r="BI16" s="111"/>
    </row>
    <row r="17" spans="1:61" s="29" customFormat="1">
      <c r="A17" s="91" t="s">
        <v>1677</v>
      </c>
      <c r="C17" s="111"/>
      <c r="D17" s="111"/>
      <c r="E17" s="111"/>
      <c r="F17" s="111"/>
      <c r="G17" s="167">
        <f t="shared" ref="G17:X17" si="44">+IFERROR(G9/C9-1,"")</f>
        <v>0.12619059618001316</v>
      </c>
      <c r="H17" s="167">
        <f t="shared" si="44"/>
        <v>0.17862542615741894</v>
      </c>
      <c r="I17" s="167">
        <f t="shared" si="44"/>
        <v>0.27491121155864073</v>
      </c>
      <c r="J17" s="379">
        <f t="shared" si="44"/>
        <v>0.32859452621702445</v>
      </c>
      <c r="K17" s="167">
        <f t="shared" si="44"/>
        <v>0.47470353962500567</v>
      </c>
      <c r="L17" s="167">
        <f t="shared" si="44"/>
        <v>0.36133678765165045</v>
      </c>
      <c r="M17" s="167">
        <f t="shared" si="44"/>
        <v>0.2490760452361922</v>
      </c>
      <c r="N17" s="379">
        <f t="shared" si="44"/>
        <v>0.18271928773653312</v>
      </c>
      <c r="O17" s="167">
        <f t="shared" si="44"/>
        <v>2.8742049813079484E-2</v>
      </c>
      <c r="P17" s="167">
        <f t="shared" si="44"/>
        <v>7.6782370910524422E-2</v>
      </c>
      <c r="Q17" s="167">
        <f t="shared" si="44"/>
        <v>0.11441279334989107</v>
      </c>
      <c r="R17" s="379">
        <f t="shared" si="44"/>
        <v>1.3440243960953557E-2</v>
      </c>
      <c r="S17" s="167">
        <f t="shared" si="44"/>
        <v>0.17326796922931709</v>
      </c>
      <c r="T17" s="167">
        <f t="shared" si="44"/>
        <v>0.165418823462121</v>
      </c>
      <c r="U17" s="167">
        <f t="shared" si="44"/>
        <v>6.7593382227528531E-2</v>
      </c>
      <c r="V17" s="379">
        <f t="shared" si="44"/>
        <v>3.6492856090734938E-2</v>
      </c>
      <c r="W17" s="167">
        <f t="shared" si="44"/>
        <v>0.17604320127914397</v>
      </c>
      <c r="X17" s="167">
        <f t="shared" si="44"/>
        <v>0.13025874084689559</v>
      </c>
      <c r="Y17" s="384"/>
      <c r="Z17" s="384"/>
      <c r="AA17" s="384"/>
      <c r="AB17" s="384"/>
      <c r="AC17" s="384"/>
      <c r="AD17" s="167">
        <f t="shared" ref="AD17:AF17" si="45">+IFERROR(AD9/AB9-1,"")</f>
        <v>0.15266703258320447</v>
      </c>
      <c r="AE17" s="379">
        <f t="shared" si="45"/>
        <v>0.30424155876254688</v>
      </c>
      <c r="AF17" s="167">
        <f t="shared" si="45"/>
        <v>0.41617100854523259</v>
      </c>
      <c r="AG17" s="379">
        <f t="shared" si="42"/>
        <v>0.21214450153008224</v>
      </c>
      <c r="AH17" s="167">
        <f t="shared" si="42"/>
        <v>5.2585405815176234E-2</v>
      </c>
      <c r="AI17" s="379">
        <f t="shared" si="42"/>
        <v>5.9579679389003326E-2</v>
      </c>
      <c r="AJ17" s="167">
        <f t="shared" si="42"/>
        <v>0.16928272933988087</v>
      </c>
      <c r="AK17" s="379">
        <f t="shared" si="42"/>
        <v>5.1439688290681129E-2</v>
      </c>
      <c r="AL17" s="167">
        <f t="shared" si="42"/>
        <v>0.15287391435007547</v>
      </c>
      <c r="AM17" s="111"/>
      <c r="AN17" s="111"/>
      <c r="AO17" s="111"/>
      <c r="AP17" s="111"/>
      <c r="AQ17" s="167">
        <f t="shared" ref="AQ17:AS17" si="46">+IFERROR(AQ9/AP9-1,"")</f>
        <v>0.23172376584839505</v>
      </c>
      <c r="AR17" s="167">
        <f t="shared" si="46"/>
        <v>0.30349175708100273</v>
      </c>
      <c r="AS17" s="167">
        <f t="shared" si="46"/>
        <v>5.6177486480498695E-2</v>
      </c>
      <c r="AT17" s="167">
        <f t="shared" si="43"/>
        <v>0.10856659378963851</v>
      </c>
      <c r="AU17" s="111"/>
      <c r="AV17" s="111"/>
      <c r="AW17" s="111"/>
      <c r="AX17" s="111"/>
      <c r="AY17" s="111"/>
      <c r="AZ17" s="111"/>
      <c r="BA17" s="111"/>
      <c r="BB17" s="111"/>
      <c r="BC17" s="111"/>
      <c r="BD17" s="111"/>
      <c r="BE17" s="111"/>
      <c r="BF17" s="111"/>
      <c r="BG17" s="111"/>
      <c r="BH17" s="111"/>
      <c r="BI17" s="111"/>
    </row>
    <row r="18" spans="1:61" s="29" customFormat="1">
      <c r="A18" s="91" t="s">
        <v>647</v>
      </c>
      <c r="C18" s="111"/>
      <c r="D18" s="111"/>
      <c r="E18" s="111"/>
      <c r="F18" s="111"/>
      <c r="G18" s="167">
        <f t="shared" ref="G18:T18" si="47">+IFERROR(G10/C10-1,"")</f>
        <v>0.45698387446842514</v>
      </c>
      <c r="H18" s="167">
        <f t="shared" si="47"/>
        <v>0.47665694252520585</v>
      </c>
      <c r="I18" s="167">
        <f t="shared" si="47"/>
        <v>0.62157987374343016</v>
      </c>
      <c r="J18" s="379">
        <f t="shared" si="47"/>
        <v>0.42848647925431504</v>
      </c>
      <c r="K18" s="167">
        <f t="shared" si="47"/>
        <v>0.4988426418541303</v>
      </c>
      <c r="L18" s="167">
        <f t="shared" si="47"/>
        <v>0.39719538062691506</v>
      </c>
      <c r="M18" s="167">
        <f t="shared" si="47"/>
        <v>0.27508523012132757</v>
      </c>
      <c r="N18" s="379">
        <f t="shared" si="47"/>
        <v>0.2196378395254448</v>
      </c>
      <c r="O18" s="167">
        <f t="shared" si="47"/>
        <v>1.6544270230361535E-2</v>
      </c>
      <c r="P18" s="167">
        <f t="shared" si="47"/>
        <v>1.2539057422473077E-2</v>
      </c>
      <c r="Q18" s="167">
        <f t="shared" si="47"/>
        <v>-4.9092020752687926E-2</v>
      </c>
      <c r="R18" s="379">
        <f t="shared" si="47"/>
        <v>-0.11574803455003113</v>
      </c>
      <c r="S18" s="167">
        <f t="shared" si="47"/>
        <v>9.7340644983856528E-4</v>
      </c>
      <c r="T18" s="167">
        <f t="shared" si="47"/>
        <v>1.1925154441970509E-2</v>
      </c>
      <c r="U18" s="167" t="s">
        <v>251</v>
      </c>
      <c r="V18" s="379" t="s">
        <v>251</v>
      </c>
      <c r="W18" s="167" t="s">
        <v>251</v>
      </c>
      <c r="X18" s="167" t="s">
        <v>251</v>
      </c>
      <c r="Y18" s="384"/>
      <c r="Z18" s="384"/>
      <c r="AA18" s="384"/>
      <c r="AB18" s="384"/>
      <c r="AC18" s="384"/>
      <c r="AD18" s="167">
        <f t="shared" ref="AD18:AF18" si="48">+IFERROR(AD10/AB10-1,"")</f>
        <v>0.46757029483953683</v>
      </c>
      <c r="AE18" s="379">
        <f t="shared" si="48"/>
        <v>0.50560371313469443</v>
      </c>
      <c r="AF18" s="167">
        <f t="shared" si="48"/>
        <v>0.4438058106087448</v>
      </c>
      <c r="AG18" s="379">
        <f t="shared" si="42"/>
        <v>0.24348808246577858</v>
      </c>
      <c r="AH18" s="167">
        <f t="shared" si="42"/>
        <v>1.4445660452892417E-2</v>
      </c>
      <c r="AI18" s="379">
        <f t="shared" si="42"/>
        <v>-8.6347947221259935E-2</v>
      </c>
      <c r="AJ18" s="167">
        <f t="shared" si="42"/>
        <v>6.7010045100452942E-3</v>
      </c>
      <c r="AK18" s="379" t="s">
        <v>251</v>
      </c>
      <c r="AL18" s="167" t="s">
        <v>251</v>
      </c>
      <c r="AM18" s="111"/>
      <c r="AN18" s="111"/>
      <c r="AO18" s="111"/>
      <c r="AP18" s="111"/>
      <c r="AQ18" s="167">
        <f t="shared" ref="AQ18:AS18" si="49">+IFERROR(AQ10/AP10-1,"")</f>
        <v>0.48946837849622771</v>
      </c>
      <c r="AR18" s="167">
        <f t="shared" si="49"/>
        <v>0.32722165638431444</v>
      </c>
      <c r="AS18" s="167">
        <f t="shared" si="49"/>
        <v>-4.0514918411281298E-2</v>
      </c>
      <c r="AT18" s="167" t="s">
        <v>251</v>
      </c>
      <c r="AU18" s="111"/>
      <c r="AV18" s="111"/>
      <c r="AW18" s="111"/>
      <c r="AX18" s="111"/>
      <c r="AY18" s="111"/>
      <c r="AZ18" s="111"/>
      <c r="BA18" s="111"/>
      <c r="BB18" s="111"/>
      <c r="BC18" s="111"/>
      <c r="BD18" s="111"/>
      <c r="BE18" s="111"/>
      <c r="BF18" s="111"/>
      <c r="BG18" s="111"/>
      <c r="BH18" s="111"/>
      <c r="BI18" s="111"/>
    </row>
    <row r="19" spans="1:61" s="29" customFormat="1">
      <c r="A19" s="91" t="s">
        <v>1683</v>
      </c>
      <c r="C19" s="111"/>
      <c r="D19" s="111"/>
      <c r="E19" s="111"/>
      <c r="F19" s="111"/>
      <c r="G19" s="167">
        <f t="shared" ref="G19:T19" si="50">+IFERROR(G11/C11-1,"")</f>
        <v>0.19328393656702914</v>
      </c>
      <c r="H19" s="167">
        <f t="shared" si="50"/>
        <v>0.34440738866919274</v>
      </c>
      <c r="I19" s="167">
        <f t="shared" si="50"/>
        <v>0.60397700503966534</v>
      </c>
      <c r="J19" s="379">
        <f t="shared" si="50"/>
        <v>0.49447829337745208</v>
      </c>
      <c r="K19" s="167">
        <f t="shared" si="50"/>
        <v>0.5963135912580142</v>
      </c>
      <c r="L19" s="167">
        <f t="shared" si="50"/>
        <v>0.40291781099662716</v>
      </c>
      <c r="M19" s="167">
        <f t="shared" si="50"/>
        <v>0.22900858481791198</v>
      </c>
      <c r="N19" s="379">
        <f t="shared" si="50"/>
        <v>0.22003333886852228</v>
      </c>
      <c r="O19" s="167">
        <f t="shared" si="50"/>
        <v>2.4676777879885758E-2</v>
      </c>
      <c r="P19" s="167">
        <f t="shared" si="50"/>
        <v>-3.3086987463732398E-2</v>
      </c>
      <c r="Q19" s="167">
        <f t="shared" si="50"/>
        <v>-4.9603426070435774E-2</v>
      </c>
      <c r="R19" s="379">
        <f t="shared" si="50"/>
        <v>-0.11661008608798307</v>
      </c>
      <c r="S19" s="167">
        <f t="shared" si="50"/>
        <v>-1.2174046242846015E-2</v>
      </c>
      <c r="T19" s="167">
        <f t="shared" si="50"/>
        <v>6.9262735950539556E-2</v>
      </c>
      <c r="U19" s="167" t="s">
        <v>251</v>
      </c>
      <c r="V19" s="379" t="s">
        <v>251</v>
      </c>
      <c r="W19" s="167" t="s">
        <v>251</v>
      </c>
      <c r="X19" s="167" t="s">
        <v>251</v>
      </c>
      <c r="Y19" s="384"/>
      <c r="Z19" s="384"/>
      <c r="AA19" s="384"/>
      <c r="AB19" s="384"/>
      <c r="AC19" s="384"/>
      <c r="AD19" s="167">
        <f t="shared" ref="AD19" si="51">+IFERROR(AD11/AB11-1,"")</f>
        <v>0.2746887625251393</v>
      </c>
      <c r="AE19" s="379">
        <f t="shared" ref="AE19" si="52">+IFERROR(AE11/AC11-1,"")</f>
        <v>0.53835248399238811</v>
      </c>
      <c r="AF19" s="167">
        <f t="shared" ref="AF19" si="53">+IFERROR(AF11/AD11-1,"")</f>
        <v>0.48644033038523138</v>
      </c>
      <c r="AG19" s="379">
        <f t="shared" ref="AG19" si="54">+IFERROR(AG11/AE11-1,"")</f>
        <v>0.22378297173731565</v>
      </c>
      <c r="AH19" s="167">
        <f t="shared" ref="AH19" si="55">+IFERROR(AH11/AF11-1,"")</f>
        <v>-6.2963641359098377E-3</v>
      </c>
      <c r="AI19" s="379">
        <f t="shared" ref="AI19" si="56">+IFERROR(AI11/AG11-1,"")</f>
        <v>-8.8496848007519446E-2</v>
      </c>
      <c r="AJ19" s="167">
        <f t="shared" ref="AJ19" si="57">+IFERROR(AJ11/AH11-1,"")</f>
        <v>3.0315383256559691E-2</v>
      </c>
      <c r="AK19" s="379" t="s">
        <v>251</v>
      </c>
      <c r="AL19" s="167" t="s">
        <v>251</v>
      </c>
      <c r="AM19" s="111"/>
      <c r="AN19" s="111"/>
      <c r="AO19" s="111"/>
      <c r="AP19" s="111"/>
      <c r="AQ19" s="167">
        <f t="shared" ref="AQ19:AS19" si="58">+IFERROR(AQ11/AP11-1,"")</f>
        <v>0.41666478426669551</v>
      </c>
      <c r="AR19" s="167">
        <f t="shared" si="58"/>
        <v>0.33285739756388555</v>
      </c>
      <c r="AS19" s="167">
        <f t="shared" si="58"/>
        <v>-5.0427842613950835E-2</v>
      </c>
      <c r="AT19" s="167" t="s">
        <v>251</v>
      </c>
      <c r="AU19" s="111"/>
      <c r="AV19" s="111"/>
      <c r="AW19" s="111"/>
      <c r="AX19" s="111"/>
      <c r="AY19" s="111"/>
      <c r="AZ19" s="111"/>
      <c r="BA19" s="111"/>
      <c r="BB19" s="111"/>
      <c r="BC19" s="111"/>
      <c r="BD19" s="111"/>
      <c r="BE19" s="111"/>
      <c r="BF19" s="111"/>
      <c r="BG19" s="111"/>
      <c r="BH19" s="111"/>
      <c r="BI19" s="111"/>
    </row>
    <row r="20" spans="1:61" s="29" customFormat="1">
      <c r="A20" s="91" t="str">
        <f>+A12</f>
        <v>YNAP</v>
      </c>
      <c r="C20" s="111"/>
      <c r="D20" s="111"/>
      <c r="E20" s="111"/>
      <c r="F20" s="111"/>
      <c r="G20" s="167">
        <f t="shared" ref="G20" si="59">+IFERROR(G12/C12-1,"")</f>
        <v>6.9686411149825211E-3</v>
      </c>
      <c r="H20" s="167">
        <f t="shared" ref="H20" si="60">+IFERROR(H12/D12-1,"")</f>
        <v>-0.4183006535947712</v>
      </c>
      <c r="I20" s="167">
        <f t="shared" ref="I20" si="61">+IFERROR(I12/E12-1,"")</f>
        <v>1.9400352733686121E-2</v>
      </c>
      <c r="J20" s="379">
        <f t="shared" ref="J20" si="62">+IFERROR(J12/F12-1,"")</f>
        <v>-2.9850746268657025E-3</v>
      </c>
      <c r="K20" s="167">
        <f t="shared" ref="K20" si="63">+IFERROR(K12/G12-1,"")</f>
        <v>2.9411764705882248E-2</v>
      </c>
      <c r="L20" s="167">
        <f t="shared" ref="L20" si="64">+IFERROR(L12/H12-1,"")</f>
        <v>0.7893258426966292</v>
      </c>
      <c r="M20" s="167">
        <f t="shared" ref="M20" si="65">+IFERROR(M12/I12-1,"")</f>
        <v>0.10899653979238755</v>
      </c>
      <c r="N20" s="379">
        <f t="shared" ref="N20" si="66">+IFERROR(N12/J12-1,"")</f>
        <v>0.1751497005988023</v>
      </c>
      <c r="O20" s="167">
        <f t="shared" ref="O20" si="67">+IFERROR(O12/K12-1,"")</f>
        <v>0.21848739495798308</v>
      </c>
      <c r="P20" s="167" t="s">
        <v>251</v>
      </c>
      <c r="Q20" s="167" t="s">
        <v>251</v>
      </c>
      <c r="R20" s="379" t="s">
        <v>251</v>
      </c>
      <c r="S20" s="167" t="s">
        <v>251</v>
      </c>
      <c r="T20" s="167" t="s">
        <v>251</v>
      </c>
      <c r="U20" s="167" t="s">
        <v>251</v>
      </c>
      <c r="V20" s="379" t="s">
        <v>251</v>
      </c>
      <c r="W20" s="167" t="s">
        <v>251</v>
      </c>
      <c r="X20" s="167" t="s">
        <v>251</v>
      </c>
      <c r="Y20" s="384"/>
      <c r="Z20" s="384"/>
      <c r="AA20" s="384"/>
      <c r="AB20" s="384"/>
      <c r="AC20" s="384"/>
      <c r="AD20" s="167">
        <f t="shared" ref="AD20" si="68">+IFERROR(AD12/AB12-1,"")</f>
        <v>-0.21247892074198993</v>
      </c>
      <c r="AE20" s="379">
        <f t="shared" ref="AE20" si="69">+IFERROR(AE12/AC12-1,"")</f>
        <v>7.275666936135794E-3</v>
      </c>
      <c r="AF20" s="167">
        <f t="shared" ref="AF20" si="70">+IFERROR(AF12/AD12-1,"")</f>
        <v>0.31905781584582438</v>
      </c>
      <c r="AG20" s="379">
        <f t="shared" ref="AG20" si="71">+IFERROR(AG12/AE12-1,"")</f>
        <v>0.14446227929374</v>
      </c>
      <c r="AH20" s="167" t="s">
        <v>251</v>
      </c>
      <c r="AI20" s="379" t="s">
        <v>251</v>
      </c>
      <c r="AJ20" s="167" t="s">
        <v>251</v>
      </c>
      <c r="AK20" s="379" t="s">
        <v>251</v>
      </c>
      <c r="AL20" s="167" t="s">
        <v>251</v>
      </c>
      <c r="AM20" s="111"/>
      <c r="AN20" s="111"/>
      <c r="AO20" s="111"/>
      <c r="AP20" s="111"/>
      <c r="AQ20" s="167">
        <f t="shared" ref="AQ20" si="72">+IFERROR(AQ12/AP12-1,"")</f>
        <v>-0.10028889806025587</v>
      </c>
      <c r="AR20" s="167">
        <f t="shared" ref="AR20" si="73">+IFERROR(AR12/AQ12-1,"")</f>
        <v>0.2192660550458716</v>
      </c>
      <c r="AS20" s="167" t="s">
        <v>251</v>
      </c>
      <c r="AT20" s="167" t="s">
        <v>251</v>
      </c>
      <c r="AU20" s="111"/>
      <c r="AV20" s="111"/>
      <c r="AW20" s="111"/>
      <c r="AX20" s="111"/>
      <c r="AY20" s="111"/>
      <c r="AZ20" s="111"/>
      <c r="BA20" s="111"/>
      <c r="BB20" s="111"/>
      <c r="BC20" s="111"/>
      <c r="BD20" s="111"/>
      <c r="BE20" s="111"/>
      <c r="BF20" s="111"/>
      <c r="BG20" s="111"/>
      <c r="BH20" s="111"/>
      <c r="BI20" s="111"/>
    </row>
    <row r="21" spans="1:61" s="29" customFormat="1">
      <c r="A21" s="91"/>
      <c r="C21" s="111"/>
      <c r="D21" s="111"/>
      <c r="E21" s="111"/>
      <c r="F21" s="111"/>
      <c r="G21" s="167"/>
      <c r="H21" s="167"/>
      <c r="I21" s="167"/>
      <c r="J21" s="379"/>
      <c r="K21" s="167"/>
      <c r="L21" s="167"/>
      <c r="M21" s="167"/>
      <c r="N21" s="379"/>
      <c r="O21" s="167"/>
      <c r="P21" s="167"/>
      <c r="Q21" s="167"/>
      <c r="R21" s="379"/>
      <c r="S21" s="167"/>
      <c r="T21" s="167"/>
      <c r="U21" s="167"/>
      <c r="V21" s="379"/>
      <c r="W21" s="167"/>
      <c r="X21" s="167"/>
      <c r="Y21" s="384"/>
      <c r="Z21" s="384"/>
      <c r="AA21" s="384"/>
      <c r="AB21" s="384"/>
      <c r="AC21" s="384"/>
      <c r="AD21" s="167"/>
      <c r="AE21" s="379"/>
      <c r="AF21" s="167"/>
      <c r="AG21" s="379"/>
      <c r="AH21" s="167"/>
      <c r="AI21" s="379"/>
      <c r="AJ21" s="167"/>
      <c r="AK21" s="379"/>
      <c r="AL21" s="167"/>
      <c r="AM21" s="111"/>
      <c r="AN21" s="111"/>
      <c r="AO21" s="111"/>
      <c r="AP21" s="111"/>
      <c r="AQ21" s="167"/>
      <c r="AR21" s="167"/>
      <c r="AS21" s="167"/>
      <c r="AT21" s="167"/>
      <c r="AU21" s="111"/>
      <c r="AV21" s="111"/>
      <c r="AW21" s="111"/>
      <c r="AX21" s="111"/>
      <c r="AY21" s="111"/>
      <c r="AZ21" s="111"/>
      <c r="BA21" s="111"/>
      <c r="BB21" s="111"/>
      <c r="BC21" s="111"/>
      <c r="BD21" s="111"/>
      <c r="BE21" s="111"/>
      <c r="BF21" s="111"/>
      <c r="BG21" s="111"/>
      <c r="BH21" s="111"/>
      <c r="BI21" s="111"/>
    </row>
    <row r="22" spans="1:61">
      <c r="A22" s="4" t="s">
        <v>1542</v>
      </c>
      <c r="C22" s="9"/>
      <c r="D22" s="9"/>
      <c r="E22" s="9"/>
      <c r="F22" s="9"/>
      <c r="G22" s="9"/>
      <c r="H22" s="9"/>
      <c r="I22" s="9"/>
      <c r="J22" s="375"/>
      <c r="K22" s="381"/>
      <c r="L22" s="381"/>
      <c r="M22" s="381"/>
      <c r="N22" s="375"/>
      <c r="O22" s="381"/>
      <c r="P22" s="381"/>
      <c r="Q22" s="381"/>
      <c r="R22" s="375"/>
      <c r="S22" s="381"/>
      <c r="T22" s="381"/>
      <c r="U22" s="381"/>
      <c r="V22" s="375"/>
      <c r="W22" s="381"/>
      <c r="X22" s="381"/>
      <c r="Y22" s="381"/>
      <c r="Z22" s="381"/>
      <c r="AA22" s="381"/>
      <c r="AB22" s="381"/>
      <c r="AC22" s="381"/>
      <c r="AD22" s="381"/>
      <c r="AE22" s="375"/>
      <c r="AF22" s="381"/>
      <c r="AG22" s="375"/>
      <c r="AH22" s="381"/>
      <c r="AI22" s="375"/>
      <c r="AJ22" s="381"/>
      <c r="AK22" s="375"/>
      <c r="AL22" s="9"/>
      <c r="AM22" s="9"/>
      <c r="AN22" s="9"/>
      <c r="AO22" s="9"/>
      <c r="AP22" s="9"/>
      <c r="AQ22" s="9"/>
      <c r="AR22" s="9"/>
      <c r="AS22" s="9"/>
      <c r="AT22" s="9"/>
      <c r="AU22" s="9"/>
      <c r="AV22" s="9"/>
      <c r="AW22" s="9"/>
      <c r="AX22" s="9"/>
      <c r="AY22" s="9"/>
      <c r="AZ22" s="9"/>
      <c r="BA22" s="9"/>
      <c r="BB22" s="9"/>
      <c r="BC22" s="9"/>
      <c r="BD22" s="9"/>
      <c r="BE22" s="9"/>
      <c r="BF22" s="9"/>
      <c r="BG22" s="9"/>
      <c r="BH22" s="9"/>
      <c r="BI22" s="9"/>
    </row>
    <row r="23" spans="1:61">
      <c r="A23" t="s">
        <v>529</v>
      </c>
      <c r="C23" s="372"/>
      <c r="D23" s="372"/>
      <c r="E23" s="372"/>
      <c r="F23" s="372"/>
      <c r="G23" s="372"/>
      <c r="H23" s="372"/>
      <c r="I23" s="372"/>
      <c r="J23" s="380"/>
      <c r="K23" s="385"/>
      <c r="L23" s="385"/>
      <c r="M23" s="385"/>
      <c r="N23" s="380"/>
      <c r="O23" s="385"/>
      <c r="P23" s="385"/>
      <c r="Q23" s="381">
        <f>+'Q4 FY21e analysis'!T76/1000</f>
        <v>11.798247680518712</v>
      </c>
      <c r="R23" s="375">
        <f>+'Q4 FY21e analysis'!U76/1000</f>
        <v>19.539255919187426</v>
      </c>
      <c r="S23" s="381">
        <f>+'Q4 FY21e analysis'!V76/1000</f>
        <v>13.175964199091315</v>
      </c>
      <c r="T23" s="381">
        <f>+'Q4 FY21e analysis'!W76/1000</f>
        <v>19.611787963123206</v>
      </c>
      <c r="U23" s="381">
        <f>+'Q4 FY21e analysis'!X76/1000</f>
        <v>19.968457389904223</v>
      </c>
      <c r="V23" s="375">
        <f>+'Q4 FY21e analysis'!Y76/1000</f>
        <v>33.648447668537528</v>
      </c>
      <c r="W23" s="381">
        <f>+'Q4 FY21e analysis'!Z76/1000</f>
        <v>25.872040383807995</v>
      </c>
      <c r="X23" s="381">
        <f>+'Q4 FY21e analysis'!AA76/1000</f>
        <v>22.063211523659184</v>
      </c>
      <c r="Y23" s="381"/>
      <c r="Z23" s="381"/>
      <c r="AA23" s="381"/>
      <c r="AB23" s="385"/>
      <c r="AC23" s="381">
        <f>+'Historical - USD'!C40</f>
        <v>1.5271642906150042</v>
      </c>
      <c r="AD23" s="381">
        <f>+'Historical - USD'!D40</f>
        <v>2.745095627198689</v>
      </c>
      <c r="AE23" s="375">
        <f>+'Historical - USD'!E40</f>
        <v>8.2005924721832937</v>
      </c>
      <c r="AF23" s="381">
        <f>+'Historical - USD'!F40</f>
        <v>8.196010295111213</v>
      </c>
      <c r="AG23" s="375">
        <f>+'Historical - USD'!G40</f>
        <v>18.07704545102176</v>
      </c>
      <c r="AH23" s="381">
        <f>+'Historical - USD'!H40</f>
        <v>9.0938102655967104</v>
      </c>
      <c r="AI23" s="375">
        <f>+'Historical - USD'!I40</f>
        <v>31.337503599706135</v>
      </c>
      <c r="AJ23" s="381">
        <f>+'Historical - USD'!J40</f>
        <v>32.787752162214524</v>
      </c>
      <c r="AK23" s="375">
        <f>+'Historical - USD'!K40</f>
        <v>53.616905058441752</v>
      </c>
      <c r="AL23" s="9">
        <f>+'Historical - USD'!L40</f>
        <v>47.935251907467183</v>
      </c>
      <c r="AM23" s="9"/>
      <c r="AN23" s="9"/>
      <c r="AO23" s="9"/>
      <c r="AP23" s="372"/>
      <c r="AQ23" s="9">
        <f t="shared" ref="AQ23" si="74">+SUM(AD23:AE23)</f>
        <v>10.945688099381982</v>
      </c>
      <c r="AR23" s="9">
        <f t="shared" ref="AR23" si="75">+SUM(AF23:AG23)</f>
        <v>26.273055746132975</v>
      </c>
      <c r="AS23" s="9">
        <f t="shared" ref="AS23" si="76">+SUM(AH23:AI23)</f>
        <v>40.431313865302847</v>
      </c>
      <c r="AT23" s="9">
        <f t="shared" ref="AT23" si="77">+SUM(AJ23:AK23)</f>
        <v>86.404657220656276</v>
      </c>
      <c r="AU23" s="9"/>
      <c r="AV23" s="9"/>
      <c r="AW23" s="9"/>
      <c r="AX23" s="9"/>
      <c r="AY23" s="9"/>
      <c r="AZ23" s="9"/>
      <c r="BA23" s="9"/>
      <c r="BB23" s="9"/>
      <c r="BC23" s="9"/>
      <c r="BD23" s="9"/>
      <c r="BE23" s="9"/>
      <c r="BF23" s="9"/>
      <c r="BG23" s="9"/>
      <c r="BH23" s="9"/>
      <c r="BI23" s="9"/>
    </row>
    <row r="24" spans="1:61">
      <c r="A24" t="s">
        <v>1680</v>
      </c>
      <c r="C24" s="9">
        <v>45.486000000000004</v>
      </c>
      <c r="D24" s="9">
        <v>48.23899999999999</v>
      </c>
      <c r="E24" s="9">
        <v>46.345999999999997</v>
      </c>
      <c r="F24" s="9">
        <v>58.38</v>
      </c>
      <c r="G24" s="9">
        <v>49.936999999999998</v>
      </c>
      <c r="H24" s="9">
        <v>55.277999999999999</v>
      </c>
      <c r="I24" s="9">
        <v>58.680999999999997</v>
      </c>
      <c r="J24" s="375">
        <v>78.569999999999993</v>
      </c>
      <c r="K24" s="381">
        <v>72.363000000000014</v>
      </c>
      <c r="L24" s="381">
        <v>77.428999999999974</v>
      </c>
      <c r="M24" s="381">
        <v>77.315999999999988</v>
      </c>
      <c r="N24" s="375">
        <v>100.11799999999999</v>
      </c>
      <c r="O24" s="381">
        <v>82.765000000000001</v>
      </c>
      <c r="P24" s="381">
        <v>94.793000000000063</v>
      </c>
      <c r="Q24" s="381">
        <v>87.794999999999987</v>
      </c>
      <c r="R24" s="375">
        <v>104.16700000000002</v>
      </c>
      <c r="S24" s="381">
        <v>90.746000000000009</v>
      </c>
      <c r="T24" s="381">
        <v>99.885999999999967</v>
      </c>
      <c r="U24" s="381">
        <v>79.801000000000002</v>
      </c>
      <c r="V24" s="375">
        <v>98.334000000000003</v>
      </c>
      <c r="W24" s="381">
        <v>101.60599999999999</v>
      </c>
      <c r="X24" s="381">
        <v>102.85299999999999</v>
      </c>
      <c r="Y24" s="381"/>
      <c r="Z24" s="381"/>
      <c r="AA24" s="381"/>
      <c r="AB24" s="381">
        <f>+SUM(C24:D24)</f>
        <v>93.724999999999994</v>
      </c>
      <c r="AC24" s="381">
        <f>+SUM(E24:F24)</f>
        <v>104.726</v>
      </c>
      <c r="AD24" s="381">
        <f t="shared" ref="AD24" si="78">+SUM(G24:H24)</f>
        <v>105.215</v>
      </c>
      <c r="AE24" s="375">
        <f t="shared" ref="AE24" si="79">+SUM(I24:J24)</f>
        <v>137.25099999999998</v>
      </c>
      <c r="AF24" s="381">
        <f t="shared" ref="AF24" si="80">+SUM(K24:L24)</f>
        <v>149.79199999999997</v>
      </c>
      <c r="AG24" s="375">
        <f t="shared" ref="AG24" si="81">+SUM(M24:N24)</f>
        <v>177.43399999999997</v>
      </c>
      <c r="AH24" s="381">
        <f t="shared" ref="AH24" si="82">+SUM(O24:P24)</f>
        <v>177.55800000000005</v>
      </c>
      <c r="AI24" s="375">
        <f t="shared" ref="AI24" si="83">+SUM(Q24:R24)</f>
        <v>191.96199999999999</v>
      </c>
      <c r="AJ24" s="381">
        <f t="shared" ref="AJ24" si="84">+SUM(S24:T24)</f>
        <v>190.63199999999998</v>
      </c>
      <c r="AK24" s="375">
        <f t="shared" ref="AK24" si="85">+SUM(U24:V24)</f>
        <v>178.13499999999999</v>
      </c>
      <c r="AL24" s="9">
        <f t="shared" ref="AL24:AL25" si="86">+SUM(W24:X24)</f>
        <v>204.459</v>
      </c>
      <c r="AM24" s="9"/>
      <c r="AN24" s="9"/>
      <c r="AO24" s="9"/>
      <c r="AP24" s="9">
        <f t="shared" ref="AP24" si="87">+SUM(AB24:AC24)</f>
        <v>198.45099999999999</v>
      </c>
      <c r="AQ24" s="9">
        <f t="shared" ref="AQ24" si="88">+SUM(AD24:AE24)</f>
        <v>242.46599999999998</v>
      </c>
      <c r="AR24" s="9">
        <f t="shared" ref="AR24" si="89">+SUM(AF24:AG24)</f>
        <v>327.22599999999994</v>
      </c>
      <c r="AS24" s="9">
        <f t="shared" ref="AS24" si="90">+SUM(AH24:AI24)</f>
        <v>369.52000000000004</v>
      </c>
      <c r="AT24" s="9">
        <f t="shared" ref="AT24" si="91">+SUM(AJ24:AK24)</f>
        <v>368.76699999999994</v>
      </c>
      <c r="AU24" s="9"/>
      <c r="AV24" s="9"/>
      <c r="AW24" s="9"/>
      <c r="AX24" s="9"/>
      <c r="AY24" s="9"/>
      <c r="AZ24" s="9"/>
      <c r="BA24" s="9"/>
      <c r="BB24" s="9"/>
      <c r="BC24" s="9"/>
      <c r="BD24" s="9"/>
      <c r="BE24" s="9"/>
      <c r="BF24" s="9"/>
      <c r="BG24" s="9"/>
      <c r="BH24" s="9"/>
      <c r="BI24" s="9"/>
    </row>
    <row r="25" spans="1:61">
      <c r="A25" t="s">
        <v>1686</v>
      </c>
      <c r="C25" s="9">
        <v>34.099000000000004</v>
      </c>
      <c r="D25" s="9">
        <v>35.99199999999999</v>
      </c>
      <c r="E25" s="9">
        <v>33.204999999999998</v>
      </c>
      <c r="F25" s="9">
        <v>44.176000000000002</v>
      </c>
      <c r="G25" s="9">
        <v>36.808</v>
      </c>
      <c r="H25" s="9">
        <v>42.894999999999996</v>
      </c>
      <c r="I25" s="9">
        <v>43.847999999999999</v>
      </c>
      <c r="J25" s="375">
        <v>60.736999999999995</v>
      </c>
      <c r="K25" s="381">
        <v>53.098000000000013</v>
      </c>
      <c r="L25" s="381">
        <v>57.893999999999977</v>
      </c>
      <c r="M25" s="381">
        <v>57.349999999999987</v>
      </c>
      <c r="N25" s="375">
        <v>74.608999999999995</v>
      </c>
      <c r="O25" s="381">
        <v>57.619</v>
      </c>
      <c r="P25" s="381">
        <v>67.71700000000007</v>
      </c>
      <c r="Q25" s="381">
        <v>63.765999999999991</v>
      </c>
      <c r="R25" s="375">
        <v>75.88300000000001</v>
      </c>
      <c r="S25" s="381">
        <v>59.249000000000009</v>
      </c>
      <c r="T25" s="381">
        <v>68.910999999999973</v>
      </c>
      <c r="U25" s="381">
        <v>51.489000000000004</v>
      </c>
      <c r="V25" s="375">
        <v>66.155000000000001</v>
      </c>
      <c r="W25" s="381">
        <v>62.309999999999995</v>
      </c>
      <c r="X25" s="381">
        <v>64.161489228072412</v>
      </c>
      <c r="Y25" s="381"/>
      <c r="Z25" s="381"/>
      <c r="AA25" s="381"/>
      <c r="AB25" s="381">
        <f>+SUM(C25:D25)</f>
        <v>70.090999999999994</v>
      </c>
      <c r="AC25" s="381">
        <f>+SUM(E25:F25)</f>
        <v>77.381</v>
      </c>
      <c r="AD25" s="381">
        <f t="shared" ref="AD25" si="92">+SUM(G25:H25)</f>
        <v>79.703000000000003</v>
      </c>
      <c r="AE25" s="375">
        <f t="shared" ref="AE25" si="93">+SUM(I25:J25)</f>
        <v>104.58499999999999</v>
      </c>
      <c r="AF25" s="381">
        <f t="shared" ref="AF25" si="94">+SUM(K25:L25)</f>
        <v>110.99199999999999</v>
      </c>
      <c r="AG25" s="375">
        <f t="shared" ref="AG25" si="95">+SUM(M25:N25)</f>
        <v>131.95899999999997</v>
      </c>
      <c r="AH25" s="381">
        <f t="shared" ref="AH25" si="96">+SUM(O25:P25)</f>
        <v>125.33600000000007</v>
      </c>
      <c r="AI25" s="375">
        <f t="shared" ref="AI25" si="97">+SUM(Q25:R25)</f>
        <v>139.649</v>
      </c>
      <c r="AJ25" s="381">
        <f t="shared" ref="AJ25" si="98">+SUM(S25:T25)</f>
        <v>128.15999999999997</v>
      </c>
      <c r="AK25" s="375">
        <f t="shared" ref="AK25" si="99">+SUM(U25:V25)</f>
        <v>117.64400000000001</v>
      </c>
      <c r="AL25" s="9">
        <f t="shared" si="86"/>
        <v>126.47148922807241</v>
      </c>
      <c r="AM25" s="9"/>
      <c r="AN25" s="9"/>
      <c r="AO25" s="9"/>
      <c r="AP25" s="9">
        <f t="shared" ref="AP25" si="100">+SUM(AB25:AC25)</f>
        <v>147.47199999999998</v>
      </c>
      <c r="AQ25" s="9">
        <f t="shared" ref="AQ25" si="101">+SUM(AD25:AE25)</f>
        <v>184.28800000000001</v>
      </c>
      <c r="AR25" s="9">
        <f t="shared" ref="AR25" si="102">+SUM(AF25:AG25)</f>
        <v>242.95099999999996</v>
      </c>
      <c r="AS25" s="9">
        <f t="shared" ref="AS25" si="103">+SUM(AH25:AI25)</f>
        <v>264.98500000000007</v>
      </c>
      <c r="AT25" s="9">
        <f t="shared" ref="AT25" si="104">+SUM(AJ25:AK25)</f>
        <v>245.80399999999997</v>
      </c>
      <c r="AU25" s="9"/>
      <c r="AV25" s="9"/>
      <c r="AW25" s="9"/>
      <c r="AX25" s="9"/>
      <c r="AY25" s="9"/>
      <c r="AZ25" s="9"/>
      <c r="BA25" s="9"/>
      <c r="BB25" s="9"/>
      <c r="BC25" s="9"/>
      <c r="BD25" s="9"/>
      <c r="BE25" s="9"/>
      <c r="BF25" s="9"/>
      <c r="BG25" s="9"/>
      <c r="BH25" s="9"/>
      <c r="BI25" s="9"/>
    </row>
    <row r="26" spans="1:61">
      <c r="A26" t="s">
        <v>647</v>
      </c>
      <c r="C26" s="9">
        <v>83.290999999999997</v>
      </c>
      <c r="D26" s="9">
        <v>85.28</v>
      </c>
      <c r="E26" s="9">
        <v>115.139</v>
      </c>
      <c r="F26" s="9">
        <v>176.136</v>
      </c>
      <c r="G26" s="9">
        <v>153.376</v>
      </c>
      <c r="H26" s="9">
        <v>159.375</v>
      </c>
      <c r="I26" s="9">
        <v>209.029</v>
      </c>
      <c r="J26" s="375">
        <v>249.148</v>
      </c>
      <c r="K26" s="381">
        <v>220.869</v>
      </c>
      <c r="L26" s="381">
        <v>230.08199999999999</v>
      </c>
      <c r="M26" s="381">
        <v>252.18</v>
      </c>
      <c r="N26" s="375">
        <v>313.38</v>
      </c>
      <c r="O26" s="381">
        <v>230.51599999999999</v>
      </c>
      <c r="P26" s="381">
        <v>267.67</v>
      </c>
      <c r="Q26" s="381">
        <v>266.56900000000002</v>
      </c>
      <c r="R26" s="375">
        <v>258.42</v>
      </c>
      <c r="S26" s="381">
        <v>240.63200000000001</v>
      </c>
      <c r="T26" s="381">
        <v>242.87299999999999</v>
      </c>
      <c r="U26" s="385"/>
      <c r="V26" s="380"/>
      <c r="W26" s="385"/>
      <c r="X26" s="385"/>
      <c r="Y26" s="381"/>
      <c r="Z26" s="381"/>
      <c r="AA26" s="381"/>
      <c r="AB26" s="381">
        <f>+SUM(C26:D26)</f>
        <v>168.571</v>
      </c>
      <c r="AC26" s="381">
        <f>+SUM(E26:F26)</f>
        <v>291.27499999999998</v>
      </c>
      <c r="AD26" s="381">
        <f t="shared" ref="AD26" si="105">+SUM(G26:H26)</f>
        <v>312.75099999999998</v>
      </c>
      <c r="AE26" s="375">
        <f t="shared" ref="AE26" si="106">+SUM(I26:J26)</f>
        <v>458.17700000000002</v>
      </c>
      <c r="AF26" s="381">
        <f t="shared" ref="AF26" si="107">+SUM(K26:L26)</f>
        <v>450.95100000000002</v>
      </c>
      <c r="AG26" s="375">
        <f t="shared" ref="AG26" si="108">+SUM(M26:N26)</f>
        <v>565.55999999999995</v>
      </c>
      <c r="AH26" s="381">
        <f t="shared" ref="AH26" si="109">+SUM(O26:P26)</f>
        <v>498.18600000000004</v>
      </c>
      <c r="AI26" s="375">
        <f t="shared" ref="AI26" si="110">+SUM(Q26:R26)</f>
        <v>524.98900000000003</v>
      </c>
      <c r="AJ26" s="381">
        <f t="shared" ref="AJ26" si="111">+SUM(S26:T26)</f>
        <v>483.505</v>
      </c>
      <c r="AK26" s="380"/>
      <c r="AL26" s="372"/>
      <c r="AM26" s="9"/>
      <c r="AN26" s="9"/>
      <c r="AO26" s="9"/>
      <c r="AP26" s="9">
        <f t="shared" ref="AP26" si="112">+SUM(AB26:AC26)</f>
        <v>459.846</v>
      </c>
      <c r="AQ26" s="9">
        <f t="shared" ref="AQ26" si="113">+SUM(AD26:AE26)</f>
        <v>770.928</v>
      </c>
      <c r="AR26" s="9">
        <f t="shared" ref="AR26" si="114">+SUM(AF26:AG26)</f>
        <v>1016.511</v>
      </c>
      <c r="AS26" s="9">
        <f t="shared" ref="AS26" si="115">+SUM(AH26:AI26)</f>
        <v>1023.1750000000001</v>
      </c>
      <c r="AT26" s="372"/>
      <c r="AU26" s="9"/>
      <c r="AV26" s="9"/>
      <c r="AW26" s="9"/>
      <c r="AX26" s="9"/>
      <c r="AY26" s="9"/>
      <c r="AZ26" s="9"/>
      <c r="BA26" s="9"/>
      <c r="BB26" s="9"/>
      <c r="BC26" s="9"/>
      <c r="BD26" s="9"/>
      <c r="BE26" s="9"/>
      <c r="BF26" s="9"/>
      <c r="BG26" s="9"/>
      <c r="BH26" s="9"/>
      <c r="BI26" s="9"/>
    </row>
    <row r="27" spans="1:61">
      <c r="A27" t="s">
        <v>1683</v>
      </c>
      <c r="C27" s="9">
        <v>80.941000000000003</v>
      </c>
      <c r="D27" s="9">
        <v>84.105999999999995</v>
      </c>
      <c r="E27" s="9">
        <v>83.293999999999997</v>
      </c>
      <c r="F27" s="9">
        <v>123.572</v>
      </c>
      <c r="G27" s="9">
        <v>97.206999999999994</v>
      </c>
      <c r="H27" s="9">
        <v>130.57900000000001</v>
      </c>
      <c r="I27" s="9">
        <v>143.31800000000001</v>
      </c>
      <c r="J27" s="375">
        <v>189.102</v>
      </c>
      <c r="K27" s="381">
        <v>156.33500000000001</v>
      </c>
      <c r="L27" s="381">
        <v>184.999</v>
      </c>
      <c r="M27" s="381">
        <v>159.036</v>
      </c>
      <c r="N27" s="375">
        <v>229.88499999999999</v>
      </c>
      <c r="O27" s="381">
        <v>171.905</v>
      </c>
      <c r="P27" s="381">
        <v>187.78399999999999</v>
      </c>
      <c r="Q27" s="381">
        <v>166.94399999999999</v>
      </c>
      <c r="R27" s="375">
        <v>199.95500000000001</v>
      </c>
      <c r="S27" s="381">
        <v>168.06</v>
      </c>
      <c r="T27" s="381">
        <v>193.059</v>
      </c>
      <c r="U27" s="385"/>
      <c r="V27" s="380"/>
      <c r="W27" s="385"/>
      <c r="X27" s="385"/>
      <c r="Y27" s="381"/>
      <c r="Z27" s="381"/>
      <c r="AA27" s="381"/>
      <c r="AB27" s="381">
        <f>+SUM(C27:D27)</f>
        <v>165.047</v>
      </c>
      <c r="AC27" s="381">
        <f>+SUM(E27:F27)</f>
        <v>206.86599999999999</v>
      </c>
      <c r="AD27" s="381">
        <f t="shared" ref="AD27" si="116">+SUM(G27:H27)</f>
        <v>227.786</v>
      </c>
      <c r="AE27" s="375">
        <f t="shared" ref="AE27" si="117">+SUM(I27:J27)</f>
        <v>332.42</v>
      </c>
      <c r="AF27" s="381">
        <f t="shared" ref="AF27" si="118">+SUM(K27:L27)</f>
        <v>341.334</v>
      </c>
      <c r="AG27" s="375">
        <f t="shared" ref="AG27" si="119">+SUM(M27:N27)</f>
        <v>388.92099999999999</v>
      </c>
      <c r="AH27" s="381">
        <f t="shared" ref="AH27" si="120">+SUM(O27:P27)</f>
        <v>359.68899999999996</v>
      </c>
      <c r="AI27" s="375">
        <f t="shared" ref="AI27" si="121">+SUM(Q27:R27)</f>
        <v>366.899</v>
      </c>
      <c r="AJ27" s="381">
        <f t="shared" ref="AJ27" si="122">+SUM(S27:T27)</f>
        <v>361.11900000000003</v>
      </c>
      <c r="AK27" s="380"/>
      <c r="AL27" s="372"/>
      <c r="AM27" s="9"/>
      <c r="AN27" s="9"/>
      <c r="AO27" s="9"/>
      <c r="AP27" s="9">
        <f t="shared" ref="AP27" si="123">+SUM(AB27:AC27)</f>
        <v>371.91300000000001</v>
      </c>
      <c r="AQ27" s="9">
        <f t="shared" ref="AQ27" si="124">+SUM(AD27:AE27)</f>
        <v>560.20600000000002</v>
      </c>
      <c r="AR27" s="9">
        <f t="shared" ref="AR27" si="125">+SUM(AF27:AG27)</f>
        <v>730.255</v>
      </c>
      <c r="AS27" s="9">
        <f t="shared" ref="AS27" si="126">+SUM(AH27:AI27)</f>
        <v>726.58799999999997</v>
      </c>
      <c r="AT27" s="372"/>
      <c r="AU27" s="9"/>
      <c r="AV27" s="9"/>
      <c r="AW27" s="9"/>
      <c r="AX27" s="9"/>
      <c r="AY27" s="9"/>
      <c r="AZ27" s="9"/>
      <c r="BA27" s="9"/>
      <c r="BB27" s="9"/>
      <c r="BC27" s="9"/>
      <c r="BD27" s="9"/>
      <c r="BE27" s="9"/>
      <c r="BF27" s="9"/>
      <c r="BG27" s="9"/>
      <c r="BH27" s="9"/>
      <c r="BI27" s="9"/>
    </row>
    <row r="28" spans="1:61" hidden="1" outlineLevel="1">
      <c r="A28" t="s">
        <v>1678</v>
      </c>
      <c r="C28" s="9"/>
      <c r="D28" s="9"/>
      <c r="E28" s="9"/>
      <c r="F28" s="9"/>
      <c r="G28" s="9"/>
      <c r="H28" s="9"/>
      <c r="I28" s="9"/>
      <c r="J28" s="375"/>
      <c r="K28" s="381"/>
      <c r="L28" s="381"/>
      <c r="M28" s="381"/>
      <c r="N28" s="375"/>
      <c r="O28" s="381"/>
      <c r="P28" s="381"/>
      <c r="Q28" s="381"/>
      <c r="R28" s="375"/>
      <c r="S28" s="381"/>
      <c r="T28" s="381"/>
      <c r="U28" s="381"/>
      <c r="V28" s="375"/>
      <c r="W28" s="381"/>
      <c r="X28" s="381"/>
      <c r="Y28" s="381"/>
      <c r="Z28" s="381"/>
      <c r="AA28" s="381"/>
      <c r="AB28" s="381"/>
      <c r="AC28" s="381"/>
      <c r="AD28" s="381"/>
      <c r="AE28" s="375"/>
      <c r="AF28" s="381"/>
      <c r="AG28" s="375"/>
      <c r="AH28" s="381"/>
      <c r="AI28" s="375"/>
      <c r="AJ28" s="381"/>
      <c r="AK28" s="375"/>
      <c r="AL28" s="9"/>
      <c r="AM28" s="9"/>
      <c r="AN28" s="9"/>
      <c r="AO28" s="9"/>
      <c r="AP28" s="9"/>
      <c r="AQ28" s="9"/>
      <c r="AR28" s="9"/>
      <c r="AS28" s="9"/>
      <c r="AT28" s="9"/>
      <c r="AU28" s="9"/>
      <c r="AV28" s="9"/>
      <c r="AW28" s="9"/>
      <c r="AX28" s="9"/>
      <c r="AY28" s="9"/>
      <c r="AZ28" s="9"/>
      <c r="BA28" s="9"/>
      <c r="BB28" s="9"/>
      <c r="BC28" s="9"/>
      <c r="BD28" s="9"/>
      <c r="BE28" s="9"/>
      <c r="BF28" s="9"/>
      <c r="BG28" s="9"/>
      <c r="BH28" s="9"/>
      <c r="BI28" s="9"/>
    </row>
    <row r="29" spans="1:61" hidden="1" outlineLevel="1">
      <c r="A29" s="5" t="s">
        <v>1679</v>
      </c>
      <c r="C29" s="9"/>
      <c r="D29" s="9"/>
      <c r="E29" s="9"/>
      <c r="F29" s="9"/>
      <c r="G29" s="9"/>
      <c r="H29" s="9"/>
      <c r="I29" s="9"/>
      <c r="J29" s="375"/>
      <c r="K29" s="381"/>
      <c r="L29" s="381"/>
      <c r="M29" s="381"/>
      <c r="N29" s="375"/>
      <c r="O29" s="381"/>
      <c r="P29" s="381"/>
      <c r="Q29" s="381"/>
      <c r="R29" s="375"/>
      <c r="S29" s="381"/>
      <c r="T29" s="381"/>
      <c r="U29" s="381"/>
      <c r="V29" s="375"/>
      <c r="W29" s="381"/>
      <c r="X29" s="381"/>
      <c r="Y29" s="381"/>
      <c r="Z29" s="381"/>
      <c r="AA29" s="381"/>
      <c r="AB29" s="381"/>
      <c r="AC29" s="381"/>
      <c r="AD29" s="381"/>
      <c r="AE29" s="375"/>
      <c r="AF29" s="381"/>
      <c r="AG29" s="375"/>
      <c r="AH29" s="381"/>
      <c r="AI29" s="375"/>
      <c r="AJ29" s="381"/>
      <c r="AK29" s="375"/>
      <c r="AL29" s="9"/>
      <c r="AM29" s="9"/>
      <c r="AN29" s="9"/>
      <c r="AO29" s="9"/>
      <c r="AP29" s="9"/>
      <c r="AQ29" s="9"/>
      <c r="AR29" s="9"/>
      <c r="AS29" s="9"/>
      <c r="AT29" s="9"/>
      <c r="AU29" s="9"/>
      <c r="AV29" s="9"/>
      <c r="AW29" s="9"/>
      <c r="AX29" s="9"/>
      <c r="AY29" s="9"/>
      <c r="AZ29" s="9"/>
      <c r="BA29" s="9"/>
      <c r="BB29" s="9"/>
      <c r="BC29" s="9"/>
      <c r="BD29" s="9"/>
      <c r="BE29" s="9"/>
      <c r="BF29" s="9"/>
      <c r="BG29" s="9"/>
      <c r="BH29" s="9"/>
      <c r="BI29" s="9"/>
    </row>
    <row r="30" spans="1:61" collapsed="1">
      <c r="A30" s="5"/>
      <c r="C30" s="9"/>
      <c r="D30" s="9"/>
      <c r="E30" s="9"/>
      <c r="F30" s="9"/>
      <c r="G30" s="9"/>
      <c r="H30" s="9"/>
      <c r="I30" s="9"/>
      <c r="J30" s="375"/>
      <c r="K30" s="381"/>
      <c r="L30" s="381"/>
      <c r="M30" s="381"/>
      <c r="N30" s="375"/>
      <c r="O30" s="381"/>
      <c r="P30" s="381"/>
      <c r="Q30" s="381"/>
      <c r="R30" s="375"/>
      <c r="S30" s="381"/>
      <c r="T30" s="381"/>
      <c r="U30" s="381"/>
      <c r="V30" s="375"/>
      <c r="W30" s="381"/>
      <c r="X30" s="381"/>
      <c r="Y30" s="381"/>
      <c r="Z30" s="381"/>
      <c r="AA30" s="381"/>
      <c r="AB30" s="381"/>
      <c r="AC30" s="381"/>
      <c r="AD30" s="381"/>
      <c r="AE30" s="375"/>
      <c r="AF30" s="381"/>
      <c r="AG30" s="375"/>
      <c r="AH30" s="381"/>
      <c r="AI30" s="375"/>
      <c r="AJ30" s="381"/>
      <c r="AK30" s="375"/>
      <c r="AL30" s="9"/>
      <c r="AM30" s="9"/>
      <c r="AN30" s="9"/>
      <c r="AO30" s="9"/>
      <c r="AP30" s="9"/>
      <c r="AQ30" s="9"/>
      <c r="AR30" s="9"/>
      <c r="AS30" s="9"/>
      <c r="AT30" s="9"/>
      <c r="AU30" s="9"/>
      <c r="AV30" s="9"/>
      <c r="AW30" s="9"/>
      <c r="AX30" s="9"/>
      <c r="AY30" s="9"/>
      <c r="AZ30" s="9"/>
      <c r="BA30" s="9"/>
      <c r="BB30" s="9"/>
      <c r="BC30" s="9"/>
      <c r="BD30" s="9"/>
      <c r="BE30" s="9"/>
      <c r="BF30" s="9"/>
      <c r="BG30" s="9"/>
      <c r="BH30" s="9"/>
      <c r="BI30" s="9"/>
    </row>
    <row r="31" spans="1:61" s="29" customFormat="1">
      <c r="A31" s="133" t="s">
        <v>237</v>
      </c>
      <c r="C31" s="111"/>
      <c r="D31" s="111"/>
      <c r="E31" s="111"/>
      <c r="F31" s="111"/>
      <c r="G31" s="111"/>
      <c r="H31" s="111"/>
      <c r="I31" s="111"/>
      <c r="J31" s="378"/>
      <c r="K31" s="384"/>
      <c r="L31" s="384"/>
      <c r="M31" s="384"/>
      <c r="N31" s="378"/>
      <c r="O31" s="384"/>
      <c r="P31" s="384"/>
      <c r="Q31" s="384"/>
      <c r="R31" s="378"/>
      <c r="S31" s="384"/>
      <c r="T31" s="384"/>
      <c r="U31" s="384"/>
      <c r="V31" s="378"/>
      <c r="W31" s="384"/>
      <c r="X31" s="384"/>
      <c r="Y31" s="384"/>
      <c r="Z31" s="384"/>
      <c r="AA31" s="384"/>
      <c r="AB31" s="384"/>
      <c r="AC31" s="384"/>
      <c r="AD31" s="384"/>
      <c r="AE31" s="378"/>
      <c r="AF31" s="384"/>
      <c r="AG31" s="378"/>
      <c r="AH31" s="384"/>
      <c r="AI31" s="378"/>
      <c r="AJ31" s="384"/>
      <c r="AK31" s="378"/>
      <c r="AL31" s="111"/>
      <c r="AM31" s="111"/>
      <c r="AN31" s="111"/>
      <c r="AO31" s="111"/>
      <c r="AP31" s="111"/>
      <c r="AQ31" s="111"/>
      <c r="AR31" s="111"/>
      <c r="AS31" s="111"/>
      <c r="AT31" s="111"/>
      <c r="AU31" s="111"/>
      <c r="AV31" s="111"/>
      <c r="AW31" s="111"/>
      <c r="AX31" s="111"/>
      <c r="AY31" s="111"/>
      <c r="AZ31" s="111"/>
      <c r="BA31" s="111"/>
      <c r="BB31" s="111"/>
      <c r="BC31" s="111"/>
      <c r="BD31" s="111"/>
      <c r="BE31" s="111"/>
      <c r="BF31" s="111"/>
      <c r="BG31" s="111"/>
      <c r="BH31" s="111"/>
      <c r="BI31" s="111"/>
    </row>
    <row r="32" spans="1:61" s="29" customFormat="1">
      <c r="A32" s="91" t="s">
        <v>529</v>
      </c>
      <c r="G32" s="167" t="s">
        <v>251</v>
      </c>
      <c r="H32" s="167" t="s">
        <v>251</v>
      </c>
      <c r="I32" s="167" t="s">
        <v>251</v>
      </c>
      <c r="J32" s="379" t="s">
        <v>251</v>
      </c>
      <c r="K32" s="167" t="s">
        <v>251</v>
      </c>
      <c r="L32" s="167" t="s">
        <v>251</v>
      </c>
      <c r="M32" s="167" t="s">
        <v>251</v>
      </c>
      <c r="N32" s="379" t="s">
        <v>251</v>
      </c>
      <c r="O32" s="167" t="s">
        <v>251</v>
      </c>
      <c r="P32" s="167" t="s">
        <v>251</v>
      </c>
      <c r="Q32" s="167" t="s">
        <v>251</v>
      </c>
      <c r="R32" s="379" t="s">
        <v>251</v>
      </c>
      <c r="S32" s="167" t="s">
        <v>251</v>
      </c>
      <c r="T32" s="167" t="s">
        <v>251</v>
      </c>
      <c r="U32" s="167">
        <f t="shared" ref="U32:X32" si="127">+IFERROR(U23/Q23-1,"")</f>
        <v>0.69249348976426206</v>
      </c>
      <c r="V32" s="379">
        <f t="shared" si="127"/>
        <v>0.72209462876705377</v>
      </c>
      <c r="W32" s="167">
        <f t="shared" si="127"/>
        <v>0.96357852775527952</v>
      </c>
      <c r="X32" s="167">
        <f t="shared" si="127"/>
        <v>0.12499745383467764</v>
      </c>
      <c r="Y32" s="384"/>
      <c r="Z32" s="384"/>
      <c r="AA32" s="384"/>
      <c r="AB32" s="384"/>
      <c r="AC32" s="384"/>
      <c r="AD32" s="167" t="s">
        <v>251</v>
      </c>
      <c r="AE32" s="379">
        <f t="shared" ref="AE32:AL32" si="128">+IFERROR(AE23/AC23-1,"")</f>
        <v>4.369816805290041</v>
      </c>
      <c r="AF32" s="167">
        <f t="shared" si="128"/>
        <v>1.9856920880658229</v>
      </c>
      <c r="AG32" s="379">
        <f t="shared" si="128"/>
        <v>1.204358467066831</v>
      </c>
      <c r="AH32" s="167">
        <f t="shared" si="128"/>
        <v>0.10954109843188231</v>
      </c>
      <c r="AI32" s="379">
        <f t="shared" si="128"/>
        <v>0.73355229341058381</v>
      </c>
      <c r="AJ32" s="167">
        <f t="shared" si="128"/>
        <v>2.6055021167810875</v>
      </c>
      <c r="AK32" s="379">
        <f t="shared" si="128"/>
        <v>0.71095010449219509</v>
      </c>
      <c r="AL32" s="167">
        <f t="shared" si="128"/>
        <v>0.46198652686868358</v>
      </c>
      <c r="AM32" s="111"/>
      <c r="AN32" s="111"/>
      <c r="AO32" s="111"/>
      <c r="AP32" s="111"/>
      <c r="AQ32" s="167" t="s">
        <v>251</v>
      </c>
      <c r="AR32" s="167">
        <f t="shared" ref="AR32:AT32" si="129">+IFERROR(AR23/AQ23-1,"")</f>
        <v>1.4003110181457123</v>
      </c>
      <c r="AS32" s="167">
        <f t="shared" si="129"/>
        <v>0.53888890032343384</v>
      </c>
      <c r="AT32" s="167">
        <f t="shared" si="129"/>
        <v>1.1370727033139185</v>
      </c>
      <c r="AU32" s="111"/>
      <c r="AV32" s="111"/>
      <c r="AW32" s="111"/>
      <c r="AX32" s="111"/>
      <c r="AY32" s="111"/>
      <c r="AZ32" s="111"/>
      <c r="BA32" s="111"/>
      <c r="BB32" s="111"/>
      <c r="BC32" s="111"/>
      <c r="BD32" s="111"/>
      <c r="BE32" s="111"/>
      <c r="BF32" s="111"/>
      <c r="BG32" s="111"/>
      <c r="BH32" s="111"/>
      <c r="BI32" s="111"/>
    </row>
    <row r="33" spans="1:61" s="29" customFormat="1">
      <c r="A33" s="91" t="s">
        <v>1680</v>
      </c>
      <c r="C33" s="111"/>
      <c r="D33" s="111"/>
      <c r="E33" s="111"/>
      <c r="F33" s="111"/>
      <c r="G33" s="167">
        <f t="shared" ref="G33:P34" si="130">+IFERROR(G24/C24-1,"")</f>
        <v>9.7854284834894001E-2</v>
      </c>
      <c r="H33" s="167">
        <f t="shared" si="130"/>
        <v>0.14591927693360174</v>
      </c>
      <c r="I33" s="167">
        <f t="shared" si="130"/>
        <v>0.26615026107970485</v>
      </c>
      <c r="J33" s="379">
        <f t="shared" si="130"/>
        <v>0.34583761562178816</v>
      </c>
      <c r="K33" s="167">
        <f t="shared" si="130"/>
        <v>0.44908584816869279</v>
      </c>
      <c r="L33" s="167">
        <f t="shared" si="130"/>
        <v>0.40071999710553885</v>
      </c>
      <c r="M33" s="167">
        <f t="shared" si="130"/>
        <v>0.31756445868338967</v>
      </c>
      <c r="N33" s="379">
        <f t="shared" si="130"/>
        <v>0.27425225913198426</v>
      </c>
      <c r="O33" s="167">
        <f t="shared" si="130"/>
        <v>0.14374749526691799</v>
      </c>
      <c r="P33" s="167">
        <f t="shared" si="130"/>
        <v>0.22425706130777989</v>
      </c>
      <c r="Q33" s="167">
        <f t="shared" ref="Q33:X34" si="131">+IFERROR(Q24/M24-1,"")</f>
        <v>0.13553468880956077</v>
      </c>
      <c r="R33" s="379">
        <f t="shared" si="131"/>
        <v>4.0442278111828323E-2</v>
      </c>
      <c r="S33" s="167">
        <f t="shared" si="131"/>
        <v>9.6429650214462814E-2</v>
      </c>
      <c r="T33" s="167">
        <f t="shared" si="131"/>
        <v>5.3727595919528914E-2</v>
      </c>
      <c r="U33" s="167">
        <f t="shared" si="131"/>
        <v>-9.1053021242667453E-2</v>
      </c>
      <c r="V33" s="379">
        <f t="shared" si="131"/>
        <v>-5.5996620810813469E-2</v>
      </c>
      <c r="W33" s="167">
        <f t="shared" si="131"/>
        <v>0.119674696405351</v>
      </c>
      <c r="X33" s="167">
        <f t="shared" si="131"/>
        <v>2.9703862403139825E-2</v>
      </c>
      <c r="Y33" s="384"/>
      <c r="Z33" s="384"/>
      <c r="AA33" s="384"/>
      <c r="AB33" s="384"/>
      <c r="AC33" s="384"/>
      <c r="AD33" s="167">
        <f t="shared" ref="AD33:AL34" si="132">+IFERROR(AD24/AB24-1,"")</f>
        <v>0.12259269138436935</v>
      </c>
      <c r="AE33" s="379">
        <f t="shared" si="132"/>
        <v>0.31057235070565081</v>
      </c>
      <c r="AF33" s="167">
        <f t="shared" si="132"/>
        <v>0.4236753314641446</v>
      </c>
      <c r="AG33" s="379">
        <f t="shared" si="132"/>
        <v>0.29277018018083667</v>
      </c>
      <c r="AH33" s="167">
        <f t="shared" si="132"/>
        <v>0.1853637043366807</v>
      </c>
      <c r="AI33" s="379">
        <f t="shared" si="132"/>
        <v>8.187833222494012E-2</v>
      </c>
      <c r="AJ33" s="167">
        <f t="shared" si="132"/>
        <v>7.3632277903557863E-2</v>
      </c>
      <c r="AK33" s="379">
        <f t="shared" si="132"/>
        <v>-7.2029880913930922E-2</v>
      </c>
      <c r="AL33" s="167">
        <f t="shared" si="132"/>
        <v>7.2532418481682237E-2</v>
      </c>
      <c r="AM33" s="111"/>
      <c r="AN33" s="111"/>
      <c r="AO33" s="111"/>
      <c r="AP33" s="111"/>
      <c r="AQ33" s="167">
        <f t="shared" ref="AQ33:AT34" si="133">+IFERROR(AQ24/AP24-1,"")</f>
        <v>0.22179278512076017</v>
      </c>
      <c r="AR33" s="167">
        <f t="shared" si="133"/>
        <v>0.3495747857431557</v>
      </c>
      <c r="AS33" s="167">
        <f t="shared" si="133"/>
        <v>0.12925012071167963</v>
      </c>
      <c r="AT33" s="167">
        <f t="shared" si="133"/>
        <v>-2.0377787399872282E-3</v>
      </c>
      <c r="AU33" s="111"/>
      <c r="AV33" s="111"/>
      <c r="AW33" s="111"/>
      <c r="AX33" s="111"/>
      <c r="AY33" s="111"/>
      <c r="AZ33" s="111"/>
      <c r="BA33" s="111"/>
      <c r="BB33" s="111"/>
      <c r="BC33" s="111"/>
      <c r="BD33" s="111"/>
      <c r="BE33" s="111"/>
      <c r="BF33" s="111"/>
      <c r="BG33" s="111"/>
      <c r="BH33" s="111"/>
      <c r="BI33" s="111"/>
    </row>
    <row r="34" spans="1:61" s="29" customFormat="1">
      <c r="A34" s="91" t="s">
        <v>1686</v>
      </c>
      <c r="C34" s="111"/>
      <c r="D34" s="111"/>
      <c r="E34" s="111"/>
      <c r="F34" s="111"/>
      <c r="G34" s="167">
        <f t="shared" si="130"/>
        <v>7.9445145018915309E-2</v>
      </c>
      <c r="H34" s="167">
        <f t="shared" si="130"/>
        <v>0.19179262058235191</v>
      </c>
      <c r="I34" s="167">
        <f t="shared" si="130"/>
        <v>0.32052401746724901</v>
      </c>
      <c r="J34" s="379">
        <f t="shared" si="130"/>
        <v>0.37488681637087984</v>
      </c>
      <c r="K34" s="167">
        <f t="shared" si="130"/>
        <v>0.44256683329710977</v>
      </c>
      <c r="L34" s="167">
        <f t="shared" si="130"/>
        <v>0.34966779344911947</v>
      </c>
      <c r="M34" s="167">
        <f t="shared" si="130"/>
        <v>0.30792738551359222</v>
      </c>
      <c r="N34" s="379">
        <f t="shared" si="130"/>
        <v>0.22839455356701843</v>
      </c>
      <c r="O34" s="167">
        <f t="shared" si="130"/>
        <v>8.5144449885117712E-2</v>
      </c>
      <c r="P34" s="167">
        <f t="shared" si="130"/>
        <v>0.16967215946384928</v>
      </c>
      <c r="Q34" s="167">
        <f t="shared" si="131"/>
        <v>0.11187445510026173</v>
      </c>
      <c r="R34" s="379">
        <f t="shared" si="131"/>
        <v>1.7075687919688276E-2</v>
      </c>
      <c r="S34" s="167">
        <f t="shared" si="131"/>
        <v>2.828927957791727E-2</v>
      </c>
      <c r="T34" s="167">
        <f t="shared" si="131"/>
        <v>1.7632204616269131E-2</v>
      </c>
      <c r="U34" s="167">
        <f t="shared" si="131"/>
        <v>-0.19253207038233522</v>
      </c>
      <c r="V34" s="379">
        <f t="shared" si="131"/>
        <v>-0.12819735645665042</v>
      </c>
      <c r="W34" s="167">
        <f t="shared" si="131"/>
        <v>5.1663319212138292E-2</v>
      </c>
      <c r="X34" s="167">
        <f t="shared" si="131"/>
        <v>-6.8922389341724344E-2</v>
      </c>
      <c r="Y34" s="384"/>
      <c r="Z34" s="384"/>
      <c r="AA34" s="384"/>
      <c r="AB34" s="384"/>
      <c r="AC34" s="384"/>
      <c r="AD34" s="167">
        <f t="shared" si="132"/>
        <v>0.13713600890271227</v>
      </c>
      <c r="AE34" s="379">
        <f t="shared" si="132"/>
        <v>0.35155916827128109</v>
      </c>
      <c r="AF34" s="167">
        <f t="shared" si="132"/>
        <v>0.3925699158124536</v>
      </c>
      <c r="AG34" s="379">
        <f t="shared" si="132"/>
        <v>0.26173925515131224</v>
      </c>
      <c r="AH34" s="167">
        <f t="shared" si="132"/>
        <v>0.12923453942626573</v>
      </c>
      <c r="AI34" s="379">
        <f t="shared" si="132"/>
        <v>5.8275676535893828E-2</v>
      </c>
      <c r="AJ34" s="167">
        <f t="shared" si="132"/>
        <v>2.2531435501371488E-2</v>
      </c>
      <c r="AK34" s="379">
        <f t="shared" si="132"/>
        <v>-0.15757363103208755</v>
      </c>
      <c r="AL34" s="167">
        <f t="shared" si="132"/>
        <v>-1.3175021628648254E-2</v>
      </c>
      <c r="AM34" s="111"/>
      <c r="AN34" s="111"/>
      <c r="AO34" s="111"/>
      <c r="AP34" s="111"/>
      <c r="AQ34" s="167">
        <f t="shared" si="133"/>
        <v>0.24964739069111452</v>
      </c>
      <c r="AR34" s="167">
        <f t="shared" si="133"/>
        <v>0.31832240840423665</v>
      </c>
      <c r="AS34" s="167">
        <f t="shared" si="133"/>
        <v>9.0693185045544578E-2</v>
      </c>
      <c r="AT34" s="167">
        <f t="shared" si="133"/>
        <v>-7.2385229352605163E-2</v>
      </c>
      <c r="AU34" s="111"/>
      <c r="AV34" s="111"/>
      <c r="AW34" s="111"/>
      <c r="AX34" s="111"/>
      <c r="AY34" s="111"/>
      <c r="AZ34" s="111"/>
      <c r="BA34" s="111"/>
      <c r="BB34" s="111"/>
      <c r="BC34" s="111"/>
      <c r="BD34" s="111"/>
      <c r="BE34" s="111"/>
      <c r="BF34" s="111"/>
      <c r="BG34" s="111"/>
      <c r="BH34" s="111"/>
      <c r="BI34" s="111"/>
    </row>
    <row r="35" spans="1:61" s="29" customFormat="1">
      <c r="A35" s="91" t="s">
        <v>647</v>
      </c>
      <c r="C35" s="111"/>
      <c r="D35" s="111"/>
      <c r="E35" s="111"/>
      <c r="F35" s="111"/>
      <c r="G35" s="167">
        <f t="shared" ref="G35:T36" si="134">+IFERROR(G26/C26-1,"")</f>
        <v>0.84144745530729614</v>
      </c>
      <c r="H35" s="167">
        <f t="shared" si="134"/>
        <v>0.86884380863039401</v>
      </c>
      <c r="I35" s="167">
        <f t="shared" si="134"/>
        <v>0.81544915276318197</v>
      </c>
      <c r="J35" s="379">
        <f t="shared" si="134"/>
        <v>0.41452059771994376</v>
      </c>
      <c r="K35" s="167">
        <f t="shared" si="134"/>
        <v>0.4400492906321718</v>
      </c>
      <c r="L35" s="167">
        <f t="shared" si="134"/>
        <v>0.44365176470588241</v>
      </c>
      <c r="M35" s="167">
        <f t="shared" si="134"/>
        <v>0.20643547067631762</v>
      </c>
      <c r="N35" s="379">
        <f t="shared" si="134"/>
        <v>0.25780660490953178</v>
      </c>
      <c r="O35" s="167">
        <f t="shared" si="134"/>
        <v>4.3677473977787651E-2</v>
      </c>
      <c r="P35" s="167">
        <f t="shared" si="134"/>
        <v>0.16336784276909988</v>
      </c>
      <c r="Q35" s="167">
        <f t="shared" si="134"/>
        <v>5.7058450313268283E-2</v>
      </c>
      <c r="R35" s="379">
        <f t="shared" si="134"/>
        <v>-0.17537813517135736</v>
      </c>
      <c r="S35" s="167">
        <f t="shared" si="134"/>
        <v>4.3884155546686676E-2</v>
      </c>
      <c r="T35" s="167">
        <f t="shared" si="134"/>
        <v>-9.2640191280307982E-2</v>
      </c>
      <c r="U35" s="167" t="s">
        <v>251</v>
      </c>
      <c r="V35" s="379" t="s">
        <v>251</v>
      </c>
      <c r="W35" s="167" t="s">
        <v>251</v>
      </c>
      <c r="X35" s="167" t="s">
        <v>251</v>
      </c>
      <c r="Y35" s="384"/>
      <c r="Z35" s="384"/>
      <c r="AA35" s="384"/>
      <c r="AB35" s="384"/>
      <c r="AC35" s="384"/>
      <c r="AD35" s="167">
        <f t="shared" ref="AD35:AJ36" si="135">+IFERROR(AD26/AB26-1,"")</f>
        <v>0.8553072592557438</v>
      </c>
      <c r="AE35" s="379">
        <f t="shared" si="135"/>
        <v>0.57300489228392437</v>
      </c>
      <c r="AF35" s="167">
        <f t="shared" si="135"/>
        <v>0.44188507790542664</v>
      </c>
      <c r="AG35" s="379">
        <f t="shared" si="135"/>
        <v>0.23437012333661422</v>
      </c>
      <c r="AH35" s="167">
        <f t="shared" si="135"/>
        <v>0.10474530492226442</v>
      </c>
      <c r="AI35" s="379">
        <f t="shared" si="135"/>
        <v>-7.1735978499186448E-2</v>
      </c>
      <c r="AJ35" s="167">
        <f t="shared" si="135"/>
        <v>-2.9468913217151949E-2</v>
      </c>
      <c r="AK35" s="379" t="s">
        <v>251</v>
      </c>
      <c r="AL35" s="167" t="s">
        <v>251</v>
      </c>
      <c r="AM35" s="111"/>
      <c r="AN35" s="111"/>
      <c r="AO35" s="111"/>
      <c r="AP35" s="111"/>
      <c r="AQ35" s="167">
        <f t="shared" ref="AQ35:AS36" si="136">+IFERROR(AQ26/AP26-1,"")</f>
        <v>0.6764916950457327</v>
      </c>
      <c r="AR35" s="167">
        <f t="shared" si="136"/>
        <v>0.31855504015939218</v>
      </c>
      <c r="AS35" s="167">
        <f t="shared" si="136"/>
        <v>6.555757881616664E-3</v>
      </c>
      <c r="AT35" s="167" t="s">
        <v>251</v>
      </c>
      <c r="AU35" s="111"/>
      <c r="AV35" s="111"/>
      <c r="AW35" s="111"/>
      <c r="AX35" s="111"/>
      <c r="AY35" s="111"/>
      <c r="AZ35" s="111"/>
      <c r="BA35" s="111"/>
      <c r="BB35" s="111"/>
      <c r="BC35" s="111"/>
      <c r="BD35" s="111"/>
      <c r="BE35" s="111"/>
      <c r="BF35" s="111"/>
      <c r="BG35" s="111"/>
      <c r="BH35" s="111"/>
      <c r="BI35" s="111"/>
    </row>
    <row r="36" spans="1:61" s="29" customFormat="1">
      <c r="A36" s="91" t="s">
        <v>1683</v>
      </c>
      <c r="C36" s="111"/>
      <c r="D36" s="111"/>
      <c r="E36" s="111"/>
      <c r="F36" s="111"/>
      <c r="G36" s="167">
        <f t="shared" si="134"/>
        <v>0.20096119395609136</v>
      </c>
      <c r="H36" s="167">
        <f t="shared" si="134"/>
        <v>0.55255273107745007</v>
      </c>
      <c r="I36" s="167">
        <f t="shared" si="134"/>
        <v>0.72062813648041901</v>
      </c>
      <c r="J36" s="379">
        <f t="shared" si="134"/>
        <v>0.53029812578901359</v>
      </c>
      <c r="K36" s="167">
        <f t="shared" si="134"/>
        <v>0.60826895182445728</v>
      </c>
      <c r="L36" s="167">
        <f t="shared" si="134"/>
        <v>0.41675920324094973</v>
      </c>
      <c r="M36" s="167">
        <f t="shared" si="134"/>
        <v>0.1096721974908943</v>
      </c>
      <c r="N36" s="379">
        <f t="shared" si="134"/>
        <v>0.2156666772429694</v>
      </c>
      <c r="O36" s="167">
        <f t="shared" si="134"/>
        <v>9.9593820961396906E-2</v>
      </c>
      <c r="P36" s="167">
        <f t="shared" si="134"/>
        <v>1.505413542775913E-2</v>
      </c>
      <c r="Q36" s="167">
        <f t="shared" si="134"/>
        <v>4.9724590658718704E-2</v>
      </c>
      <c r="R36" s="379">
        <f t="shared" si="134"/>
        <v>-0.13019553254888305</v>
      </c>
      <c r="S36" s="167">
        <f t="shared" si="134"/>
        <v>-2.2367005031848963E-2</v>
      </c>
      <c r="T36" s="167">
        <f t="shared" si="134"/>
        <v>2.8090785157415032E-2</v>
      </c>
      <c r="U36" s="167" t="s">
        <v>251</v>
      </c>
      <c r="V36" s="379" t="s">
        <v>251</v>
      </c>
      <c r="W36" s="167" t="s">
        <v>251</v>
      </c>
      <c r="X36" s="167" t="s">
        <v>251</v>
      </c>
      <c r="Y36" s="384"/>
      <c r="Z36" s="384"/>
      <c r="AA36" s="384"/>
      <c r="AB36" s="384"/>
      <c r="AC36" s="384"/>
      <c r="AD36" s="167">
        <f t="shared" si="135"/>
        <v>0.38012808472738069</v>
      </c>
      <c r="AE36" s="379">
        <f t="shared" si="135"/>
        <v>0.60693395724768706</v>
      </c>
      <c r="AF36" s="167">
        <f t="shared" si="135"/>
        <v>0.49848542052628342</v>
      </c>
      <c r="AG36" s="379">
        <f t="shared" si="135"/>
        <v>0.16996871427711913</v>
      </c>
      <c r="AH36" s="167">
        <f t="shared" si="135"/>
        <v>5.3774309034552603E-2</v>
      </c>
      <c r="AI36" s="379">
        <f t="shared" si="135"/>
        <v>-5.6623324531203001E-2</v>
      </c>
      <c r="AJ36" s="167">
        <f t="shared" si="135"/>
        <v>3.9756567479130034E-3</v>
      </c>
      <c r="AK36" s="379" t="s">
        <v>251</v>
      </c>
      <c r="AL36" s="167" t="s">
        <v>251</v>
      </c>
      <c r="AM36" s="111"/>
      <c r="AN36" s="111"/>
      <c r="AO36" s="111"/>
      <c r="AP36" s="111"/>
      <c r="AQ36" s="167">
        <f t="shared" si="136"/>
        <v>0.50628238324554409</v>
      </c>
      <c r="AR36" s="167">
        <f t="shared" si="136"/>
        <v>0.30354726654123665</v>
      </c>
      <c r="AS36" s="167">
        <f t="shared" si="136"/>
        <v>-5.0215335738885702E-3</v>
      </c>
      <c r="AT36" s="167" t="s">
        <v>251</v>
      </c>
      <c r="AU36" s="111"/>
      <c r="AV36" s="111"/>
      <c r="AW36" s="111"/>
      <c r="AX36" s="111"/>
      <c r="AY36" s="111"/>
      <c r="AZ36" s="111"/>
      <c r="BA36" s="111"/>
      <c r="BB36" s="111"/>
      <c r="BC36" s="111"/>
      <c r="BD36" s="111"/>
      <c r="BE36" s="111"/>
      <c r="BF36" s="111"/>
      <c r="BG36" s="111"/>
      <c r="BH36" s="111"/>
      <c r="BI36" s="111"/>
    </row>
    <row r="37" spans="1:61">
      <c r="A37" s="5"/>
      <c r="C37" s="111"/>
      <c r="D37" s="111"/>
      <c r="E37" s="111"/>
      <c r="F37" s="111"/>
      <c r="G37" s="111"/>
      <c r="H37" s="111"/>
      <c r="I37" s="111"/>
      <c r="J37" s="378"/>
      <c r="K37" s="384"/>
      <c r="L37" s="384"/>
      <c r="M37" s="384"/>
      <c r="N37" s="378"/>
      <c r="O37" s="384"/>
      <c r="P37" s="384"/>
      <c r="Q37" s="384"/>
      <c r="R37" s="378"/>
      <c r="S37" s="384"/>
      <c r="T37" s="384"/>
      <c r="U37" s="384"/>
      <c r="V37" s="378"/>
      <c r="W37" s="384"/>
      <c r="X37" s="384"/>
      <c r="Y37" s="384"/>
      <c r="Z37" s="384"/>
      <c r="AA37" s="384"/>
      <c r="AB37" s="384"/>
      <c r="AC37" s="384"/>
      <c r="AD37" s="384"/>
      <c r="AE37" s="378"/>
      <c r="AF37" s="384"/>
      <c r="AG37" s="378"/>
      <c r="AH37" s="384"/>
      <c r="AI37" s="378"/>
      <c r="AJ37" s="384"/>
      <c r="AK37" s="378"/>
      <c r="AL37" s="111"/>
      <c r="AM37" s="111"/>
      <c r="AN37" s="111"/>
      <c r="AO37" s="111"/>
      <c r="AP37" s="111"/>
      <c r="AQ37" s="111"/>
      <c r="AR37" s="111"/>
      <c r="AS37" s="111"/>
      <c r="AT37" s="111"/>
      <c r="AU37" s="9"/>
      <c r="AV37" s="9"/>
      <c r="AW37" s="9"/>
      <c r="AX37" s="9"/>
      <c r="AY37" s="9"/>
      <c r="AZ37" s="9"/>
      <c r="BA37" s="9"/>
      <c r="BB37" s="9"/>
      <c r="BC37" s="9"/>
      <c r="BD37" s="9"/>
      <c r="BE37" s="9"/>
      <c r="BF37" s="9"/>
      <c r="BG37" s="9"/>
      <c r="BH37" s="9"/>
      <c r="BI37" s="9"/>
    </row>
    <row r="38" spans="1:61" s="29" customFormat="1">
      <c r="A38" s="133" t="s">
        <v>1689</v>
      </c>
      <c r="C38" s="111"/>
      <c r="D38" s="111"/>
      <c r="E38" s="111"/>
      <c r="F38" s="111"/>
      <c r="G38" s="111"/>
      <c r="H38" s="111"/>
      <c r="I38" s="111"/>
      <c r="J38" s="378"/>
      <c r="K38" s="384"/>
      <c r="L38" s="384"/>
      <c r="M38" s="384"/>
      <c r="N38" s="378"/>
      <c r="O38" s="384"/>
      <c r="P38" s="384"/>
      <c r="Q38" s="384"/>
      <c r="R38" s="378"/>
      <c r="S38" s="384"/>
      <c r="T38" s="384"/>
      <c r="U38" s="384"/>
      <c r="V38" s="378"/>
      <c r="W38" s="384"/>
      <c r="X38" s="384"/>
      <c r="Y38" s="384"/>
      <c r="Z38" s="384"/>
      <c r="AA38" s="384"/>
      <c r="AB38" s="384"/>
      <c r="AC38" s="384"/>
      <c r="AD38" s="384"/>
      <c r="AE38" s="378"/>
      <c r="AF38" s="384"/>
      <c r="AG38" s="378"/>
      <c r="AH38" s="384"/>
      <c r="AI38" s="378"/>
      <c r="AJ38" s="384"/>
      <c r="AK38" s="378"/>
      <c r="AL38" s="111"/>
      <c r="AM38" s="111"/>
      <c r="AN38" s="111"/>
      <c r="AO38" s="111"/>
      <c r="AP38" s="111"/>
      <c r="AQ38" s="111"/>
      <c r="AR38" s="111"/>
      <c r="AS38" s="111"/>
      <c r="AT38" s="111"/>
      <c r="AU38" s="111"/>
      <c r="AV38" s="111"/>
      <c r="AW38" s="111"/>
      <c r="AX38" s="111"/>
      <c r="AY38" s="111"/>
      <c r="AZ38" s="111"/>
      <c r="BA38" s="111"/>
      <c r="BB38" s="111"/>
      <c r="BC38" s="111"/>
      <c r="BD38" s="111"/>
      <c r="BE38" s="111"/>
      <c r="BF38" s="111"/>
      <c r="BG38" s="111"/>
      <c r="BH38" s="111"/>
      <c r="BI38" s="111"/>
    </row>
    <row r="39" spans="1:61" s="29" customFormat="1">
      <c r="A39" s="91" t="s">
        <v>529</v>
      </c>
      <c r="C39" s="167"/>
      <c r="D39" s="167"/>
      <c r="E39" s="167"/>
      <c r="F39" s="167"/>
      <c r="G39" s="167"/>
      <c r="H39" s="167"/>
      <c r="I39" s="167"/>
      <c r="J39" s="379"/>
      <c r="K39" s="167"/>
      <c r="L39" s="167"/>
      <c r="M39" s="167"/>
      <c r="N39" s="379"/>
      <c r="O39" s="167"/>
      <c r="P39" s="167"/>
      <c r="Q39" s="167">
        <f t="shared" ref="Q39:X40" si="137">+Q23/Q8</f>
        <v>0.26</v>
      </c>
      <c r="R39" s="379">
        <f t="shared" si="137"/>
        <v>0.24517139207671876</v>
      </c>
      <c r="S39" s="167">
        <f t="shared" si="137"/>
        <v>0.19</v>
      </c>
      <c r="T39" s="167">
        <f t="shared" si="137"/>
        <v>0.23115634617417999</v>
      </c>
      <c r="U39" s="167">
        <f t="shared" si="137"/>
        <v>0.24000000000000002</v>
      </c>
      <c r="V39" s="379">
        <f t="shared" si="137"/>
        <v>0.22746541574568099</v>
      </c>
      <c r="W39" s="167">
        <f t="shared" si="137"/>
        <v>0.20599999999999999</v>
      </c>
      <c r="X39" s="167">
        <f t="shared" si="137"/>
        <v>0.16997764377116947</v>
      </c>
      <c r="Y39" s="384"/>
      <c r="Z39" s="384"/>
      <c r="AA39" s="384"/>
      <c r="AB39" s="167" t="s">
        <v>251</v>
      </c>
      <c r="AC39" s="167" t="s">
        <v>251</v>
      </c>
      <c r="AD39" s="167">
        <f t="shared" ref="AD39:AL39" si="138">+AD23/AD8</f>
        <v>0.26384785512120756</v>
      </c>
      <c r="AE39" s="379">
        <f t="shared" si="138"/>
        <v>0.3065123844855821</v>
      </c>
      <c r="AF39" s="167">
        <f t="shared" si="138"/>
        <v>0.20499127674232018</v>
      </c>
      <c r="AG39" s="379">
        <f t="shared" si="138"/>
        <v>0.21733535202003687</v>
      </c>
      <c r="AH39" s="167">
        <f t="shared" si="138"/>
        <v>0.13148967993436633</v>
      </c>
      <c r="AI39" s="379">
        <f t="shared" si="138"/>
        <v>0.25055132486616971</v>
      </c>
      <c r="AJ39" s="167">
        <f t="shared" si="138"/>
        <v>0.21264613135063221</v>
      </c>
      <c r="AK39" s="379">
        <f t="shared" si="138"/>
        <v>0.2319776073313296</v>
      </c>
      <c r="AL39" s="167">
        <f t="shared" si="138"/>
        <v>0.18769204282955665</v>
      </c>
      <c r="AM39" s="111"/>
      <c r="AN39" s="111"/>
      <c r="AO39" s="111"/>
      <c r="AP39" s="167" t="s">
        <v>251</v>
      </c>
      <c r="AQ39" s="167">
        <f>+AQ23/AQ8</f>
        <v>0.29456668915723899</v>
      </c>
      <c r="AR39" s="167">
        <f>+AR23/AR8</f>
        <v>0.21332795057683193</v>
      </c>
      <c r="AS39" s="167">
        <f>+AS23/AS8</f>
        <v>0.20815768600832549</v>
      </c>
      <c r="AT39" s="167">
        <f>+AT23/AT8</f>
        <v>0.22424192145051619</v>
      </c>
      <c r="AU39" s="111"/>
      <c r="AV39" s="111"/>
      <c r="AW39" s="111"/>
      <c r="AX39" s="111"/>
      <c r="AY39" s="111"/>
      <c r="AZ39" s="111"/>
      <c r="BA39" s="111"/>
      <c r="BB39" s="111"/>
      <c r="BC39" s="111"/>
      <c r="BD39" s="111"/>
      <c r="BE39" s="111"/>
      <c r="BF39" s="111"/>
      <c r="BG39" s="111"/>
      <c r="BH39" s="111"/>
      <c r="BI39" s="111"/>
    </row>
    <row r="40" spans="1:61" s="29" customFormat="1">
      <c r="A40" s="91" t="s">
        <v>1680</v>
      </c>
      <c r="C40" s="167">
        <f t="shared" ref="C40:P40" si="139">+C24/C9</f>
        <v>0.45845890238371217</v>
      </c>
      <c r="D40" s="167">
        <f t="shared" si="139"/>
        <v>0.47669351252532233</v>
      </c>
      <c r="E40" s="167">
        <f t="shared" si="139"/>
        <v>0.46761239809508431</v>
      </c>
      <c r="F40" s="167">
        <f t="shared" si="139"/>
        <v>0.48907170203319122</v>
      </c>
      <c r="G40" s="167">
        <f t="shared" si="139"/>
        <v>0.44692352441043537</v>
      </c>
      <c r="H40" s="167">
        <f t="shared" si="139"/>
        <v>0.4634655532359081</v>
      </c>
      <c r="I40" s="167">
        <f t="shared" si="139"/>
        <v>0.4643990534904518</v>
      </c>
      <c r="J40" s="379">
        <f t="shared" si="139"/>
        <v>0.49541909163708359</v>
      </c>
      <c r="K40" s="167">
        <f t="shared" si="139"/>
        <v>0.43915982910132551</v>
      </c>
      <c r="L40" s="167">
        <f t="shared" si="139"/>
        <v>0.47687352187623161</v>
      </c>
      <c r="M40" s="167">
        <f t="shared" si="139"/>
        <v>0.48986263875513197</v>
      </c>
      <c r="N40" s="379">
        <f t="shared" si="139"/>
        <v>0.53376054933865036</v>
      </c>
      <c r="O40" s="167">
        <f t="shared" si="139"/>
        <v>0.48825451885412241</v>
      </c>
      <c r="P40" s="167">
        <f t="shared" si="139"/>
        <v>0.54218548917550857</v>
      </c>
      <c r="Q40" s="167">
        <f t="shared" si="137"/>
        <v>0.49914719426914544</v>
      </c>
      <c r="R40" s="379">
        <f t="shared" si="137"/>
        <v>0.54798202975401389</v>
      </c>
      <c r="S40" s="167">
        <f t="shared" si="137"/>
        <v>0.45627831438584499</v>
      </c>
      <c r="T40" s="167">
        <f t="shared" si="137"/>
        <v>0.49022360077740035</v>
      </c>
      <c r="U40" s="167">
        <f t="shared" si="137"/>
        <v>0.4249729735486929</v>
      </c>
      <c r="V40" s="379">
        <f t="shared" si="137"/>
        <v>0.49908389120383295</v>
      </c>
      <c r="W40" s="167">
        <f t="shared" si="137"/>
        <v>0.43440860215053767</v>
      </c>
      <c r="X40" s="167">
        <f t="shared" si="137"/>
        <v>0.44661024676830346</v>
      </c>
      <c r="Y40" s="384"/>
      <c r="Z40" s="384"/>
      <c r="AA40" s="384"/>
      <c r="AB40" s="167">
        <f t="shared" ref="AB40:AL40" si="140">+AB24/AB9</f>
        <v>0.46766628411755901</v>
      </c>
      <c r="AC40" s="167">
        <f t="shared" si="140"/>
        <v>0.4793368759754853</v>
      </c>
      <c r="AD40" s="167">
        <f t="shared" si="140"/>
        <v>0.45546436023306758</v>
      </c>
      <c r="AE40" s="379">
        <f t="shared" si="140"/>
        <v>0.48166357842724383</v>
      </c>
      <c r="AF40" s="167">
        <f t="shared" si="140"/>
        <v>0.45787787640916527</v>
      </c>
      <c r="AG40" s="379">
        <f t="shared" si="140"/>
        <v>0.51370138649635344</v>
      </c>
      <c r="AH40" s="167">
        <f t="shared" si="140"/>
        <v>0.51563684306818425</v>
      </c>
      <c r="AI40" s="379">
        <f t="shared" si="140"/>
        <v>0.52451213447655898</v>
      </c>
      <c r="AJ40" s="167">
        <f t="shared" si="140"/>
        <v>0.47345637158844517</v>
      </c>
      <c r="AK40" s="379">
        <f t="shared" si="140"/>
        <v>0.46291917007962413</v>
      </c>
      <c r="AL40" s="167">
        <f t="shared" si="140"/>
        <v>0.44046213635736936</v>
      </c>
      <c r="AM40" s="111"/>
      <c r="AN40" s="111"/>
      <c r="AO40" s="111"/>
      <c r="AP40" s="167">
        <f t="shared" ref="AP40:AT40" si="141">+AP24/AP9</f>
        <v>0.47375331530159398</v>
      </c>
      <c r="AQ40" s="167">
        <f t="shared" si="141"/>
        <v>0.46993359924645028</v>
      </c>
      <c r="AR40" s="167">
        <f t="shared" si="141"/>
        <v>0.4865474085825971</v>
      </c>
      <c r="AS40" s="167">
        <f t="shared" si="141"/>
        <v>0.52020964933150704</v>
      </c>
      <c r="AT40" s="167">
        <f t="shared" si="141"/>
        <v>0.46830707336493749</v>
      </c>
      <c r="AU40" s="111"/>
      <c r="AV40" s="111"/>
      <c r="AW40" s="111"/>
      <c r="AX40" s="111"/>
      <c r="AY40" s="111"/>
      <c r="AZ40" s="111"/>
      <c r="BA40" s="111"/>
      <c r="BB40" s="111"/>
      <c r="BC40" s="111"/>
      <c r="BD40" s="111"/>
      <c r="BE40" s="111"/>
      <c r="BF40" s="111"/>
      <c r="BG40" s="111"/>
      <c r="BH40" s="111"/>
      <c r="BI40" s="111"/>
    </row>
    <row r="41" spans="1:61" s="29" customFormat="1">
      <c r="A41" s="91" t="s">
        <v>1686</v>
      </c>
      <c r="C41" s="167">
        <f>+C25/C9</f>
        <v>0.3436879504107242</v>
      </c>
      <c r="D41" s="167">
        <f t="shared" ref="D41:X41" si="142">+D25/D9</f>
        <v>0.35566974652897865</v>
      </c>
      <c r="E41" s="167">
        <f t="shared" si="142"/>
        <v>0.33502502219711033</v>
      </c>
      <c r="F41" s="167">
        <f t="shared" si="142"/>
        <v>0.37007933383039149</v>
      </c>
      <c r="G41" s="167">
        <f t="shared" si="142"/>
        <v>0.32942229382019955</v>
      </c>
      <c r="H41" s="167">
        <f t="shared" si="142"/>
        <v>0.35964316556413545</v>
      </c>
      <c r="I41" s="167">
        <f t="shared" si="142"/>
        <v>0.34701129322011098</v>
      </c>
      <c r="J41" s="379">
        <f t="shared" si="142"/>
        <v>0.38297402785747164</v>
      </c>
      <c r="K41" s="167">
        <f t="shared" si="142"/>
        <v>0.3222435306112541</v>
      </c>
      <c r="L41" s="167">
        <f t="shared" si="142"/>
        <v>0.35656040599132821</v>
      </c>
      <c r="M41" s="167">
        <f t="shared" si="142"/>
        <v>0.36336104212073589</v>
      </c>
      <c r="N41" s="379">
        <f t="shared" si="142"/>
        <v>0.39776404668099008</v>
      </c>
      <c r="O41" s="167">
        <f t="shared" si="142"/>
        <v>0.3399110387465194</v>
      </c>
      <c r="P41" s="167">
        <f t="shared" si="142"/>
        <v>0.38731947264563765</v>
      </c>
      <c r="Q41" s="167">
        <f t="shared" si="142"/>
        <v>0.36253340155779179</v>
      </c>
      <c r="R41" s="379">
        <f t="shared" si="142"/>
        <v>0.39919091808177093</v>
      </c>
      <c r="S41" s="167">
        <f t="shared" si="142"/>
        <v>0.2979088207639668</v>
      </c>
      <c r="T41" s="167">
        <f t="shared" si="142"/>
        <v>0.33820353756453791</v>
      </c>
      <c r="U41" s="167">
        <f t="shared" si="142"/>
        <v>0.27419999041426363</v>
      </c>
      <c r="V41" s="379">
        <f t="shared" si="142"/>
        <v>0.33576275573646519</v>
      </c>
      <c r="W41" s="167">
        <f t="shared" si="142"/>
        <v>0.26640159045725648</v>
      </c>
      <c r="X41" s="167">
        <f t="shared" si="142"/>
        <v>0.27860323507502227</v>
      </c>
      <c r="Y41" s="384"/>
      <c r="Z41" s="384"/>
      <c r="AA41" s="384"/>
      <c r="AB41" s="167">
        <f t="shared" ref="AB41:AL41" si="143">+AB25/AB9</f>
        <v>0.34973803702410056</v>
      </c>
      <c r="AC41" s="167">
        <f t="shared" si="143"/>
        <v>0.35417725111108062</v>
      </c>
      <c r="AD41" s="167">
        <f t="shared" si="143"/>
        <v>0.34502567032890924</v>
      </c>
      <c r="AE41" s="379">
        <f t="shared" si="143"/>
        <v>0.36702672730845892</v>
      </c>
      <c r="AF41" s="167">
        <f t="shared" si="143"/>
        <v>0.33927567065267888</v>
      </c>
      <c r="AG41" s="379">
        <f t="shared" si="143"/>
        <v>0.38204358387159337</v>
      </c>
      <c r="AH41" s="167">
        <f t="shared" si="143"/>
        <v>0.36398168126918501</v>
      </c>
      <c r="AI41" s="379">
        <f t="shared" si="143"/>
        <v>0.38157341071418815</v>
      </c>
      <c r="AJ41" s="167">
        <f t="shared" si="143"/>
        <v>0.31830001564677035</v>
      </c>
      <c r="AK41" s="379">
        <f t="shared" si="143"/>
        <v>0.30572129477557641</v>
      </c>
      <c r="AL41" s="167">
        <f t="shared" si="143"/>
        <v>0.27245512466408817</v>
      </c>
      <c r="AM41" s="111"/>
      <c r="AN41" s="111"/>
      <c r="AO41" s="111"/>
      <c r="AP41" s="167">
        <f t="shared" ref="AP41:AT41" si="144">+AP25/AP9</f>
        <v>0.35205339813937275</v>
      </c>
      <c r="AQ41" s="167">
        <f t="shared" si="144"/>
        <v>0.35717635931606839</v>
      </c>
      <c r="AR41" s="167">
        <f t="shared" si="144"/>
        <v>0.36124018098363381</v>
      </c>
      <c r="AS41" s="167">
        <f t="shared" si="144"/>
        <v>0.3730454479543987</v>
      </c>
      <c r="AT41" s="167">
        <f t="shared" si="144"/>
        <v>0.31215307188928265</v>
      </c>
      <c r="AU41" s="111"/>
      <c r="AV41" s="111"/>
      <c r="AW41" s="111"/>
      <c r="AX41" s="111"/>
      <c r="AY41" s="111"/>
      <c r="AZ41" s="111"/>
      <c r="BA41" s="111"/>
      <c r="BB41" s="111"/>
      <c r="BC41" s="111"/>
      <c r="BD41" s="111"/>
      <c r="BE41" s="111"/>
      <c r="BF41" s="111"/>
      <c r="BG41" s="111"/>
      <c r="BH41" s="111"/>
      <c r="BI41" s="111"/>
    </row>
    <row r="42" spans="1:61" s="29" customFormat="1">
      <c r="A42" s="91" t="s">
        <v>647</v>
      </c>
      <c r="C42" s="167">
        <f>+C26/C10</f>
        <v>0.19865576843727117</v>
      </c>
      <c r="D42" s="167">
        <f t="shared" ref="D42:T42" si="145">+D26/D10</f>
        <v>0.17458416500332669</v>
      </c>
      <c r="E42" s="167">
        <f t="shared" si="145"/>
        <v>0.23401569874027975</v>
      </c>
      <c r="F42" s="167">
        <f t="shared" si="145"/>
        <v>0.238041887349869</v>
      </c>
      <c r="G42" s="167">
        <f t="shared" si="145"/>
        <v>0.25107632670567087</v>
      </c>
      <c r="H42" s="167">
        <f t="shared" si="145"/>
        <v>0.22095215649304739</v>
      </c>
      <c r="I42" s="167">
        <f t="shared" si="145"/>
        <v>0.26199363280858318</v>
      </c>
      <c r="J42" s="379">
        <f t="shared" si="145"/>
        <v>0.23571462360098014</v>
      </c>
      <c r="K42" s="167">
        <f t="shared" si="145"/>
        <v>0.24122764863412566</v>
      </c>
      <c r="L42" s="167">
        <f t="shared" si="145"/>
        <v>0.22829875839815203</v>
      </c>
      <c r="M42" s="167">
        <f t="shared" si="145"/>
        <v>0.24788806602484584</v>
      </c>
      <c r="N42" s="379">
        <f t="shared" si="145"/>
        <v>0.24309135124442946</v>
      </c>
      <c r="O42" s="167">
        <f t="shared" si="145"/>
        <v>0.24766640308051985</v>
      </c>
      <c r="P42" s="167">
        <f t="shared" si="145"/>
        <v>0.26230635955972281</v>
      </c>
      <c r="Q42" s="167">
        <f t="shared" si="145"/>
        <v>0.27555997072480909</v>
      </c>
      <c r="R42" s="379">
        <f t="shared" si="145"/>
        <v>0.22669832945736093</v>
      </c>
      <c r="S42" s="167">
        <f t="shared" si="145"/>
        <v>0.25828361909627784</v>
      </c>
      <c r="T42" s="167">
        <f t="shared" si="145"/>
        <v>0.23520143480109276</v>
      </c>
      <c r="U42" s="167" t="s">
        <v>251</v>
      </c>
      <c r="V42" s="379" t="s">
        <v>251</v>
      </c>
      <c r="W42" s="167" t="s">
        <v>251</v>
      </c>
      <c r="X42" s="167" t="s">
        <v>251</v>
      </c>
      <c r="Y42" s="384"/>
      <c r="Z42" s="384"/>
      <c r="AA42" s="384"/>
      <c r="AB42" s="167">
        <f t="shared" ref="AB42:AJ42" si="146">+AB26/AB10</f>
        <v>0.18570241961425416</v>
      </c>
      <c r="AC42" s="167">
        <f t="shared" si="146"/>
        <v>0.23643391660869625</v>
      </c>
      <c r="AD42" s="167">
        <f t="shared" si="146"/>
        <v>0.23476561796268383</v>
      </c>
      <c r="AE42" s="379">
        <f t="shared" si="146"/>
        <v>0.24701832512952671</v>
      </c>
      <c r="AF42" s="167">
        <f t="shared" si="146"/>
        <v>0.23445330310931339</v>
      </c>
      <c r="AG42" s="379">
        <f t="shared" si="146"/>
        <v>0.24520704681938851</v>
      </c>
      <c r="AH42" s="167">
        <f t="shared" si="146"/>
        <v>0.25532287822878236</v>
      </c>
      <c r="AI42" s="379">
        <f t="shared" si="146"/>
        <v>0.24912862471948719</v>
      </c>
      <c r="AJ42" s="167">
        <f t="shared" si="146"/>
        <v>0.24614934263277799</v>
      </c>
      <c r="AK42" s="379" t="s">
        <v>251</v>
      </c>
      <c r="AL42" s="167" t="s">
        <v>251</v>
      </c>
      <c r="AM42" s="111"/>
      <c r="AN42" s="111"/>
      <c r="AO42" s="111"/>
      <c r="AP42" s="167">
        <f t="shared" ref="AP42:AS43" si="147">+AP26/AP10</f>
        <v>0.21491153662267448</v>
      </c>
      <c r="AQ42" s="167">
        <f t="shared" si="147"/>
        <v>0.24189664682991666</v>
      </c>
      <c r="AR42" s="167">
        <f t="shared" si="147"/>
        <v>0.24031708745934277</v>
      </c>
      <c r="AS42" s="167">
        <f t="shared" si="147"/>
        <v>0.25210662754549035</v>
      </c>
      <c r="AT42" s="167" t="s">
        <v>251</v>
      </c>
      <c r="AU42" s="111"/>
      <c r="AV42" s="111"/>
      <c r="AW42" s="111"/>
      <c r="AX42" s="111"/>
      <c r="AY42" s="111"/>
      <c r="AZ42" s="111"/>
      <c r="BA42" s="111"/>
      <c r="BB42" s="111"/>
      <c r="BC42" s="111"/>
      <c r="BD42" s="111"/>
      <c r="BE42" s="111"/>
      <c r="BF42" s="111"/>
      <c r="BG42" s="111"/>
      <c r="BH42" s="111"/>
      <c r="BI42" s="111"/>
    </row>
    <row r="43" spans="1:61">
      <c r="A43" s="91" t="s">
        <v>1683</v>
      </c>
      <c r="C43" s="167">
        <f>+C27/C11</f>
        <v>0.19516223534432664</v>
      </c>
      <c r="D43" s="167">
        <f t="shared" ref="D43:T43" si="148">+D27/D11</f>
        <v>0.17368122167040093</v>
      </c>
      <c r="E43" s="167">
        <f t="shared" si="148"/>
        <v>0.19819352505318058</v>
      </c>
      <c r="F43" s="167">
        <f t="shared" si="148"/>
        <v>0.19657975533319549</v>
      </c>
      <c r="G43" s="167">
        <f t="shared" si="148"/>
        <v>0.19641785495626379</v>
      </c>
      <c r="H43" s="167">
        <f t="shared" si="148"/>
        <v>0.2005710897707654</v>
      </c>
      <c r="I43" s="167">
        <f t="shared" si="148"/>
        <v>0.21260738439720103</v>
      </c>
      <c r="J43" s="379">
        <f t="shared" si="148"/>
        <v>0.20129140214850488</v>
      </c>
      <c r="K43" s="167">
        <f t="shared" si="148"/>
        <v>0.19788889817142483</v>
      </c>
      <c r="L43" s="167">
        <f t="shared" si="148"/>
        <v>0.20254995346800239</v>
      </c>
      <c r="M43" s="167">
        <f t="shared" si="148"/>
        <v>0.19196326727187796</v>
      </c>
      <c r="N43" s="379">
        <f t="shared" si="148"/>
        <v>0.20057095344164347</v>
      </c>
      <c r="O43" s="167">
        <f t="shared" si="148"/>
        <v>0.2123571201802574</v>
      </c>
      <c r="P43" s="167">
        <f t="shared" si="148"/>
        <v>0.21263460645658055</v>
      </c>
      <c r="Q43" s="167">
        <f t="shared" si="148"/>
        <v>0.21202576659689906</v>
      </c>
      <c r="R43" s="379">
        <f t="shared" si="148"/>
        <v>0.19748641975308642</v>
      </c>
      <c r="S43" s="167">
        <f t="shared" si="148"/>
        <v>0.21016589675034453</v>
      </c>
      <c r="T43" s="167">
        <f t="shared" si="148"/>
        <v>0.20444711309353614</v>
      </c>
      <c r="U43" s="167" t="s">
        <v>251</v>
      </c>
      <c r="V43" s="379" t="s">
        <v>251</v>
      </c>
      <c r="W43" s="167" t="s">
        <v>251</v>
      </c>
      <c r="X43" s="167" t="s">
        <v>251</v>
      </c>
      <c r="Y43" s="381"/>
      <c r="Z43" s="381"/>
      <c r="AA43" s="381"/>
      <c r="AB43" s="167">
        <f t="shared" ref="AB43:AJ43" si="149">+AB27/AB11</f>
        <v>0.18359117767455105</v>
      </c>
      <c r="AC43" s="167">
        <f t="shared" si="149"/>
        <v>0.19722636422227222</v>
      </c>
      <c r="AD43" s="167">
        <f t="shared" si="149"/>
        <v>0.19877741756731404</v>
      </c>
      <c r="AE43" s="379">
        <f t="shared" si="149"/>
        <v>0.20601893599232993</v>
      </c>
      <c r="AF43" s="167">
        <f t="shared" si="149"/>
        <v>0.20038817305050477</v>
      </c>
      <c r="AG43" s="379">
        <f t="shared" si="149"/>
        <v>0.19695952242047093</v>
      </c>
      <c r="AH43" s="167">
        <f t="shared" si="149"/>
        <v>0.21250189792389276</v>
      </c>
      <c r="AI43" s="379">
        <f t="shared" si="149"/>
        <v>0.20384682055874961</v>
      </c>
      <c r="AJ43" s="167">
        <f t="shared" si="149"/>
        <v>0.20706934594530127</v>
      </c>
      <c r="AK43" s="379" t="s">
        <v>251</v>
      </c>
      <c r="AL43" s="167" t="s">
        <v>251</v>
      </c>
      <c r="AM43" s="9"/>
      <c r="AN43" s="9"/>
      <c r="AO43" s="9"/>
      <c r="AP43" s="167">
        <f t="shared" si="147"/>
        <v>0.19093336920160917</v>
      </c>
      <c r="AQ43" s="167">
        <f t="shared" si="147"/>
        <v>0.20301173121273752</v>
      </c>
      <c r="AR43" s="167">
        <f t="shared" si="147"/>
        <v>0.19854741233522238</v>
      </c>
      <c r="AS43" s="167">
        <f t="shared" si="147"/>
        <v>0.208041483000073</v>
      </c>
      <c r="AT43" s="167" t="s">
        <v>251</v>
      </c>
      <c r="AU43" s="9"/>
      <c r="AV43" s="9"/>
      <c r="AW43" s="9"/>
      <c r="AX43" s="9"/>
      <c r="AY43" s="9"/>
      <c r="AZ43" s="9"/>
      <c r="BA43" s="9"/>
      <c r="BB43" s="9"/>
      <c r="BC43" s="9"/>
      <c r="BD43" s="9"/>
      <c r="BE43" s="9"/>
      <c r="BF43" s="9"/>
      <c r="BG43" s="9"/>
      <c r="BH43" s="9"/>
      <c r="BI43" s="9"/>
    </row>
    <row r="44" spans="1:61">
      <c r="A44" s="5"/>
      <c r="C44" s="9"/>
      <c r="D44" s="9"/>
      <c r="E44" s="9"/>
      <c r="F44" s="9"/>
      <c r="G44" s="9"/>
      <c r="H44" s="9"/>
      <c r="I44" s="9"/>
      <c r="J44" s="375"/>
      <c r="K44" s="381"/>
      <c r="L44" s="381"/>
      <c r="M44" s="381"/>
      <c r="N44" s="375"/>
      <c r="O44" s="381"/>
      <c r="P44" s="381"/>
      <c r="Q44" s="381"/>
      <c r="R44" s="375"/>
      <c r="S44" s="381"/>
      <c r="T44" s="381"/>
      <c r="U44" s="381"/>
      <c r="V44" s="375"/>
      <c r="W44" s="381"/>
      <c r="X44" s="381"/>
      <c r="Y44" s="381"/>
      <c r="Z44" s="381"/>
      <c r="AA44" s="381"/>
      <c r="AB44" s="381"/>
      <c r="AC44" s="381"/>
      <c r="AD44" s="381"/>
      <c r="AE44" s="375"/>
      <c r="AF44" s="381"/>
      <c r="AG44" s="375"/>
      <c r="AH44" s="381"/>
      <c r="AI44" s="375"/>
      <c r="AJ44" s="381"/>
      <c r="AK44" s="375"/>
      <c r="AL44" s="9"/>
      <c r="AM44" s="9"/>
      <c r="AN44" s="9"/>
      <c r="AO44" s="9"/>
      <c r="AP44" s="9"/>
      <c r="AQ44" s="9"/>
      <c r="AR44" s="9"/>
      <c r="AS44" s="9"/>
      <c r="AT44" s="9"/>
      <c r="AU44" s="9"/>
      <c r="AV44" s="9"/>
      <c r="AW44" s="9"/>
      <c r="AX44" s="9"/>
      <c r="AY44" s="9"/>
      <c r="AZ44" s="9"/>
      <c r="BA44" s="9"/>
      <c r="BB44" s="9"/>
      <c r="BC44" s="9"/>
      <c r="BD44" s="9"/>
      <c r="BE44" s="9"/>
      <c r="BF44" s="9"/>
      <c r="BG44" s="9"/>
      <c r="BH44" s="9"/>
      <c r="BI44" s="9"/>
    </row>
    <row r="45" spans="1:61">
      <c r="A45" s="4" t="s">
        <v>142</v>
      </c>
      <c r="C45" s="9"/>
      <c r="D45" s="9"/>
      <c r="E45" s="9"/>
      <c r="F45" s="9"/>
      <c r="G45" s="9"/>
      <c r="H45" s="9"/>
      <c r="I45" s="9"/>
      <c r="J45" s="375"/>
      <c r="K45" s="381"/>
      <c r="L45" s="381"/>
      <c r="M45" s="381"/>
      <c r="N45" s="375"/>
      <c r="O45" s="381"/>
      <c r="P45" s="381"/>
      <c r="Q45" s="381"/>
      <c r="R45" s="375"/>
      <c r="S45" s="381"/>
      <c r="T45" s="381"/>
      <c r="U45" s="381"/>
      <c r="V45" s="375"/>
      <c r="W45" s="381"/>
      <c r="X45" s="381"/>
      <c r="Y45" s="381"/>
      <c r="Z45" s="381"/>
      <c r="AA45" s="381"/>
      <c r="AB45" s="381"/>
      <c r="AC45" s="381"/>
      <c r="AD45" s="381"/>
      <c r="AE45" s="375"/>
      <c r="AF45" s="381"/>
      <c r="AG45" s="375"/>
      <c r="AH45" s="381"/>
      <c r="AI45" s="375"/>
      <c r="AJ45" s="381"/>
      <c r="AK45" s="375"/>
      <c r="AL45" s="9"/>
      <c r="AM45" s="9"/>
      <c r="AN45" s="9"/>
      <c r="AO45" s="9"/>
      <c r="AP45" s="9"/>
      <c r="AQ45" s="9"/>
      <c r="AR45" s="9"/>
      <c r="AS45" s="9"/>
      <c r="AT45" s="9"/>
      <c r="AU45" s="9"/>
      <c r="AV45" s="9"/>
      <c r="AW45" s="9"/>
      <c r="AX45" s="9"/>
      <c r="AY45" s="9"/>
      <c r="AZ45" s="9"/>
      <c r="BA45" s="9"/>
      <c r="BB45" s="9"/>
      <c r="BC45" s="9"/>
      <c r="BD45" s="9"/>
      <c r="BE45" s="9"/>
      <c r="BF45" s="9"/>
      <c r="BG45" s="9"/>
      <c r="BH45" s="9"/>
      <c r="BI45" s="9"/>
    </row>
    <row r="46" spans="1:61">
      <c r="A46" t="s">
        <v>529</v>
      </c>
      <c r="C46" s="372"/>
      <c r="D46" s="372"/>
      <c r="E46" s="372"/>
      <c r="F46" s="372"/>
      <c r="G46" s="372"/>
      <c r="H46" s="372"/>
      <c r="I46" s="372"/>
      <c r="J46" s="380"/>
      <c r="K46" s="385"/>
      <c r="L46" s="385"/>
      <c r="M46" s="385"/>
      <c r="N46" s="380"/>
      <c r="O46" s="385"/>
      <c r="P46" s="385"/>
      <c r="Q46" s="381">
        <f t="shared" ref="Q46:X46" si="150">+Q23-Q62</f>
        <v>8.0390851862623993</v>
      </c>
      <c r="R46" s="375">
        <f t="shared" si="150"/>
        <v>12.190177703226578</v>
      </c>
      <c r="S46" s="381">
        <f t="shared" si="150"/>
        <v>11.051890257233641</v>
      </c>
      <c r="T46" s="381">
        <f t="shared" si="150"/>
        <v>13.248631071354783</v>
      </c>
      <c r="U46" s="381">
        <f t="shared" si="150"/>
        <v>14.273283665403609</v>
      </c>
      <c r="V46" s="375">
        <f t="shared" si="150"/>
        <v>22.321255081602374</v>
      </c>
      <c r="W46" s="381">
        <f t="shared" si="150"/>
        <v>21.92672847655318</v>
      </c>
      <c r="X46" s="381">
        <f t="shared" si="150"/>
        <v>21.799653871870976</v>
      </c>
      <c r="Y46" s="381"/>
      <c r="Z46" s="381"/>
      <c r="AA46" s="381"/>
      <c r="AB46" s="385"/>
      <c r="AC46" s="381">
        <f>+'Historical - USD'!C96</f>
        <v>0</v>
      </c>
      <c r="AD46" s="381">
        <f t="shared" ref="AD46:AL46" si="151">+AD23-AD62</f>
        <v>1.5271824327905488</v>
      </c>
      <c r="AE46" s="375">
        <f t="shared" si="151"/>
        <v>4.7347429417020441</v>
      </c>
      <c r="AF46" s="381">
        <f t="shared" si="151"/>
        <v>10.081939372666188</v>
      </c>
      <c r="AG46" s="375">
        <f t="shared" si="151"/>
        <v>25.348127577881687</v>
      </c>
      <c r="AH46" s="381">
        <f t="shared" si="151"/>
        <v>17.388458007212332</v>
      </c>
      <c r="AI46" s="375">
        <f t="shared" si="151"/>
        <v>20.158306313103534</v>
      </c>
      <c r="AJ46" s="381">
        <f t="shared" si="151"/>
        <v>24.252955574434949</v>
      </c>
      <c r="AK46" s="375">
        <f t="shared" si="151"/>
        <v>36.579852907730739</v>
      </c>
      <c r="AL46" s="9">
        <f t="shared" si="151"/>
        <v>43.72638234842416</v>
      </c>
      <c r="AM46" s="9"/>
      <c r="AN46" s="9"/>
      <c r="AO46" s="9"/>
      <c r="AP46" s="372"/>
      <c r="AQ46" s="9">
        <f t="shared" ref="AQ46:AQ50" si="152">+SUM(AD46:AE46)</f>
        <v>6.2619253744925931</v>
      </c>
      <c r="AR46" s="9">
        <f t="shared" ref="AR46:AR50" si="153">+SUM(AF46:AG46)</f>
        <v>35.430066950547875</v>
      </c>
      <c r="AS46" s="9">
        <f t="shared" ref="AS46:AS50" si="154">+SUM(AH46:AI46)</f>
        <v>37.546764320315866</v>
      </c>
      <c r="AT46" s="9">
        <f t="shared" ref="AT46:AT47" si="155">+SUM(AJ46:AK46)</f>
        <v>60.832808482165689</v>
      </c>
      <c r="AU46" s="9"/>
      <c r="AV46" s="9"/>
      <c r="AW46" s="9"/>
      <c r="AX46" s="9"/>
      <c r="AY46" s="9"/>
      <c r="AZ46" s="9"/>
      <c r="BA46" s="9"/>
      <c r="BB46" s="9"/>
      <c r="BC46" s="9"/>
      <c r="BD46" s="9"/>
      <c r="BE46" s="9"/>
      <c r="BF46" s="9"/>
      <c r="BG46" s="9"/>
      <c r="BH46" s="9"/>
      <c r="BI46" s="9"/>
    </row>
    <row r="47" spans="1:61">
      <c r="A47" t="s">
        <v>1686</v>
      </c>
      <c r="C47" s="9">
        <f>+C24-C63</f>
        <v>40.298999999999999</v>
      </c>
      <c r="D47" s="9">
        <f t="shared" ref="D47:X47" si="156">+D24-D63</f>
        <v>42.335999999999999</v>
      </c>
      <c r="E47" s="9">
        <f t="shared" si="156"/>
        <v>41.986999999999995</v>
      </c>
      <c r="F47" s="9">
        <f t="shared" si="156"/>
        <v>45.515000000000001</v>
      </c>
      <c r="G47" s="9">
        <f t="shared" si="156"/>
        <v>46.817999999999998</v>
      </c>
      <c r="H47" s="9">
        <f t="shared" si="156"/>
        <v>40.220999999999997</v>
      </c>
      <c r="I47" s="9">
        <f t="shared" si="156"/>
        <v>48.242999999999995</v>
      </c>
      <c r="J47" s="375">
        <f t="shared" si="156"/>
        <v>56.426999999999992</v>
      </c>
      <c r="K47" s="381">
        <f t="shared" si="156"/>
        <v>61.220999999999997</v>
      </c>
      <c r="L47" s="381">
        <f t="shared" si="156"/>
        <v>66.257999999999996</v>
      </c>
      <c r="M47" s="381">
        <f t="shared" si="156"/>
        <v>63.289000000000001</v>
      </c>
      <c r="N47" s="375">
        <f t="shared" si="156"/>
        <v>71.814999999999998</v>
      </c>
      <c r="O47" s="381">
        <f t="shared" si="156"/>
        <v>71.945999999999998</v>
      </c>
      <c r="P47" s="381">
        <f t="shared" si="156"/>
        <v>81.608000000000061</v>
      </c>
      <c r="Q47" s="381">
        <f t="shared" si="156"/>
        <v>76.201999999999998</v>
      </c>
      <c r="R47" s="375">
        <f t="shared" si="156"/>
        <v>86.43</v>
      </c>
      <c r="S47" s="381">
        <f t="shared" si="156"/>
        <v>87.503</v>
      </c>
      <c r="T47" s="381">
        <f t="shared" si="156"/>
        <v>91.402000000000015</v>
      </c>
      <c r="U47" s="381">
        <f t="shared" si="156"/>
        <v>80.644999999999996</v>
      </c>
      <c r="V47" s="375">
        <f t="shared" si="156"/>
        <v>90.403000000000006</v>
      </c>
      <c r="W47" s="381">
        <f t="shared" si="156"/>
        <v>92.403999999999996</v>
      </c>
      <c r="X47" s="381">
        <f t="shared" si="156"/>
        <v>85.181999999999988</v>
      </c>
      <c r="Y47" s="381"/>
      <c r="Z47" s="381"/>
      <c r="AA47" s="381"/>
      <c r="AB47" s="381">
        <f>+SUM(C47:D47)</f>
        <v>82.634999999999991</v>
      </c>
      <c r="AC47" s="381">
        <f>+SUM(E47:F47)</f>
        <v>87.501999999999995</v>
      </c>
      <c r="AD47" s="381">
        <f t="shared" ref="AD47:AD50" si="157">+SUM(G47:H47)</f>
        <v>87.038999999999987</v>
      </c>
      <c r="AE47" s="375">
        <f t="shared" ref="AE47:AE50" si="158">+SUM(I47:J47)</f>
        <v>104.66999999999999</v>
      </c>
      <c r="AF47" s="381">
        <f t="shared" ref="AF47:AF50" si="159">+SUM(K47:L47)</f>
        <v>127.47899999999998</v>
      </c>
      <c r="AG47" s="375">
        <f t="shared" ref="AG47:AG50" si="160">+SUM(M47:N47)</f>
        <v>135.10399999999998</v>
      </c>
      <c r="AH47" s="381">
        <f t="shared" ref="AH47:AH50" si="161">+SUM(O47:P47)</f>
        <v>153.55400000000006</v>
      </c>
      <c r="AI47" s="375">
        <f t="shared" ref="AI47:AI50" si="162">+SUM(Q47:R47)</f>
        <v>162.63200000000001</v>
      </c>
      <c r="AJ47" s="381">
        <f t="shared" ref="AJ47:AJ50" si="163">+SUM(S47:T47)</f>
        <v>178.90500000000003</v>
      </c>
      <c r="AK47" s="375">
        <f t="shared" ref="AK47" si="164">+SUM(U47:V47)</f>
        <v>171.048</v>
      </c>
      <c r="AL47" s="9">
        <f t="shared" ref="AL47" si="165">+SUM(W47:X47)</f>
        <v>177.58599999999998</v>
      </c>
      <c r="AM47" s="9"/>
      <c r="AN47" s="9"/>
      <c r="AO47" s="9"/>
      <c r="AP47" s="9">
        <f t="shared" ref="AP47:AP50" si="166">+SUM(AB47:AC47)</f>
        <v>170.137</v>
      </c>
      <c r="AQ47" s="9">
        <f t="shared" si="152"/>
        <v>191.70899999999997</v>
      </c>
      <c r="AR47" s="9">
        <f t="shared" si="153"/>
        <v>262.58299999999997</v>
      </c>
      <c r="AS47" s="9">
        <f t="shared" si="154"/>
        <v>316.18600000000004</v>
      </c>
      <c r="AT47" s="9">
        <f t="shared" si="155"/>
        <v>349.95300000000003</v>
      </c>
      <c r="AU47" s="9"/>
      <c r="AV47" s="9"/>
      <c r="AW47" s="9"/>
      <c r="AX47" s="9"/>
      <c r="AY47" s="9"/>
      <c r="AZ47" s="9"/>
      <c r="BA47" s="9"/>
      <c r="BB47" s="9"/>
      <c r="BC47" s="9"/>
      <c r="BD47" s="9"/>
      <c r="BE47" s="9"/>
      <c r="BF47" s="9"/>
      <c r="BG47" s="9"/>
      <c r="BH47" s="9"/>
      <c r="BI47" s="9"/>
    </row>
    <row r="48" spans="1:61">
      <c r="A48" t="s">
        <v>1687</v>
      </c>
      <c r="C48" s="9">
        <f>+C47-C49</f>
        <v>11.387</v>
      </c>
      <c r="D48" s="9">
        <f t="shared" ref="D48:T48" si="167">+D47-D49</f>
        <v>12.247</v>
      </c>
      <c r="E48" s="9">
        <f t="shared" si="167"/>
        <v>13.140999999999995</v>
      </c>
      <c r="F48" s="9">
        <f t="shared" si="167"/>
        <v>14.204000000000001</v>
      </c>
      <c r="G48" s="9">
        <f t="shared" si="167"/>
        <v>13.128999999999998</v>
      </c>
      <c r="H48" s="9">
        <f t="shared" si="167"/>
        <v>12.383000000000003</v>
      </c>
      <c r="I48" s="9">
        <f t="shared" si="167"/>
        <v>14.832999999999998</v>
      </c>
      <c r="J48" s="375">
        <f t="shared" si="167"/>
        <v>17.832999999999998</v>
      </c>
      <c r="K48" s="381">
        <f t="shared" si="167"/>
        <v>19.265000000000001</v>
      </c>
      <c r="L48" s="381">
        <f t="shared" si="167"/>
        <v>19.534999999999997</v>
      </c>
      <c r="M48" s="381">
        <f t="shared" si="167"/>
        <v>19.966000000000001</v>
      </c>
      <c r="N48" s="375">
        <f t="shared" si="167"/>
        <v>25.509</v>
      </c>
      <c r="O48" s="381">
        <f t="shared" si="167"/>
        <v>25.146000000000001</v>
      </c>
      <c r="P48" s="381">
        <f t="shared" si="167"/>
        <v>27.076000000000001</v>
      </c>
      <c r="Q48" s="381">
        <f t="shared" si="167"/>
        <v>24.028999999999996</v>
      </c>
      <c r="R48" s="375">
        <f t="shared" si="167"/>
        <v>28.284000000000006</v>
      </c>
      <c r="S48" s="381">
        <f t="shared" si="167"/>
        <v>31.497</v>
      </c>
      <c r="T48" s="381">
        <f t="shared" si="167"/>
        <v>30.974999999999987</v>
      </c>
      <c r="U48" s="381">
        <f t="shared" ref="U48" si="168">+U47-U49</f>
        <v>28.311999999999998</v>
      </c>
      <c r="V48" s="375">
        <f t="shared" ref="V48" si="169">+V47-V49</f>
        <v>32.179000000000002</v>
      </c>
      <c r="W48" s="381">
        <f t="shared" ref="W48" si="170">+W47-W49</f>
        <v>39.295999999999999</v>
      </c>
      <c r="X48" s="381">
        <f t="shared" ref="X48" si="171">+X47-X49</f>
        <v>38.691510771927575</v>
      </c>
      <c r="Y48" s="381"/>
      <c r="Z48" s="381"/>
      <c r="AA48" s="381"/>
      <c r="AB48" s="381">
        <f t="shared" ref="AB48:AB49" si="172">+SUM(C48:D48)</f>
        <v>23.634</v>
      </c>
      <c r="AC48" s="381">
        <f t="shared" ref="AC48:AC49" si="173">+SUM(E48:F48)</f>
        <v>27.344999999999995</v>
      </c>
      <c r="AD48" s="381">
        <f t="shared" ref="AD48:AD49" si="174">+SUM(G48:H48)</f>
        <v>25.512</v>
      </c>
      <c r="AE48" s="375">
        <f t="shared" ref="AE48:AE49" si="175">+SUM(I48:J48)</f>
        <v>32.665999999999997</v>
      </c>
      <c r="AF48" s="381">
        <f t="shared" ref="AF48:AF49" si="176">+SUM(K48:L48)</f>
        <v>38.799999999999997</v>
      </c>
      <c r="AG48" s="375">
        <f t="shared" ref="AG48:AG49" si="177">+SUM(M48:N48)</f>
        <v>45.475000000000001</v>
      </c>
      <c r="AH48" s="381">
        <f t="shared" ref="AH48:AH49" si="178">+SUM(O48:P48)</f>
        <v>52.222000000000001</v>
      </c>
      <c r="AI48" s="375">
        <f t="shared" ref="AI48:AI49" si="179">+SUM(Q48:R48)</f>
        <v>52.313000000000002</v>
      </c>
      <c r="AJ48" s="381">
        <f t="shared" ref="AJ48:AJ49" si="180">+SUM(S48:T48)</f>
        <v>62.471999999999987</v>
      </c>
      <c r="AK48" s="375">
        <f t="shared" ref="AK48:AK49" si="181">+SUM(U48:V48)</f>
        <v>60.491</v>
      </c>
      <c r="AL48" s="9">
        <f t="shared" ref="AL48:AL49" si="182">+SUM(W48:X48)</f>
        <v>77.987510771927575</v>
      </c>
      <c r="AM48" s="9"/>
      <c r="AN48" s="9"/>
      <c r="AO48" s="9"/>
      <c r="AP48" s="9">
        <f t="shared" ref="AP48:AP49" si="183">+SUM(AB48:AC48)</f>
        <v>50.978999999999999</v>
      </c>
      <c r="AQ48" s="9">
        <f t="shared" ref="AQ48:AQ49" si="184">+SUM(AD48:AE48)</f>
        <v>58.177999999999997</v>
      </c>
      <c r="AR48" s="9">
        <f t="shared" ref="AR48:AR49" si="185">+SUM(AF48:AG48)</f>
        <v>84.275000000000006</v>
      </c>
      <c r="AS48" s="9">
        <f t="shared" ref="AS48:AS49" si="186">+SUM(AH48:AI48)</f>
        <v>104.535</v>
      </c>
      <c r="AT48" s="9">
        <f t="shared" ref="AT48:AT49" si="187">+SUM(AJ48:AK48)</f>
        <v>122.96299999999999</v>
      </c>
      <c r="AU48" s="9"/>
      <c r="AV48" s="9"/>
      <c r="AW48" s="9"/>
      <c r="AX48" s="9"/>
      <c r="AY48" s="9"/>
      <c r="AZ48" s="9"/>
      <c r="BA48" s="9"/>
      <c r="BB48" s="9"/>
      <c r="BC48" s="9"/>
      <c r="BD48" s="9"/>
      <c r="BE48" s="9"/>
      <c r="BF48" s="9"/>
      <c r="BG48" s="9"/>
      <c r="BH48" s="9"/>
      <c r="BI48" s="9"/>
    </row>
    <row r="49" spans="1:61">
      <c r="A49" t="s">
        <v>1688</v>
      </c>
      <c r="C49" s="9">
        <f>+C25-C63</f>
        <v>28.911999999999999</v>
      </c>
      <c r="D49" s="9">
        <f t="shared" ref="D49:T49" si="188">+D25-D63</f>
        <v>30.088999999999999</v>
      </c>
      <c r="E49" s="9">
        <f t="shared" si="188"/>
        <v>28.846</v>
      </c>
      <c r="F49" s="9">
        <f t="shared" si="188"/>
        <v>31.311</v>
      </c>
      <c r="G49" s="9">
        <f t="shared" si="188"/>
        <v>33.689</v>
      </c>
      <c r="H49" s="9">
        <f t="shared" si="188"/>
        <v>27.837999999999994</v>
      </c>
      <c r="I49" s="9">
        <f t="shared" si="188"/>
        <v>33.409999999999997</v>
      </c>
      <c r="J49" s="375">
        <f t="shared" si="188"/>
        <v>38.593999999999994</v>
      </c>
      <c r="K49" s="381">
        <f t="shared" si="188"/>
        <v>41.955999999999996</v>
      </c>
      <c r="L49" s="381">
        <f t="shared" si="188"/>
        <v>46.722999999999999</v>
      </c>
      <c r="M49" s="381">
        <f t="shared" si="188"/>
        <v>43.323</v>
      </c>
      <c r="N49" s="375">
        <f t="shared" si="188"/>
        <v>46.305999999999997</v>
      </c>
      <c r="O49" s="381">
        <f t="shared" si="188"/>
        <v>46.8</v>
      </c>
      <c r="P49" s="381">
        <f t="shared" si="188"/>
        <v>54.53200000000006</v>
      </c>
      <c r="Q49" s="381">
        <f t="shared" si="188"/>
        <v>52.173000000000002</v>
      </c>
      <c r="R49" s="375">
        <f t="shared" si="188"/>
        <v>58.146000000000001</v>
      </c>
      <c r="S49" s="381">
        <f t="shared" si="188"/>
        <v>56.006</v>
      </c>
      <c r="T49" s="381">
        <f t="shared" si="188"/>
        <v>60.427000000000028</v>
      </c>
      <c r="U49" s="381">
        <f t="shared" ref="U49:X49" si="189">+U25-U63</f>
        <v>52.332999999999998</v>
      </c>
      <c r="V49" s="375">
        <f t="shared" si="189"/>
        <v>58.224000000000004</v>
      </c>
      <c r="W49" s="381">
        <f t="shared" si="189"/>
        <v>53.107999999999997</v>
      </c>
      <c r="X49" s="381">
        <f t="shared" si="189"/>
        <v>46.490489228072413</v>
      </c>
      <c r="Y49" s="381"/>
      <c r="Z49" s="381"/>
      <c r="AA49" s="381"/>
      <c r="AB49" s="381">
        <f t="shared" si="172"/>
        <v>59.000999999999998</v>
      </c>
      <c r="AC49" s="381">
        <f t="shared" si="173"/>
        <v>60.156999999999996</v>
      </c>
      <c r="AD49" s="381">
        <f t="shared" si="174"/>
        <v>61.526999999999994</v>
      </c>
      <c r="AE49" s="375">
        <f t="shared" si="175"/>
        <v>72.003999999999991</v>
      </c>
      <c r="AF49" s="381">
        <f t="shared" si="176"/>
        <v>88.679000000000002</v>
      </c>
      <c r="AG49" s="375">
        <f t="shared" si="177"/>
        <v>89.628999999999991</v>
      </c>
      <c r="AH49" s="381">
        <f t="shared" si="178"/>
        <v>101.33200000000005</v>
      </c>
      <c r="AI49" s="375">
        <f t="shared" si="179"/>
        <v>110.319</v>
      </c>
      <c r="AJ49" s="381">
        <f t="shared" si="180"/>
        <v>116.43300000000002</v>
      </c>
      <c r="AK49" s="375">
        <f t="shared" si="181"/>
        <v>110.557</v>
      </c>
      <c r="AL49" s="9">
        <f t="shared" si="182"/>
        <v>99.59848922807241</v>
      </c>
      <c r="AM49" s="9"/>
      <c r="AN49" s="9"/>
      <c r="AO49" s="9"/>
      <c r="AP49" s="9">
        <f t="shared" si="183"/>
        <v>119.15799999999999</v>
      </c>
      <c r="AQ49" s="9">
        <f t="shared" si="184"/>
        <v>133.53099999999998</v>
      </c>
      <c r="AR49" s="9">
        <f t="shared" si="185"/>
        <v>178.30799999999999</v>
      </c>
      <c r="AS49" s="9">
        <f t="shared" si="186"/>
        <v>211.65100000000007</v>
      </c>
      <c r="AT49" s="9">
        <f t="shared" si="187"/>
        <v>226.99</v>
      </c>
      <c r="AU49" s="9"/>
      <c r="AV49" s="9"/>
      <c r="AW49" s="9"/>
      <c r="AX49" s="9"/>
      <c r="AY49" s="9"/>
      <c r="AZ49" s="9"/>
      <c r="BA49" s="9"/>
      <c r="BB49" s="9"/>
      <c r="BC49" s="9"/>
      <c r="BD49" s="9"/>
      <c r="BE49" s="9"/>
      <c r="BF49" s="9"/>
      <c r="BG49" s="9"/>
      <c r="BH49" s="9"/>
      <c r="BI49" s="9"/>
    </row>
    <row r="50" spans="1:61">
      <c r="A50" t="s">
        <v>647</v>
      </c>
      <c r="C50" s="9">
        <f>+C26-C64</f>
        <v>113.52700000000002</v>
      </c>
      <c r="D50" s="9">
        <f t="shared" ref="D50:T50" si="190">+D26-D64</f>
        <v>122.85600000000002</v>
      </c>
      <c r="E50" s="9">
        <f t="shared" si="190"/>
        <v>150.77700000000002</v>
      </c>
      <c r="F50" s="9">
        <f t="shared" si="190"/>
        <v>194.06199999999998</v>
      </c>
      <c r="G50" s="9">
        <f t="shared" si="190"/>
        <v>175.69499999999999</v>
      </c>
      <c r="H50" s="9">
        <f t="shared" si="190"/>
        <v>184.55</v>
      </c>
      <c r="I50" s="9">
        <f t="shared" si="190"/>
        <v>219.34299999999999</v>
      </c>
      <c r="J50" s="375">
        <f t="shared" si="190"/>
        <v>238.77199999999999</v>
      </c>
      <c r="K50" s="381">
        <f t="shared" si="190"/>
        <v>240.065</v>
      </c>
      <c r="L50" s="381">
        <f t="shared" si="190"/>
        <v>250.661</v>
      </c>
      <c r="M50" s="381">
        <f t="shared" si="190"/>
        <v>246.87</v>
      </c>
      <c r="N50" s="375">
        <f t="shared" si="190"/>
        <v>277.27600000000001</v>
      </c>
      <c r="O50" s="381">
        <f t="shared" si="190"/>
        <v>266.298</v>
      </c>
      <c r="P50" s="381">
        <f t="shared" si="190"/>
        <v>291.89400000000001</v>
      </c>
      <c r="Q50" s="381">
        <f t="shared" si="190"/>
        <v>270.68</v>
      </c>
      <c r="R50" s="375">
        <f t="shared" si="190"/>
        <v>293.01800000000003</v>
      </c>
      <c r="S50" s="381">
        <f t="shared" si="190"/>
        <v>275.37299999999999</v>
      </c>
      <c r="T50" s="381">
        <f t="shared" si="190"/>
        <v>273.44299999999998</v>
      </c>
      <c r="U50" s="385"/>
      <c r="V50" s="380"/>
      <c r="W50" s="385"/>
      <c r="X50" s="385"/>
      <c r="Y50" s="381"/>
      <c r="Z50" s="381"/>
      <c r="AA50" s="381"/>
      <c r="AB50" s="381">
        <f>+SUM(C50:D50)</f>
        <v>236.38300000000004</v>
      </c>
      <c r="AC50" s="381">
        <f>+SUM(E50:F50)</f>
        <v>344.839</v>
      </c>
      <c r="AD50" s="381">
        <f t="shared" si="157"/>
        <v>360.245</v>
      </c>
      <c r="AE50" s="375">
        <f t="shared" si="158"/>
        <v>458.11500000000001</v>
      </c>
      <c r="AF50" s="381">
        <f t="shared" si="159"/>
        <v>490.726</v>
      </c>
      <c r="AG50" s="375">
        <f t="shared" si="160"/>
        <v>524.14599999999996</v>
      </c>
      <c r="AH50" s="381">
        <f t="shared" si="161"/>
        <v>558.19200000000001</v>
      </c>
      <c r="AI50" s="375">
        <f t="shared" si="162"/>
        <v>563.69800000000009</v>
      </c>
      <c r="AJ50" s="381">
        <f t="shared" si="163"/>
        <v>548.81600000000003</v>
      </c>
      <c r="AK50" s="380"/>
      <c r="AL50" s="372"/>
      <c r="AM50" s="9"/>
      <c r="AN50" s="9"/>
      <c r="AO50" s="9"/>
      <c r="AP50" s="9">
        <f t="shared" si="166"/>
        <v>581.22199999999998</v>
      </c>
      <c r="AQ50" s="9">
        <f t="shared" si="152"/>
        <v>818.36</v>
      </c>
      <c r="AR50" s="9">
        <f t="shared" si="153"/>
        <v>1014.872</v>
      </c>
      <c r="AS50" s="9">
        <f t="shared" si="154"/>
        <v>1121.8900000000001</v>
      </c>
      <c r="AT50" s="372"/>
      <c r="AU50" s="9"/>
      <c r="AV50" s="9"/>
      <c r="AW50" s="9"/>
      <c r="AX50" s="9"/>
      <c r="AY50" s="9"/>
      <c r="AZ50" s="9"/>
      <c r="BA50" s="9"/>
      <c r="BB50" s="9"/>
      <c r="BC50" s="9"/>
      <c r="BD50" s="9"/>
      <c r="BE50" s="9"/>
      <c r="BF50" s="9"/>
      <c r="BG50" s="9"/>
      <c r="BH50" s="9"/>
      <c r="BI50" s="9"/>
    </row>
    <row r="51" spans="1:61" hidden="1" outlineLevel="1">
      <c r="A51" t="s">
        <v>1678</v>
      </c>
      <c r="C51" s="9"/>
      <c r="D51" s="9"/>
      <c r="E51" s="9"/>
      <c r="F51" s="9"/>
      <c r="G51" s="9"/>
      <c r="H51" s="9"/>
      <c r="I51" s="9"/>
      <c r="J51" s="375"/>
      <c r="K51" s="381"/>
      <c r="L51" s="381"/>
      <c r="M51" s="381"/>
      <c r="N51" s="375"/>
      <c r="O51" s="381"/>
      <c r="P51" s="381"/>
      <c r="Q51" s="381"/>
      <c r="R51" s="375"/>
      <c r="S51" s="381"/>
      <c r="T51" s="381"/>
      <c r="U51" s="381"/>
      <c r="V51" s="375"/>
      <c r="W51" s="381"/>
      <c r="X51" s="381"/>
      <c r="Y51" s="381"/>
      <c r="Z51" s="381"/>
      <c r="AA51" s="381"/>
      <c r="AB51" s="381"/>
      <c r="AC51" s="381"/>
      <c r="AD51" s="381"/>
      <c r="AE51" s="375"/>
      <c r="AF51" s="381"/>
      <c r="AG51" s="375"/>
      <c r="AH51" s="381"/>
      <c r="AI51" s="375"/>
      <c r="AJ51" s="381"/>
      <c r="AK51" s="375"/>
      <c r="AL51" s="9"/>
      <c r="AM51" s="9"/>
      <c r="AN51" s="9"/>
      <c r="AO51" s="9"/>
      <c r="AP51" s="9"/>
      <c r="AQ51" s="9"/>
      <c r="AR51" s="9"/>
      <c r="AS51" s="9"/>
      <c r="AT51" s="9"/>
      <c r="AU51" s="9"/>
      <c r="AV51" s="9"/>
      <c r="AW51" s="9"/>
      <c r="AX51" s="9"/>
      <c r="AY51" s="9"/>
      <c r="AZ51" s="9"/>
      <c r="BA51" s="9"/>
      <c r="BB51" s="9"/>
      <c r="BC51" s="9"/>
      <c r="BD51" s="9"/>
      <c r="BE51" s="9"/>
      <c r="BF51" s="9"/>
      <c r="BG51" s="9"/>
      <c r="BH51" s="9"/>
      <c r="BI51" s="9"/>
    </row>
    <row r="52" spans="1:61" hidden="1" outlineLevel="1">
      <c r="A52" s="5" t="s">
        <v>1679</v>
      </c>
      <c r="C52" s="9"/>
      <c r="D52" s="9"/>
      <c r="E52" s="9"/>
      <c r="F52" s="9"/>
      <c r="G52" s="9"/>
      <c r="H52" s="9"/>
      <c r="I52" s="9"/>
      <c r="J52" s="375"/>
      <c r="K52" s="381"/>
      <c r="L52" s="381"/>
      <c r="M52" s="381"/>
      <c r="N52" s="375"/>
      <c r="O52" s="381"/>
      <c r="P52" s="381"/>
      <c r="Q52" s="381"/>
      <c r="R52" s="375"/>
      <c r="S52" s="381"/>
      <c r="T52" s="381"/>
      <c r="U52" s="381"/>
      <c r="V52" s="375"/>
      <c r="W52" s="381"/>
      <c r="X52" s="381"/>
      <c r="Y52" s="381"/>
      <c r="Z52" s="381"/>
      <c r="AA52" s="381"/>
      <c r="AB52" s="381"/>
      <c r="AC52" s="381"/>
      <c r="AD52" s="381"/>
      <c r="AE52" s="375"/>
      <c r="AF52" s="381"/>
      <c r="AG52" s="375"/>
      <c r="AH52" s="381"/>
      <c r="AI52" s="375"/>
      <c r="AJ52" s="381"/>
      <c r="AK52" s="375"/>
      <c r="AL52" s="9"/>
      <c r="AM52" s="9"/>
      <c r="AN52" s="9"/>
      <c r="AO52" s="9"/>
      <c r="AP52" s="9"/>
      <c r="AQ52" s="9"/>
      <c r="AR52" s="9"/>
      <c r="AS52" s="9"/>
      <c r="AT52" s="9"/>
      <c r="AU52" s="9"/>
      <c r="AV52" s="9"/>
      <c r="AW52" s="9"/>
      <c r="AX52" s="9"/>
      <c r="AY52" s="9"/>
      <c r="AZ52" s="9"/>
      <c r="BA52" s="9"/>
      <c r="BB52" s="9"/>
      <c r="BC52" s="9"/>
      <c r="BD52" s="9"/>
      <c r="BE52" s="9"/>
      <c r="BF52" s="9"/>
      <c r="BG52" s="9"/>
      <c r="BH52" s="9"/>
      <c r="BI52" s="9"/>
    </row>
    <row r="53" spans="1:61" collapsed="1">
      <c r="J53" s="374"/>
      <c r="N53" s="374"/>
      <c r="R53" s="374"/>
      <c r="V53" s="374"/>
      <c r="AE53" s="374"/>
      <c r="AG53" s="374"/>
      <c r="AI53" s="374"/>
      <c r="AK53" s="374"/>
    </row>
    <row r="54" spans="1:61" s="29" customFormat="1">
      <c r="A54" s="133" t="s">
        <v>1689</v>
      </c>
      <c r="C54" s="111"/>
      <c r="D54" s="111"/>
      <c r="E54" s="111"/>
      <c r="F54" s="111"/>
      <c r="G54" s="111"/>
      <c r="H54" s="111"/>
      <c r="I54" s="111"/>
      <c r="J54" s="378"/>
      <c r="K54" s="384"/>
      <c r="L54" s="384"/>
      <c r="M54" s="384"/>
      <c r="N54" s="378"/>
      <c r="O54" s="384"/>
      <c r="P54" s="384"/>
      <c r="Q54" s="384"/>
      <c r="R54" s="378"/>
      <c r="S54" s="384"/>
      <c r="T54" s="384"/>
      <c r="U54" s="384"/>
      <c r="V54" s="378"/>
      <c r="W54" s="384"/>
      <c r="X54" s="384"/>
      <c r="Y54" s="384"/>
      <c r="Z54" s="384"/>
      <c r="AA54" s="384"/>
      <c r="AB54" s="384"/>
      <c r="AC54" s="384"/>
      <c r="AD54" s="384"/>
      <c r="AE54" s="378"/>
      <c r="AF54" s="384"/>
      <c r="AG54" s="378"/>
      <c r="AH54" s="384"/>
      <c r="AI54" s="378"/>
      <c r="AJ54" s="384"/>
      <c r="AK54" s="378"/>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row>
    <row r="55" spans="1:61" s="29" customFormat="1">
      <c r="A55" s="91" t="str">
        <f>+A46</f>
        <v>CTT</v>
      </c>
      <c r="C55" s="167" t="s">
        <v>251</v>
      </c>
      <c r="D55" s="167" t="s">
        <v>251</v>
      </c>
      <c r="E55" s="167" t="s">
        <v>251</v>
      </c>
      <c r="F55" s="167" t="s">
        <v>251</v>
      </c>
      <c r="G55" s="167" t="s">
        <v>251</v>
      </c>
      <c r="H55" s="167" t="s">
        <v>251</v>
      </c>
      <c r="I55" s="167" t="s">
        <v>251</v>
      </c>
      <c r="J55" s="379" t="s">
        <v>251</v>
      </c>
      <c r="K55" s="167" t="s">
        <v>251</v>
      </c>
      <c r="L55" s="167" t="s">
        <v>251</v>
      </c>
      <c r="M55" s="167" t="s">
        <v>251</v>
      </c>
      <c r="N55" s="379" t="s">
        <v>251</v>
      </c>
      <c r="O55" s="167" t="s">
        <v>251</v>
      </c>
      <c r="P55" s="167" t="s">
        <v>251</v>
      </c>
      <c r="Q55" s="167">
        <f>+Q46/Q$8</f>
        <v>0.17715869381853236</v>
      </c>
      <c r="R55" s="379">
        <f t="shared" ref="R55:X55" si="191">+R46/R$8</f>
        <v>0.15295786336611575</v>
      </c>
      <c r="S55" s="167">
        <f t="shared" si="191"/>
        <v>0.15937043522167504</v>
      </c>
      <c r="T55" s="167">
        <f t="shared" si="191"/>
        <v>0.15615634617417998</v>
      </c>
      <c r="U55" s="167">
        <f t="shared" si="191"/>
        <v>0.17154996066089695</v>
      </c>
      <c r="V55" s="379">
        <f t="shared" si="191"/>
        <v>0.15089295105430803</v>
      </c>
      <c r="W55" s="167">
        <f t="shared" si="191"/>
        <v>0.17458638743455496</v>
      </c>
      <c r="X55" s="167">
        <f t="shared" si="191"/>
        <v>0.1679471638203798</v>
      </c>
      <c r="Y55" s="384"/>
      <c r="Z55" s="384"/>
      <c r="AA55" s="384"/>
      <c r="AB55" s="167" t="s">
        <v>251</v>
      </c>
      <c r="AC55" s="167">
        <f>+AC46/AC$8</f>
        <v>0</v>
      </c>
      <c r="AD55" s="167">
        <f t="shared" ref="AD55:AL55" si="192">+AD46/AD$8</f>
        <v>0.14678680235331892</v>
      </c>
      <c r="AE55" s="379">
        <f t="shared" si="192"/>
        <v>0.1769698169870153</v>
      </c>
      <c r="AF55" s="167">
        <f t="shared" si="192"/>
        <v>0.25216044753802558</v>
      </c>
      <c r="AG55" s="379">
        <f t="shared" si="192"/>
        <v>0.30475357519645646</v>
      </c>
      <c r="AH55" s="167">
        <f t="shared" si="192"/>
        <v>0.25142406880538665</v>
      </c>
      <c r="AI55" s="379">
        <f t="shared" si="192"/>
        <v>0.1611707945317484</v>
      </c>
      <c r="AJ55" s="167">
        <f t="shared" si="192"/>
        <v>0.15729340490336352</v>
      </c>
      <c r="AK55" s="379">
        <f t="shared" si="192"/>
        <v>0.15826550870137027</v>
      </c>
      <c r="AL55" s="167">
        <f t="shared" si="192"/>
        <v>0.17121207674812541</v>
      </c>
      <c r="AM55" s="111"/>
      <c r="AN55" s="111"/>
      <c r="AO55" s="111"/>
      <c r="AP55" s="167" t="s">
        <v>251</v>
      </c>
      <c r="AQ55" s="167">
        <f t="shared" ref="AQ55:AT55" si="193">+AQ46/AQ$8</f>
        <v>0.16851883669315726</v>
      </c>
      <c r="AR55" s="167">
        <f t="shared" si="193"/>
        <v>0.28767965342108281</v>
      </c>
      <c r="AS55" s="167">
        <f t="shared" si="193"/>
        <v>0.19330679195968706</v>
      </c>
      <c r="AT55" s="167">
        <f t="shared" si="193"/>
        <v>0.15787651152223947</v>
      </c>
      <c r="AU55" s="111"/>
      <c r="AV55" s="111"/>
      <c r="AW55" s="111"/>
      <c r="AX55" s="111"/>
      <c r="AY55" s="111"/>
      <c r="AZ55" s="111"/>
      <c r="BA55" s="111"/>
      <c r="BB55" s="111"/>
      <c r="BC55" s="111"/>
      <c r="BD55" s="111"/>
      <c r="BE55" s="111"/>
      <c r="BF55" s="111"/>
      <c r="BG55" s="111"/>
      <c r="BH55" s="111"/>
      <c r="BI55" s="111"/>
    </row>
    <row r="56" spans="1:61" s="29" customFormat="1">
      <c r="A56" s="91" t="str">
        <f>+A47</f>
        <v>MYTE (incl. shipping+pmt)</v>
      </c>
      <c r="C56" s="167">
        <f t="shared" ref="C56:X56" si="194">+C47/C$9</f>
        <v>0.40617850123469229</v>
      </c>
      <c r="D56" s="167">
        <f t="shared" si="194"/>
        <v>0.41836059093828748</v>
      </c>
      <c r="E56" s="167">
        <f t="shared" si="194"/>
        <v>0.42363185083541849</v>
      </c>
      <c r="F56" s="167">
        <f t="shared" si="194"/>
        <v>0.38129665155945014</v>
      </c>
      <c r="G56" s="167">
        <f t="shared" si="194"/>
        <v>0.41900926298832059</v>
      </c>
      <c r="H56" s="167">
        <f t="shared" si="194"/>
        <v>0.33722363357396179</v>
      </c>
      <c r="I56" s="167">
        <f t="shared" si="194"/>
        <v>0.3817931449283391</v>
      </c>
      <c r="J56" s="379">
        <f t="shared" si="194"/>
        <v>0.35579754465833924</v>
      </c>
      <c r="K56" s="167">
        <f t="shared" si="194"/>
        <v>0.37154075836286832</v>
      </c>
      <c r="L56" s="167">
        <f t="shared" si="194"/>
        <v>0.40807301931415058</v>
      </c>
      <c r="M56" s="167">
        <f t="shared" si="194"/>
        <v>0.40098965989153024</v>
      </c>
      <c r="N56" s="379">
        <f t="shared" si="194"/>
        <v>0.38286835385000878</v>
      </c>
      <c r="O56" s="167">
        <f t="shared" si="194"/>
        <v>0.42443012884043607</v>
      </c>
      <c r="P56" s="167">
        <f t="shared" si="194"/>
        <v>0.4667715274401581</v>
      </c>
      <c r="Q56" s="167">
        <f t="shared" si="194"/>
        <v>0.43323668201716986</v>
      </c>
      <c r="R56" s="379">
        <f t="shared" si="194"/>
        <v>0.45467457862508681</v>
      </c>
      <c r="S56" s="167">
        <f t="shared" si="194"/>
        <v>0.43997224498825943</v>
      </c>
      <c r="T56" s="167">
        <f t="shared" si="194"/>
        <v>0.44858556312452164</v>
      </c>
      <c r="U56" s="167">
        <f t="shared" si="194"/>
        <v>0.4294676188498181</v>
      </c>
      <c r="V56" s="379">
        <f t="shared" si="194"/>
        <v>0.45883093351740101</v>
      </c>
      <c r="W56" s="167">
        <f t="shared" si="194"/>
        <v>0.39506616216678425</v>
      </c>
      <c r="X56" s="167">
        <f t="shared" si="194"/>
        <v>0.36987889551318504</v>
      </c>
      <c r="Y56" s="384"/>
      <c r="Z56" s="384"/>
      <c r="AA56" s="384"/>
      <c r="AB56" s="167">
        <f t="shared" ref="AB56:AL56" si="195">+AB47/AB$9</f>
        <v>0.41232972406566537</v>
      </c>
      <c r="AC56" s="167">
        <f t="shared" si="195"/>
        <v>0.40050164545200728</v>
      </c>
      <c r="AD56" s="167">
        <f t="shared" si="195"/>
        <v>0.37678242123581202</v>
      </c>
      <c r="AE56" s="379">
        <f t="shared" si="195"/>
        <v>0.36732502316179561</v>
      </c>
      <c r="AF56" s="167">
        <f t="shared" si="195"/>
        <v>0.38967243782554467</v>
      </c>
      <c r="AG56" s="379">
        <f t="shared" si="195"/>
        <v>0.39114888984751139</v>
      </c>
      <c r="AH56" s="167">
        <f t="shared" si="195"/>
        <v>0.44592808997900385</v>
      </c>
      <c r="AI56" s="379">
        <f t="shared" si="195"/>
        <v>0.44437158111601122</v>
      </c>
      <c r="AJ56" s="167">
        <f t="shared" si="195"/>
        <v>0.44433102605559827</v>
      </c>
      <c r="AK56" s="379">
        <f t="shared" si="195"/>
        <v>0.44450219330159457</v>
      </c>
      <c r="AL56" s="167">
        <f t="shared" si="195"/>
        <v>0.38257014338894246</v>
      </c>
      <c r="AM56" s="111"/>
      <c r="AN56" s="111"/>
      <c r="AO56" s="111"/>
      <c r="AP56" s="167">
        <f>+AP47/AP$9</f>
        <v>0.40616055250649935</v>
      </c>
      <c r="AQ56" s="167">
        <f>+AQ47/AQ$9</f>
        <v>0.37155931296733452</v>
      </c>
      <c r="AR56" s="167">
        <f>+AR47/AR$9</f>
        <v>0.39043070595809654</v>
      </c>
      <c r="AS56" s="167">
        <f>+AS47/AS$9</f>
        <v>0.4451261316939053</v>
      </c>
      <c r="AT56" s="167">
        <f>+AT47/AT$9</f>
        <v>0.44441467171758864</v>
      </c>
      <c r="AU56" s="111"/>
      <c r="AV56" s="111"/>
      <c r="AW56" s="111"/>
      <c r="AX56" s="111"/>
      <c r="AY56" s="111"/>
      <c r="AZ56" s="111"/>
      <c r="BA56" s="111"/>
      <c r="BB56" s="111"/>
      <c r="BC56" s="111"/>
      <c r="BD56" s="111"/>
      <c r="BE56" s="111"/>
      <c r="BF56" s="111"/>
      <c r="BG56" s="111"/>
      <c r="BH56" s="111"/>
      <c r="BI56" s="111"/>
    </row>
    <row r="57" spans="1:61" s="29" customFormat="1">
      <c r="A57" s="91" t="str">
        <f t="shared" ref="A57:A58" si="196">+A48</f>
        <v>MYTE shipping+pmt</v>
      </c>
      <c r="C57" s="167">
        <f t="shared" ref="C57:X57" si="197">+C48/C$9</f>
        <v>0.11477095197298795</v>
      </c>
      <c r="D57" s="167">
        <f t="shared" si="197"/>
        <v>0.12102376599634369</v>
      </c>
      <c r="E57" s="167">
        <f t="shared" si="197"/>
        <v>0.13258737589797395</v>
      </c>
      <c r="F57" s="167">
        <f t="shared" si="197"/>
        <v>0.11899236820279972</v>
      </c>
      <c r="G57" s="167">
        <f t="shared" si="197"/>
        <v>0.1175012305902358</v>
      </c>
      <c r="H57" s="167">
        <f t="shared" si="197"/>
        <v>0.10382238767177271</v>
      </c>
      <c r="I57" s="167">
        <f t="shared" si="197"/>
        <v>0.11738776027034084</v>
      </c>
      <c r="J57" s="379">
        <f t="shared" si="197"/>
        <v>0.11244506377961196</v>
      </c>
      <c r="K57" s="167">
        <f t="shared" si="197"/>
        <v>0.11691629849007136</v>
      </c>
      <c r="L57" s="167">
        <f t="shared" si="197"/>
        <v>0.12031311588490341</v>
      </c>
      <c r="M57" s="167">
        <f t="shared" si="197"/>
        <v>0.12650159663439609</v>
      </c>
      <c r="N57" s="379">
        <f t="shared" si="197"/>
        <v>0.13599650265766031</v>
      </c>
      <c r="O57" s="167">
        <f t="shared" si="197"/>
        <v>0.14834348010760301</v>
      </c>
      <c r="P57" s="167">
        <f t="shared" si="197"/>
        <v>0.154866016529871</v>
      </c>
      <c r="Q57" s="167">
        <f t="shared" si="197"/>
        <v>0.13661379271135368</v>
      </c>
      <c r="R57" s="379">
        <f t="shared" si="197"/>
        <v>0.14879111167224293</v>
      </c>
      <c r="S57" s="167">
        <f t="shared" si="197"/>
        <v>0.15836949362187819</v>
      </c>
      <c r="T57" s="167">
        <f t="shared" si="197"/>
        <v>0.15202006321286241</v>
      </c>
      <c r="U57" s="167">
        <f t="shared" si="197"/>
        <v>0.1507729831344293</v>
      </c>
      <c r="V57" s="379">
        <f t="shared" si="197"/>
        <v>0.16332113546736776</v>
      </c>
      <c r="W57" s="167">
        <f t="shared" si="197"/>
        <v>0.16800701169328119</v>
      </c>
      <c r="X57" s="167">
        <f t="shared" si="197"/>
        <v>0.16800701169328117</v>
      </c>
      <c r="Y57" s="384"/>
      <c r="Z57" s="384"/>
      <c r="AA57" s="384"/>
      <c r="AB57" s="167">
        <f t="shared" ref="AB57:AL57" si="198">+AB48/AB$9</f>
        <v>0.11792824709345841</v>
      </c>
      <c r="AC57" s="167">
        <f t="shared" si="198"/>
        <v>0.12515962486440466</v>
      </c>
      <c r="AD57" s="167">
        <f t="shared" si="198"/>
        <v>0.11043868990415834</v>
      </c>
      <c r="AE57" s="379">
        <f t="shared" si="198"/>
        <v>0.11463685111878491</v>
      </c>
      <c r="AF57" s="167">
        <f t="shared" si="198"/>
        <v>0.11860220575648643</v>
      </c>
      <c r="AG57" s="379">
        <f t="shared" si="198"/>
        <v>0.13165780262476007</v>
      </c>
      <c r="AH57" s="167">
        <f t="shared" si="198"/>
        <v>0.15165516179899927</v>
      </c>
      <c r="AI57" s="379">
        <f t="shared" si="198"/>
        <v>0.14293872376237085</v>
      </c>
      <c r="AJ57" s="167">
        <f t="shared" si="198"/>
        <v>0.15515635594167476</v>
      </c>
      <c r="AK57" s="379">
        <f t="shared" si="198"/>
        <v>0.15719787530404775</v>
      </c>
      <c r="AL57" s="167">
        <f t="shared" si="198"/>
        <v>0.16800701169328117</v>
      </c>
      <c r="AM57" s="111"/>
      <c r="AN57" s="111"/>
      <c r="AO57" s="111"/>
      <c r="AP57" s="167">
        <f t="shared" ref="AP57:AT57" si="199">+AP48/AP$9</f>
        <v>0.12169991716222121</v>
      </c>
      <c r="AQ57" s="167">
        <f t="shared" si="199"/>
        <v>0.11275723993038193</v>
      </c>
      <c r="AR57" s="167">
        <f t="shared" si="199"/>
        <v>0.12530722759896334</v>
      </c>
      <c r="AS57" s="167">
        <f t="shared" si="199"/>
        <v>0.14716420137710837</v>
      </c>
      <c r="AT57" s="167">
        <f t="shared" si="199"/>
        <v>0.15615400147565486</v>
      </c>
      <c r="AU57" s="111"/>
      <c r="AV57" s="111"/>
      <c r="AW57" s="111"/>
      <c r="AX57" s="111"/>
      <c r="AY57" s="111"/>
      <c r="AZ57" s="111"/>
      <c r="BA57" s="111"/>
      <c r="BB57" s="111"/>
      <c r="BC57" s="111"/>
      <c r="BD57" s="111"/>
      <c r="BE57" s="111"/>
      <c r="BF57" s="111"/>
      <c r="BG57" s="111"/>
      <c r="BH57" s="111"/>
      <c r="BI57" s="111"/>
    </row>
    <row r="58" spans="1:61" s="29" customFormat="1">
      <c r="A58" s="91" t="str">
        <f t="shared" si="196"/>
        <v>MYTE (excl. shipping+pmt)</v>
      </c>
      <c r="C58" s="167">
        <f t="shared" ref="C58:X58" si="200">+C49/C$9</f>
        <v>0.29140754926170437</v>
      </c>
      <c r="D58" s="167">
        <f t="shared" si="200"/>
        <v>0.2973368249419438</v>
      </c>
      <c r="E58" s="167">
        <f t="shared" si="200"/>
        <v>0.29104447493744451</v>
      </c>
      <c r="F58" s="167">
        <f t="shared" si="200"/>
        <v>0.2623042833566504</v>
      </c>
      <c r="G58" s="167">
        <f t="shared" si="200"/>
        <v>0.30150803239808477</v>
      </c>
      <c r="H58" s="167">
        <f t="shared" si="200"/>
        <v>0.23340124590218908</v>
      </c>
      <c r="I58" s="167">
        <f t="shared" si="200"/>
        <v>0.26440538465799823</v>
      </c>
      <c r="J58" s="379">
        <f t="shared" si="200"/>
        <v>0.2433524808787273</v>
      </c>
      <c r="K58" s="167">
        <f t="shared" si="200"/>
        <v>0.25462445987279697</v>
      </c>
      <c r="L58" s="167">
        <f t="shared" si="200"/>
        <v>0.28775990342924712</v>
      </c>
      <c r="M58" s="167">
        <f t="shared" si="200"/>
        <v>0.27448806325713421</v>
      </c>
      <c r="N58" s="379">
        <f t="shared" si="200"/>
        <v>0.24687185119234847</v>
      </c>
      <c r="O58" s="167">
        <f t="shared" si="200"/>
        <v>0.27608664873283306</v>
      </c>
      <c r="P58" s="167">
        <f t="shared" si="200"/>
        <v>0.31190551091028712</v>
      </c>
      <c r="Q58" s="167">
        <f t="shared" si="200"/>
        <v>0.29662288930581615</v>
      </c>
      <c r="R58" s="379">
        <f t="shared" si="200"/>
        <v>0.30588346695284385</v>
      </c>
      <c r="S58" s="167">
        <f t="shared" si="200"/>
        <v>0.28160275136638124</v>
      </c>
      <c r="T58" s="167">
        <f t="shared" si="200"/>
        <v>0.2965654999116592</v>
      </c>
      <c r="U58" s="167">
        <f t="shared" si="200"/>
        <v>0.27869463571538883</v>
      </c>
      <c r="V58" s="379">
        <f t="shared" si="200"/>
        <v>0.29550979805003325</v>
      </c>
      <c r="W58" s="167">
        <f t="shared" si="200"/>
        <v>0.22705915047350309</v>
      </c>
      <c r="X58" s="167">
        <f t="shared" si="200"/>
        <v>0.2018718838199039</v>
      </c>
      <c r="Y58" s="384"/>
      <c r="Z58" s="384"/>
      <c r="AA58" s="384"/>
      <c r="AB58" s="167">
        <f t="shared" ref="AB58:AL58" si="201">+AB49/AB$9</f>
        <v>0.29440147697220698</v>
      </c>
      <c r="AC58" s="167">
        <f t="shared" si="201"/>
        <v>0.2753420205876026</v>
      </c>
      <c r="AD58" s="167">
        <f t="shared" si="201"/>
        <v>0.26634373133165368</v>
      </c>
      <c r="AE58" s="379">
        <f t="shared" si="201"/>
        <v>0.25268817204301069</v>
      </c>
      <c r="AF58" s="167">
        <f t="shared" si="201"/>
        <v>0.27107023206905828</v>
      </c>
      <c r="AG58" s="379">
        <f t="shared" si="201"/>
        <v>0.25949108722275133</v>
      </c>
      <c r="AH58" s="167">
        <f t="shared" si="201"/>
        <v>0.29427292818000461</v>
      </c>
      <c r="AI58" s="379">
        <f t="shared" si="201"/>
        <v>0.30143285735364039</v>
      </c>
      <c r="AJ58" s="167">
        <f t="shared" si="201"/>
        <v>0.28917467011392345</v>
      </c>
      <c r="AK58" s="379">
        <f t="shared" si="201"/>
        <v>0.28730431799754685</v>
      </c>
      <c r="AL58" s="167">
        <f t="shared" si="201"/>
        <v>0.2145631316956613</v>
      </c>
      <c r="AM58" s="111"/>
      <c r="AN58" s="111"/>
      <c r="AO58" s="111"/>
      <c r="AP58" s="167">
        <f t="shared" ref="AP58:AT58" si="202">+AP49/AP$9</f>
        <v>0.28446063534427812</v>
      </c>
      <c r="AQ58" s="167">
        <f t="shared" si="202"/>
        <v>0.25880207303695257</v>
      </c>
      <c r="AR58" s="167">
        <f t="shared" si="202"/>
        <v>0.26512347835913325</v>
      </c>
      <c r="AS58" s="167">
        <f t="shared" si="202"/>
        <v>0.29796193031679696</v>
      </c>
      <c r="AT58" s="167">
        <f t="shared" si="202"/>
        <v>0.28826067024193375</v>
      </c>
      <c r="AU58" s="111"/>
      <c r="AV58" s="111"/>
      <c r="AW58" s="111"/>
      <c r="AX58" s="111"/>
      <c r="AY58" s="111"/>
      <c r="AZ58" s="111"/>
      <c r="BA58" s="111"/>
      <c r="BB58" s="111"/>
      <c r="BC58" s="111"/>
      <c r="BD58" s="111"/>
      <c r="BE58" s="111"/>
      <c r="BF58" s="111"/>
      <c r="BG58" s="111"/>
      <c r="BH58" s="111"/>
      <c r="BI58" s="111"/>
    </row>
    <row r="59" spans="1:61" s="29" customFormat="1">
      <c r="A59" s="91" t="str">
        <f t="shared" ref="A59" si="203">+A50</f>
        <v>FTCH</v>
      </c>
      <c r="C59" s="167">
        <f t="shared" ref="C59:T59" si="204">+C50/C$10</f>
        <v>0.2707710727855121</v>
      </c>
      <c r="D59" s="167">
        <f t="shared" si="204"/>
        <v>0.25150928911407955</v>
      </c>
      <c r="E59" s="167">
        <f t="shared" si="204"/>
        <v>0.30644859699114257</v>
      </c>
      <c r="F59" s="167">
        <f t="shared" si="204"/>
        <v>0.26226827419091087</v>
      </c>
      <c r="G59" s="167">
        <f t="shared" si="204"/>
        <v>0.28761250274197298</v>
      </c>
      <c r="H59" s="167">
        <f t="shared" si="204"/>
        <v>0.25585393242849819</v>
      </c>
      <c r="I59" s="167">
        <f t="shared" si="204"/>
        <v>0.27492103679935825</v>
      </c>
      <c r="J59" s="379">
        <f t="shared" si="204"/>
        <v>0.22589806904511867</v>
      </c>
      <c r="K59" s="167">
        <f t="shared" si="204"/>
        <v>0.26219304415445976</v>
      </c>
      <c r="L59" s="167">
        <f t="shared" si="204"/>
        <v>0.24871826165818789</v>
      </c>
      <c r="M59" s="167">
        <f t="shared" si="204"/>
        <v>0.24266843865315921</v>
      </c>
      <c r="N59" s="379">
        <f t="shared" si="204"/>
        <v>0.21508519212346169</v>
      </c>
      <c r="O59" s="167">
        <f t="shared" si="204"/>
        <v>0.28611058584886201</v>
      </c>
      <c r="P59" s="167">
        <f t="shared" si="204"/>
        <v>0.2860449528050425</v>
      </c>
      <c r="Q59" s="167">
        <f t="shared" si="204"/>
        <v>0.27980962856067781</v>
      </c>
      <c r="R59" s="379">
        <f t="shared" si="204"/>
        <v>0.25704934254677264</v>
      </c>
      <c r="S59" s="167">
        <f t="shared" si="204"/>
        <v>0.29557305363126812</v>
      </c>
      <c r="T59" s="167">
        <f t="shared" si="204"/>
        <v>0.26480582829839139</v>
      </c>
      <c r="U59" s="167" t="s">
        <v>251</v>
      </c>
      <c r="V59" s="379" t="s">
        <v>251</v>
      </c>
      <c r="W59" s="167" t="s">
        <v>251</v>
      </c>
      <c r="X59" s="167" t="s">
        <v>251</v>
      </c>
      <c r="Y59" s="384"/>
      <c r="Z59" s="384"/>
      <c r="AA59" s="384"/>
      <c r="AB59" s="167">
        <f t="shared" ref="AB59:AJ59" si="205">+AB50/AB$10</f>
        <v>0.26040597170139734</v>
      </c>
      <c r="AC59" s="167">
        <f t="shared" si="205"/>
        <v>0.27991291861445788</v>
      </c>
      <c r="AD59" s="167">
        <f t="shared" si="205"/>
        <v>0.27041684932411741</v>
      </c>
      <c r="AE59" s="379">
        <f t="shared" si="205"/>
        <v>0.24698489888561218</v>
      </c>
      <c r="AF59" s="167">
        <f t="shared" si="205"/>
        <v>0.25513266767702236</v>
      </c>
      <c r="AG59" s="379">
        <f t="shared" si="205"/>
        <v>0.22725138404801473</v>
      </c>
      <c r="AH59" s="167">
        <f t="shared" si="205"/>
        <v>0.28607626076260767</v>
      </c>
      <c r="AI59" s="379">
        <f t="shared" si="205"/>
        <v>0.26749761899225605</v>
      </c>
      <c r="AJ59" s="167">
        <f t="shared" si="205"/>
        <v>0.27939876035687466</v>
      </c>
      <c r="AK59" s="379" t="s">
        <v>251</v>
      </c>
      <c r="AL59" s="167" t="s">
        <v>251</v>
      </c>
      <c r="AM59" s="111"/>
      <c r="AN59" s="111"/>
      <c r="AO59" s="111"/>
      <c r="AP59" s="167">
        <f>+AP50/AP$10</f>
        <v>0.27163727234531582</v>
      </c>
      <c r="AQ59" s="167">
        <f>+AQ50/AQ$10</f>
        <v>0.25677954348490467</v>
      </c>
      <c r="AR59" s="167">
        <f>+AR50/AR$10</f>
        <v>0.23992960546815342</v>
      </c>
      <c r="AS59" s="167">
        <f>+AS50/AS$10</f>
        <v>0.27642964730081382</v>
      </c>
      <c r="AT59" s="167" t="s">
        <v>251</v>
      </c>
      <c r="AU59" s="111"/>
      <c r="AV59" s="111"/>
      <c r="AW59" s="111"/>
      <c r="AX59" s="111"/>
      <c r="AY59" s="111"/>
      <c r="AZ59" s="111"/>
      <c r="BA59" s="111"/>
      <c r="BB59" s="111"/>
      <c r="BC59" s="111"/>
      <c r="BD59" s="111"/>
      <c r="BE59" s="111"/>
      <c r="BF59" s="111"/>
      <c r="BG59" s="111"/>
      <c r="BH59" s="111"/>
      <c r="BI59" s="111"/>
    </row>
    <row r="60" spans="1:61">
      <c r="J60" s="374"/>
      <c r="N60" s="374"/>
      <c r="R60" s="374"/>
      <c r="V60" s="374"/>
      <c r="AE60" s="374"/>
      <c r="AG60" s="374"/>
      <c r="AI60" s="374"/>
      <c r="AK60" s="374"/>
    </row>
    <row r="61" spans="1:61">
      <c r="A61" s="4" t="s">
        <v>245</v>
      </c>
      <c r="C61" s="9"/>
      <c r="D61" s="9"/>
      <c r="E61" s="9"/>
      <c r="F61" s="9"/>
      <c r="G61" s="9"/>
      <c r="H61" s="9"/>
      <c r="I61" s="9"/>
      <c r="J61" s="375"/>
      <c r="K61" s="381"/>
      <c r="L61" s="381"/>
      <c r="M61" s="381"/>
      <c r="N61" s="375"/>
      <c r="O61" s="381"/>
      <c r="P61" s="381"/>
      <c r="Q61" s="381"/>
      <c r="R61" s="375"/>
      <c r="S61" s="381"/>
      <c r="T61" s="381"/>
      <c r="U61" s="381"/>
      <c r="V61" s="375"/>
      <c r="W61" s="381"/>
      <c r="X61" s="381"/>
      <c r="Y61" s="381"/>
      <c r="Z61" s="381"/>
      <c r="AA61" s="381"/>
      <c r="AB61" s="381"/>
      <c r="AC61" s="381"/>
      <c r="AD61" s="381"/>
      <c r="AE61" s="375"/>
      <c r="AF61" s="381"/>
      <c r="AG61" s="375"/>
      <c r="AH61" s="381"/>
      <c r="AI61" s="375"/>
      <c r="AJ61" s="381"/>
      <c r="AK61" s="375"/>
      <c r="AL61" s="9"/>
      <c r="AM61" s="9"/>
      <c r="AN61" s="9"/>
      <c r="AO61" s="9"/>
      <c r="AP61" s="9"/>
      <c r="AQ61" s="9"/>
      <c r="AR61" s="9"/>
      <c r="AS61" s="9"/>
      <c r="AT61" s="9"/>
      <c r="AU61" s="9"/>
      <c r="AV61" s="9"/>
      <c r="AW61" s="9"/>
      <c r="AX61" s="9"/>
      <c r="AY61" s="9"/>
      <c r="AZ61" s="9"/>
      <c r="BA61" s="9"/>
      <c r="BB61" s="9"/>
      <c r="BC61" s="9"/>
      <c r="BD61" s="9"/>
      <c r="BE61" s="9"/>
      <c r="BF61" s="9"/>
      <c r="BG61" s="9"/>
      <c r="BH61" s="9"/>
      <c r="BI61" s="9"/>
    </row>
    <row r="62" spans="1:61">
      <c r="A62" t="s">
        <v>529</v>
      </c>
      <c r="C62" s="372"/>
      <c r="D62" s="372"/>
      <c r="E62" s="372"/>
      <c r="F62" s="372"/>
      <c r="G62" s="372"/>
      <c r="H62" s="372"/>
      <c r="I62" s="372"/>
      <c r="J62" s="380"/>
      <c r="K62" s="385"/>
      <c r="L62" s="385"/>
      <c r="M62" s="385"/>
      <c r="N62" s="380"/>
      <c r="O62" s="385"/>
      <c r="P62" s="385"/>
      <c r="Q62" s="381">
        <f>+'Q4 FY21e analysis'!T98/1000</f>
        <v>3.7591624942563118</v>
      </c>
      <c r="R62" s="375">
        <f>+'Q4 FY21e analysis'!U98/1000</f>
        <v>7.349078215960847</v>
      </c>
      <c r="S62" s="381">
        <f>+'Q4 FY21e analysis'!V98/1000</f>
        <v>2.1240739418576742</v>
      </c>
      <c r="T62" s="381">
        <f>+'Q4 FY21e analysis'!W98/1000</f>
        <v>6.3631568917684218</v>
      </c>
      <c r="U62" s="381">
        <f>+'Q4 FY21e analysis'!X98/1000</f>
        <v>5.6951737245006147</v>
      </c>
      <c r="V62" s="375">
        <f>+'Q4 FY21e analysis'!Y98/1000</f>
        <v>11.327192586935153</v>
      </c>
      <c r="W62" s="381">
        <f>+'Q4 FY21e analysis'!Z98/1000</f>
        <v>3.9453119072548155</v>
      </c>
      <c r="X62" s="381">
        <f>+'Q4 FY21e analysis'!AA98/1000</f>
        <v>0.26355765178820895</v>
      </c>
      <c r="Y62" s="381"/>
      <c r="Z62" s="381"/>
      <c r="AA62" s="381"/>
      <c r="AB62" s="385"/>
      <c r="AC62" s="381">
        <f>+'Historical - USD'!C108</f>
        <v>0.61546658570380341</v>
      </c>
      <c r="AD62" s="381">
        <f>+'Historical - USD'!D108</f>
        <v>1.2179131944081403</v>
      </c>
      <c r="AE62" s="375">
        <f>+'Historical - USD'!E108</f>
        <v>3.4658495304812496</v>
      </c>
      <c r="AF62" s="381">
        <f>+'Historical - USD'!F108</f>
        <v>-1.8859290775549757</v>
      </c>
      <c r="AG62" s="375">
        <f>+'Historical - USD'!G108</f>
        <v>-7.2710821268599268</v>
      </c>
      <c r="AH62" s="381">
        <f>+'Historical - USD'!H108</f>
        <v>-8.2946477416156217</v>
      </c>
      <c r="AI62" s="375">
        <f>+'Historical - USD'!I108</f>
        <v>11.179197286602601</v>
      </c>
      <c r="AJ62" s="381">
        <f>+'Historical - USD'!J108</f>
        <v>8.5347965877795744</v>
      </c>
      <c r="AK62" s="375">
        <f>+'Historical - USD'!K108</f>
        <v>17.037052150711009</v>
      </c>
      <c r="AL62" s="9">
        <f>+'Historical - USD'!L108</f>
        <v>4.2088695590430243</v>
      </c>
      <c r="AM62" s="9"/>
      <c r="AN62" s="9"/>
      <c r="AO62" s="9"/>
      <c r="AP62" s="372"/>
      <c r="AQ62" s="9">
        <f t="shared" ref="AQ62" si="206">+SUM(AD62:AE62)</f>
        <v>4.6837627248893901</v>
      </c>
      <c r="AR62" s="9">
        <f t="shared" ref="AR62" si="207">+SUM(AF62:AG62)</f>
        <v>-9.1570112044149035</v>
      </c>
      <c r="AS62" s="9">
        <f t="shared" ref="AS62" si="208">+SUM(AH62:AI62)</f>
        <v>2.8845495449869798</v>
      </c>
      <c r="AT62" s="9">
        <f t="shared" ref="AT62" si="209">+SUM(AJ62:AK62)</f>
        <v>25.571848738490583</v>
      </c>
      <c r="AU62" s="9"/>
      <c r="AV62" s="9"/>
      <c r="AW62" s="9"/>
      <c r="AX62" s="9"/>
      <c r="AY62" s="9"/>
      <c r="AZ62" s="9"/>
      <c r="BA62" s="9"/>
      <c r="BB62" s="9"/>
      <c r="BC62" s="9"/>
      <c r="BD62" s="9"/>
      <c r="BE62" s="9"/>
      <c r="BF62" s="9"/>
      <c r="BG62" s="9"/>
      <c r="BH62" s="9"/>
      <c r="BI62" s="9"/>
    </row>
    <row r="63" spans="1:61">
      <c r="A63" t="s">
        <v>1677</v>
      </c>
      <c r="C63" s="9">
        <v>5.1870000000000047</v>
      </c>
      <c r="D63" s="9">
        <v>5.9029999999999916</v>
      </c>
      <c r="E63" s="9">
        <v>4.3589999999999991</v>
      </c>
      <c r="F63" s="9">
        <v>12.865</v>
      </c>
      <c r="G63" s="9">
        <v>3.1189999999999971</v>
      </c>
      <c r="H63" s="9">
        <v>15.057000000000004</v>
      </c>
      <c r="I63" s="9">
        <v>10.438000000000001</v>
      </c>
      <c r="J63" s="375">
        <v>22.143000000000004</v>
      </c>
      <c r="K63" s="381">
        <v>11.142000000000017</v>
      </c>
      <c r="L63" s="381">
        <v>11.170999999999982</v>
      </c>
      <c r="M63" s="381">
        <v>14.026999999999987</v>
      </c>
      <c r="N63" s="375">
        <v>28.302999999999997</v>
      </c>
      <c r="O63" s="381">
        <v>10.818999999999999</v>
      </c>
      <c r="P63" s="381">
        <v>13.185000000000009</v>
      </c>
      <c r="Q63" s="381">
        <v>11.592999999999991</v>
      </c>
      <c r="R63" s="375">
        <v>17.737000000000009</v>
      </c>
      <c r="S63" s="381">
        <v>3.2430000000000123</v>
      </c>
      <c r="T63" s="381">
        <v>8.4839999999999449</v>
      </c>
      <c r="U63" s="381">
        <v>-0.84399999999999586</v>
      </c>
      <c r="V63" s="375">
        <v>7.931</v>
      </c>
      <c r="W63" s="381">
        <v>9.2019999999999982</v>
      </c>
      <c r="X63" s="381">
        <v>17.670999999999999</v>
      </c>
      <c r="Y63" s="381"/>
      <c r="Z63" s="381"/>
      <c r="AA63" s="381"/>
      <c r="AB63" s="381">
        <f>+SUM(C63:D63)</f>
        <v>11.089999999999996</v>
      </c>
      <c r="AC63" s="381">
        <f>+SUM(E63:F63)</f>
        <v>17.224</v>
      </c>
      <c r="AD63" s="381">
        <f t="shared" ref="AD63" si="210">+SUM(G63:H63)</f>
        <v>18.176000000000002</v>
      </c>
      <c r="AE63" s="375">
        <f t="shared" ref="AE63" si="211">+SUM(I63:J63)</f>
        <v>32.581000000000003</v>
      </c>
      <c r="AF63" s="381">
        <f t="shared" ref="AF63" si="212">+SUM(K63:L63)</f>
        <v>22.312999999999999</v>
      </c>
      <c r="AG63" s="375">
        <f t="shared" ref="AG63" si="213">+SUM(M63:N63)</f>
        <v>42.329999999999984</v>
      </c>
      <c r="AH63" s="381">
        <f t="shared" ref="AH63" si="214">+SUM(O63:P63)</f>
        <v>24.004000000000008</v>
      </c>
      <c r="AI63" s="375">
        <f t="shared" ref="AI63" si="215">+SUM(Q63:R63)</f>
        <v>29.33</v>
      </c>
      <c r="AJ63" s="381">
        <f t="shared" ref="AJ63" si="216">+SUM(S63:T63)</f>
        <v>11.726999999999958</v>
      </c>
      <c r="AK63" s="375">
        <f t="shared" ref="AK63" si="217">+SUM(U63:V63)</f>
        <v>7.0870000000000042</v>
      </c>
      <c r="AL63" s="9">
        <f t="shared" ref="AL63" si="218">+SUM(W63:X63)</f>
        <v>26.872999999999998</v>
      </c>
      <c r="AM63" s="9"/>
      <c r="AN63" s="9"/>
      <c r="AO63" s="9"/>
      <c r="AP63" s="9">
        <f t="shared" ref="AP63" si="219">+SUM(AB63:AC63)</f>
        <v>28.313999999999997</v>
      </c>
      <c r="AQ63" s="9">
        <f t="shared" ref="AQ63" si="220">+SUM(AD63:AE63)</f>
        <v>50.757000000000005</v>
      </c>
      <c r="AR63" s="9">
        <f t="shared" ref="AR63" si="221">+SUM(AF63:AG63)</f>
        <v>64.642999999999986</v>
      </c>
      <c r="AS63" s="9">
        <f t="shared" ref="AS63" si="222">+SUM(AH63:AI63)</f>
        <v>53.334000000000003</v>
      </c>
      <c r="AT63" s="9">
        <f t="shared" ref="AT63" si="223">+SUM(AJ63:AK63)</f>
        <v>18.813999999999961</v>
      </c>
      <c r="AU63" s="9"/>
      <c r="AV63" s="9"/>
      <c r="AW63" s="9"/>
      <c r="AX63" s="9"/>
      <c r="AY63" s="9"/>
      <c r="AZ63" s="9"/>
      <c r="BA63" s="9"/>
      <c r="BB63" s="9"/>
      <c r="BC63" s="9"/>
      <c r="BD63" s="9"/>
      <c r="BE63" s="9"/>
      <c r="BF63" s="9"/>
      <c r="BG63" s="9"/>
      <c r="BH63" s="9"/>
      <c r="BI63" s="9"/>
    </row>
    <row r="64" spans="1:61">
      <c r="A64" t="s">
        <v>647</v>
      </c>
      <c r="C64" s="9">
        <v>-30.236000000000015</v>
      </c>
      <c r="D64" s="9">
        <v>-37.576000000000029</v>
      </c>
      <c r="E64" s="9">
        <v>-35.638000000000019</v>
      </c>
      <c r="F64" s="9">
        <v>-17.925999999999998</v>
      </c>
      <c r="G64" s="9">
        <v>-22.318999999999999</v>
      </c>
      <c r="H64" s="9">
        <v>-25.175000000000001</v>
      </c>
      <c r="I64" s="9">
        <v>-10.314</v>
      </c>
      <c r="J64" s="375">
        <v>10.375999999999999</v>
      </c>
      <c r="K64" s="381">
        <v>-19.196000000000002</v>
      </c>
      <c r="L64" s="381">
        <v>-20.579000000000001</v>
      </c>
      <c r="M64" s="381">
        <v>5.31</v>
      </c>
      <c r="N64" s="375">
        <v>36.103999999999999</v>
      </c>
      <c r="O64" s="381">
        <v>-35.781999999999996</v>
      </c>
      <c r="P64" s="381">
        <v>-24.224</v>
      </c>
      <c r="Q64" s="381">
        <v>-4.1109999999999998</v>
      </c>
      <c r="R64" s="375">
        <v>-34.597999999999999</v>
      </c>
      <c r="S64" s="381">
        <v>-34.741</v>
      </c>
      <c r="T64" s="381">
        <v>-30.57</v>
      </c>
      <c r="U64" s="385"/>
      <c r="V64" s="380"/>
      <c r="W64" s="385"/>
      <c r="X64" s="385"/>
      <c r="Y64" s="381"/>
      <c r="Z64" s="381"/>
      <c r="AA64" s="381"/>
      <c r="AB64" s="381">
        <f>+SUM(C64:D64)</f>
        <v>-67.81200000000004</v>
      </c>
      <c r="AC64" s="381">
        <f>+SUM(E64:F64)</f>
        <v>-53.564000000000021</v>
      </c>
      <c r="AD64" s="381">
        <f t="shared" ref="AD64" si="224">+SUM(G64:H64)</f>
        <v>-47.494</v>
      </c>
      <c r="AE64" s="375">
        <f t="shared" ref="AE64" si="225">+SUM(I64:J64)</f>
        <v>6.1999999999999389E-2</v>
      </c>
      <c r="AF64" s="381">
        <f t="shared" ref="AF64" si="226">+SUM(K64:L64)</f>
        <v>-39.775000000000006</v>
      </c>
      <c r="AG64" s="375">
        <f t="shared" ref="AG64" si="227">+SUM(M64:N64)</f>
        <v>41.414000000000001</v>
      </c>
      <c r="AH64" s="381">
        <f t="shared" ref="AH64" si="228">+SUM(O64:P64)</f>
        <v>-60.006</v>
      </c>
      <c r="AI64" s="375">
        <f t="shared" ref="AI64" si="229">+SUM(Q64:R64)</f>
        <v>-38.708999999999996</v>
      </c>
      <c r="AJ64" s="381">
        <f t="shared" ref="AJ64" si="230">+SUM(S64:T64)</f>
        <v>-65.311000000000007</v>
      </c>
      <c r="AK64" s="380"/>
      <c r="AL64" s="372"/>
      <c r="AM64" s="9"/>
      <c r="AN64" s="9"/>
      <c r="AO64" s="9"/>
      <c r="AP64" s="9">
        <f t="shared" ref="AP64" si="231">+SUM(AB64:AC64)</f>
        <v>-121.37600000000006</v>
      </c>
      <c r="AQ64" s="9">
        <f t="shared" ref="AQ64" si="232">+SUM(AD64:AE64)</f>
        <v>-47.432000000000002</v>
      </c>
      <c r="AR64" s="9">
        <f t="shared" ref="AR64" si="233">+SUM(AF64:AG64)</f>
        <v>1.6389999999999958</v>
      </c>
      <c r="AS64" s="9">
        <f t="shared" ref="AS64" si="234">+SUM(AH64:AI64)</f>
        <v>-98.715000000000003</v>
      </c>
      <c r="AT64" s="372"/>
      <c r="AU64" s="9"/>
      <c r="AV64" s="9"/>
      <c r="AW64" s="9"/>
      <c r="AX64" s="9"/>
      <c r="AY64" s="9"/>
      <c r="AZ64" s="9"/>
      <c r="BA64" s="9"/>
      <c r="BB64" s="9"/>
      <c r="BC64" s="9"/>
      <c r="BD64" s="9"/>
      <c r="BE64" s="9"/>
      <c r="BF64" s="9"/>
      <c r="BG64" s="9"/>
      <c r="BH64" s="9"/>
      <c r="BI64" s="9"/>
    </row>
    <row r="65" spans="1:61" hidden="1" outlineLevel="1">
      <c r="A65" t="s">
        <v>1678</v>
      </c>
      <c r="C65" s="9"/>
      <c r="D65" s="9"/>
      <c r="E65" s="9"/>
      <c r="F65" s="9"/>
      <c r="G65" s="9"/>
      <c r="H65" s="9"/>
      <c r="I65" s="9"/>
      <c r="J65" s="375"/>
      <c r="K65" s="381"/>
      <c r="L65" s="381"/>
      <c r="M65" s="381"/>
      <c r="N65" s="375"/>
      <c r="O65" s="381"/>
      <c r="P65" s="381"/>
      <c r="Q65" s="381"/>
      <c r="R65" s="375"/>
      <c r="S65" s="381"/>
      <c r="T65" s="381"/>
      <c r="U65" s="381"/>
      <c r="V65" s="375"/>
      <c r="W65" s="381"/>
      <c r="X65" s="381"/>
      <c r="Y65" s="381"/>
      <c r="Z65" s="381"/>
      <c r="AA65" s="381"/>
      <c r="AB65" s="381"/>
      <c r="AC65" s="381"/>
      <c r="AD65" s="381"/>
      <c r="AE65" s="375"/>
      <c r="AF65" s="381"/>
      <c r="AG65" s="375"/>
      <c r="AH65" s="381"/>
      <c r="AI65" s="375"/>
      <c r="AJ65" s="381"/>
      <c r="AK65" s="375"/>
      <c r="AL65" s="9"/>
      <c r="AM65" s="9"/>
      <c r="AN65" s="9"/>
      <c r="AO65" s="9"/>
      <c r="AP65" s="9"/>
      <c r="AQ65" s="9"/>
      <c r="AR65" s="9"/>
      <c r="AS65" s="9"/>
      <c r="AT65" s="9"/>
      <c r="AU65" s="9"/>
      <c r="AV65" s="9"/>
      <c r="AW65" s="9"/>
      <c r="AX65" s="9"/>
      <c r="AY65" s="9"/>
      <c r="AZ65" s="9"/>
      <c r="BA65" s="9"/>
      <c r="BB65" s="9"/>
      <c r="BC65" s="9"/>
      <c r="BD65" s="9"/>
      <c r="BE65" s="9"/>
      <c r="BF65" s="9"/>
      <c r="BG65" s="9"/>
      <c r="BH65" s="9"/>
      <c r="BI65" s="9"/>
    </row>
    <row r="66" spans="1:61" hidden="1" outlineLevel="1">
      <c r="A66" s="5" t="s">
        <v>1679</v>
      </c>
      <c r="C66" s="9"/>
      <c r="D66" s="9"/>
      <c r="E66" s="9"/>
      <c r="F66" s="9"/>
      <c r="G66" s="9"/>
      <c r="H66" s="9"/>
      <c r="I66" s="9"/>
      <c r="J66" s="375"/>
      <c r="K66" s="381"/>
      <c r="L66" s="381"/>
      <c r="M66" s="381"/>
      <c r="N66" s="375"/>
      <c r="O66" s="381"/>
      <c r="P66" s="381"/>
      <c r="Q66" s="381"/>
      <c r="R66" s="375"/>
      <c r="S66" s="381"/>
      <c r="T66" s="381"/>
      <c r="U66" s="381"/>
      <c r="V66" s="375"/>
      <c r="W66" s="381"/>
      <c r="X66" s="381"/>
      <c r="Y66" s="381"/>
      <c r="Z66" s="381"/>
      <c r="AA66" s="381"/>
      <c r="AB66" s="381"/>
      <c r="AC66" s="381"/>
      <c r="AD66" s="381"/>
      <c r="AE66" s="375"/>
      <c r="AF66" s="381"/>
      <c r="AG66" s="375"/>
      <c r="AH66" s="381"/>
      <c r="AI66" s="375"/>
      <c r="AJ66" s="381"/>
      <c r="AK66" s="375"/>
      <c r="AL66" s="9"/>
      <c r="AM66" s="9"/>
      <c r="AN66" s="9"/>
      <c r="AO66" s="9"/>
      <c r="AP66" s="9"/>
      <c r="AQ66" s="9"/>
      <c r="AR66" s="9"/>
      <c r="AS66" s="9"/>
      <c r="AT66" s="9"/>
      <c r="AU66" s="9"/>
      <c r="AV66" s="9"/>
      <c r="AW66" s="9"/>
      <c r="AX66" s="9"/>
      <c r="AY66" s="9"/>
      <c r="AZ66" s="9"/>
      <c r="BA66" s="9"/>
      <c r="BB66" s="9"/>
      <c r="BC66" s="9"/>
      <c r="BD66" s="9"/>
      <c r="BE66" s="9"/>
      <c r="BF66" s="9"/>
      <c r="BG66" s="9"/>
      <c r="BH66" s="9"/>
      <c r="BI66" s="9"/>
    </row>
    <row r="67" spans="1:61" collapsed="1">
      <c r="J67" s="374"/>
      <c r="N67" s="374"/>
      <c r="R67" s="374"/>
      <c r="V67" s="374"/>
      <c r="AE67" s="374"/>
      <c r="AG67" s="374"/>
      <c r="AI67" s="374"/>
      <c r="AK67" s="374"/>
    </row>
    <row r="68" spans="1:61" s="29" customFormat="1">
      <c r="A68" s="133" t="s">
        <v>1689</v>
      </c>
      <c r="C68" s="111"/>
      <c r="D68" s="111"/>
      <c r="E68" s="111"/>
      <c r="F68" s="111"/>
      <c r="G68" s="111"/>
      <c r="H68" s="111"/>
      <c r="I68" s="111"/>
      <c r="J68" s="378"/>
      <c r="K68" s="384"/>
      <c r="L68" s="384"/>
      <c r="M68" s="384"/>
      <c r="N68" s="378"/>
      <c r="O68" s="384"/>
      <c r="P68" s="384"/>
      <c r="Q68" s="384"/>
      <c r="R68" s="378"/>
      <c r="S68" s="384"/>
      <c r="T68" s="384"/>
      <c r="U68" s="384"/>
      <c r="V68" s="378"/>
      <c r="W68" s="384"/>
      <c r="X68" s="384"/>
      <c r="Y68" s="384"/>
      <c r="Z68" s="384"/>
      <c r="AA68" s="384"/>
      <c r="AB68" s="384"/>
      <c r="AC68" s="384"/>
      <c r="AD68" s="384"/>
      <c r="AE68" s="378"/>
      <c r="AF68" s="384"/>
      <c r="AG68" s="378"/>
      <c r="AH68" s="384"/>
      <c r="AI68" s="378"/>
      <c r="AJ68" s="384"/>
      <c r="AK68" s="378"/>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row>
    <row r="69" spans="1:61" s="29" customFormat="1">
      <c r="A69" s="91" t="str">
        <f>+A62</f>
        <v>CTT</v>
      </c>
      <c r="C69" s="167" t="s">
        <v>251</v>
      </c>
      <c r="D69" s="167" t="s">
        <v>251</v>
      </c>
      <c r="E69" s="167" t="s">
        <v>251</v>
      </c>
      <c r="F69" s="167" t="s">
        <v>251</v>
      </c>
      <c r="G69" s="167" t="s">
        <v>251</v>
      </c>
      <c r="H69" s="167" t="s">
        <v>251</v>
      </c>
      <c r="I69" s="167" t="s">
        <v>251</v>
      </c>
      <c r="J69" s="379" t="s">
        <v>251</v>
      </c>
      <c r="K69" s="167" t="s">
        <v>251</v>
      </c>
      <c r="L69" s="167" t="s">
        <v>251</v>
      </c>
      <c r="M69" s="167" t="s">
        <v>251</v>
      </c>
      <c r="N69" s="379" t="s">
        <v>251</v>
      </c>
      <c r="O69" s="167" t="s">
        <v>251</v>
      </c>
      <c r="P69" s="167" t="s">
        <v>251</v>
      </c>
      <c r="Q69" s="167" t="s">
        <v>251</v>
      </c>
      <c r="R69" s="379" t="s">
        <v>251</v>
      </c>
      <c r="S69" s="167" t="s">
        <v>251</v>
      </c>
      <c r="T69" s="167" t="s">
        <v>251</v>
      </c>
      <c r="U69" s="167" t="s">
        <v>251</v>
      </c>
      <c r="V69" s="379" t="s">
        <v>251</v>
      </c>
      <c r="W69" s="167" t="s">
        <v>251</v>
      </c>
      <c r="X69" s="167" t="s">
        <v>251</v>
      </c>
      <c r="Y69" s="384"/>
      <c r="Z69" s="384"/>
      <c r="AA69" s="384"/>
      <c r="AB69" s="167" t="s">
        <v>251</v>
      </c>
      <c r="AC69" s="167">
        <f t="shared" ref="AC69:AL69" si="235">+AC62/AC$8</f>
        <v>0.12847682365276902</v>
      </c>
      <c r="AD69" s="167">
        <f t="shared" si="235"/>
        <v>0.11706105276788863</v>
      </c>
      <c r="AE69" s="379">
        <f t="shared" si="235"/>
        <v>0.1295425674985668</v>
      </c>
      <c r="AF69" s="167">
        <f t="shared" si="235"/>
        <v>-4.7169170795705401E-2</v>
      </c>
      <c r="AG69" s="379">
        <f t="shared" si="235"/>
        <v>-8.7418223176419577E-2</v>
      </c>
      <c r="AH69" s="167">
        <f t="shared" si="235"/>
        <v>-0.11993438887102033</v>
      </c>
      <c r="AI69" s="379">
        <f t="shared" si="235"/>
        <v>8.9380530334421324E-2</v>
      </c>
      <c r="AJ69" s="167">
        <f t="shared" si="235"/>
        <v>5.5352726447268685E-2</v>
      </c>
      <c r="AK69" s="379">
        <f t="shared" si="235"/>
        <v>7.3712098629959311E-2</v>
      </c>
      <c r="AL69" s="167">
        <f t="shared" si="235"/>
        <v>1.6479966081431222E-2</v>
      </c>
      <c r="AM69" s="111"/>
      <c r="AN69" s="111"/>
      <c r="AO69" s="111"/>
      <c r="AP69" s="167" t="s">
        <v>251</v>
      </c>
      <c r="AQ69" s="167">
        <f>+AQ62/AQ$8</f>
        <v>0.12604785246408176</v>
      </c>
      <c r="AR69" s="167">
        <f>+AR62/AR$8</f>
        <v>-7.4351702844250939E-2</v>
      </c>
      <c r="AS69" s="167">
        <f>+AS62/AS$8</f>
        <v>1.4850894048638416E-2</v>
      </c>
      <c r="AT69" s="167">
        <f>+AT62/AT$8</f>
        <v>6.6365409928276692E-2</v>
      </c>
      <c r="AU69" s="111"/>
      <c r="AV69" s="111"/>
      <c r="AW69" s="111"/>
      <c r="AX69" s="111"/>
      <c r="AY69" s="111"/>
      <c r="AZ69" s="111"/>
      <c r="BA69" s="111"/>
      <c r="BB69" s="111"/>
      <c r="BC69" s="111"/>
      <c r="BD69" s="111"/>
      <c r="BE69" s="111"/>
      <c r="BF69" s="111"/>
      <c r="BG69" s="111"/>
      <c r="BH69" s="111"/>
      <c r="BI69" s="111"/>
    </row>
    <row r="70" spans="1:61" s="29" customFormat="1">
      <c r="A70" s="91" t="str">
        <f t="shared" ref="A70:A71" si="236">+A63</f>
        <v>MYTE</v>
      </c>
      <c r="C70" s="167">
        <f t="shared" ref="C70:X70" si="237">+C63/C$9</f>
        <v>5.2280401149019849E-2</v>
      </c>
      <c r="D70" s="167">
        <f t="shared" si="237"/>
        <v>5.8332921587034854E-2</v>
      </c>
      <c r="E70" s="167">
        <f t="shared" si="237"/>
        <v>4.3980547259665825E-2</v>
      </c>
      <c r="F70" s="167">
        <f t="shared" si="237"/>
        <v>0.10777505047374109</v>
      </c>
      <c r="G70" s="167">
        <f t="shared" si="237"/>
        <v>2.7914261422114801E-2</v>
      </c>
      <c r="H70" s="167">
        <f t="shared" si="237"/>
        <v>0.12624191966194637</v>
      </c>
      <c r="I70" s="167">
        <f t="shared" si="237"/>
        <v>8.2605908562112723E-2</v>
      </c>
      <c r="J70" s="379">
        <f t="shared" si="237"/>
        <v>0.13962154697874438</v>
      </c>
      <c r="K70" s="167">
        <f t="shared" si="237"/>
        <v>6.761907073845716E-2</v>
      </c>
      <c r="L70" s="167">
        <f t="shared" si="237"/>
        <v>6.8800502562081089E-2</v>
      </c>
      <c r="M70" s="167">
        <f t="shared" si="237"/>
        <v>8.8872978863601723E-2</v>
      </c>
      <c r="N70" s="379">
        <f t="shared" si="237"/>
        <v>0.15089219548864163</v>
      </c>
      <c r="O70" s="167">
        <f t="shared" si="237"/>
        <v>6.3824390013686338E-2</v>
      </c>
      <c r="P70" s="167">
        <f t="shared" si="237"/>
        <v>7.5413961735350518E-2</v>
      </c>
      <c r="Q70" s="167">
        <f t="shared" si="237"/>
        <v>6.5910512251975625E-2</v>
      </c>
      <c r="R70" s="379">
        <f t="shared" si="237"/>
        <v>9.3307451128927091E-2</v>
      </c>
      <c r="S70" s="167">
        <f t="shared" si="237"/>
        <v>1.6306069397585575E-2</v>
      </c>
      <c r="T70" s="167">
        <f t="shared" si="237"/>
        <v>4.1638037652878671E-2</v>
      </c>
      <c r="U70" s="167">
        <f t="shared" si="237"/>
        <v>-4.494645301125237E-3</v>
      </c>
      <c r="V70" s="379">
        <f t="shared" si="237"/>
        <v>4.0252957686431945E-2</v>
      </c>
      <c r="W70" s="167">
        <f t="shared" si="237"/>
        <v>3.9342439983753391E-2</v>
      </c>
      <c r="X70" s="167">
        <f t="shared" si="237"/>
        <v>7.6731351255118374E-2</v>
      </c>
      <c r="Y70" s="384"/>
      <c r="Z70" s="384"/>
      <c r="AA70" s="384"/>
      <c r="AB70" s="167">
        <f t="shared" ref="AB70:AL70" si="238">+AB63/AB$9</f>
        <v>5.53365600518936E-2</v>
      </c>
      <c r="AC70" s="167">
        <f t="shared" si="238"/>
        <v>7.8835230523478017E-2</v>
      </c>
      <c r="AD70" s="167">
        <f t="shared" si="238"/>
        <v>7.8681938997255493E-2</v>
      </c>
      <c r="AE70" s="379">
        <f t="shared" si="238"/>
        <v>0.11433855526544823</v>
      </c>
      <c r="AF70" s="167">
        <f t="shared" si="238"/>
        <v>6.8205438583620659E-2</v>
      </c>
      <c r="AG70" s="379">
        <f t="shared" si="238"/>
        <v>0.12255249664884202</v>
      </c>
      <c r="AH70" s="167">
        <f t="shared" si="238"/>
        <v>6.9708753089180411E-2</v>
      </c>
      <c r="AI70" s="379">
        <f t="shared" si="238"/>
        <v>8.0140553360547789E-2</v>
      </c>
      <c r="AJ70" s="167">
        <f t="shared" si="238"/>
        <v>2.9125345532846937E-2</v>
      </c>
      <c r="AK70" s="379">
        <f t="shared" si="238"/>
        <v>1.8416976778029573E-2</v>
      </c>
      <c r="AL70" s="167">
        <f t="shared" si="238"/>
        <v>5.7891992968426849E-2</v>
      </c>
      <c r="AM70" s="111"/>
      <c r="AN70" s="111"/>
      <c r="AO70" s="111"/>
      <c r="AP70" s="167">
        <f>+AP63/AP$9</f>
        <v>6.7592762795094657E-2</v>
      </c>
      <c r="AQ70" s="167">
        <f>+AQ63/AQ$9</f>
        <v>9.8374286279115764E-2</v>
      </c>
      <c r="AR70" s="167">
        <f>+AR63/AR$9</f>
        <v>9.6116702624500575E-2</v>
      </c>
      <c r="AS70" s="167">
        <f>+AS63/AS$9</f>
        <v>7.5083517637601738E-2</v>
      </c>
      <c r="AT70" s="167">
        <f>+AT63/AT$9</f>
        <v>2.3892401647348915E-2</v>
      </c>
      <c r="AU70" s="111"/>
      <c r="AV70" s="111"/>
      <c r="AW70" s="111"/>
      <c r="AX70" s="111"/>
      <c r="AY70" s="111"/>
      <c r="AZ70" s="111"/>
      <c r="BA70" s="111"/>
      <c r="BB70" s="111"/>
      <c r="BC70" s="111"/>
      <c r="BD70" s="111"/>
      <c r="BE70" s="111"/>
      <c r="BF70" s="111"/>
      <c r="BG70" s="111"/>
      <c r="BH70" s="111"/>
      <c r="BI70" s="111"/>
    </row>
    <row r="71" spans="1:61" s="29" customFormat="1">
      <c r="A71" s="91" t="str">
        <f t="shared" si="236"/>
        <v>FTCH</v>
      </c>
      <c r="C71" s="167">
        <f t="shared" ref="C71:T71" si="239">+C64/C$10</f>
        <v>-7.2115304348240913E-2</v>
      </c>
      <c r="D71" s="167">
        <f t="shared" si="239"/>
        <v>-7.6925124110752904E-2</v>
      </c>
      <c r="E71" s="167">
        <f t="shared" si="239"/>
        <v>-7.2432898250862812E-2</v>
      </c>
      <c r="F71" s="167">
        <f t="shared" si="239"/>
        <v>-2.4226386841041874E-2</v>
      </c>
      <c r="G71" s="167">
        <f t="shared" si="239"/>
        <v>-3.6536176036302083E-2</v>
      </c>
      <c r="H71" s="167">
        <f t="shared" si="239"/>
        <v>-3.4901775935450782E-2</v>
      </c>
      <c r="I71" s="167">
        <f t="shared" si="239"/>
        <v>-1.2927403990775093E-2</v>
      </c>
      <c r="J71" s="379">
        <f t="shared" si="239"/>
        <v>9.8165545558614557E-3</v>
      </c>
      <c r="K71" s="167">
        <f t="shared" si="239"/>
        <v>-2.0965395520334117E-2</v>
      </c>
      <c r="L71" s="167">
        <f t="shared" si="239"/>
        <v>-2.0419503260035859E-2</v>
      </c>
      <c r="M71" s="167">
        <f t="shared" si="239"/>
        <v>5.2196273716866174E-3</v>
      </c>
      <c r="N71" s="379">
        <f t="shared" si="239"/>
        <v>2.8006159120967773E-2</v>
      </c>
      <c r="O71" s="167">
        <f t="shared" si="239"/>
        <v>-3.8444182768342154E-2</v>
      </c>
      <c r="P71" s="167">
        <f t="shared" si="239"/>
        <v>-2.3738593245319704E-2</v>
      </c>
      <c r="Q71" s="167">
        <f t="shared" si="239"/>
        <v>-4.2496578358687245E-3</v>
      </c>
      <c r="R71" s="379">
        <f t="shared" si="239"/>
        <v>-3.0351013089411707E-2</v>
      </c>
      <c r="S71" s="167">
        <f t="shared" si="239"/>
        <v>-3.7289434534990305E-2</v>
      </c>
      <c r="T71" s="167">
        <f t="shared" si="239"/>
        <v>-2.9604393497298612E-2</v>
      </c>
      <c r="U71" s="167" t="s">
        <v>251</v>
      </c>
      <c r="V71" s="379" t="s">
        <v>251</v>
      </c>
      <c r="W71" s="167" t="s">
        <v>251</v>
      </c>
      <c r="X71" s="167" t="s">
        <v>251</v>
      </c>
      <c r="Y71" s="384"/>
      <c r="Z71" s="384"/>
      <c r="AA71" s="384"/>
      <c r="AB71" s="167">
        <f t="shared" ref="AB71:AJ71" si="240">+AB64/AB$10</f>
        <v>-7.4703552087143174E-2</v>
      </c>
      <c r="AC71" s="167">
        <f t="shared" si="240"/>
        <v>-4.3479002005761609E-2</v>
      </c>
      <c r="AD71" s="167">
        <f t="shared" si="240"/>
        <v>-3.5651231361433555E-2</v>
      </c>
      <c r="AE71" s="379">
        <f t="shared" si="240"/>
        <v>3.3426243914536316E-5</v>
      </c>
      <c r="AF71" s="167">
        <f t="shared" si="240"/>
        <v>-2.0679364567709E-2</v>
      </c>
      <c r="AG71" s="379">
        <f t="shared" si="240"/>
        <v>1.7955662771373782E-2</v>
      </c>
      <c r="AH71" s="167">
        <f t="shared" si="240"/>
        <v>-3.0753382533825341E-2</v>
      </c>
      <c r="AI71" s="379">
        <f t="shared" si="240"/>
        <v>-1.8368994272768814E-2</v>
      </c>
      <c r="AJ71" s="167">
        <f t="shared" si="240"/>
        <v>-3.3249417724096682E-2</v>
      </c>
      <c r="AK71" s="379" t="s">
        <v>251</v>
      </c>
      <c r="AL71" s="167" t="s">
        <v>251</v>
      </c>
      <c r="AM71" s="111"/>
      <c r="AN71" s="111"/>
      <c r="AO71" s="111"/>
      <c r="AP71" s="167">
        <f>+AP64/AP$10</f>
        <v>-5.6725735722641391E-2</v>
      </c>
      <c r="AQ71" s="167">
        <f>+AQ64/AQ$10</f>
        <v>-1.4882896654988024E-2</v>
      </c>
      <c r="AR71" s="167">
        <f>+AR64/AR$10</f>
        <v>3.8748199118933467E-4</v>
      </c>
      <c r="AS71" s="167">
        <f>+AS64/AS$10</f>
        <v>-2.4323019755323458E-2</v>
      </c>
      <c r="AT71" s="167" t="s">
        <v>251</v>
      </c>
      <c r="AU71" s="111"/>
      <c r="AV71" s="111"/>
      <c r="AW71" s="111"/>
      <c r="AX71" s="111"/>
      <c r="AY71" s="111"/>
      <c r="AZ71" s="111"/>
      <c r="BA71" s="111"/>
      <c r="BB71" s="111"/>
      <c r="BC71" s="111"/>
      <c r="BD71" s="111"/>
      <c r="BE71" s="111"/>
      <c r="BF71" s="111"/>
      <c r="BG71" s="111"/>
      <c r="BH71" s="111"/>
      <c r="BI71" s="111"/>
    </row>
    <row r="72" spans="1:61">
      <c r="J72" s="374"/>
      <c r="N72" s="374"/>
      <c r="R72" s="374"/>
      <c r="V72" s="374"/>
      <c r="AE72" s="374"/>
      <c r="AG72" s="374"/>
      <c r="AI72" s="374"/>
      <c r="AK72" s="374"/>
    </row>
    <row r="73" spans="1:61">
      <c r="A73" s="4" t="s">
        <v>247</v>
      </c>
      <c r="C73" s="9"/>
      <c r="D73" s="9"/>
      <c r="E73" s="9"/>
      <c r="F73" s="9"/>
      <c r="G73" s="9"/>
      <c r="H73" s="9"/>
      <c r="I73" s="9"/>
      <c r="J73" s="375"/>
      <c r="K73" s="381"/>
      <c r="L73" s="381"/>
      <c r="M73" s="381"/>
      <c r="N73" s="375"/>
      <c r="O73" s="381"/>
      <c r="P73" s="381"/>
      <c r="Q73" s="381"/>
      <c r="R73" s="375"/>
      <c r="S73" s="381"/>
      <c r="T73" s="381"/>
      <c r="U73" s="381"/>
      <c r="V73" s="375"/>
      <c r="W73" s="381"/>
      <c r="X73" s="381"/>
      <c r="Y73" s="381"/>
      <c r="Z73" s="381"/>
      <c r="AA73" s="381"/>
      <c r="AB73" s="381"/>
      <c r="AC73" s="381"/>
      <c r="AD73" s="381"/>
      <c r="AE73" s="375"/>
      <c r="AF73" s="381"/>
      <c r="AG73" s="375"/>
      <c r="AH73" s="381"/>
      <c r="AI73" s="375"/>
      <c r="AJ73" s="381"/>
      <c r="AK73" s="375"/>
      <c r="AL73" s="9"/>
      <c r="AM73" s="9"/>
      <c r="AN73" s="9"/>
      <c r="AO73" s="9"/>
      <c r="AP73" s="9"/>
      <c r="AQ73" s="9"/>
      <c r="AR73" s="9"/>
      <c r="AS73" s="9"/>
      <c r="AT73" s="9"/>
      <c r="AU73" s="9"/>
      <c r="AV73" s="9"/>
      <c r="AW73" s="9"/>
      <c r="AX73" s="9"/>
      <c r="AY73" s="9"/>
      <c r="AZ73" s="9"/>
      <c r="BA73" s="9"/>
      <c r="BB73" s="9"/>
      <c r="BC73" s="9"/>
      <c r="BD73" s="9"/>
      <c r="BE73" s="9"/>
      <c r="BF73" s="9"/>
      <c r="BG73" s="9"/>
      <c r="BH73" s="9"/>
      <c r="BI73" s="9"/>
    </row>
    <row r="74" spans="1:61">
      <c r="A74" t="s">
        <v>529</v>
      </c>
      <c r="C74" s="372"/>
      <c r="D74" s="372"/>
      <c r="E74" s="372"/>
      <c r="F74" s="372"/>
      <c r="G74" s="372"/>
      <c r="H74" s="372"/>
      <c r="I74" s="372"/>
      <c r="J74" s="380"/>
      <c r="K74" s="385"/>
      <c r="L74" s="385"/>
      <c r="M74" s="385"/>
      <c r="N74" s="380"/>
      <c r="O74" s="385"/>
      <c r="P74" s="385"/>
      <c r="Q74" s="385"/>
      <c r="R74" s="380"/>
      <c r="S74" s="385"/>
      <c r="T74" s="385"/>
      <c r="U74" s="385"/>
      <c r="V74" s="380"/>
      <c r="W74" s="385"/>
      <c r="X74" s="385"/>
      <c r="Y74" s="381"/>
      <c r="Z74" s="381"/>
      <c r="AA74" s="381"/>
      <c r="AB74" s="385"/>
      <c r="AC74" s="381">
        <f>+'Historical - USD'!C113</f>
        <v>0</v>
      </c>
      <c r="AD74" s="381">
        <f>+'Historical - USD'!D113</f>
        <v>0</v>
      </c>
      <c r="AE74" s="375">
        <f>+'Historical - USD'!E113</f>
        <v>0</v>
      </c>
      <c r="AF74" s="381">
        <f>+'Historical - USD'!F113</f>
        <v>4.9345650434799042E-2</v>
      </c>
      <c r="AG74" s="375">
        <f>+'Historical - USD'!G113</f>
        <v>0.1506884223473989</v>
      </c>
      <c r="AH74" s="381">
        <f>+'Historical - USD'!H113</f>
        <v>0.14885063567528681</v>
      </c>
      <c r="AI74" s="375">
        <f>+'Historical - USD'!I113</f>
        <v>0.14806440131482529</v>
      </c>
      <c r="AJ74" s="381">
        <f>+'Historical - USD'!J113</f>
        <v>0.14993028532192923</v>
      </c>
      <c r="AK74" s="375">
        <f>+'Historical - USD'!K113</f>
        <v>0.17684608996080642</v>
      </c>
      <c r="AL74" s="9">
        <f>+'Historical - USD'!L113</f>
        <v>1.1100492473299473</v>
      </c>
      <c r="AM74" s="9"/>
      <c r="AN74" s="9"/>
      <c r="AO74" s="9"/>
      <c r="AP74" s="372"/>
      <c r="AQ74" s="9">
        <f t="shared" ref="AQ74:AQ76" si="241">+SUM(AD74:AE74)</f>
        <v>0</v>
      </c>
      <c r="AR74" s="9">
        <f t="shared" ref="AR74:AR76" si="242">+SUM(AF74:AG74)</f>
        <v>0.20003407278219795</v>
      </c>
      <c r="AS74" s="9">
        <f t="shared" ref="AS74:AS76" si="243">+SUM(AH74:AI74)</f>
        <v>0.29691503699011212</v>
      </c>
      <c r="AT74" s="9">
        <f t="shared" ref="AT74:AT75" si="244">+SUM(AJ74:AK74)</f>
        <v>0.32677637528273562</v>
      </c>
      <c r="AU74" s="9"/>
      <c r="AV74" s="9"/>
      <c r="AW74" s="9"/>
      <c r="AX74" s="9"/>
      <c r="AY74" s="9"/>
      <c r="AZ74" s="9"/>
      <c r="BA74" s="9"/>
      <c r="BB74" s="9"/>
      <c r="BC74" s="9"/>
      <c r="BD74" s="9"/>
      <c r="BE74" s="9"/>
      <c r="BF74" s="9"/>
      <c r="BG74" s="9"/>
      <c r="BH74" s="9"/>
      <c r="BI74" s="9"/>
    </row>
    <row r="75" spans="1:61">
      <c r="A75" t="s">
        <v>1677</v>
      </c>
      <c r="C75" s="9">
        <f t="shared" ref="C75:W75" si="245">+C63-C87</f>
        <v>0</v>
      </c>
      <c r="D75" s="9">
        <f t="shared" si="245"/>
        <v>0</v>
      </c>
      <c r="E75" s="9">
        <f t="shared" si="245"/>
        <v>2.8999999999999915E-2</v>
      </c>
      <c r="F75" s="9">
        <f t="shared" si="245"/>
        <v>2.2000000000000242E-2</v>
      </c>
      <c r="G75" s="9">
        <f t="shared" si="245"/>
        <v>7.0000000000001172E-3</v>
      </c>
      <c r="H75" s="9">
        <f t="shared" si="245"/>
        <v>6.9999999999996732E-3</v>
      </c>
      <c r="I75" s="9">
        <f t="shared" si="245"/>
        <v>6.9999999999996732E-3</v>
      </c>
      <c r="J75" s="375">
        <f t="shared" si="245"/>
        <v>7.0000000000014495E-3</v>
      </c>
      <c r="K75" s="381">
        <f t="shared" si="245"/>
        <v>59.818999999999996</v>
      </c>
      <c r="L75" s="381">
        <f t="shared" si="245"/>
        <v>15.436999999999998</v>
      </c>
      <c r="M75" s="381">
        <f t="shared" si="245"/>
        <v>16.134</v>
      </c>
      <c r="N75" s="375">
        <f t="shared" si="245"/>
        <v>16.338999999999999</v>
      </c>
      <c r="O75" s="381">
        <f t="shared" si="245"/>
        <v>10.228000000000002</v>
      </c>
      <c r="P75" s="381">
        <f t="shared" si="245"/>
        <v>9.6019999999999968</v>
      </c>
      <c r="Q75" s="381">
        <f t="shared" si="245"/>
        <v>9.5440000000000005</v>
      </c>
      <c r="R75" s="375">
        <f t="shared" si="245"/>
        <v>9.6819999999999986</v>
      </c>
      <c r="S75" s="381">
        <f t="shared" si="245"/>
        <v>6.0240000000000009</v>
      </c>
      <c r="T75" s="381">
        <f t="shared" si="245"/>
        <v>4.713000000000001</v>
      </c>
      <c r="U75" s="381">
        <f t="shared" si="245"/>
        <v>6.3410000000000002</v>
      </c>
      <c r="V75" s="375">
        <f t="shared" si="245"/>
        <v>4.8570000000000002</v>
      </c>
      <c r="W75" s="381">
        <f t="shared" si="245"/>
        <v>2.9859999999999989</v>
      </c>
      <c r="X75" s="381">
        <f t="shared" ref="X75" si="246">+X63-X87</f>
        <v>3</v>
      </c>
      <c r="Y75" s="381"/>
      <c r="Z75" s="381"/>
      <c r="AA75" s="381"/>
      <c r="AB75" s="381">
        <f>+SUM(C75:D75)</f>
        <v>0</v>
      </c>
      <c r="AC75" s="381">
        <f>+SUM(E75:F75)</f>
        <v>5.1000000000000156E-2</v>
      </c>
      <c r="AD75" s="381">
        <f t="shared" ref="AD75:AD76" si="247">+SUM(G75:H75)</f>
        <v>1.399999999999979E-2</v>
      </c>
      <c r="AE75" s="375">
        <f t="shared" ref="AE75:AE76" si="248">+SUM(I75:J75)</f>
        <v>1.4000000000001123E-2</v>
      </c>
      <c r="AF75" s="381">
        <f t="shared" ref="AF75:AF76" si="249">+SUM(K75:L75)</f>
        <v>75.256</v>
      </c>
      <c r="AG75" s="375">
        <f t="shared" ref="AG75:AG76" si="250">+SUM(M75:N75)</f>
        <v>32.472999999999999</v>
      </c>
      <c r="AH75" s="381">
        <f t="shared" ref="AH75:AH76" si="251">+SUM(O75:P75)</f>
        <v>19.829999999999998</v>
      </c>
      <c r="AI75" s="375">
        <f t="shared" ref="AI75:AI76" si="252">+SUM(Q75:R75)</f>
        <v>19.225999999999999</v>
      </c>
      <c r="AJ75" s="381">
        <f t="shared" ref="AJ75:AJ76" si="253">+SUM(S75:T75)</f>
        <v>10.737000000000002</v>
      </c>
      <c r="AK75" s="375">
        <f t="shared" ref="AK75" si="254">+SUM(U75:V75)</f>
        <v>11.198</v>
      </c>
      <c r="AL75" s="9">
        <f t="shared" ref="AL75" si="255">+SUM(W75:X75)</f>
        <v>5.9859999999999989</v>
      </c>
      <c r="AM75" s="9"/>
      <c r="AN75" s="9"/>
      <c r="AO75" s="9"/>
      <c r="AP75" s="9">
        <f t="shared" ref="AP75:AP76" si="256">+SUM(AB75:AC75)</f>
        <v>5.1000000000000156E-2</v>
      </c>
      <c r="AQ75" s="9">
        <f t="shared" si="241"/>
        <v>2.8000000000000913E-2</v>
      </c>
      <c r="AR75" s="9">
        <f t="shared" si="242"/>
        <v>107.729</v>
      </c>
      <c r="AS75" s="9">
        <f t="shared" si="243"/>
        <v>39.055999999999997</v>
      </c>
      <c r="AT75" s="9">
        <f t="shared" si="244"/>
        <v>21.935000000000002</v>
      </c>
      <c r="AU75" s="9"/>
      <c r="AV75" s="9"/>
      <c r="AW75" s="9"/>
      <c r="AX75" s="9"/>
      <c r="AY75" s="9"/>
      <c r="AZ75" s="9"/>
      <c r="BA75" s="9"/>
      <c r="BB75" s="9"/>
      <c r="BC75" s="9"/>
      <c r="BD75" s="9"/>
      <c r="BE75" s="9"/>
      <c r="BF75" s="9"/>
      <c r="BG75" s="9"/>
      <c r="BH75" s="9"/>
      <c r="BI75" s="9"/>
    </row>
    <row r="76" spans="1:61">
      <c r="A76" t="s">
        <v>647</v>
      </c>
      <c r="C76" s="9">
        <f t="shared" ref="C76:T76" si="257">+C64-C88</f>
        <v>38.713999999999999</v>
      </c>
      <c r="D76" s="9">
        <f t="shared" si="257"/>
        <v>45.71</v>
      </c>
      <c r="E76" s="9">
        <f t="shared" si="257"/>
        <v>31.760000000000005</v>
      </c>
      <c r="F76" s="9">
        <f t="shared" si="257"/>
        <v>42.238</v>
      </c>
      <c r="G76" s="9">
        <f t="shared" si="257"/>
        <v>26.76</v>
      </c>
      <c r="H76" s="9">
        <f t="shared" si="257"/>
        <v>61.915000000000006</v>
      </c>
      <c r="I76" s="9">
        <f t="shared" si="257"/>
        <v>81.84</v>
      </c>
      <c r="J76" s="375">
        <f t="shared" si="257"/>
        <v>121.11800000000001</v>
      </c>
      <c r="K76" s="381">
        <f t="shared" si="257"/>
        <v>40.516000000000005</v>
      </c>
      <c r="L76" s="381">
        <f t="shared" si="257"/>
        <v>60.172999999999995</v>
      </c>
      <c r="M76" s="381">
        <f t="shared" si="257"/>
        <v>46.134</v>
      </c>
      <c r="N76" s="375">
        <f t="shared" si="257"/>
        <v>49.344000000000001</v>
      </c>
      <c r="O76" s="381">
        <f t="shared" si="257"/>
        <v>35.406999999999996</v>
      </c>
      <c r="P76" s="381">
        <f t="shared" si="257"/>
        <v>58.069000000000003</v>
      </c>
      <c r="Q76" s="381">
        <f t="shared" si="257"/>
        <v>84.284999999999997</v>
      </c>
      <c r="R76" s="375">
        <f t="shared" si="257"/>
        <v>67.094999999999999</v>
      </c>
      <c r="S76" s="381">
        <f t="shared" si="257"/>
        <v>49.31</v>
      </c>
      <c r="T76" s="381">
        <f t="shared" si="257"/>
        <v>71.123999999999995</v>
      </c>
      <c r="U76" s="385"/>
      <c r="V76" s="380"/>
      <c r="W76" s="385"/>
      <c r="X76" s="385"/>
      <c r="Y76" s="381"/>
      <c r="Z76" s="381"/>
      <c r="AA76" s="381"/>
      <c r="AB76" s="381">
        <f>+SUM(C76:D76)</f>
        <v>84.424000000000007</v>
      </c>
      <c r="AC76" s="381">
        <f>+SUM(E76:F76)</f>
        <v>73.998000000000005</v>
      </c>
      <c r="AD76" s="381">
        <f t="shared" si="247"/>
        <v>88.675000000000011</v>
      </c>
      <c r="AE76" s="375">
        <f t="shared" si="248"/>
        <v>202.95800000000003</v>
      </c>
      <c r="AF76" s="381">
        <f t="shared" si="249"/>
        <v>100.68899999999999</v>
      </c>
      <c r="AG76" s="375">
        <f t="shared" si="250"/>
        <v>95.478000000000009</v>
      </c>
      <c r="AH76" s="381">
        <f t="shared" si="251"/>
        <v>93.475999999999999</v>
      </c>
      <c r="AI76" s="375">
        <f t="shared" si="252"/>
        <v>151.38</v>
      </c>
      <c r="AJ76" s="381">
        <f t="shared" si="253"/>
        <v>120.434</v>
      </c>
      <c r="AK76" s="380"/>
      <c r="AL76" s="372"/>
      <c r="AM76" s="9"/>
      <c r="AN76" s="9"/>
      <c r="AO76" s="9"/>
      <c r="AP76" s="9">
        <f t="shared" si="256"/>
        <v>158.42200000000003</v>
      </c>
      <c r="AQ76" s="9">
        <f t="shared" si="241"/>
        <v>291.63300000000004</v>
      </c>
      <c r="AR76" s="9">
        <f t="shared" si="242"/>
        <v>196.167</v>
      </c>
      <c r="AS76" s="9">
        <f t="shared" si="243"/>
        <v>244.85599999999999</v>
      </c>
      <c r="AT76" s="372"/>
      <c r="AU76" s="9"/>
      <c r="AV76" s="9"/>
      <c r="AW76" s="9"/>
      <c r="AX76" s="9"/>
      <c r="AY76" s="9"/>
      <c r="AZ76" s="9"/>
      <c r="BA76" s="9"/>
      <c r="BB76" s="9"/>
      <c r="BC76" s="9"/>
      <c r="BD76" s="9"/>
      <c r="BE76" s="9"/>
      <c r="BF76" s="9"/>
      <c r="BG76" s="9"/>
      <c r="BH76" s="9"/>
      <c r="BI76" s="9"/>
    </row>
    <row r="77" spans="1:61" hidden="1" outlineLevel="1">
      <c r="A77" t="s">
        <v>1678</v>
      </c>
      <c r="C77" s="9"/>
      <c r="D77" s="9"/>
      <c r="E77" s="9"/>
      <c r="F77" s="9"/>
      <c r="G77" s="9"/>
      <c r="H77" s="9"/>
      <c r="I77" s="9"/>
      <c r="J77" s="375"/>
      <c r="K77" s="381"/>
      <c r="L77" s="381"/>
      <c r="M77" s="381"/>
      <c r="N77" s="375"/>
      <c r="O77" s="381"/>
      <c r="P77" s="381"/>
      <c r="Q77" s="381"/>
      <c r="R77" s="375"/>
      <c r="S77" s="381"/>
      <c r="T77" s="381"/>
      <c r="U77" s="381"/>
      <c r="V77" s="375"/>
      <c r="W77" s="381"/>
      <c r="X77" s="381"/>
      <c r="Y77" s="381"/>
      <c r="Z77" s="381"/>
      <c r="AA77" s="381"/>
      <c r="AB77" s="381"/>
      <c r="AC77" s="381"/>
      <c r="AD77" s="381"/>
      <c r="AE77" s="375"/>
      <c r="AF77" s="381"/>
      <c r="AG77" s="375"/>
      <c r="AH77" s="381"/>
      <c r="AI77" s="375"/>
      <c r="AJ77" s="381"/>
      <c r="AK77" s="375"/>
      <c r="AL77" s="9"/>
      <c r="AM77" s="9"/>
      <c r="AN77" s="9"/>
      <c r="AO77" s="9"/>
      <c r="AP77" s="9"/>
      <c r="AQ77" s="9"/>
      <c r="AR77" s="9"/>
      <c r="AS77" s="9"/>
      <c r="AT77" s="9"/>
      <c r="AU77" s="9"/>
      <c r="AV77" s="9"/>
      <c r="AW77" s="9"/>
      <c r="AX77" s="9"/>
      <c r="AY77" s="9"/>
      <c r="AZ77" s="9"/>
      <c r="BA77" s="9"/>
      <c r="BB77" s="9"/>
      <c r="BC77" s="9"/>
      <c r="BD77" s="9"/>
      <c r="BE77" s="9"/>
      <c r="BF77" s="9"/>
      <c r="BG77" s="9"/>
      <c r="BH77" s="9"/>
      <c r="BI77" s="9"/>
    </row>
    <row r="78" spans="1:61" hidden="1" outlineLevel="1">
      <c r="A78" s="5" t="s">
        <v>1679</v>
      </c>
      <c r="C78" s="9"/>
      <c r="D78" s="9"/>
      <c r="E78" s="9"/>
      <c r="F78" s="9"/>
      <c r="G78" s="9"/>
      <c r="H78" s="9"/>
      <c r="I78" s="9"/>
      <c r="J78" s="375"/>
      <c r="K78" s="381"/>
      <c r="L78" s="381"/>
      <c r="M78" s="381"/>
      <c r="N78" s="375"/>
      <c r="O78" s="381"/>
      <c r="P78" s="381"/>
      <c r="Q78" s="381"/>
      <c r="R78" s="375"/>
      <c r="S78" s="381"/>
      <c r="T78" s="381"/>
      <c r="U78" s="381"/>
      <c r="V78" s="375"/>
      <c r="W78" s="381"/>
      <c r="X78" s="381"/>
      <c r="Y78" s="381"/>
      <c r="Z78" s="381"/>
      <c r="AA78" s="381"/>
      <c r="AB78" s="381"/>
      <c r="AC78" s="381"/>
      <c r="AD78" s="381"/>
      <c r="AE78" s="375"/>
      <c r="AF78" s="381"/>
      <c r="AG78" s="375"/>
      <c r="AH78" s="381"/>
      <c r="AI78" s="375"/>
      <c r="AJ78" s="381"/>
      <c r="AK78" s="375"/>
      <c r="AL78" s="9"/>
      <c r="AM78" s="9"/>
      <c r="AN78" s="9"/>
      <c r="AO78" s="9"/>
      <c r="AP78" s="9"/>
      <c r="AQ78" s="9"/>
      <c r="AR78" s="9"/>
      <c r="AS78" s="9"/>
      <c r="AT78" s="9"/>
      <c r="AU78" s="9"/>
      <c r="AV78" s="9"/>
      <c r="AW78" s="9"/>
      <c r="AX78" s="9"/>
      <c r="AY78" s="9"/>
      <c r="AZ78" s="9"/>
      <c r="BA78" s="9"/>
      <c r="BB78" s="9"/>
      <c r="BC78" s="9"/>
      <c r="BD78" s="9"/>
      <c r="BE78" s="9"/>
      <c r="BF78" s="9"/>
      <c r="BG78" s="9"/>
      <c r="BH78" s="9"/>
      <c r="BI78" s="9"/>
    </row>
    <row r="79" spans="1:61" collapsed="1">
      <c r="J79" s="374"/>
      <c r="N79" s="374"/>
      <c r="R79" s="374"/>
      <c r="V79" s="374"/>
      <c r="AE79" s="374"/>
      <c r="AG79" s="374"/>
      <c r="AI79" s="374"/>
      <c r="AK79" s="374"/>
    </row>
    <row r="80" spans="1:61" s="29" customFormat="1">
      <c r="A80" s="133" t="s">
        <v>1689</v>
      </c>
      <c r="C80" s="111"/>
      <c r="D80" s="111"/>
      <c r="E80" s="111"/>
      <c r="F80" s="111"/>
      <c r="G80" s="111"/>
      <c r="H80" s="111"/>
      <c r="I80" s="111"/>
      <c r="J80" s="378"/>
      <c r="K80" s="384"/>
      <c r="L80" s="384"/>
      <c r="M80" s="384"/>
      <c r="N80" s="378"/>
      <c r="O80" s="384"/>
      <c r="P80" s="384"/>
      <c r="Q80" s="384"/>
      <c r="R80" s="378"/>
      <c r="S80" s="384"/>
      <c r="T80" s="384"/>
      <c r="U80" s="384"/>
      <c r="V80" s="378"/>
      <c r="W80" s="384"/>
      <c r="X80" s="384"/>
      <c r="Y80" s="384"/>
      <c r="Z80" s="384"/>
      <c r="AA80" s="384"/>
      <c r="AB80" s="384"/>
      <c r="AC80" s="384"/>
      <c r="AD80" s="384"/>
      <c r="AE80" s="378"/>
      <c r="AF80" s="384"/>
      <c r="AG80" s="378"/>
      <c r="AH80" s="384"/>
      <c r="AI80" s="378"/>
      <c r="AJ80" s="384"/>
      <c r="AK80" s="378"/>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row>
    <row r="81" spans="1:61" s="29" customFormat="1">
      <c r="A81" s="91" t="str">
        <f>+A74</f>
        <v>CTT</v>
      </c>
      <c r="C81" s="167" t="s">
        <v>251</v>
      </c>
      <c r="D81" s="167" t="s">
        <v>251</v>
      </c>
      <c r="E81" s="167" t="s">
        <v>251</v>
      </c>
      <c r="F81" s="167" t="s">
        <v>251</v>
      </c>
      <c r="G81" s="167" t="s">
        <v>251</v>
      </c>
      <c r="H81" s="167" t="s">
        <v>251</v>
      </c>
      <c r="I81" s="167" t="s">
        <v>251</v>
      </c>
      <c r="J81" s="379" t="s">
        <v>251</v>
      </c>
      <c r="K81" s="167" t="s">
        <v>251</v>
      </c>
      <c r="L81" s="167" t="s">
        <v>251</v>
      </c>
      <c r="M81" s="167" t="s">
        <v>251</v>
      </c>
      <c r="N81" s="379" t="s">
        <v>251</v>
      </c>
      <c r="O81" s="167" t="s">
        <v>251</v>
      </c>
      <c r="P81" s="167" t="s">
        <v>251</v>
      </c>
      <c r="Q81" s="167" t="s">
        <v>251</v>
      </c>
      <c r="R81" s="379" t="s">
        <v>251</v>
      </c>
      <c r="S81" s="167" t="s">
        <v>251</v>
      </c>
      <c r="T81" s="167" t="s">
        <v>251</v>
      </c>
      <c r="U81" s="167" t="s">
        <v>251</v>
      </c>
      <c r="V81" s="379" t="s">
        <v>251</v>
      </c>
      <c r="W81" s="167" t="s">
        <v>251</v>
      </c>
      <c r="X81" s="167" t="s">
        <v>251</v>
      </c>
      <c r="Y81" s="384"/>
      <c r="Z81" s="384"/>
      <c r="AA81" s="384"/>
      <c r="AB81" s="167" t="s">
        <v>251</v>
      </c>
      <c r="AC81" s="167">
        <f t="shared" ref="AC81:AL81" si="258">+AC74/AC$8</f>
        <v>0</v>
      </c>
      <c r="AD81" s="167">
        <f t="shared" si="258"/>
        <v>0</v>
      </c>
      <c r="AE81" s="379">
        <f t="shared" si="258"/>
        <v>0</v>
      </c>
      <c r="AF81" s="167">
        <f t="shared" si="258"/>
        <v>1.2341892603945815E-3</v>
      </c>
      <c r="AG81" s="379">
        <f t="shared" si="258"/>
        <v>1.8116855104972269E-3</v>
      </c>
      <c r="AH81" s="167">
        <f t="shared" si="258"/>
        <v>2.1522686169311834E-3</v>
      </c>
      <c r="AI81" s="379">
        <f t="shared" si="258"/>
        <v>1.1838126096072822E-3</v>
      </c>
      <c r="AJ81" s="167">
        <f t="shared" si="258"/>
        <v>9.7237819135239463E-4</v>
      </c>
      <c r="AK81" s="379">
        <f t="shared" si="258"/>
        <v>7.6513802447740942E-4</v>
      </c>
      <c r="AL81" s="167">
        <f t="shared" si="258"/>
        <v>4.3464340455528919E-3</v>
      </c>
      <c r="AM81" s="111"/>
      <c r="AN81" s="111"/>
      <c r="AO81" s="111"/>
      <c r="AP81" s="167" t="s">
        <v>251</v>
      </c>
      <c r="AQ81" s="167">
        <f>+AQ74/AQ$8</f>
        <v>0</v>
      </c>
      <c r="AR81" s="167">
        <f>+AR74/AR$8</f>
        <v>1.6242061526643688E-3</v>
      </c>
      <c r="AS81" s="167">
        <f>+AS74/AS$8</f>
        <v>1.528645525763578E-3</v>
      </c>
      <c r="AT81" s="167">
        <f>+AT74/AT$8</f>
        <v>8.4806727594444631E-4</v>
      </c>
      <c r="AU81" s="111"/>
      <c r="AV81" s="111"/>
      <c r="AW81" s="111"/>
      <c r="AX81" s="111"/>
      <c r="AY81" s="111"/>
      <c r="AZ81" s="111"/>
      <c r="BA81" s="111"/>
      <c r="BB81" s="111"/>
      <c r="BC81" s="111"/>
      <c r="BD81" s="111"/>
      <c r="BE81" s="111"/>
      <c r="BF81" s="111"/>
      <c r="BG81" s="111"/>
      <c r="BH81" s="111"/>
      <c r="BI81" s="111"/>
    </row>
    <row r="82" spans="1:61" s="29" customFormat="1">
      <c r="A82" s="91" t="str">
        <f t="shared" ref="A82:A83" si="259">+A75</f>
        <v>MYTE</v>
      </c>
      <c r="C82" s="167">
        <f t="shared" ref="C82:X82" si="260">+C75/C$9</f>
        <v>0</v>
      </c>
      <c r="D82" s="167">
        <f t="shared" si="260"/>
        <v>0</v>
      </c>
      <c r="E82" s="167">
        <f t="shared" si="260"/>
        <v>2.9259827266123087E-4</v>
      </c>
      <c r="F82" s="167">
        <f t="shared" si="260"/>
        <v>1.8430245708685037E-4</v>
      </c>
      <c r="G82" s="167">
        <f t="shared" si="260"/>
        <v>6.2648230187498254E-5</v>
      </c>
      <c r="H82" s="167">
        <f t="shared" si="260"/>
        <v>5.8689874319823538E-5</v>
      </c>
      <c r="I82" s="167">
        <f t="shared" si="260"/>
        <v>5.539771603130504E-5</v>
      </c>
      <c r="J82" s="379">
        <f t="shared" si="260"/>
        <v>4.4138139766581436E-5</v>
      </c>
      <c r="K82" s="167">
        <f t="shared" si="260"/>
        <v>0.36303223770452003</v>
      </c>
      <c r="L82" s="167">
        <f t="shared" si="260"/>
        <v>9.5074152542372864E-2</v>
      </c>
      <c r="M82" s="167">
        <f t="shared" si="260"/>
        <v>0.1022226164529373</v>
      </c>
      <c r="N82" s="379">
        <f t="shared" si="260"/>
        <v>8.710834830544166E-2</v>
      </c>
      <c r="O82" s="167">
        <f t="shared" si="260"/>
        <v>6.0337911180329426E-2</v>
      </c>
      <c r="P82" s="167">
        <f t="shared" si="260"/>
        <v>5.4920353476134609E-2</v>
      </c>
      <c r="Q82" s="167">
        <f t="shared" si="260"/>
        <v>5.4261185968503052E-2</v>
      </c>
      <c r="R82" s="379">
        <f t="shared" si="260"/>
        <v>5.0933232329608807E-2</v>
      </c>
      <c r="S82" s="167">
        <f t="shared" si="260"/>
        <v>3.0289164986449322E-2</v>
      </c>
      <c r="T82" s="167">
        <f t="shared" si="260"/>
        <v>2.3130607196843293E-2</v>
      </c>
      <c r="U82" s="167">
        <f t="shared" si="260"/>
        <v>3.3768419258809558E-2</v>
      </c>
      <c r="V82" s="379">
        <f t="shared" si="260"/>
        <v>2.4651193479132517E-2</v>
      </c>
      <c r="W82" s="167">
        <f t="shared" si="260"/>
        <v>1.2766412279014084E-2</v>
      </c>
      <c r="X82" s="167">
        <f t="shared" si="260"/>
        <v>1.3026656882199941E-2</v>
      </c>
      <c r="Y82" s="384"/>
      <c r="Z82" s="384"/>
      <c r="AA82" s="384"/>
      <c r="AB82" s="167">
        <f t="shared" ref="AB82:AL82" si="261">+AB75/AB$9</f>
        <v>0</v>
      </c>
      <c r="AC82" s="167">
        <f t="shared" si="261"/>
        <v>2.3342990923695954E-4</v>
      </c>
      <c r="AD82" s="167">
        <f t="shared" si="261"/>
        <v>6.060448646355415E-5</v>
      </c>
      <c r="AE82" s="379">
        <f t="shared" si="261"/>
        <v>4.9131081726049032E-5</v>
      </c>
      <c r="AF82" s="167">
        <f t="shared" si="261"/>
        <v>0.23003937104149855</v>
      </c>
      <c r="AG82" s="379">
        <f t="shared" si="261"/>
        <v>9.4014817474080997E-2</v>
      </c>
      <c r="AH82" s="167">
        <f t="shared" si="261"/>
        <v>5.7587259363374721E-2</v>
      </c>
      <c r="AI82" s="379">
        <f t="shared" si="261"/>
        <v>5.2532638217180079E-2</v>
      </c>
      <c r="AJ82" s="167">
        <f t="shared" si="261"/>
        <v>2.6666567322092497E-2</v>
      </c>
      <c r="AK82" s="379">
        <f t="shared" si="261"/>
        <v>2.9100226606515459E-2</v>
      </c>
      <c r="AL82" s="167">
        <f t="shared" si="261"/>
        <v>1.2895525989245827E-2</v>
      </c>
      <c r="AM82" s="111"/>
      <c r="AN82" s="111"/>
      <c r="AO82" s="111"/>
      <c r="AP82" s="167">
        <f>+AP75/AP$9</f>
        <v>1.2175004953555975E-4</v>
      </c>
      <c r="AQ82" s="167">
        <f>+AQ75/AQ$9</f>
        <v>5.4267983052885921E-5</v>
      </c>
      <c r="AR82" s="167">
        <f>+AR75/AR$9</f>
        <v>0.16018062678147399</v>
      </c>
      <c r="AS82" s="167">
        <f>+AS75/AS$9</f>
        <v>5.498297267885726E-2</v>
      </c>
      <c r="AT82" s="167">
        <f>+AT75/AT$9</f>
        <v>2.7855842996417541E-2</v>
      </c>
      <c r="AU82" s="111"/>
      <c r="AV82" s="111"/>
      <c r="AW82" s="111"/>
      <c r="AX82" s="111"/>
      <c r="AY82" s="111"/>
      <c r="AZ82" s="111"/>
      <c r="BA82" s="111"/>
      <c r="BB82" s="111"/>
      <c r="BC82" s="111"/>
      <c r="BD82" s="111"/>
      <c r="BE82" s="111"/>
      <c r="BF82" s="111"/>
      <c r="BG82" s="111"/>
      <c r="BH82" s="111"/>
      <c r="BI82" s="111"/>
    </row>
    <row r="83" spans="1:61" s="29" customFormat="1">
      <c r="A83" s="91" t="str">
        <f t="shared" si="259"/>
        <v>FTCH</v>
      </c>
      <c r="C83" s="167">
        <f t="shared" ref="C83:T83" si="262">+C76/C$10</f>
        <v>9.2336019729388721E-2</v>
      </c>
      <c r="D83" s="167">
        <f t="shared" si="262"/>
        <v>9.3576948666769022E-2</v>
      </c>
      <c r="E83" s="167">
        <f t="shared" si="262"/>
        <v>6.4551008711134242E-2</v>
      </c>
      <c r="F83" s="167">
        <f t="shared" si="262"/>
        <v>5.7083238167573734E-2</v>
      </c>
      <c r="G83" s="167">
        <f t="shared" si="262"/>
        <v>4.3806087671107302E-2</v>
      </c>
      <c r="H83" s="167">
        <f t="shared" si="262"/>
        <v>8.5836880120891176E-2</v>
      </c>
      <c r="I83" s="167">
        <f t="shared" si="262"/>
        <v>0.10257695778602226</v>
      </c>
      <c r="J83" s="379">
        <f t="shared" si="262"/>
        <v>0.11458764983585465</v>
      </c>
      <c r="K83" s="167">
        <f t="shared" si="262"/>
        <v>4.4250571207639991E-2</v>
      </c>
      <c r="L83" s="167">
        <f t="shared" si="262"/>
        <v>5.9706631501343005E-2</v>
      </c>
      <c r="M83" s="167">
        <f t="shared" si="262"/>
        <v>4.5348830351297637E-2</v>
      </c>
      <c r="N83" s="379">
        <f t="shared" si="262"/>
        <v>3.8276532120126133E-2</v>
      </c>
      <c r="O83" s="167">
        <f t="shared" si="262"/>
        <v>3.8041282747713671E-2</v>
      </c>
      <c r="P83" s="167">
        <f t="shared" si="262"/>
        <v>5.6905398413245947E-2</v>
      </c>
      <c r="Q83" s="167">
        <f t="shared" si="262"/>
        <v>8.7127806055995002E-2</v>
      </c>
      <c r="R83" s="379">
        <f t="shared" si="262"/>
        <v>5.8858928933293211E-2</v>
      </c>
      <c r="S83" s="167">
        <f t="shared" si="262"/>
        <v>5.2927147086162522E-2</v>
      </c>
      <c r="T83" s="167">
        <f t="shared" si="262"/>
        <v>6.887742502786609E-2</v>
      </c>
      <c r="U83" s="167" t="s">
        <v>251</v>
      </c>
      <c r="V83" s="379" t="s">
        <v>251</v>
      </c>
      <c r="W83" s="167" t="s">
        <v>251</v>
      </c>
      <c r="X83" s="167" t="s">
        <v>251</v>
      </c>
      <c r="Y83" s="384"/>
      <c r="Z83" s="384"/>
      <c r="AA83" s="384"/>
      <c r="AB83" s="167">
        <f t="shared" ref="AB83:AJ83" si="263">+AB76/AB$10</f>
        <v>9.3003785191484861E-2</v>
      </c>
      <c r="AC83" s="167">
        <f t="shared" si="263"/>
        <v>6.0065700665042687E-2</v>
      </c>
      <c r="AD83" s="167">
        <f t="shared" si="263"/>
        <v>6.6563627847204307E-2</v>
      </c>
      <c r="AE83" s="379">
        <f t="shared" si="263"/>
        <v>0.10942134858720208</v>
      </c>
      <c r="AF83" s="167">
        <f t="shared" si="263"/>
        <v>5.2349077032257725E-2</v>
      </c>
      <c r="AG83" s="379">
        <f t="shared" si="263"/>
        <v>4.1395923361308401E-2</v>
      </c>
      <c r="AH83" s="167">
        <f t="shared" si="263"/>
        <v>4.7906929069290699E-2</v>
      </c>
      <c r="AI83" s="379">
        <f t="shared" si="263"/>
        <v>7.1835964582183567E-2</v>
      </c>
      <c r="AJ83" s="167">
        <f t="shared" si="263"/>
        <v>6.1312188975576228E-2</v>
      </c>
      <c r="AK83" s="379" t="s">
        <v>251</v>
      </c>
      <c r="AL83" s="167" t="s">
        <v>251</v>
      </c>
      <c r="AM83" s="111"/>
      <c r="AN83" s="111"/>
      <c r="AO83" s="111"/>
      <c r="AP83" s="167">
        <f>+AP76/AP$10</f>
        <v>7.4039385913626174E-2</v>
      </c>
      <c r="AQ83" s="167">
        <f>+AQ76/AQ$10</f>
        <v>9.1506657956319001E-2</v>
      </c>
      <c r="AR83" s="167">
        <f>+AR76/AR$10</f>
        <v>4.637655873437365E-2</v>
      </c>
      <c r="AS83" s="167">
        <f>+AS76/AS$10</f>
        <v>6.0331634758744673E-2</v>
      </c>
      <c r="AT83" s="167" t="s">
        <v>251</v>
      </c>
      <c r="AU83" s="111"/>
      <c r="AV83" s="111"/>
      <c r="AW83" s="111"/>
      <c r="AX83" s="111"/>
      <c r="AY83" s="111"/>
      <c r="AZ83" s="111"/>
      <c r="BA83" s="111"/>
      <c r="BB83" s="111"/>
      <c r="BC83" s="111"/>
      <c r="BD83" s="111"/>
      <c r="BE83" s="111"/>
      <c r="BF83" s="111"/>
      <c r="BG83" s="111"/>
      <c r="BH83" s="111"/>
      <c r="BI83" s="111"/>
    </row>
    <row r="84" spans="1:61">
      <c r="J84" s="374"/>
      <c r="N84" s="374"/>
      <c r="R84" s="374"/>
      <c r="V84" s="374"/>
      <c r="AE84" s="374"/>
      <c r="AG84" s="374"/>
      <c r="AI84" s="374"/>
      <c r="AK84" s="374"/>
    </row>
    <row r="85" spans="1:61">
      <c r="A85" s="4" t="s">
        <v>93</v>
      </c>
      <c r="C85" s="9"/>
      <c r="D85" s="9"/>
      <c r="E85" s="9"/>
      <c r="F85" s="9"/>
      <c r="G85" s="9"/>
      <c r="H85" s="9"/>
      <c r="I85" s="9"/>
      <c r="J85" s="375"/>
      <c r="K85" s="381"/>
      <c r="L85" s="381"/>
      <c r="M85" s="381"/>
      <c r="N85" s="375"/>
      <c r="O85" s="381"/>
      <c r="P85" s="381"/>
      <c r="Q85" s="381"/>
      <c r="R85" s="375"/>
      <c r="S85" s="381"/>
      <c r="T85" s="381"/>
      <c r="U85" s="381"/>
      <c r="V85" s="375"/>
      <c r="W85" s="381"/>
      <c r="X85" s="381"/>
      <c r="Y85" s="381"/>
      <c r="Z85" s="381"/>
      <c r="AA85" s="381"/>
      <c r="AB85" s="381"/>
      <c r="AC85" s="381"/>
      <c r="AD85" s="381"/>
      <c r="AE85" s="375"/>
      <c r="AF85" s="381"/>
      <c r="AG85" s="375"/>
      <c r="AH85" s="381"/>
      <c r="AI85" s="375"/>
      <c r="AJ85" s="381"/>
      <c r="AK85" s="375"/>
      <c r="AL85" s="9"/>
      <c r="AM85" s="9"/>
      <c r="AN85" s="9"/>
      <c r="AO85" s="9"/>
      <c r="AP85" s="9"/>
      <c r="AQ85" s="9"/>
      <c r="AR85" s="9"/>
      <c r="AS85" s="9"/>
      <c r="AT85" s="9"/>
      <c r="AU85" s="9"/>
      <c r="AV85" s="9"/>
      <c r="AW85" s="9"/>
      <c r="AX85" s="9"/>
      <c r="AY85" s="9"/>
      <c r="AZ85" s="9"/>
      <c r="BA85" s="9"/>
      <c r="BB85" s="9"/>
      <c r="BC85" s="9"/>
      <c r="BD85" s="9"/>
      <c r="BE85" s="9"/>
      <c r="BF85" s="9"/>
      <c r="BG85" s="9"/>
      <c r="BH85" s="9"/>
      <c r="BI85" s="9"/>
    </row>
    <row r="86" spans="1:61">
      <c r="A86" t="s">
        <v>529</v>
      </c>
      <c r="C86" s="372"/>
      <c r="D86" s="372"/>
      <c r="E86" s="372"/>
      <c r="F86" s="372"/>
      <c r="G86" s="372"/>
      <c r="H86" s="372"/>
      <c r="I86" s="372"/>
      <c r="J86" s="380"/>
      <c r="K86" s="385"/>
      <c r="L86" s="385"/>
      <c r="M86" s="385"/>
      <c r="N86" s="380"/>
      <c r="O86" s="385"/>
      <c r="P86" s="385"/>
      <c r="Q86" s="385"/>
      <c r="R86" s="380"/>
      <c r="S86" s="385"/>
      <c r="T86" s="385"/>
      <c r="U86" s="385"/>
      <c r="V86" s="380"/>
      <c r="W86" s="385"/>
      <c r="X86" s="385"/>
      <c r="Y86" s="381"/>
      <c r="Z86" s="381"/>
      <c r="AA86" s="381"/>
      <c r="AB86" s="385"/>
      <c r="AC86" s="381">
        <f>+'Historical - USD'!C114</f>
        <v>0.61546658570380341</v>
      </c>
      <c r="AD86" s="381">
        <f>+'Historical - USD'!D114</f>
        <v>1.2179131944081405</v>
      </c>
      <c r="AE86" s="375">
        <f>+'Historical - USD'!E114</f>
        <v>3.4658495304812496</v>
      </c>
      <c r="AF86" s="381">
        <f>+'Historical - USD'!F114</f>
        <v>-1.9352747279897746</v>
      </c>
      <c r="AG86" s="375">
        <f>+'Historical - USD'!G114</f>
        <v>-7.4217705492073263</v>
      </c>
      <c r="AH86" s="381">
        <f>+'Historical - USD'!H114</f>
        <v>-8.4434983772909078</v>
      </c>
      <c r="AI86" s="375">
        <f>+'Historical - USD'!I114</f>
        <v>11.031132885287775</v>
      </c>
      <c r="AJ86" s="381">
        <f>+'Historical - USD'!J114</f>
        <v>8.3848663024576453</v>
      </c>
      <c r="AK86" s="375">
        <f>+'Historical - USD'!K114</f>
        <v>16.860206060750201</v>
      </c>
      <c r="AL86" s="9">
        <f>+'Historical - USD'!L114</f>
        <v>3.1025739388062892</v>
      </c>
      <c r="AM86" s="9"/>
      <c r="AN86" s="9"/>
      <c r="AO86" s="9"/>
      <c r="AP86" s="372"/>
      <c r="AQ86" s="9">
        <f t="shared" ref="AQ86" si="264">+SUM(AD86:AE86)</f>
        <v>4.6837627248893901</v>
      </c>
      <c r="AR86" s="9">
        <f t="shared" ref="AR86" si="265">+SUM(AF86:AG86)</f>
        <v>-9.3570452771971002</v>
      </c>
      <c r="AS86" s="9">
        <f t="shared" ref="AS86" si="266">+SUM(AH86:AI86)</f>
        <v>2.5876345079968672</v>
      </c>
      <c r="AT86" s="9">
        <f t="shared" ref="AT86" si="267">+SUM(AJ86:AK86)</f>
        <v>25.245072363207846</v>
      </c>
      <c r="AU86" s="9"/>
      <c r="AV86" s="9"/>
      <c r="AW86" s="9"/>
      <c r="AX86" s="9"/>
      <c r="AY86" s="9"/>
      <c r="AZ86" s="9"/>
      <c r="BA86" s="9"/>
      <c r="BB86" s="9"/>
      <c r="BC86" s="9"/>
      <c r="BD86" s="9"/>
      <c r="BE86" s="9"/>
      <c r="BF86" s="9"/>
      <c r="BG86" s="9"/>
      <c r="BH86" s="9"/>
      <c r="BI86" s="9"/>
    </row>
    <row r="87" spans="1:61">
      <c r="A87" t="s">
        <v>1677</v>
      </c>
      <c r="C87" s="9">
        <v>5.1870000000000047</v>
      </c>
      <c r="D87" s="9">
        <v>5.9029999999999916</v>
      </c>
      <c r="E87" s="9">
        <v>4.3299999999999992</v>
      </c>
      <c r="F87" s="9">
        <v>12.843</v>
      </c>
      <c r="G87" s="9">
        <v>3.111999999999997</v>
      </c>
      <c r="H87" s="9">
        <v>15.050000000000004</v>
      </c>
      <c r="I87" s="9">
        <v>10.431000000000001</v>
      </c>
      <c r="J87" s="375">
        <v>22.136000000000003</v>
      </c>
      <c r="K87" s="381">
        <v>-48.676999999999978</v>
      </c>
      <c r="L87" s="381">
        <v>-4.266000000000016</v>
      </c>
      <c r="M87" s="381">
        <v>-2.1070000000000135</v>
      </c>
      <c r="N87" s="375">
        <v>11.963999999999999</v>
      </c>
      <c r="O87" s="381">
        <v>0.59099999999999753</v>
      </c>
      <c r="P87" s="381">
        <v>3.5830000000000126</v>
      </c>
      <c r="Q87" s="381">
        <v>2.0489999999999906</v>
      </c>
      <c r="R87" s="375">
        <v>8.0550000000000104</v>
      </c>
      <c r="S87" s="381">
        <v>-2.7809999999999886</v>
      </c>
      <c r="T87" s="381">
        <v>3.770999999999944</v>
      </c>
      <c r="U87" s="381">
        <v>-7.1849999999999961</v>
      </c>
      <c r="V87" s="375">
        <v>3.0739999999999998</v>
      </c>
      <c r="W87" s="381">
        <v>6.2159999999999993</v>
      </c>
      <c r="X87" s="381">
        <f>+X63-3</f>
        <v>14.670999999999999</v>
      </c>
      <c r="Y87" s="381"/>
      <c r="Z87" s="381"/>
      <c r="AA87" s="381"/>
      <c r="AB87" s="381">
        <f>+SUM(C87:D87)</f>
        <v>11.089999999999996</v>
      </c>
      <c r="AC87" s="381">
        <f>+SUM(E87:F87)</f>
        <v>17.172999999999998</v>
      </c>
      <c r="AD87" s="381">
        <f t="shared" ref="AD87" si="268">+SUM(G87:H87)</f>
        <v>18.162000000000003</v>
      </c>
      <c r="AE87" s="375">
        <f t="shared" ref="AE87" si="269">+SUM(I87:J87)</f>
        <v>32.567000000000007</v>
      </c>
      <c r="AF87" s="381">
        <f t="shared" ref="AF87" si="270">+SUM(K87:L87)</f>
        <v>-52.942999999999998</v>
      </c>
      <c r="AG87" s="375">
        <f t="shared" ref="AG87" si="271">+SUM(M87:N87)</f>
        <v>9.8569999999999851</v>
      </c>
      <c r="AH87" s="381">
        <f t="shared" ref="AH87" si="272">+SUM(O87:P87)</f>
        <v>4.1740000000000101</v>
      </c>
      <c r="AI87" s="375">
        <f t="shared" ref="AI87" si="273">+SUM(Q87:R87)</f>
        <v>10.104000000000001</v>
      </c>
      <c r="AJ87" s="381">
        <f t="shared" ref="AJ87" si="274">+SUM(S87:T87)</f>
        <v>0.98999999999995536</v>
      </c>
      <c r="AK87" s="375">
        <f t="shared" ref="AK87" si="275">+SUM(U87:V87)</f>
        <v>-4.1109999999999962</v>
      </c>
      <c r="AL87" s="9">
        <f t="shared" ref="AL87" si="276">+SUM(W87:X87)</f>
        <v>20.887</v>
      </c>
      <c r="AM87" s="9"/>
      <c r="AN87" s="9"/>
      <c r="AO87" s="9"/>
      <c r="AP87" s="9">
        <f t="shared" ref="AP87" si="277">+SUM(AB87:AC87)</f>
        <v>28.262999999999995</v>
      </c>
      <c r="AQ87" s="9">
        <f t="shared" ref="AQ87" si="278">+SUM(AD87:AE87)</f>
        <v>50.729000000000013</v>
      </c>
      <c r="AR87" s="9">
        <f t="shared" ref="AR87" si="279">+SUM(AF87:AG87)</f>
        <v>-43.086000000000013</v>
      </c>
      <c r="AS87" s="9">
        <f t="shared" ref="AS87" si="280">+SUM(AH87:AI87)</f>
        <v>14.278000000000011</v>
      </c>
      <c r="AT87" s="9">
        <f t="shared" ref="AT87" si="281">+SUM(AJ87:AK87)</f>
        <v>-3.1210000000000409</v>
      </c>
      <c r="AU87" s="9"/>
      <c r="AV87" s="9"/>
      <c r="AW87" s="9"/>
      <c r="AX87" s="9"/>
      <c r="AY87" s="9"/>
      <c r="AZ87" s="9"/>
      <c r="BA87" s="9"/>
      <c r="BB87" s="9"/>
      <c r="BC87" s="9"/>
      <c r="BD87" s="9"/>
      <c r="BE87" s="9"/>
      <c r="BF87" s="9"/>
      <c r="BG87" s="9"/>
      <c r="BH87" s="9"/>
      <c r="BI87" s="9"/>
    </row>
    <row r="88" spans="1:61">
      <c r="A88" t="s">
        <v>647</v>
      </c>
      <c r="C88" s="9">
        <v>-68.950000000000017</v>
      </c>
      <c r="D88" s="9">
        <v>-83.28600000000003</v>
      </c>
      <c r="E88" s="9">
        <v>-67.398000000000025</v>
      </c>
      <c r="F88" s="9">
        <v>-60.164000000000001</v>
      </c>
      <c r="G88" s="9">
        <v>-49.079000000000001</v>
      </c>
      <c r="H88" s="9">
        <v>-87.09</v>
      </c>
      <c r="I88" s="9">
        <v>-92.153999999999996</v>
      </c>
      <c r="J88" s="375">
        <v>-110.742</v>
      </c>
      <c r="K88" s="381">
        <v>-59.712000000000003</v>
      </c>
      <c r="L88" s="381">
        <v>-80.751999999999995</v>
      </c>
      <c r="M88" s="381">
        <v>-40.823999999999998</v>
      </c>
      <c r="N88" s="375">
        <v>-13.24</v>
      </c>
      <c r="O88" s="381">
        <v>-71.188999999999993</v>
      </c>
      <c r="P88" s="381">
        <v>-82.293000000000006</v>
      </c>
      <c r="Q88" s="381">
        <v>-88.396000000000001</v>
      </c>
      <c r="R88" s="375">
        <v>-101.693</v>
      </c>
      <c r="S88" s="381">
        <v>-84.051000000000002</v>
      </c>
      <c r="T88" s="381">
        <v>-101.694</v>
      </c>
      <c r="U88" s="385"/>
      <c r="V88" s="380"/>
      <c r="W88" s="385"/>
      <c r="X88" s="385"/>
      <c r="Y88" s="381"/>
      <c r="Z88" s="381"/>
      <c r="AA88" s="381"/>
      <c r="AB88" s="381">
        <f>+SUM(C88:D88)</f>
        <v>-152.23600000000005</v>
      </c>
      <c r="AC88" s="381">
        <f>+SUM(E88:F88)</f>
        <v>-127.56200000000003</v>
      </c>
      <c r="AD88" s="381">
        <f t="shared" ref="AD88" si="282">+SUM(G88:H88)</f>
        <v>-136.16900000000001</v>
      </c>
      <c r="AE88" s="375">
        <f t="shared" ref="AE88" si="283">+SUM(I88:J88)</f>
        <v>-202.89600000000002</v>
      </c>
      <c r="AF88" s="381">
        <f t="shared" ref="AF88" si="284">+SUM(K88:L88)</f>
        <v>-140.464</v>
      </c>
      <c r="AG88" s="375">
        <f t="shared" ref="AG88" si="285">+SUM(M88:N88)</f>
        <v>-54.064</v>
      </c>
      <c r="AH88" s="381">
        <f t="shared" ref="AH88" si="286">+SUM(O88:P88)</f>
        <v>-153.482</v>
      </c>
      <c r="AI88" s="375">
        <f t="shared" ref="AI88" si="287">+SUM(Q88:R88)</f>
        <v>-190.089</v>
      </c>
      <c r="AJ88" s="381">
        <f t="shared" ref="AJ88" si="288">+SUM(S88:T88)</f>
        <v>-185.745</v>
      </c>
      <c r="AK88" s="380"/>
      <c r="AL88" s="372"/>
      <c r="AM88" s="9"/>
      <c r="AN88" s="9"/>
      <c r="AO88" s="9"/>
      <c r="AP88" s="9">
        <f t="shared" ref="AP88" si="289">+SUM(AB88:AC88)</f>
        <v>-279.79800000000006</v>
      </c>
      <c r="AQ88" s="9">
        <f t="shared" ref="AQ88" si="290">+SUM(AD88:AE88)</f>
        <v>-339.06500000000005</v>
      </c>
      <c r="AR88" s="9">
        <f t="shared" ref="AR88" si="291">+SUM(AF88:AG88)</f>
        <v>-194.52799999999999</v>
      </c>
      <c r="AS88" s="9">
        <f t="shared" ref="AS88" si="292">+SUM(AH88:AI88)</f>
        <v>-343.57100000000003</v>
      </c>
      <c r="AT88" s="372"/>
      <c r="AU88" s="9"/>
      <c r="AV88" s="9"/>
      <c r="AW88" s="9"/>
      <c r="AX88" s="9"/>
      <c r="AY88" s="9"/>
      <c r="AZ88" s="9"/>
      <c r="BA88" s="9"/>
      <c r="BB88" s="9"/>
      <c r="BC88" s="9"/>
      <c r="BD88" s="9"/>
      <c r="BE88" s="9"/>
      <c r="BF88" s="9"/>
      <c r="BG88" s="9"/>
      <c r="BH88" s="9"/>
      <c r="BI88" s="9"/>
    </row>
    <row r="89" spans="1:61" hidden="1" outlineLevel="1">
      <c r="A89" t="s">
        <v>1678</v>
      </c>
      <c r="C89" s="9"/>
      <c r="D89" s="9"/>
      <c r="E89" s="9"/>
      <c r="F89" s="9"/>
      <c r="G89" s="9"/>
      <c r="H89" s="9"/>
      <c r="I89" s="9"/>
      <c r="J89" s="375"/>
      <c r="K89" s="381"/>
      <c r="L89" s="381"/>
      <c r="M89" s="381"/>
      <c r="N89" s="375"/>
      <c r="O89" s="381"/>
      <c r="P89" s="381"/>
      <c r="Q89" s="381"/>
      <c r="R89" s="375"/>
      <c r="S89" s="381"/>
      <c r="T89" s="381"/>
      <c r="U89" s="381"/>
      <c r="V89" s="375"/>
      <c r="W89" s="381"/>
      <c r="X89" s="381"/>
      <c r="Y89" s="381"/>
      <c r="Z89" s="381"/>
      <c r="AA89" s="381"/>
      <c r="AB89" s="381"/>
      <c r="AC89" s="381"/>
      <c r="AD89" s="381"/>
      <c r="AE89" s="375"/>
      <c r="AF89" s="381"/>
      <c r="AG89" s="375"/>
      <c r="AH89" s="381"/>
      <c r="AI89" s="375"/>
      <c r="AJ89" s="381"/>
      <c r="AK89" s="375"/>
      <c r="AL89" s="9"/>
      <c r="AM89" s="9"/>
      <c r="AN89" s="9"/>
      <c r="AO89" s="9"/>
      <c r="AP89" s="9"/>
      <c r="AQ89" s="9"/>
      <c r="AR89" s="9"/>
      <c r="AS89" s="9"/>
      <c r="AT89" s="9"/>
      <c r="AU89" s="9"/>
      <c r="AV89" s="9"/>
      <c r="AW89" s="9"/>
      <c r="AX89" s="9"/>
      <c r="AY89" s="9"/>
      <c r="AZ89" s="9"/>
      <c r="BA89" s="9"/>
      <c r="BB89" s="9"/>
      <c r="BC89" s="9"/>
      <c r="BD89" s="9"/>
      <c r="BE89" s="9"/>
      <c r="BF89" s="9"/>
      <c r="BG89" s="9"/>
      <c r="BH89" s="9"/>
      <c r="BI89" s="9"/>
    </row>
    <row r="90" spans="1:61" hidden="1" outlineLevel="1">
      <c r="A90" s="5" t="s">
        <v>1679</v>
      </c>
      <c r="C90" s="9"/>
      <c r="D90" s="9"/>
      <c r="E90" s="9"/>
      <c r="F90" s="9"/>
      <c r="G90" s="9"/>
      <c r="H90" s="9"/>
      <c r="I90" s="9"/>
      <c r="J90" s="375"/>
      <c r="K90" s="381"/>
      <c r="L90" s="381"/>
      <c r="M90" s="381"/>
      <c r="N90" s="375"/>
      <c r="O90" s="381"/>
      <c r="P90" s="381"/>
      <c r="Q90" s="381"/>
      <c r="R90" s="375"/>
      <c r="S90" s="381"/>
      <c r="T90" s="381"/>
      <c r="U90" s="381"/>
      <c r="V90" s="375"/>
      <c r="W90" s="381"/>
      <c r="X90" s="381"/>
      <c r="Y90" s="381"/>
      <c r="Z90" s="381"/>
      <c r="AA90" s="381"/>
      <c r="AB90" s="381"/>
      <c r="AC90" s="381"/>
      <c r="AD90" s="381"/>
      <c r="AE90" s="375"/>
      <c r="AF90" s="381"/>
      <c r="AG90" s="375"/>
      <c r="AH90" s="381"/>
      <c r="AI90" s="375"/>
      <c r="AJ90" s="381"/>
      <c r="AK90" s="375"/>
      <c r="AL90" s="9"/>
      <c r="AM90" s="9"/>
      <c r="AN90" s="9"/>
      <c r="AO90" s="9"/>
      <c r="AP90" s="9"/>
      <c r="AQ90" s="9"/>
      <c r="AR90" s="9"/>
      <c r="AS90" s="9"/>
      <c r="AT90" s="9"/>
      <c r="AU90" s="9"/>
      <c r="AV90" s="9"/>
      <c r="AW90" s="9"/>
      <c r="AX90" s="9"/>
      <c r="AY90" s="9"/>
      <c r="AZ90" s="9"/>
      <c r="BA90" s="9"/>
      <c r="BB90" s="9"/>
      <c r="BC90" s="9"/>
      <c r="BD90" s="9"/>
      <c r="BE90" s="9"/>
      <c r="BF90" s="9"/>
      <c r="BG90" s="9"/>
      <c r="BH90" s="9"/>
      <c r="BI90" s="9"/>
    </row>
    <row r="91" spans="1:61" collapsed="1">
      <c r="C91" s="9"/>
      <c r="D91" s="9"/>
      <c r="E91" s="9"/>
      <c r="F91" s="9"/>
      <c r="G91" s="9"/>
      <c r="H91" s="9"/>
      <c r="I91" s="9"/>
      <c r="J91" s="375"/>
      <c r="K91" s="381"/>
      <c r="L91" s="381"/>
      <c r="M91" s="381"/>
      <c r="N91" s="375"/>
      <c r="O91" s="381"/>
      <c r="P91" s="381"/>
      <c r="Q91" s="381"/>
      <c r="R91" s="375"/>
      <c r="S91" s="381"/>
      <c r="T91" s="381"/>
      <c r="U91" s="381"/>
      <c r="V91" s="375"/>
      <c r="W91" s="381"/>
      <c r="X91" s="381"/>
      <c r="Y91" s="381"/>
      <c r="Z91" s="381"/>
      <c r="AA91" s="381"/>
      <c r="AB91" s="381"/>
      <c r="AC91" s="381"/>
      <c r="AD91" s="381"/>
      <c r="AE91" s="375"/>
      <c r="AF91" s="381"/>
      <c r="AG91" s="375"/>
      <c r="AH91" s="381"/>
      <c r="AI91" s="375"/>
      <c r="AJ91" s="381"/>
      <c r="AK91" s="375"/>
      <c r="AL91" s="9"/>
      <c r="AM91" s="9"/>
      <c r="AN91" s="9"/>
      <c r="AO91" s="9"/>
      <c r="AP91" s="9"/>
      <c r="AQ91" s="9"/>
      <c r="AR91" s="9"/>
      <c r="AS91" s="9"/>
      <c r="AT91" s="9"/>
      <c r="AU91" s="9"/>
      <c r="AV91" s="9"/>
      <c r="AW91" s="9"/>
      <c r="AX91" s="9"/>
      <c r="AY91" s="9"/>
      <c r="AZ91" s="9"/>
      <c r="BA91" s="9"/>
      <c r="BB91" s="9"/>
      <c r="BC91" s="9"/>
      <c r="BD91" s="9"/>
      <c r="BE91" s="9"/>
      <c r="BF91" s="9"/>
      <c r="BG91" s="9"/>
      <c r="BH91" s="9"/>
      <c r="BI91" s="9"/>
    </row>
    <row r="92" spans="1:61" s="29" customFormat="1">
      <c r="A92" s="133" t="s">
        <v>1689</v>
      </c>
      <c r="C92" s="111"/>
      <c r="D92" s="111"/>
      <c r="E92" s="111"/>
      <c r="F92" s="111"/>
      <c r="G92" s="111"/>
      <c r="H92" s="111"/>
      <c r="I92" s="111"/>
      <c r="J92" s="378"/>
      <c r="K92" s="384"/>
      <c r="L92" s="384"/>
      <c r="M92" s="384"/>
      <c r="N92" s="378"/>
      <c r="O92" s="384"/>
      <c r="P92" s="384"/>
      <c r="Q92" s="384"/>
      <c r="R92" s="378"/>
      <c r="S92" s="384"/>
      <c r="T92" s="384"/>
      <c r="U92" s="384"/>
      <c r="V92" s="378"/>
      <c r="W92" s="384"/>
      <c r="X92" s="384"/>
      <c r="Y92" s="384"/>
      <c r="Z92" s="384"/>
      <c r="AA92" s="384"/>
      <c r="AB92" s="384"/>
      <c r="AC92" s="384"/>
      <c r="AD92" s="384"/>
      <c r="AE92" s="378"/>
      <c r="AF92" s="384"/>
      <c r="AG92" s="378"/>
      <c r="AH92" s="384"/>
      <c r="AI92" s="378"/>
      <c r="AJ92" s="384"/>
      <c r="AK92" s="378"/>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row>
    <row r="93" spans="1:61" s="29" customFormat="1">
      <c r="A93" s="91" t="str">
        <f>+A86</f>
        <v>CTT</v>
      </c>
      <c r="C93" s="167" t="s">
        <v>251</v>
      </c>
      <c r="D93" s="167" t="s">
        <v>251</v>
      </c>
      <c r="E93" s="167" t="s">
        <v>251</v>
      </c>
      <c r="F93" s="167" t="s">
        <v>251</v>
      </c>
      <c r="G93" s="167" t="s">
        <v>251</v>
      </c>
      <c r="H93" s="167" t="s">
        <v>251</v>
      </c>
      <c r="I93" s="167" t="s">
        <v>251</v>
      </c>
      <c r="J93" s="379" t="s">
        <v>251</v>
      </c>
      <c r="K93" s="167" t="s">
        <v>251</v>
      </c>
      <c r="L93" s="167" t="s">
        <v>251</v>
      </c>
      <c r="M93" s="167" t="s">
        <v>251</v>
      </c>
      <c r="N93" s="379" t="s">
        <v>251</v>
      </c>
      <c r="O93" s="167" t="s">
        <v>251</v>
      </c>
      <c r="P93" s="167" t="s">
        <v>251</v>
      </c>
      <c r="Q93" s="167" t="s">
        <v>251</v>
      </c>
      <c r="R93" s="379" t="s">
        <v>251</v>
      </c>
      <c r="S93" s="167" t="s">
        <v>251</v>
      </c>
      <c r="T93" s="167" t="s">
        <v>251</v>
      </c>
      <c r="U93" s="167" t="s">
        <v>251</v>
      </c>
      <c r="V93" s="379" t="s">
        <v>251</v>
      </c>
      <c r="W93" s="167" t="s">
        <v>251</v>
      </c>
      <c r="X93" s="167" t="s">
        <v>251</v>
      </c>
      <c r="Y93" s="384"/>
      <c r="Z93" s="384"/>
      <c r="AA93" s="384"/>
      <c r="AB93" s="167" t="s">
        <v>251</v>
      </c>
      <c r="AC93" s="167">
        <f>+AC86/AC$8</f>
        <v>0.12847682365276902</v>
      </c>
      <c r="AD93" s="167">
        <f t="shared" ref="AD93:AL93" si="293">+AD86/AD$8</f>
        <v>0.11706105276788865</v>
      </c>
      <c r="AE93" s="379">
        <f t="shared" si="293"/>
        <v>0.1295425674985668</v>
      </c>
      <c r="AF93" s="167">
        <f t="shared" si="293"/>
        <v>-4.8403360056099978E-2</v>
      </c>
      <c r="AG93" s="379">
        <f t="shared" si="293"/>
        <v>-8.9229908686916812E-2</v>
      </c>
      <c r="AH93" s="167">
        <f t="shared" si="293"/>
        <v>-0.1220866574879515</v>
      </c>
      <c r="AI93" s="379">
        <f t="shared" si="293"/>
        <v>8.8196717724814022E-2</v>
      </c>
      <c r="AJ93" s="167">
        <f t="shared" si="293"/>
        <v>5.438034825591629E-2</v>
      </c>
      <c r="AK93" s="379">
        <f t="shared" si="293"/>
        <v>7.2946960605481906E-2</v>
      </c>
      <c r="AL93" s="167">
        <f t="shared" si="293"/>
        <v>1.2148229485231582E-2</v>
      </c>
      <c r="AM93" s="111"/>
      <c r="AN93" s="111"/>
      <c r="AO93" s="111"/>
      <c r="AP93" s="167" t="s">
        <v>251</v>
      </c>
      <c r="AQ93" s="167">
        <f t="shared" ref="AQ93:AT93" si="294">+AQ86/AQ$8</f>
        <v>0.12604785246408176</v>
      </c>
      <c r="AR93" s="167">
        <f t="shared" si="294"/>
        <v>-7.5975908996915295E-2</v>
      </c>
      <c r="AS93" s="167">
        <f t="shared" si="294"/>
        <v>1.3322248522874836E-2</v>
      </c>
      <c r="AT93" s="167">
        <f t="shared" si="294"/>
        <v>6.551734265233225E-2</v>
      </c>
      <c r="AU93" s="111"/>
      <c r="AV93" s="111"/>
      <c r="AW93" s="111"/>
      <c r="AX93" s="111"/>
      <c r="AY93" s="111"/>
      <c r="AZ93" s="111"/>
      <c r="BA93" s="111"/>
      <c r="BB93" s="111"/>
      <c r="BC93" s="111"/>
      <c r="BD93" s="111"/>
      <c r="BE93" s="111"/>
      <c r="BF93" s="111"/>
      <c r="BG93" s="111"/>
      <c r="BH93" s="111"/>
      <c r="BI93" s="111"/>
    </row>
    <row r="94" spans="1:61" s="29" customFormat="1">
      <c r="A94" s="91" t="str">
        <f t="shared" ref="A94:A95" si="295">+A87</f>
        <v>MYTE</v>
      </c>
      <c r="C94" s="167">
        <f>+C87/C$9</f>
        <v>5.2280401149019849E-2</v>
      </c>
      <c r="D94" s="167">
        <f t="shared" ref="D94:X94" si="296">+D87/D$9</f>
        <v>5.8332921587034854E-2</v>
      </c>
      <c r="E94" s="167">
        <f t="shared" si="296"/>
        <v>4.3687948987004593E-2</v>
      </c>
      <c r="F94" s="167">
        <f t="shared" si="296"/>
        <v>0.10759074801665423</v>
      </c>
      <c r="G94" s="167">
        <f t="shared" si="296"/>
        <v>2.7851613191927301E-2</v>
      </c>
      <c r="H94" s="167">
        <f t="shared" si="296"/>
        <v>0.12618322978762653</v>
      </c>
      <c r="I94" s="167">
        <f t="shared" si="296"/>
        <v>8.2550510846081421E-2</v>
      </c>
      <c r="J94" s="379">
        <f t="shared" si="296"/>
        <v>0.13957740883897779</v>
      </c>
      <c r="K94" s="167">
        <f t="shared" si="296"/>
        <v>-0.29541316696606285</v>
      </c>
      <c r="L94" s="167">
        <f t="shared" si="296"/>
        <v>-2.6273649980291781E-2</v>
      </c>
      <c r="M94" s="167">
        <f t="shared" si="296"/>
        <v>-1.3349637589335583E-2</v>
      </c>
      <c r="N94" s="379">
        <f t="shared" si="296"/>
        <v>6.378384718319996E-2</v>
      </c>
      <c r="O94" s="167">
        <f t="shared" si="296"/>
        <v>3.4864788333569159E-3</v>
      </c>
      <c r="P94" s="167">
        <f t="shared" si="296"/>
        <v>2.0493608259215899E-2</v>
      </c>
      <c r="Q94" s="167">
        <f t="shared" si="296"/>
        <v>1.1649326283472572E-2</v>
      </c>
      <c r="R94" s="379">
        <f t="shared" si="296"/>
        <v>4.2374218799318276E-2</v>
      </c>
      <c r="S94" s="167">
        <f t="shared" si="296"/>
        <v>-1.3983095588863747E-2</v>
      </c>
      <c r="T94" s="167">
        <f t="shared" si="296"/>
        <v>1.8507430456035378E-2</v>
      </c>
      <c r="U94" s="167">
        <f t="shared" si="296"/>
        <v>-3.8263064559934799E-2</v>
      </c>
      <c r="V94" s="379">
        <f t="shared" si="296"/>
        <v>1.5601764207299433E-2</v>
      </c>
      <c r="W94" s="167">
        <f t="shared" si="296"/>
        <v>2.6576027704739304E-2</v>
      </c>
      <c r="X94" s="167">
        <f t="shared" si="296"/>
        <v>6.3704694372918438E-2</v>
      </c>
      <c r="Y94" s="384"/>
      <c r="Z94" s="384"/>
      <c r="AA94" s="384"/>
      <c r="AB94" s="167">
        <f t="shared" ref="AB94:AL94" si="297">+AB87/AB$9</f>
        <v>5.53365600518936E-2</v>
      </c>
      <c r="AC94" s="167">
        <f t="shared" si="297"/>
        <v>7.8601800614241046E-2</v>
      </c>
      <c r="AD94" s="167">
        <f t="shared" si="297"/>
        <v>7.8621334510791938E-2</v>
      </c>
      <c r="AE94" s="379">
        <f t="shared" si="297"/>
        <v>0.11428942418372219</v>
      </c>
      <c r="AF94" s="167">
        <f t="shared" si="297"/>
        <v>-0.16183393245787786</v>
      </c>
      <c r="AG94" s="379">
        <f t="shared" si="297"/>
        <v>2.8537679174761032E-2</v>
      </c>
      <c r="AH94" s="167">
        <f t="shared" si="297"/>
        <v>1.2121493725805683E-2</v>
      </c>
      <c r="AI94" s="379">
        <f t="shared" si="297"/>
        <v>2.760791514336771E-2</v>
      </c>
      <c r="AJ94" s="167">
        <f t="shared" si="297"/>
        <v>2.458778210754436E-3</v>
      </c>
      <c r="AK94" s="379">
        <f t="shared" si="297"/>
        <v>-1.0683249828485885E-2</v>
      </c>
      <c r="AL94" s="167">
        <f t="shared" si="297"/>
        <v>4.4996466979181027E-2</v>
      </c>
      <c r="AM94" s="111"/>
      <c r="AN94" s="111"/>
      <c r="AO94" s="111"/>
      <c r="AP94" s="167">
        <f t="shared" ref="AP94:AT94" si="298">+AP87/AP$9</f>
        <v>6.7471012745559097E-2</v>
      </c>
      <c r="AQ94" s="167">
        <f t="shared" si="298"/>
        <v>9.8320018296062892E-2</v>
      </c>
      <c r="AR94" s="167">
        <f t="shared" si="298"/>
        <v>-6.4063924156973429E-2</v>
      </c>
      <c r="AS94" s="167">
        <f t="shared" si="298"/>
        <v>2.0100544958744485E-2</v>
      </c>
      <c r="AT94" s="167">
        <f t="shared" si="298"/>
        <v>-3.9634413490686237E-3</v>
      </c>
      <c r="AU94" s="111"/>
      <c r="AV94" s="111"/>
      <c r="AW94" s="111"/>
      <c r="AX94" s="111"/>
      <c r="AY94" s="111"/>
      <c r="AZ94" s="111"/>
      <c r="BA94" s="111"/>
      <c r="BB94" s="111"/>
      <c r="BC94" s="111"/>
      <c r="BD94" s="111"/>
      <c r="BE94" s="111"/>
      <c r="BF94" s="111"/>
      <c r="BG94" s="111"/>
      <c r="BH94" s="111"/>
      <c r="BI94" s="111"/>
    </row>
    <row r="95" spans="1:61" s="29" customFormat="1">
      <c r="A95" s="91" t="str">
        <f t="shared" si="295"/>
        <v>FTCH</v>
      </c>
      <c r="C95" s="167">
        <f>+C88/C$10</f>
        <v>-0.16445132407762963</v>
      </c>
      <c r="D95" s="167">
        <f t="shared" ref="D95:T95" si="299">+D88/D$10</f>
        <v>-0.17050207277752194</v>
      </c>
      <c r="E95" s="167">
        <f t="shared" si="299"/>
        <v>-0.13698390696199705</v>
      </c>
      <c r="F95" s="167">
        <f t="shared" si="299"/>
        <v>-8.1309625008615605E-2</v>
      </c>
      <c r="G95" s="167">
        <f t="shared" si="299"/>
        <v>-8.0342263707409378E-2</v>
      </c>
      <c r="H95" s="167">
        <f t="shared" si="299"/>
        <v>-0.12073865605634194</v>
      </c>
      <c r="I95" s="167">
        <f t="shared" si="299"/>
        <v>-0.11550436177679735</v>
      </c>
      <c r="J95" s="379">
        <f t="shared" si="299"/>
        <v>-0.10477109527999319</v>
      </c>
      <c r="K95" s="167">
        <f t="shared" si="299"/>
        <v>-6.5215966727974098E-2</v>
      </c>
      <c r="L95" s="167">
        <f t="shared" si="299"/>
        <v>-8.0126134761378864E-2</v>
      </c>
      <c r="M95" s="167">
        <f t="shared" si="299"/>
        <v>-4.0129202979611013E-2</v>
      </c>
      <c r="N95" s="379">
        <f t="shared" si="299"/>
        <v>-1.0270372999158357E-2</v>
      </c>
      <c r="O95" s="167">
        <f t="shared" si="299"/>
        <v>-7.6485465516055826E-2</v>
      </c>
      <c r="P95" s="167">
        <f t="shared" si="299"/>
        <v>-8.0643991658565659E-2</v>
      </c>
      <c r="Q95" s="167">
        <f t="shared" si="299"/>
        <v>-9.1377463891863728E-2</v>
      </c>
      <c r="R95" s="379">
        <f t="shared" si="299"/>
        <v>-8.9209942022704908E-2</v>
      </c>
      <c r="S95" s="167">
        <f t="shared" si="299"/>
        <v>-9.0216581621152828E-2</v>
      </c>
      <c r="T95" s="167">
        <f t="shared" si="299"/>
        <v>-9.8481818525164702E-2</v>
      </c>
      <c r="U95" s="167" t="s">
        <v>251</v>
      </c>
      <c r="V95" s="379" t="s">
        <v>251</v>
      </c>
      <c r="W95" s="167" t="s">
        <v>251</v>
      </c>
      <c r="X95" s="167" t="s">
        <v>251</v>
      </c>
      <c r="Y95" s="384"/>
      <c r="Z95" s="384"/>
      <c r="AA95" s="384"/>
      <c r="AB95" s="167">
        <f t="shared" ref="AB95:AJ95" si="300">+AB88/AB$10</f>
        <v>-0.16770733727862802</v>
      </c>
      <c r="AC95" s="167">
        <f t="shared" si="300"/>
        <v>-0.1035447026708043</v>
      </c>
      <c r="AD95" s="167">
        <f t="shared" si="300"/>
        <v>-0.10221485920863786</v>
      </c>
      <c r="AE95" s="379">
        <f t="shared" si="300"/>
        <v>-0.10938792234328754</v>
      </c>
      <c r="AF95" s="167">
        <f t="shared" si="300"/>
        <v>-7.3028441599966729E-2</v>
      </c>
      <c r="AG95" s="379">
        <f t="shared" si="300"/>
        <v>-2.3440260589934616E-2</v>
      </c>
      <c r="AH95" s="167">
        <f t="shared" si="300"/>
        <v>-7.866031160311604E-2</v>
      </c>
      <c r="AI95" s="379">
        <f t="shared" si="300"/>
        <v>-9.0204958854952375E-2</v>
      </c>
      <c r="AJ95" s="167">
        <f t="shared" si="300"/>
        <v>-9.4561606699672909E-2</v>
      </c>
      <c r="AK95" s="379" t="s">
        <v>251</v>
      </c>
      <c r="AL95" s="167" t="s">
        <v>251</v>
      </c>
      <c r="AM95" s="111"/>
      <c r="AN95" s="111"/>
      <c r="AO95" s="111"/>
      <c r="AP95" s="167">
        <f t="shared" ref="AP95:AS95" si="301">+AP88/AP$10</f>
        <v>-0.13076512163626755</v>
      </c>
      <c r="AQ95" s="167">
        <f t="shared" si="301"/>
        <v>-0.10638955461130703</v>
      </c>
      <c r="AR95" s="167">
        <f t="shared" si="301"/>
        <v>-4.5989076743184309E-2</v>
      </c>
      <c r="AS95" s="167">
        <f t="shared" si="301"/>
        <v>-8.4654654514068131E-2</v>
      </c>
      <c r="AT95" s="167" t="s">
        <v>251</v>
      </c>
      <c r="AU95" s="111"/>
      <c r="AV95" s="111"/>
      <c r="AW95" s="111"/>
      <c r="AX95" s="111"/>
      <c r="AY95" s="111"/>
      <c r="AZ95" s="111"/>
      <c r="BA95" s="111"/>
      <c r="BB95" s="111"/>
      <c r="BC95" s="111"/>
      <c r="BD95" s="111"/>
      <c r="BE95" s="111"/>
      <c r="BF95" s="111"/>
      <c r="BG95" s="111"/>
      <c r="BH95" s="111"/>
      <c r="BI95" s="111"/>
    </row>
    <row r="96" spans="1:61">
      <c r="C96" s="9"/>
      <c r="D96" s="9"/>
      <c r="E96" s="9"/>
      <c r="F96" s="9"/>
      <c r="G96" s="9"/>
      <c r="H96" s="9"/>
      <c r="I96" s="9"/>
      <c r="J96" s="375"/>
      <c r="K96" s="381"/>
      <c r="L96" s="381"/>
      <c r="M96" s="381"/>
      <c r="N96" s="375"/>
      <c r="O96" s="381"/>
      <c r="P96" s="381"/>
      <c r="Q96" s="381"/>
      <c r="R96" s="375"/>
      <c r="S96" s="381"/>
      <c r="T96" s="381"/>
      <c r="U96" s="381"/>
      <c r="V96" s="375"/>
      <c r="W96" s="381"/>
      <c r="X96" s="381"/>
      <c r="Y96" s="381"/>
      <c r="Z96" s="381"/>
      <c r="AA96" s="381"/>
      <c r="AB96" s="381"/>
      <c r="AC96" s="381"/>
      <c r="AD96" s="381"/>
      <c r="AE96" s="375"/>
      <c r="AF96" s="381"/>
      <c r="AG96" s="375"/>
      <c r="AH96" s="381"/>
      <c r="AI96" s="375"/>
      <c r="AJ96" s="381"/>
      <c r="AK96" s="375"/>
      <c r="AL96" s="9"/>
      <c r="AM96" s="9"/>
      <c r="AN96" s="9"/>
      <c r="AO96" s="9"/>
      <c r="AP96" s="9"/>
      <c r="AQ96" s="9"/>
      <c r="AR96" s="9"/>
      <c r="AS96" s="9"/>
      <c r="AT96" s="9"/>
      <c r="AU96" s="9"/>
      <c r="AV96" s="9"/>
      <c r="AW96" s="9"/>
      <c r="AX96" s="9"/>
      <c r="AY96" s="9"/>
      <c r="AZ96" s="9"/>
      <c r="BA96" s="9"/>
      <c r="BB96" s="9"/>
      <c r="BC96" s="9"/>
      <c r="BD96" s="9"/>
      <c r="BE96" s="9"/>
      <c r="BF96" s="9"/>
      <c r="BG96" s="9"/>
      <c r="BH96" s="9"/>
      <c r="BI96" s="9"/>
    </row>
    <row r="97" spans="1:61">
      <c r="A97" s="4" t="s">
        <v>34</v>
      </c>
      <c r="C97" s="9"/>
      <c r="D97" s="9"/>
      <c r="E97" s="9"/>
      <c r="F97" s="9"/>
      <c r="G97" s="9"/>
      <c r="H97" s="9"/>
      <c r="I97" s="9"/>
      <c r="J97" s="375"/>
      <c r="K97" s="381"/>
      <c r="L97" s="381"/>
      <c r="M97" s="381"/>
      <c r="N97" s="375"/>
      <c r="O97" s="381"/>
      <c r="P97" s="381"/>
      <c r="Q97" s="381"/>
      <c r="R97" s="375"/>
      <c r="S97" s="381"/>
      <c r="T97" s="381"/>
      <c r="U97" s="381"/>
      <c r="V97" s="375"/>
      <c r="W97" s="381"/>
      <c r="X97" s="381"/>
      <c r="Y97" s="381"/>
      <c r="Z97" s="381"/>
      <c r="AA97" s="381"/>
      <c r="AB97" s="381"/>
      <c r="AC97" s="381"/>
      <c r="AD97" s="381"/>
      <c r="AE97" s="375"/>
      <c r="AF97" s="381"/>
      <c r="AG97" s="375"/>
      <c r="AH97" s="381"/>
      <c r="AI97" s="375"/>
      <c r="AJ97" s="381"/>
      <c r="AK97" s="375"/>
      <c r="AL97" s="9"/>
      <c r="AM97" s="9"/>
      <c r="AN97" s="9"/>
      <c r="AO97" s="9"/>
      <c r="AP97" s="9"/>
      <c r="AQ97" s="9"/>
      <c r="AR97" s="9"/>
      <c r="AS97" s="9"/>
      <c r="AT97" s="9"/>
      <c r="AU97" s="9"/>
      <c r="AV97" s="9"/>
      <c r="AW97" s="9"/>
      <c r="AX97" s="9"/>
      <c r="AY97" s="9"/>
      <c r="AZ97" s="9"/>
      <c r="BA97" s="9"/>
      <c r="BB97" s="9"/>
      <c r="BC97" s="9"/>
      <c r="BD97" s="9"/>
      <c r="BE97" s="9"/>
      <c r="BF97" s="9"/>
      <c r="BG97" s="9"/>
      <c r="BH97" s="9"/>
      <c r="BI97" s="9"/>
    </row>
    <row r="98" spans="1:61">
      <c r="A98" t="s">
        <v>529</v>
      </c>
      <c r="C98" s="372"/>
      <c r="D98" s="372"/>
      <c r="E98" s="372"/>
      <c r="F98" s="372"/>
      <c r="G98" s="372"/>
      <c r="H98" s="372"/>
      <c r="I98" s="372"/>
      <c r="J98" s="380"/>
      <c r="K98" s="385"/>
      <c r="L98" s="385"/>
      <c r="M98" s="385"/>
      <c r="N98" s="380"/>
      <c r="O98" s="385"/>
      <c r="P98" s="385"/>
      <c r="Q98" s="385"/>
      <c r="R98" s="380"/>
      <c r="S98" s="385"/>
      <c r="T98" s="385"/>
      <c r="U98" s="385"/>
      <c r="V98" s="380"/>
      <c r="W98" s="385"/>
      <c r="X98" s="385"/>
      <c r="Y98" s="381"/>
      <c r="Z98" s="381"/>
      <c r="AA98" s="381"/>
      <c r="AB98" s="385"/>
      <c r="AC98" s="381">
        <f>+'Historical - USD'!C130</f>
        <v>0.11397359479575472</v>
      </c>
      <c r="AD98" s="381">
        <f>+'Historical - USD'!D130</f>
        <v>0.13092632460210482</v>
      </c>
      <c r="AE98" s="375">
        <f>+'Historical - USD'!E130</f>
        <v>0.18930694205009849</v>
      </c>
      <c r="AF98" s="381">
        <f>+'Historical - USD'!F130</f>
        <v>0.30957379313165195</v>
      </c>
      <c r="AG98" s="375">
        <f>+'Historical - USD'!G130</f>
        <v>0.34546637518093748</v>
      </c>
      <c r="AH98" s="381">
        <f>+'Historical - USD'!H130</f>
        <v>0.9385694137707612</v>
      </c>
      <c r="AI98" s="375">
        <f>+'Historical - USD'!I130</f>
        <v>1.1713173795615852</v>
      </c>
      <c r="AJ98" s="381">
        <f>+'Historical - USD'!J130</f>
        <v>1.5678973535140928</v>
      </c>
      <c r="AK98" s="375">
        <f>+'Historical - USD'!K130</f>
        <v>1.9244138467458938</v>
      </c>
      <c r="AL98" s="9">
        <f>+'Historical - USD'!L130</f>
        <v>2.3334154254774684</v>
      </c>
      <c r="AM98" s="9"/>
      <c r="AN98" s="9"/>
      <c r="AO98" s="9"/>
      <c r="AP98" s="372"/>
      <c r="AQ98" s="9">
        <f t="shared" ref="AQ98" si="302">+SUM(AD98:AE98)</f>
        <v>0.32023326665220331</v>
      </c>
      <c r="AR98" s="9">
        <f t="shared" ref="AR98" si="303">+SUM(AF98:AG98)</f>
        <v>0.65504016831258949</v>
      </c>
      <c r="AS98" s="9">
        <f t="shared" ref="AS98:AS100" si="304">+SUM(AH98:AI98)</f>
        <v>2.1098867933323464</v>
      </c>
      <c r="AT98" s="9">
        <f t="shared" ref="AT98:AT99" si="305">+SUM(AJ98:AK98)</f>
        <v>3.4923112002599863</v>
      </c>
      <c r="AU98" s="9"/>
      <c r="AV98" s="9"/>
      <c r="AW98" s="9"/>
      <c r="AX98" s="9"/>
      <c r="AY98" s="9"/>
      <c r="AZ98" s="9"/>
      <c r="BA98" s="9"/>
      <c r="BB98" s="9"/>
      <c r="BC98" s="9"/>
      <c r="BD98" s="9"/>
      <c r="BE98" s="9"/>
      <c r="BF98" s="9"/>
      <c r="BG98" s="9"/>
      <c r="BH98" s="9"/>
      <c r="BI98" s="9"/>
    </row>
    <row r="99" spans="1:61">
      <c r="A99" t="s">
        <v>1677</v>
      </c>
      <c r="C99" s="9">
        <f t="shared" ref="C99:W100" si="306">+C87-C111</f>
        <v>1.8090000000000002</v>
      </c>
      <c r="D99" s="9">
        <f t="shared" si="306"/>
        <v>1.83</v>
      </c>
      <c r="E99" s="9">
        <f t="shared" si="306"/>
        <v>1.8769999999999998</v>
      </c>
      <c r="F99" s="9">
        <f t="shared" si="306"/>
        <v>1.9870000000000001</v>
      </c>
      <c r="G99" s="9">
        <f t="shared" si="306"/>
        <v>1.881</v>
      </c>
      <c r="H99" s="9">
        <f t="shared" si="306"/>
        <v>2.1400000000000006</v>
      </c>
      <c r="I99" s="9">
        <f t="shared" si="306"/>
        <v>2.0210000000000008</v>
      </c>
      <c r="J99" s="375">
        <f t="shared" si="306"/>
        <v>2.0459999999999994</v>
      </c>
      <c r="K99" s="381">
        <f t="shared" si="306"/>
        <v>2.0399999999999991</v>
      </c>
      <c r="L99" s="381">
        <f t="shared" si="306"/>
        <v>2.1249999999999991</v>
      </c>
      <c r="M99" s="381">
        <f t="shared" si="306"/>
        <v>2.1820000000000004</v>
      </c>
      <c r="N99" s="375">
        <f t="shared" si="306"/>
        <v>2.2609999999999992</v>
      </c>
      <c r="O99" s="381">
        <f t="shared" si="306"/>
        <v>2.2839999999999998</v>
      </c>
      <c r="P99" s="381">
        <f t="shared" si="306"/>
        <v>2.3609999999999998</v>
      </c>
      <c r="Q99" s="381">
        <f t="shared" si="306"/>
        <v>2.5470000000000002</v>
      </c>
      <c r="R99" s="375">
        <f t="shared" si="306"/>
        <v>2.8010000000000002</v>
      </c>
      <c r="S99" s="381">
        <f t="shared" si="306"/>
        <v>3.1320000000000001</v>
      </c>
      <c r="T99" s="381">
        <f t="shared" si="306"/>
        <v>3.173</v>
      </c>
      <c r="U99" s="381">
        <f t="shared" si="306"/>
        <v>3.3959999999999999</v>
      </c>
      <c r="V99" s="375">
        <f t="shared" si="306"/>
        <v>3.8420000000000005</v>
      </c>
      <c r="W99" s="381">
        <f t="shared" si="306"/>
        <v>3.8849999999999998</v>
      </c>
      <c r="X99" s="381">
        <f>+X87-X111</f>
        <v>4</v>
      </c>
      <c r="Y99" s="381"/>
      <c r="Z99" s="381"/>
      <c r="AA99" s="381"/>
      <c r="AB99" s="381">
        <f>+SUM(C99:D99)</f>
        <v>3.6390000000000002</v>
      </c>
      <c r="AC99" s="381">
        <f>+SUM(E99:F99)</f>
        <v>3.8639999999999999</v>
      </c>
      <c r="AD99" s="381">
        <f t="shared" ref="AD99:AD100" si="307">+SUM(G99:H99)</f>
        <v>4.0210000000000008</v>
      </c>
      <c r="AE99" s="375">
        <f t="shared" ref="AE99:AE100" si="308">+SUM(I99:J99)</f>
        <v>4.0670000000000002</v>
      </c>
      <c r="AF99" s="381">
        <f t="shared" ref="AF99:AF100" si="309">+SUM(K99:L99)</f>
        <v>4.1649999999999983</v>
      </c>
      <c r="AG99" s="375">
        <f t="shared" ref="AG99:AG100" si="310">+SUM(M99:N99)</f>
        <v>4.4429999999999996</v>
      </c>
      <c r="AH99" s="381">
        <f t="shared" ref="AH99:AH100" si="311">+SUM(O99:P99)</f>
        <v>4.6449999999999996</v>
      </c>
      <c r="AI99" s="375">
        <f t="shared" ref="AI99:AI100" si="312">+SUM(Q99:R99)</f>
        <v>5.3480000000000008</v>
      </c>
      <c r="AJ99" s="381">
        <f t="shared" ref="AJ99:AJ100" si="313">+SUM(S99:T99)</f>
        <v>6.3049999999999997</v>
      </c>
      <c r="AK99" s="375">
        <f t="shared" ref="AK99" si="314">+SUM(U99:V99)</f>
        <v>7.2380000000000004</v>
      </c>
      <c r="AL99" s="9">
        <f t="shared" ref="AL99" si="315">+SUM(W99:X99)</f>
        <v>7.8849999999999998</v>
      </c>
      <c r="AM99" s="9"/>
      <c r="AN99" s="9"/>
      <c r="AO99" s="9"/>
      <c r="AP99" s="9">
        <f t="shared" ref="AP99:AP100" si="316">+SUM(AB99:AC99)</f>
        <v>7.5030000000000001</v>
      </c>
      <c r="AQ99" s="9">
        <f t="shared" ref="AQ99:AQ100" si="317">+SUM(AD99:AE99)</f>
        <v>8.088000000000001</v>
      </c>
      <c r="AR99" s="9">
        <f t="shared" ref="AR99:AR100" si="318">+SUM(AF99:AG99)</f>
        <v>8.607999999999997</v>
      </c>
      <c r="AS99" s="9">
        <f t="shared" si="304"/>
        <v>9.9930000000000003</v>
      </c>
      <c r="AT99" s="9">
        <f t="shared" si="305"/>
        <v>13.542999999999999</v>
      </c>
      <c r="AU99" s="9"/>
      <c r="AV99" s="9"/>
      <c r="AW99" s="9"/>
      <c r="AX99" s="9"/>
      <c r="AY99" s="9"/>
      <c r="AZ99" s="9"/>
      <c r="BA99" s="9"/>
      <c r="BB99" s="9"/>
      <c r="BC99" s="9"/>
      <c r="BD99" s="9"/>
      <c r="BE99" s="9"/>
      <c r="BF99" s="9"/>
      <c r="BG99" s="9"/>
      <c r="BH99" s="9"/>
      <c r="BI99" s="9"/>
    </row>
    <row r="100" spans="1:61">
      <c r="A100" t="s">
        <v>647</v>
      </c>
      <c r="C100" s="9">
        <f t="shared" si="306"/>
        <v>14.105999999999995</v>
      </c>
      <c r="D100" s="9">
        <f t="shared" si="306"/>
        <v>14.322999999999993</v>
      </c>
      <c r="E100" s="9">
        <f t="shared" si="306"/>
        <v>35.097000000000008</v>
      </c>
      <c r="F100" s="9">
        <f t="shared" si="306"/>
        <v>50.064999999999998</v>
      </c>
      <c r="G100" s="9">
        <f t="shared" si="306"/>
        <v>51.323</v>
      </c>
      <c r="H100" s="9">
        <f t="shared" si="306"/>
        <v>51.75800000000001</v>
      </c>
      <c r="I100" s="9">
        <f t="shared" si="306"/>
        <v>54.007000000000005</v>
      </c>
      <c r="J100" s="375">
        <f t="shared" si="306"/>
        <v>60.135000000000005</v>
      </c>
      <c r="K100" s="381">
        <f t="shared" si="306"/>
        <v>53.99199999999999</v>
      </c>
      <c r="L100" s="381">
        <f t="shared" si="306"/>
        <v>62.720000000000013</v>
      </c>
      <c r="M100" s="381">
        <f t="shared" si="306"/>
        <v>64.807000000000002</v>
      </c>
      <c r="N100" s="375">
        <f t="shared" si="306"/>
        <v>69.679000000000002</v>
      </c>
      <c r="O100" s="381">
        <f t="shared" si="306"/>
        <v>81.495000000000005</v>
      </c>
      <c r="P100" s="381">
        <f t="shared" si="306"/>
        <v>80.556999999999988</v>
      </c>
      <c r="Q100" s="381">
        <f t="shared" si="306"/>
        <v>84.750999999999991</v>
      </c>
      <c r="R100" s="375">
        <f t="shared" si="306"/>
        <v>85.971999999999994</v>
      </c>
      <c r="S100" s="381">
        <f t="shared" si="306"/>
        <v>87.444000000000003</v>
      </c>
      <c r="T100" s="381">
        <f t="shared" si="306"/>
        <v>90.214999999999989</v>
      </c>
      <c r="U100" s="385"/>
      <c r="V100" s="380"/>
      <c r="W100" s="385"/>
      <c r="X100" s="385"/>
      <c r="Y100" s="381"/>
      <c r="Z100" s="381"/>
      <c r="AA100" s="381"/>
      <c r="AB100" s="381">
        <f>+SUM(C100:D100)</f>
        <v>28.428999999999988</v>
      </c>
      <c r="AC100" s="381">
        <f>+SUM(E100:F100)</f>
        <v>85.162000000000006</v>
      </c>
      <c r="AD100" s="381">
        <f t="shared" si="307"/>
        <v>103.08100000000002</v>
      </c>
      <c r="AE100" s="375">
        <f t="shared" si="308"/>
        <v>114.14200000000001</v>
      </c>
      <c r="AF100" s="381">
        <f t="shared" si="309"/>
        <v>116.712</v>
      </c>
      <c r="AG100" s="375">
        <f t="shared" si="310"/>
        <v>134.48599999999999</v>
      </c>
      <c r="AH100" s="381">
        <f t="shared" si="311"/>
        <v>162.05199999999999</v>
      </c>
      <c r="AI100" s="375">
        <f t="shared" si="312"/>
        <v>170.72299999999998</v>
      </c>
      <c r="AJ100" s="381">
        <f t="shared" si="313"/>
        <v>177.65899999999999</v>
      </c>
      <c r="AK100" s="380"/>
      <c r="AL100" s="372"/>
      <c r="AM100" s="9"/>
      <c r="AN100" s="9"/>
      <c r="AO100" s="9"/>
      <c r="AP100" s="9">
        <f t="shared" si="316"/>
        <v>113.59099999999999</v>
      </c>
      <c r="AQ100" s="9">
        <f t="shared" si="317"/>
        <v>217.22300000000001</v>
      </c>
      <c r="AR100" s="9">
        <f t="shared" si="318"/>
        <v>251.19799999999998</v>
      </c>
      <c r="AS100" s="9">
        <f t="shared" si="304"/>
        <v>332.77499999999998</v>
      </c>
      <c r="AT100" s="372"/>
      <c r="AU100" s="9"/>
      <c r="AV100" s="9"/>
      <c r="AW100" s="9"/>
      <c r="AX100" s="9"/>
      <c r="AY100" s="9"/>
      <c r="AZ100" s="9"/>
      <c r="BA100" s="9"/>
      <c r="BB100" s="9"/>
      <c r="BC100" s="9"/>
      <c r="BD100" s="9"/>
      <c r="BE100" s="9"/>
      <c r="BF100" s="9"/>
      <c r="BG100" s="9"/>
      <c r="BH100" s="9"/>
      <c r="BI100" s="9"/>
    </row>
    <row r="101" spans="1:61" s="4" customFormat="1" ht="16" hidden="1" outlineLevel="1">
      <c r="A101" t="s">
        <v>1678</v>
      </c>
      <c r="C101" s="10"/>
      <c r="D101" s="10"/>
      <c r="E101" s="10"/>
      <c r="F101" s="10"/>
      <c r="G101" s="10"/>
      <c r="H101" s="10"/>
      <c r="I101" s="136"/>
      <c r="J101" s="376"/>
      <c r="K101" s="382"/>
      <c r="L101" s="382"/>
      <c r="M101" s="382"/>
      <c r="N101" s="376"/>
      <c r="O101" s="382"/>
      <c r="P101" s="382"/>
      <c r="Q101" s="382"/>
      <c r="R101" s="376"/>
      <c r="S101" s="382"/>
      <c r="T101" s="382"/>
      <c r="U101" s="382"/>
      <c r="V101" s="386"/>
      <c r="W101" s="387"/>
      <c r="X101" s="382"/>
      <c r="Y101" s="382"/>
      <c r="Z101" s="382"/>
      <c r="AA101" s="382"/>
      <c r="AB101" s="382"/>
      <c r="AC101" s="382"/>
      <c r="AD101" s="382"/>
      <c r="AE101" s="376"/>
      <c r="AF101" s="382"/>
      <c r="AG101" s="376"/>
      <c r="AH101" s="382"/>
      <c r="AI101" s="376"/>
      <c r="AJ101" s="382"/>
      <c r="AK101" s="376"/>
      <c r="AL101" s="184"/>
      <c r="AM101" s="184"/>
      <c r="AN101" s="184"/>
      <c r="AO101" s="184"/>
      <c r="AP101" s="184"/>
      <c r="AQ101" s="135"/>
      <c r="AR101" s="10"/>
      <c r="AS101" s="10"/>
      <c r="AT101" s="10"/>
      <c r="AU101" s="10"/>
      <c r="AV101" s="10"/>
      <c r="AW101" s="10"/>
      <c r="AX101" s="10"/>
      <c r="AY101" s="10"/>
      <c r="AZ101" s="10"/>
      <c r="BA101" s="10"/>
      <c r="BB101" s="10"/>
      <c r="BC101" s="10"/>
      <c r="BD101" s="10"/>
      <c r="BE101" s="10"/>
      <c r="BF101" s="10"/>
      <c r="BG101" s="10"/>
      <c r="BH101" s="10"/>
      <c r="BI101" s="10"/>
    </row>
    <row r="102" spans="1:61" hidden="1" outlineLevel="1">
      <c r="A102" s="5" t="s">
        <v>1679</v>
      </c>
      <c r="C102" s="135"/>
      <c r="D102" s="135"/>
      <c r="E102" s="135"/>
      <c r="F102" s="135"/>
      <c r="G102" s="135"/>
      <c r="H102" s="135"/>
      <c r="I102" s="135"/>
      <c r="J102" s="377"/>
      <c r="K102" s="383"/>
      <c r="L102" s="383"/>
      <c r="M102" s="383"/>
      <c r="N102" s="377"/>
      <c r="O102" s="383"/>
      <c r="P102" s="383"/>
      <c r="Q102" s="381"/>
      <c r="R102" s="375"/>
      <c r="S102" s="381"/>
      <c r="T102" s="381"/>
      <c r="U102" s="381"/>
      <c r="V102" s="377"/>
      <c r="W102" s="383"/>
      <c r="X102" s="383"/>
      <c r="Y102" s="383"/>
      <c r="Z102" s="383"/>
      <c r="AA102" s="383"/>
      <c r="AB102" s="383"/>
      <c r="AC102" s="383"/>
      <c r="AD102" s="383"/>
      <c r="AE102" s="375"/>
      <c r="AF102" s="381"/>
      <c r="AG102" s="375"/>
      <c r="AH102" s="383"/>
      <c r="AI102" s="377"/>
      <c r="AJ102" s="383"/>
      <c r="AK102" s="377"/>
      <c r="AL102" s="135"/>
      <c r="AM102" s="135"/>
      <c r="AN102" s="32"/>
      <c r="AO102" s="32"/>
      <c r="AP102" s="32"/>
      <c r="AQ102" s="135"/>
      <c r="AR102" s="9"/>
      <c r="AS102" s="9"/>
      <c r="AT102" s="9"/>
      <c r="AU102" s="9"/>
      <c r="AV102" s="9"/>
      <c r="AW102" s="9"/>
      <c r="AX102" s="9"/>
      <c r="AY102" s="9"/>
      <c r="AZ102" s="9"/>
      <c r="BA102" s="9"/>
      <c r="BB102" s="9"/>
      <c r="BC102" s="9"/>
      <c r="BD102" s="9"/>
      <c r="BE102" s="9"/>
      <c r="BF102" s="9"/>
      <c r="BG102" s="9"/>
      <c r="BH102" s="9"/>
      <c r="BI102" s="9"/>
    </row>
    <row r="103" spans="1:61" collapsed="1">
      <c r="A103" s="5"/>
      <c r="C103" s="135"/>
      <c r="D103" s="135"/>
      <c r="E103" s="135"/>
      <c r="F103" s="135"/>
      <c r="G103" s="135"/>
      <c r="H103" s="135"/>
      <c r="I103" s="135"/>
      <c r="J103" s="377"/>
      <c r="K103" s="383"/>
      <c r="L103" s="383"/>
      <c r="M103" s="383"/>
      <c r="N103" s="377"/>
      <c r="O103" s="383"/>
      <c r="P103" s="383"/>
      <c r="Q103" s="381"/>
      <c r="R103" s="375"/>
      <c r="S103" s="381"/>
      <c r="T103" s="381"/>
      <c r="U103" s="381"/>
      <c r="V103" s="377"/>
      <c r="W103" s="383"/>
      <c r="X103" s="383"/>
      <c r="Y103" s="383"/>
      <c r="Z103" s="383"/>
      <c r="AA103" s="383"/>
      <c r="AB103" s="383"/>
      <c r="AC103" s="383"/>
      <c r="AD103" s="383"/>
      <c r="AE103" s="375"/>
      <c r="AF103" s="381"/>
      <c r="AG103" s="375"/>
      <c r="AH103" s="383"/>
      <c r="AI103" s="377"/>
      <c r="AJ103" s="383"/>
      <c r="AK103" s="377"/>
      <c r="AL103" s="135"/>
      <c r="AM103" s="135"/>
      <c r="AN103" s="32"/>
      <c r="AO103" s="32"/>
      <c r="AP103" s="32"/>
      <c r="AQ103" s="135"/>
      <c r="AR103" s="9"/>
      <c r="AS103" s="9"/>
      <c r="AT103" s="9"/>
      <c r="AU103" s="9"/>
      <c r="AV103" s="9"/>
      <c r="AW103" s="9"/>
      <c r="AX103" s="9"/>
      <c r="AY103" s="9"/>
      <c r="AZ103" s="9"/>
      <c r="BA103" s="9"/>
      <c r="BB103" s="9"/>
      <c r="BC103" s="9"/>
      <c r="BD103" s="9"/>
      <c r="BE103" s="9"/>
      <c r="BF103" s="9"/>
      <c r="BG103" s="9"/>
      <c r="BH103" s="9"/>
      <c r="BI103" s="9"/>
    </row>
    <row r="104" spans="1:61" s="29" customFormat="1">
      <c r="A104" s="133" t="s">
        <v>239</v>
      </c>
      <c r="C104" s="111"/>
      <c r="D104" s="111"/>
      <c r="E104" s="111"/>
      <c r="F104" s="111"/>
      <c r="G104" s="111"/>
      <c r="H104" s="111"/>
      <c r="I104" s="111"/>
      <c r="J104" s="378"/>
      <c r="K104" s="384"/>
      <c r="L104" s="384"/>
      <c r="M104" s="384"/>
      <c r="N104" s="378"/>
      <c r="O104" s="384"/>
      <c r="P104" s="384"/>
      <c r="Q104" s="384"/>
      <c r="R104" s="378"/>
      <c r="S104" s="384"/>
      <c r="T104" s="384"/>
      <c r="U104" s="384"/>
      <c r="V104" s="378"/>
      <c r="W104" s="384"/>
      <c r="X104" s="384"/>
      <c r="Y104" s="384"/>
      <c r="Z104" s="384"/>
      <c r="AA104" s="384"/>
      <c r="AB104" s="384"/>
      <c r="AC104" s="384"/>
      <c r="AD104" s="384"/>
      <c r="AE104" s="378"/>
      <c r="AF104" s="384"/>
      <c r="AG104" s="378"/>
      <c r="AH104" s="384"/>
      <c r="AI104" s="378"/>
      <c r="AJ104" s="384"/>
      <c r="AK104" s="378"/>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row>
    <row r="105" spans="1:61" s="29" customFormat="1">
      <c r="A105" s="91" t="str">
        <f>+A98</f>
        <v>CTT</v>
      </c>
      <c r="C105" s="167" t="s">
        <v>251</v>
      </c>
      <c r="D105" s="167" t="s">
        <v>251</v>
      </c>
      <c r="E105" s="167" t="s">
        <v>251</v>
      </c>
      <c r="F105" s="167" t="s">
        <v>251</v>
      </c>
      <c r="G105" s="167" t="s">
        <v>251</v>
      </c>
      <c r="H105" s="167" t="s">
        <v>251</v>
      </c>
      <c r="I105" s="167" t="s">
        <v>251</v>
      </c>
      <c r="J105" s="379" t="s">
        <v>251</v>
      </c>
      <c r="K105" s="167" t="s">
        <v>251</v>
      </c>
      <c r="L105" s="167" t="s">
        <v>251</v>
      </c>
      <c r="M105" s="167" t="s">
        <v>251</v>
      </c>
      <c r="N105" s="379" t="s">
        <v>251</v>
      </c>
      <c r="O105" s="167" t="s">
        <v>251</v>
      </c>
      <c r="P105" s="167" t="s">
        <v>251</v>
      </c>
      <c r="Q105" s="167" t="s">
        <v>251</v>
      </c>
      <c r="R105" s="379" t="s">
        <v>251</v>
      </c>
      <c r="S105" s="167" t="s">
        <v>251</v>
      </c>
      <c r="T105" s="167" t="s">
        <v>251</v>
      </c>
      <c r="U105" s="167" t="s">
        <v>251</v>
      </c>
      <c r="V105" s="379" t="s">
        <v>251</v>
      </c>
      <c r="W105" s="167" t="s">
        <v>251</v>
      </c>
      <c r="X105" s="167" t="s">
        <v>251</v>
      </c>
      <c r="Y105" s="384"/>
      <c r="Z105" s="384"/>
      <c r="AA105" s="384"/>
      <c r="AB105" s="167" t="s">
        <v>251</v>
      </c>
      <c r="AC105" s="167">
        <f t="shared" ref="AC105:AL105" si="319">+AC98/AC$8</f>
        <v>2.3791649749598815E-2</v>
      </c>
      <c r="AD105" s="167">
        <f t="shared" si="319"/>
        <v>1.2584126244235942E-2</v>
      </c>
      <c r="AE105" s="379">
        <f t="shared" si="319"/>
        <v>7.0756987869196319E-3</v>
      </c>
      <c r="AF105" s="167">
        <f t="shared" si="319"/>
        <v>7.7427827461213732E-3</v>
      </c>
      <c r="AG105" s="379">
        <f t="shared" si="319"/>
        <v>4.153447335432315E-3</v>
      </c>
      <c r="AH105" s="167">
        <f t="shared" si="319"/>
        <v>1.3571010193580859E-2</v>
      </c>
      <c r="AI105" s="379">
        <f t="shared" si="319"/>
        <v>9.3649808560589166E-3</v>
      </c>
      <c r="AJ105" s="167">
        <f t="shared" si="319"/>
        <v>1.0168653981833309E-2</v>
      </c>
      <c r="AK105" s="379">
        <f t="shared" si="319"/>
        <v>8.3261225017893011E-3</v>
      </c>
      <c r="AL105" s="167">
        <f t="shared" si="319"/>
        <v>9.1365642309191811E-3</v>
      </c>
      <c r="AM105" s="111"/>
      <c r="AN105" s="111"/>
      <c r="AO105" s="111"/>
      <c r="AP105" s="167" t="s">
        <v>251</v>
      </c>
      <c r="AQ105" s="167">
        <f>+AQ98/AQ$8</f>
        <v>8.6180103305769223E-3</v>
      </c>
      <c r="AR105" s="167">
        <f>+AR98/AR$8</f>
        <v>5.3186952443548662E-3</v>
      </c>
      <c r="AS105" s="167">
        <f>+AS98/AS$8</f>
        <v>1.0862599076120763E-2</v>
      </c>
      <c r="AT105" s="167">
        <f>+AT98/AT$8</f>
        <v>9.0634301325859673E-3</v>
      </c>
      <c r="AU105" s="111"/>
      <c r="AV105" s="111"/>
      <c r="AW105" s="111"/>
      <c r="AX105" s="111"/>
      <c r="AY105" s="111"/>
      <c r="AZ105" s="111"/>
      <c r="BA105" s="111"/>
      <c r="BB105" s="111"/>
      <c r="BC105" s="111"/>
      <c r="BD105" s="111"/>
      <c r="BE105" s="111"/>
      <c r="BF105" s="111"/>
      <c r="BG105" s="111"/>
      <c r="BH105" s="111"/>
      <c r="BI105" s="111"/>
    </row>
    <row r="106" spans="1:61" s="29" customFormat="1">
      <c r="A106" s="91" t="str">
        <f t="shared" ref="A106:A107" si="320">+A99</f>
        <v>MYTE</v>
      </c>
      <c r="C106" s="167">
        <f t="shared" ref="C106:X106" si="321">+C99/C$9</f>
        <v>1.8233130071057806E-2</v>
      </c>
      <c r="D106" s="167">
        <f t="shared" si="321"/>
        <v>1.8083897425762146E-2</v>
      </c>
      <c r="E106" s="167">
        <f t="shared" si="321"/>
        <v>1.8938170958107996E-2</v>
      </c>
      <c r="F106" s="167">
        <f t="shared" si="321"/>
        <v>1.6645862828707621E-2</v>
      </c>
      <c r="G106" s="167">
        <f t="shared" si="321"/>
        <v>1.6834474426097461E-2</v>
      </c>
      <c r="H106" s="167">
        <f t="shared" si="321"/>
        <v>1.7942333006346897E-2</v>
      </c>
      <c r="I106" s="167">
        <f t="shared" si="321"/>
        <v>1.5994112014181824E-2</v>
      </c>
      <c r="J106" s="379">
        <f t="shared" si="321"/>
        <v>1.2900947708915271E-2</v>
      </c>
      <c r="K106" s="167">
        <f t="shared" si="321"/>
        <v>1.2380443753944743E-2</v>
      </c>
      <c r="L106" s="167">
        <f t="shared" si="321"/>
        <v>1.3087554197871496E-2</v>
      </c>
      <c r="M106" s="167">
        <f t="shared" si="321"/>
        <v>1.3824826397688684E-2</v>
      </c>
      <c r="N106" s="379">
        <f t="shared" si="321"/>
        <v>1.2054102179974512E-2</v>
      </c>
      <c r="O106" s="167">
        <f t="shared" si="321"/>
        <v>1.3473972344140826E-2</v>
      </c>
      <c r="P106" s="167">
        <f t="shared" si="321"/>
        <v>1.3504161066148079E-2</v>
      </c>
      <c r="Q106" s="167">
        <f t="shared" si="321"/>
        <v>1.4480641309909604E-2</v>
      </c>
      <c r="R106" s="379">
        <f t="shared" si="321"/>
        <v>1.4734970435368137E-2</v>
      </c>
      <c r="S106" s="167">
        <f t="shared" si="321"/>
        <v>1.5747952313671858E-2</v>
      </c>
      <c r="T106" s="167">
        <f t="shared" si="321"/>
        <v>1.5572547556881764E-2</v>
      </c>
      <c r="U106" s="167">
        <f t="shared" si="321"/>
        <v>1.8085089386992156E-2</v>
      </c>
      <c r="V106" s="379">
        <f t="shared" si="321"/>
        <v>1.9499667561627985E-2</v>
      </c>
      <c r="W106" s="167">
        <f t="shared" si="321"/>
        <v>1.6610017315462067E-2</v>
      </c>
      <c r="X106" s="167">
        <f t="shared" si="321"/>
        <v>1.7368875842933253E-2</v>
      </c>
      <c r="Y106" s="384"/>
      <c r="Z106" s="384"/>
      <c r="AA106" s="384"/>
      <c r="AB106" s="167">
        <f t="shared" ref="AB106:AL106" si="322">+AB99/AB$9</f>
        <v>1.8157776558055987E-2</v>
      </c>
      <c r="AC106" s="167">
        <f t="shared" si="322"/>
        <v>1.7685748417482525E-2</v>
      </c>
      <c r="AD106" s="167">
        <f t="shared" si="322"/>
        <v>1.7406474290711068E-2</v>
      </c>
      <c r="AE106" s="379">
        <f t="shared" si="322"/>
        <v>1.4272579241416099E-2</v>
      </c>
      <c r="AF106" s="167">
        <f t="shared" si="322"/>
        <v>1.2731396571540356E-2</v>
      </c>
      <c r="AG106" s="379">
        <f t="shared" si="322"/>
        <v>1.2863235119555994E-2</v>
      </c>
      <c r="AH106" s="167">
        <f t="shared" si="322"/>
        <v>1.3489300037462208E-2</v>
      </c>
      <c r="AI106" s="379">
        <f t="shared" si="322"/>
        <v>1.4612740517293204E-2</v>
      </c>
      <c r="AJ106" s="167">
        <f t="shared" si="322"/>
        <v>1.5659188503845876E-2</v>
      </c>
      <c r="AK106" s="379">
        <f t="shared" si="322"/>
        <v>1.880938026236461E-2</v>
      </c>
      <c r="AL106" s="167">
        <f t="shared" si="322"/>
        <v>1.6986505583896319E-2</v>
      </c>
      <c r="AM106" s="111"/>
      <c r="AN106" s="111"/>
      <c r="AO106" s="111"/>
      <c r="AP106" s="167">
        <f>+AP99/AP$9</f>
        <v>1.7911580816966706E-2</v>
      </c>
      <c r="AQ106" s="167">
        <f>+AQ99/AQ$9</f>
        <v>1.5675694533275965E-2</v>
      </c>
      <c r="AR106" s="167">
        <f>+AR99/AR$9</f>
        <v>1.2799105490025227E-2</v>
      </c>
      <c r="AS106" s="167">
        <f>+AS99/AS$9</f>
        <v>1.4068128993747969E-2</v>
      </c>
      <c r="AT106" s="167">
        <f>+AT99/AT$9</f>
        <v>1.719861781173844E-2</v>
      </c>
      <c r="AU106" s="111"/>
      <c r="AV106" s="111"/>
      <c r="AW106" s="111"/>
      <c r="AX106" s="111"/>
      <c r="AY106" s="111"/>
      <c r="AZ106" s="111"/>
      <c r="BA106" s="111"/>
      <c r="BB106" s="111"/>
      <c r="BC106" s="111"/>
      <c r="BD106" s="111"/>
      <c r="BE106" s="111"/>
      <c r="BF106" s="111"/>
      <c r="BG106" s="111"/>
      <c r="BH106" s="111"/>
      <c r="BI106" s="111"/>
    </row>
    <row r="107" spans="1:61" s="29" customFormat="1">
      <c r="A107" s="91" t="str">
        <f t="shared" si="320"/>
        <v>FTCH</v>
      </c>
      <c r="C107" s="167">
        <f t="shared" ref="C107:T107" si="323">+C100/C$10</f>
        <v>3.3643950361697497E-2</v>
      </c>
      <c r="D107" s="167">
        <f t="shared" si="323"/>
        <v>2.9321869082348108E-2</v>
      </c>
      <c r="E107" s="167">
        <f t="shared" si="323"/>
        <v>7.1333336043283332E-2</v>
      </c>
      <c r="F107" s="167">
        <f t="shared" si="323"/>
        <v>6.7661165747894755E-2</v>
      </c>
      <c r="G107" s="167">
        <f t="shared" si="323"/>
        <v>8.401568899642152E-2</v>
      </c>
      <c r="H107" s="167">
        <f t="shared" si="323"/>
        <v>7.1755555863637008E-2</v>
      </c>
      <c r="I107" s="167">
        <f t="shared" si="323"/>
        <v>6.7691517096159629E-2</v>
      </c>
      <c r="J107" s="379">
        <f t="shared" si="323"/>
        <v>5.6892685834303069E-2</v>
      </c>
      <c r="K107" s="167">
        <f t="shared" si="323"/>
        <v>5.8968724470404223E-2</v>
      </c>
      <c r="L107" s="167">
        <f t="shared" si="323"/>
        <v>6.2233891076799136E-2</v>
      </c>
      <c r="M107" s="167">
        <f t="shared" si="323"/>
        <v>6.37040284513926E-2</v>
      </c>
      <c r="N107" s="379">
        <f t="shared" si="323"/>
        <v>5.4050552885827434E-2</v>
      </c>
      <c r="O107" s="167">
        <f t="shared" si="323"/>
        <v>8.7558232482981516E-2</v>
      </c>
      <c r="P107" s="167">
        <f t="shared" si="323"/>
        <v>7.8942778073943981E-2</v>
      </c>
      <c r="Q107" s="167">
        <f t="shared" si="323"/>
        <v>8.7609523533862865E-2</v>
      </c>
      <c r="R107" s="379">
        <f t="shared" si="323"/>
        <v>7.5418732219287327E-2</v>
      </c>
      <c r="S107" s="167">
        <f t="shared" si="323"/>
        <v>9.3858475964356022E-2</v>
      </c>
      <c r="T107" s="167">
        <f t="shared" si="323"/>
        <v>8.7365402661393324E-2</v>
      </c>
      <c r="U107" s="167" t="s">
        <v>251</v>
      </c>
      <c r="V107" s="379" t="s">
        <v>251</v>
      </c>
      <c r="W107" s="167" t="s">
        <v>251</v>
      </c>
      <c r="X107" s="167" t="s">
        <v>251</v>
      </c>
      <c r="Y107" s="384"/>
      <c r="Z107" s="384"/>
      <c r="AA107" s="384"/>
      <c r="AB107" s="167">
        <f t="shared" ref="AB107:AJ107" si="324">+AB100/AB$10</f>
        <v>3.1318163190665237E-2</v>
      </c>
      <c r="AC107" s="167">
        <f t="shared" si="324"/>
        <v>6.9127749399123833E-2</v>
      </c>
      <c r="AD107" s="167">
        <f t="shared" si="324"/>
        <v>7.7377449361349493E-2</v>
      </c>
      <c r="AE107" s="379">
        <f t="shared" si="324"/>
        <v>6.1537715046661966E-2</v>
      </c>
      <c r="AF107" s="167">
        <f t="shared" si="324"/>
        <v>6.0679572531149029E-2</v>
      </c>
      <c r="AG107" s="379">
        <f t="shared" si="324"/>
        <v>5.8308428634543254E-2</v>
      </c>
      <c r="AH107" s="167">
        <f t="shared" si="324"/>
        <v>8.3052480524805253E-2</v>
      </c>
      <c r="AI107" s="379">
        <f t="shared" si="324"/>
        <v>8.1015004501018117E-2</v>
      </c>
      <c r="AJ107" s="167">
        <f t="shared" si="324"/>
        <v>9.0445075154955382E-2</v>
      </c>
      <c r="AK107" s="379" t="s">
        <v>251</v>
      </c>
      <c r="AL107" s="167" t="s">
        <v>251</v>
      </c>
      <c r="AM107" s="111"/>
      <c r="AN107" s="111"/>
      <c r="AO107" s="111"/>
      <c r="AP107" s="167">
        <f>+AP100/AP$10</f>
        <v>5.3087373504404123E-2</v>
      </c>
      <c r="AQ107" s="167">
        <f>+AQ100/AQ$10</f>
        <v>6.8158784366808556E-2</v>
      </c>
      <c r="AR107" s="167">
        <f>+AR100/AR$10</f>
        <v>5.9386638940072442E-2</v>
      </c>
      <c r="AS107" s="167">
        <f>+AS100/AS$10</f>
        <v>8.1994559074889964E-2</v>
      </c>
      <c r="AT107" s="167" t="s">
        <v>251</v>
      </c>
      <c r="AU107" s="111"/>
      <c r="AV107" s="111"/>
      <c r="AW107" s="111"/>
      <c r="AX107" s="111"/>
      <c r="AY107" s="111"/>
      <c r="AZ107" s="111"/>
      <c r="BA107" s="111"/>
      <c r="BB107" s="111"/>
      <c r="BC107" s="111"/>
      <c r="BD107" s="111"/>
      <c r="BE107" s="111"/>
      <c r="BF107" s="111"/>
      <c r="BG107" s="111"/>
      <c r="BH107" s="111"/>
      <c r="BI107" s="111"/>
    </row>
    <row r="108" spans="1:61">
      <c r="C108" s="9"/>
      <c r="D108" s="9"/>
      <c r="E108" s="9"/>
      <c r="F108" s="9"/>
      <c r="G108" s="9"/>
      <c r="H108" s="9"/>
      <c r="I108" s="9"/>
      <c r="J108" s="375"/>
      <c r="K108" s="381"/>
      <c r="L108" s="381"/>
      <c r="M108" s="381"/>
      <c r="N108" s="375"/>
      <c r="O108" s="381"/>
      <c r="P108" s="381"/>
      <c r="Q108" s="381"/>
      <c r="R108" s="375"/>
      <c r="S108" s="381"/>
      <c r="T108" s="381"/>
      <c r="U108" s="381"/>
      <c r="V108" s="375"/>
      <c r="W108" s="381"/>
      <c r="X108" s="381"/>
      <c r="Y108" s="381"/>
      <c r="Z108" s="381"/>
      <c r="AA108" s="381"/>
      <c r="AB108" s="381"/>
      <c r="AC108" s="381"/>
      <c r="AD108" s="381"/>
      <c r="AE108" s="375"/>
      <c r="AF108" s="381"/>
      <c r="AG108" s="375"/>
      <c r="AH108" s="381"/>
      <c r="AI108" s="375"/>
      <c r="AJ108" s="381"/>
      <c r="AK108" s="375"/>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row>
    <row r="109" spans="1:61">
      <c r="A109" s="4" t="s">
        <v>151</v>
      </c>
      <c r="C109" s="9"/>
      <c r="D109" s="9"/>
      <c r="E109" s="9"/>
      <c r="F109" s="9"/>
      <c r="G109" s="9"/>
      <c r="H109" s="9"/>
      <c r="I109" s="9"/>
      <c r="J109" s="375"/>
      <c r="K109" s="381"/>
      <c r="L109" s="381"/>
      <c r="M109" s="381"/>
      <c r="N109" s="375"/>
      <c r="O109" s="381"/>
      <c r="P109" s="381"/>
      <c r="Q109" s="381"/>
      <c r="R109" s="375"/>
      <c r="S109" s="381"/>
      <c r="T109" s="381"/>
      <c r="U109" s="381"/>
      <c r="V109" s="375"/>
      <c r="W109" s="381"/>
      <c r="X109" s="381"/>
      <c r="Y109" s="381"/>
      <c r="Z109" s="381"/>
      <c r="AA109" s="381"/>
      <c r="AB109" s="381"/>
      <c r="AC109" s="381"/>
      <c r="AD109" s="381"/>
      <c r="AE109" s="375"/>
      <c r="AF109" s="381"/>
      <c r="AG109" s="375"/>
      <c r="AH109" s="381"/>
      <c r="AI109" s="375"/>
      <c r="AJ109" s="381"/>
      <c r="AK109" s="375"/>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row>
    <row r="110" spans="1:61">
      <c r="A110" t="s">
        <v>529</v>
      </c>
      <c r="C110" s="372"/>
      <c r="D110" s="372"/>
      <c r="E110" s="372"/>
      <c r="F110" s="372"/>
      <c r="G110" s="372"/>
      <c r="H110" s="372"/>
      <c r="I110" s="372"/>
      <c r="J110" s="380"/>
      <c r="K110" s="385"/>
      <c r="L110" s="385"/>
      <c r="M110" s="385"/>
      <c r="N110" s="380"/>
      <c r="O110" s="385"/>
      <c r="P110" s="385"/>
      <c r="Q110" s="385"/>
      <c r="R110" s="380"/>
      <c r="S110" s="385"/>
      <c r="T110" s="385"/>
      <c r="U110" s="385"/>
      <c r="V110" s="380"/>
      <c r="W110" s="385"/>
      <c r="X110" s="385"/>
      <c r="Y110" s="381"/>
      <c r="Z110" s="381"/>
      <c r="AA110" s="381"/>
      <c r="AB110" s="385"/>
      <c r="AC110" s="381">
        <f>+'Historical - USD'!C131</f>
        <v>0.50149299090804866</v>
      </c>
      <c r="AD110" s="381">
        <f>+'Historical - USD'!D131</f>
        <v>1.0869868698060356</v>
      </c>
      <c r="AE110" s="375">
        <f>+'Historical - USD'!E131</f>
        <v>3.276542588431151</v>
      </c>
      <c r="AF110" s="381">
        <f>+'Historical - USD'!F131</f>
        <v>-2.2448485211214266</v>
      </c>
      <c r="AG110" s="375">
        <f>+'Historical - USD'!G131</f>
        <v>-7.7672369243882642</v>
      </c>
      <c r="AH110" s="381">
        <f>+'Historical - USD'!H131</f>
        <v>-9.3820677910616688</v>
      </c>
      <c r="AI110" s="375">
        <f>+'Historical - USD'!I131</f>
        <v>9.8598155057261891</v>
      </c>
      <c r="AJ110" s="381">
        <f>+'Historical - USD'!J131</f>
        <v>6.8169689489435523</v>
      </c>
      <c r="AK110" s="375">
        <f>+'Historical - USD'!K131</f>
        <v>14.935792214004307</v>
      </c>
      <c r="AL110" s="9">
        <f>+'Historical - USD'!L131</f>
        <v>0.76915851332882079</v>
      </c>
      <c r="AM110" s="9"/>
      <c r="AN110" s="9"/>
      <c r="AO110" s="9"/>
      <c r="AP110" s="372"/>
      <c r="AQ110" s="9">
        <f t="shared" ref="AQ110" si="325">+SUM(AD110:AE110)</f>
        <v>4.3635294582371866</v>
      </c>
      <c r="AR110" s="9">
        <f t="shared" ref="AR110" si="326">+SUM(AF110:AG110)</f>
        <v>-10.01208544550969</v>
      </c>
      <c r="AS110" s="9">
        <f t="shared" ref="AS110" si="327">+SUM(AH110:AI110)</f>
        <v>0.47774771466452037</v>
      </c>
      <c r="AT110" s="9">
        <f t="shared" ref="AT110" si="328">+SUM(AJ110:AK110)</f>
        <v>21.752761162947859</v>
      </c>
      <c r="AU110" s="9"/>
      <c r="AV110" s="9"/>
      <c r="AW110" s="9"/>
      <c r="AX110" s="9"/>
      <c r="AY110" s="9"/>
      <c r="AZ110" s="9"/>
      <c r="BA110" s="9"/>
      <c r="BB110" s="9"/>
      <c r="BC110" s="9"/>
      <c r="BD110" s="9"/>
      <c r="BE110" s="9"/>
      <c r="BF110" s="9"/>
      <c r="BG110" s="9"/>
      <c r="BH110" s="9"/>
      <c r="BI110" s="9"/>
    </row>
    <row r="111" spans="1:61">
      <c r="A111" t="s">
        <v>1677</v>
      </c>
      <c r="C111" s="9">
        <v>3.3780000000000046</v>
      </c>
      <c r="D111" s="9">
        <v>4.0729999999999915</v>
      </c>
      <c r="E111" s="9">
        <v>2.4529999999999994</v>
      </c>
      <c r="F111" s="9">
        <v>10.856</v>
      </c>
      <c r="G111" s="9">
        <v>1.230999999999997</v>
      </c>
      <c r="H111" s="9">
        <v>12.910000000000004</v>
      </c>
      <c r="I111" s="9">
        <v>8.41</v>
      </c>
      <c r="J111" s="375">
        <v>20.090000000000003</v>
      </c>
      <c r="K111" s="381">
        <v>-50.716999999999977</v>
      </c>
      <c r="L111" s="381">
        <v>-6.3910000000000151</v>
      </c>
      <c r="M111" s="381">
        <v>-4.2890000000000139</v>
      </c>
      <c r="N111" s="375">
        <v>9.7029999999999994</v>
      </c>
      <c r="O111" s="381">
        <v>-1.6930000000000023</v>
      </c>
      <c r="P111" s="381">
        <v>1.2220000000000129</v>
      </c>
      <c r="Q111" s="381">
        <v>-0.49800000000000955</v>
      </c>
      <c r="R111" s="375">
        <v>5.2540000000000102</v>
      </c>
      <c r="S111" s="381">
        <v>-5.9129999999999887</v>
      </c>
      <c r="T111" s="381">
        <v>0.59799999999994391</v>
      </c>
      <c r="U111" s="381">
        <v>-10.580999999999996</v>
      </c>
      <c r="V111" s="375">
        <v>-0.76800000000000068</v>
      </c>
      <c r="W111" s="381">
        <v>2.3309999999999995</v>
      </c>
      <c r="X111" s="381">
        <f>+X87-4</f>
        <v>10.670999999999999</v>
      </c>
      <c r="Y111" s="381"/>
      <c r="Z111" s="381"/>
      <c r="AA111" s="381"/>
      <c r="AB111" s="381">
        <f>+SUM(C111:D111)</f>
        <v>7.4509999999999961</v>
      </c>
      <c r="AC111" s="381">
        <f>+SUM(E111:F111)</f>
        <v>13.308999999999999</v>
      </c>
      <c r="AD111" s="381">
        <f t="shared" ref="AD111" si="329">+SUM(G111:H111)</f>
        <v>14.141</v>
      </c>
      <c r="AE111" s="375">
        <f t="shared" ref="AE111" si="330">+SUM(I111:J111)</f>
        <v>28.500000000000004</v>
      </c>
      <c r="AF111" s="381">
        <f t="shared" ref="AF111" si="331">+SUM(K111:L111)</f>
        <v>-57.10799999999999</v>
      </c>
      <c r="AG111" s="375">
        <f t="shared" ref="AG111" si="332">+SUM(M111:N111)</f>
        <v>5.4139999999999855</v>
      </c>
      <c r="AH111" s="381">
        <f t="shared" ref="AH111" si="333">+SUM(O111:P111)</f>
        <v>-0.47099999999998943</v>
      </c>
      <c r="AI111" s="375">
        <f t="shared" ref="AI111" si="334">+SUM(Q111:R111)</f>
        <v>4.7560000000000002</v>
      </c>
      <c r="AJ111" s="381">
        <f t="shared" ref="AJ111" si="335">+SUM(S111:T111)</f>
        <v>-5.3150000000000448</v>
      </c>
      <c r="AK111" s="375">
        <f t="shared" ref="AK111" si="336">+SUM(U111:V111)</f>
        <v>-11.348999999999997</v>
      </c>
      <c r="AL111" s="9">
        <f t="shared" ref="AL111" si="337">+SUM(W111:X111)</f>
        <v>13.001999999999999</v>
      </c>
      <c r="AM111" s="9"/>
      <c r="AN111" s="9"/>
      <c r="AO111" s="9"/>
      <c r="AP111" s="9">
        <f t="shared" ref="AP111" si="338">+SUM(AB111:AC111)</f>
        <v>20.759999999999994</v>
      </c>
      <c r="AQ111" s="9">
        <f t="shared" ref="AQ111" si="339">+SUM(AD111:AE111)</f>
        <v>42.641000000000005</v>
      </c>
      <c r="AR111" s="9">
        <f t="shared" ref="AR111" si="340">+SUM(AF111:AG111)</f>
        <v>-51.694000000000003</v>
      </c>
      <c r="AS111" s="9">
        <f t="shared" ref="AS111" si="341">+SUM(AH111:AI111)</f>
        <v>4.2850000000000108</v>
      </c>
      <c r="AT111" s="9">
        <f t="shared" ref="AT111" si="342">+SUM(AJ111:AK111)</f>
        <v>-16.664000000000041</v>
      </c>
      <c r="AU111" s="9"/>
      <c r="AV111" s="9"/>
      <c r="AW111" s="9"/>
      <c r="AX111" s="9"/>
      <c r="AY111" s="9"/>
      <c r="AZ111" s="9"/>
      <c r="BA111" s="9"/>
      <c r="BB111" s="9"/>
      <c r="BC111" s="9"/>
      <c r="BD111" s="9"/>
      <c r="BE111" s="9"/>
      <c r="BF111" s="9"/>
      <c r="BG111" s="9"/>
      <c r="BH111" s="9"/>
      <c r="BI111" s="9"/>
    </row>
    <row r="112" spans="1:61">
      <c r="A112" t="s">
        <v>647</v>
      </c>
      <c r="C112" s="9">
        <v>-83.056000000000012</v>
      </c>
      <c r="D112" s="9">
        <v>-97.609000000000023</v>
      </c>
      <c r="E112" s="9">
        <v>-102.49500000000003</v>
      </c>
      <c r="F112" s="9">
        <v>-110.229</v>
      </c>
      <c r="G112" s="9">
        <v>-100.402</v>
      </c>
      <c r="H112" s="9">
        <v>-138.84800000000001</v>
      </c>
      <c r="I112" s="9">
        <v>-146.161</v>
      </c>
      <c r="J112" s="375">
        <v>-170.87700000000001</v>
      </c>
      <c r="K112" s="381">
        <v>-113.70399999999999</v>
      </c>
      <c r="L112" s="381">
        <v>-143.47200000000001</v>
      </c>
      <c r="M112" s="381">
        <v>-105.631</v>
      </c>
      <c r="N112" s="375">
        <v>-82.918999999999997</v>
      </c>
      <c r="O112" s="381">
        <v>-152.684</v>
      </c>
      <c r="P112" s="381">
        <v>-162.85</v>
      </c>
      <c r="Q112" s="381">
        <v>-173.14699999999999</v>
      </c>
      <c r="R112" s="375">
        <v>-187.66499999999999</v>
      </c>
      <c r="S112" s="381">
        <v>-171.495</v>
      </c>
      <c r="T112" s="381">
        <v>-191.90899999999999</v>
      </c>
      <c r="U112" s="385"/>
      <c r="V112" s="380"/>
      <c r="W112" s="385"/>
      <c r="X112" s="385"/>
      <c r="Y112" s="381"/>
      <c r="Z112" s="381"/>
      <c r="AA112" s="381"/>
      <c r="AB112" s="381">
        <f>+SUM(C112:D112)</f>
        <v>-180.66500000000002</v>
      </c>
      <c r="AC112" s="381">
        <f>+SUM(E112:F112)</f>
        <v>-212.72400000000005</v>
      </c>
      <c r="AD112" s="381">
        <f t="shared" ref="AD112" si="343">+SUM(G112:H112)</f>
        <v>-239.25</v>
      </c>
      <c r="AE112" s="375">
        <f t="shared" ref="AE112" si="344">+SUM(I112:J112)</f>
        <v>-317.03800000000001</v>
      </c>
      <c r="AF112" s="381">
        <f t="shared" ref="AF112" si="345">+SUM(K112:L112)</f>
        <v>-257.17599999999999</v>
      </c>
      <c r="AG112" s="375">
        <f t="shared" ref="AG112" si="346">+SUM(M112:N112)</f>
        <v>-188.55</v>
      </c>
      <c r="AH112" s="381">
        <f t="shared" ref="AH112" si="347">+SUM(O112:P112)</f>
        <v>-315.53399999999999</v>
      </c>
      <c r="AI112" s="375">
        <f t="shared" ref="AI112" si="348">+SUM(Q112:R112)</f>
        <v>-360.81200000000001</v>
      </c>
      <c r="AJ112" s="381">
        <f t="shared" ref="AJ112" si="349">+SUM(S112:T112)</f>
        <v>-363.404</v>
      </c>
      <c r="AK112" s="380"/>
      <c r="AL112" s="372"/>
      <c r="AM112" s="9"/>
      <c r="AN112" s="9"/>
      <c r="AO112" s="9"/>
      <c r="AP112" s="9">
        <f t="shared" ref="AP112" si="350">+SUM(AB112:AC112)</f>
        <v>-393.38900000000007</v>
      </c>
      <c r="AQ112" s="9">
        <f t="shared" ref="AQ112" si="351">+SUM(AD112:AE112)</f>
        <v>-556.28800000000001</v>
      </c>
      <c r="AR112" s="9">
        <f t="shared" ref="AR112" si="352">+SUM(AF112:AG112)</f>
        <v>-445.726</v>
      </c>
      <c r="AS112" s="9">
        <f t="shared" ref="AS112" si="353">+SUM(AH112:AI112)</f>
        <v>-676.346</v>
      </c>
      <c r="AT112" s="372"/>
      <c r="AU112" s="9"/>
      <c r="AV112" s="9"/>
      <c r="AW112" s="9"/>
      <c r="AX112" s="9"/>
      <c r="AY112" s="9"/>
      <c r="AZ112" s="9"/>
      <c r="BA112" s="9"/>
      <c r="BB112" s="9"/>
      <c r="BC112" s="9"/>
      <c r="BD112" s="9"/>
      <c r="BE112" s="9"/>
      <c r="BF112" s="9"/>
      <c r="BG112" s="9"/>
      <c r="BH112" s="9"/>
      <c r="BI112" s="9"/>
    </row>
    <row r="113" spans="1:61" s="4" customFormat="1" ht="16" hidden="1" outlineLevel="1">
      <c r="A113" t="s">
        <v>1678</v>
      </c>
      <c r="C113" s="10"/>
      <c r="D113" s="10"/>
      <c r="E113" s="10"/>
      <c r="F113" s="10"/>
      <c r="G113" s="10"/>
      <c r="H113" s="10"/>
      <c r="I113" s="136"/>
      <c r="J113" s="376"/>
      <c r="K113" s="382"/>
      <c r="L113" s="382"/>
      <c r="M113" s="382"/>
      <c r="N113" s="376"/>
      <c r="O113" s="382"/>
      <c r="P113" s="382"/>
      <c r="Q113" s="382"/>
      <c r="R113" s="376"/>
      <c r="S113" s="382"/>
      <c r="T113" s="382"/>
      <c r="U113" s="382"/>
      <c r="V113" s="386"/>
      <c r="W113" s="387"/>
      <c r="X113" s="382"/>
      <c r="Y113" s="382"/>
      <c r="Z113" s="382"/>
      <c r="AA113" s="382"/>
      <c r="AB113" s="382"/>
      <c r="AC113" s="382"/>
      <c r="AD113" s="382"/>
      <c r="AE113" s="376"/>
      <c r="AF113" s="382"/>
      <c r="AG113" s="376"/>
      <c r="AH113" s="382"/>
      <c r="AI113" s="376"/>
      <c r="AJ113" s="382"/>
      <c r="AK113" s="376"/>
      <c r="AL113" s="184"/>
      <c r="AM113" s="184"/>
      <c r="AN113" s="184"/>
      <c r="AO113" s="184"/>
      <c r="AP113" s="184"/>
      <c r="AQ113" s="135"/>
      <c r="AR113" s="10"/>
      <c r="AS113" s="10"/>
      <c r="AT113" s="10"/>
      <c r="AU113" s="10"/>
      <c r="AV113" s="10"/>
      <c r="AW113" s="10"/>
      <c r="AX113" s="10"/>
      <c r="AY113" s="10"/>
      <c r="AZ113" s="10"/>
      <c r="BA113" s="10"/>
      <c r="BB113" s="10"/>
      <c r="BC113" s="10"/>
      <c r="BD113" s="10"/>
      <c r="BE113" s="10"/>
      <c r="BF113" s="10"/>
      <c r="BG113" s="10"/>
      <c r="BH113" s="10"/>
      <c r="BI113" s="10"/>
    </row>
    <row r="114" spans="1:61" hidden="1" outlineLevel="1">
      <c r="A114" s="5" t="s">
        <v>1679</v>
      </c>
      <c r="C114" s="135"/>
      <c r="D114" s="135"/>
      <c r="E114" s="135"/>
      <c r="F114" s="135"/>
      <c r="G114" s="135"/>
      <c r="H114" s="135"/>
      <c r="I114" s="135"/>
      <c r="J114" s="377"/>
      <c r="K114" s="383"/>
      <c r="L114" s="383"/>
      <c r="M114" s="383"/>
      <c r="N114" s="377"/>
      <c r="O114" s="383"/>
      <c r="P114" s="383"/>
      <c r="Q114" s="381"/>
      <c r="R114" s="375"/>
      <c r="S114" s="381"/>
      <c r="T114" s="381"/>
      <c r="U114" s="381"/>
      <c r="V114" s="377"/>
      <c r="W114" s="383"/>
      <c r="X114" s="383"/>
      <c r="Y114" s="383"/>
      <c r="Z114" s="383"/>
      <c r="AA114" s="383"/>
      <c r="AB114" s="383"/>
      <c r="AC114" s="383"/>
      <c r="AD114" s="383"/>
      <c r="AE114" s="375"/>
      <c r="AF114" s="381"/>
      <c r="AG114" s="375"/>
      <c r="AH114" s="383"/>
      <c r="AI114" s="377"/>
      <c r="AJ114" s="383"/>
      <c r="AK114" s="377"/>
      <c r="AL114" s="135"/>
      <c r="AM114" s="135"/>
      <c r="AN114" s="32"/>
      <c r="AO114" s="32"/>
      <c r="AP114" s="32"/>
      <c r="AQ114" s="135"/>
      <c r="AR114" s="9"/>
      <c r="AS114" s="9"/>
      <c r="AT114" s="9"/>
      <c r="AU114" s="9"/>
      <c r="AV114" s="9"/>
      <c r="AW114" s="9"/>
      <c r="AX114" s="9"/>
      <c r="AY114" s="9"/>
      <c r="AZ114" s="9"/>
      <c r="BA114" s="9"/>
      <c r="BB114" s="9"/>
      <c r="BC114" s="9"/>
      <c r="BD114" s="9"/>
      <c r="BE114" s="9"/>
      <c r="BF114" s="9"/>
      <c r="BG114" s="9"/>
      <c r="BH114" s="9"/>
      <c r="BI114" s="9"/>
    </row>
    <row r="115" spans="1:61" collapsed="1">
      <c r="A115" s="5"/>
      <c r="C115" s="135"/>
      <c r="D115" s="135"/>
      <c r="E115" s="135"/>
      <c r="F115" s="135"/>
      <c r="G115" s="135"/>
      <c r="H115" s="135"/>
      <c r="I115" s="135"/>
      <c r="J115" s="377"/>
      <c r="K115" s="383"/>
      <c r="L115" s="383"/>
      <c r="M115" s="383"/>
      <c r="N115" s="377"/>
      <c r="O115" s="383"/>
      <c r="P115" s="383"/>
      <c r="Q115" s="381"/>
      <c r="R115" s="375"/>
      <c r="S115" s="381"/>
      <c r="T115" s="381"/>
      <c r="U115" s="381"/>
      <c r="V115" s="377"/>
      <c r="W115" s="383"/>
      <c r="X115" s="383"/>
      <c r="Y115" s="383"/>
      <c r="Z115" s="383"/>
      <c r="AA115" s="383"/>
      <c r="AB115" s="383"/>
      <c r="AC115" s="383"/>
      <c r="AD115" s="383"/>
      <c r="AE115" s="375"/>
      <c r="AF115" s="381"/>
      <c r="AG115" s="375"/>
      <c r="AH115" s="383"/>
      <c r="AI115" s="377"/>
      <c r="AJ115" s="383"/>
      <c r="AK115" s="377"/>
      <c r="AL115" s="135"/>
      <c r="AM115" s="135"/>
      <c r="AN115" s="32"/>
      <c r="AO115" s="32"/>
      <c r="AP115" s="32"/>
      <c r="AQ115" s="135"/>
      <c r="AR115" s="9"/>
      <c r="AS115" s="9"/>
      <c r="AT115" s="9"/>
      <c r="AU115" s="9"/>
      <c r="AV115" s="9"/>
      <c r="AW115" s="9"/>
      <c r="AX115" s="9"/>
      <c r="AY115" s="9"/>
      <c r="AZ115" s="9"/>
      <c r="BA115" s="9"/>
      <c r="BB115" s="9"/>
      <c r="BC115" s="9"/>
      <c r="BD115" s="9"/>
      <c r="BE115" s="9"/>
      <c r="BF115" s="9"/>
      <c r="BG115" s="9"/>
      <c r="BH115" s="9"/>
      <c r="BI115" s="9"/>
    </row>
    <row r="116" spans="1:61" s="29" customFormat="1">
      <c r="A116" s="133" t="s">
        <v>239</v>
      </c>
      <c r="C116" s="111"/>
      <c r="D116" s="111"/>
      <c r="E116" s="111"/>
      <c r="F116" s="111"/>
      <c r="G116" s="111"/>
      <c r="H116" s="111"/>
      <c r="I116" s="111"/>
      <c r="J116" s="378"/>
      <c r="K116" s="384"/>
      <c r="L116" s="384"/>
      <c r="M116" s="384"/>
      <c r="N116" s="378"/>
      <c r="O116" s="384"/>
      <c r="P116" s="384"/>
      <c r="Q116" s="384"/>
      <c r="R116" s="378"/>
      <c r="S116" s="384"/>
      <c r="T116" s="384"/>
      <c r="U116" s="384"/>
      <c r="V116" s="378"/>
      <c r="W116" s="384"/>
      <c r="X116" s="384"/>
      <c r="Y116" s="384"/>
      <c r="Z116" s="384"/>
      <c r="AA116" s="384"/>
      <c r="AB116" s="384"/>
      <c r="AC116" s="384"/>
      <c r="AD116" s="384"/>
      <c r="AE116" s="378"/>
      <c r="AF116" s="384"/>
      <c r="AG116" s="378"/>
      <c r="AH116" s="384"/>
      <c r="AI116" s="378"/>
      <c r="AJ116" s="384"/>
      <c r="AK116" s="378"/>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row>
    <row r="117" spans="1:61" s="29" customFormat="1">
      <c r="A117" s="91" t="str">
        <f>+A110</f>
        <v>CTT</v>
      </c>
      <c r="C117" s="167" t="s">
        <v>251</v>
      </c>
      <c r="D117" s="167" t="s">
        <v>251</v>
      </c>
      <c r="E117" s="167" t="s">
        <v>251</v>
      </c>
      <c r="F117" s="167" t="s">
        <v>251</v>
      </c>
      <c r="G117" s="167" t="s">
        <v>251</v>
      </c>
      <c r="H117" s="167" t="s">
        <v>251</v>
      </c>
      <c r="I117" s="167" t="s">
        <v>251</v>
      </c>
      <c r="J117" s="379" t="s">
        <v>251</v>
      </c>
      <c r="K117" s="167" t="s">
        <v>251</v>
      </c>
      <c r="L117" s="167" t="s">
        <v>251</v>
      </c>
      <c r="M117" s="167" t="s">
        <v>251</v>
      </c>
      <c r="N117" s="379" t="s">
        <v>251</v>
      </c>
      <c r="O117" s="167" t="s">
        <v>251</v>
      </c>
      <c r="P117" s="167" t="s">
        <v>251</v>
      </c>
      <c r="Q117" s="167" t="s">
        <v>251</v>
      </c>
      <c r="R117" s="379" t="s">
        <v>251</v>
      </c>
      <c r="S117" s="167" t="s">
        <v>251</v>
      </c>
      <c r="T117" s="167" t="s">
        <v>251</v>
      </c>
      <c r="U117" s="167" t="s">
        <v>251</v>
      </c>
      <c r="V117" s="379" t="s">
        <v>251</v>
      </c>
      <c r="W117" s="167" t="s">
        <v>251</v>
      </c>
      <c r="X117" s="167" t="s">
        <v>251</v>
      </c>
      <c r="Y117" s="384"/>
      <c r="Z117" s="384"/>
      <c r="AA117" s="384"/>
      <c r="AB117" s="167" t="s">
        <v>251</v>
      </c>
      <c r="AC117" s="167">
        <f t="shared" ref="AC117:AL117" si="354">+AC110/AC$8</f>
        <v>0.1046851739031702</v>
      </c>
      <c r="AD117" s="167">
        <f t="shared" si="354"/>
        <v>0.1044769265236527</v>
      </c>
      <c r="AE117" s="379">
        <f t="shared" si="354"/>
        <v>0.12246686871164715</v>
      </c>
      <c r="AF117" s="167">
        <f t="shared" si="354"/>
        <v>-5.6146142802221355E-2</v>
      </c>
      <c r="AG117" s="379">
        <f t="shared" si="354"/>
        <v>-9.3383356022349123E-2</v>
      </c>
      <c r="AH117" s="167">
        <f t="shared" si="354"/>
        <v>-0.13565766768153237</v>
      </c>
      <c r="AI117" s="379">
        <f t="shared" si="354"/>
        <v>7.8831736868755109E-2</v>
      </c>
      <c r="AJ117" s="167">
        <f t="shared" si="354"/>
        <v>4.4211694274082981E-2</v>
      </c>
      <c r="AK117" s="379">
        <f t="shared" si="354"/>
        <v>6.4620838103692596E-2</v>
      </c>
      <c r="AL117" s="167">
        <f t="shared" si="354"/>
        <v>3.0116652543124007E-3</v>
      </c>
      <c r="AM117" s="111"/>
      <c r="AN117" s="111"/>
      <c r="AO117" s="111"/>
      <c r="AP117" s="167" t="s">
        <v>251</v>
      </c>
      <c r="AQ117" s="167">
        <f>+AQ110/AQ$8</f>
        <v>0.11742984213350484</v>
      </c>
      <c r="AR117" s="167">
        <f>+AR110/AR$8</f>
        <v>-8.1294604241270177E-2</v>
      </c>
      <c r="AS117" s="167">
        <f>+AS110/AS$8</f>
        <v>2.4596494467540703E-3</v>
      </c>
      <c r="AT117" s="167">
        <f>+AT110/AT$8</f>
        <v>5.6453912519746276E-2</v>
      </c>
      <c r="AU117" s="111"/>
      <c r="AV117" s="111"/>
      <c r="AW117" s="111"/>
      <c r="AX117" s="111"/>
      <c r="AY117" s="111"/>
      <c r="AZ117" s="111"/>
      <c r="BA117" s="111"/>
      <c r="BB117" s="111"/>
      <c r="BC117" s="111"/>
      <c r="BD117" s="111"/>
      <c r="BE117" s="111"/>
      <c r="BF117" s="111"/>
      <c r="BG117" s="111"/>
      <c r="BH117" s="111"/>
      <c r="BI117" s="111"/>
    </row>
    <row r="118" spans="1:61" s="29" customFormat="1">
      <c r="A118" s="91" t="str">
        <f t="shared" ref="A118:A119" si="355">+A111</f>
        <v>MYTE</v>
      </c>
      <c r="C118" s="167">
        <f t="shared" ref="C118:X118" si="356">+C111/C$9</f>
        <v>3.4047271077962044E-2</v>
      </c>
      <c r="D118" s="167">
        <f t="shared" si="356"/>
        <v>4.0249024161272712E-2</v>
      </c>
      <c r="E118" s="167">
        <f t="shared" si="356"/>
        <v>2.4749778028896597E-2</v>
      </c>
      <c r="F118" s="167">
        <f t="shared" si="356"/>
        <v>9.094488518794662E-2</v>
      </c>
      <c r="G118" s="167">
        <f t="shared" si="356"/>
        <v>1.1017138765829838E-2</v>
      </c>
      <c r="H118" s="167">
        <f t="shared" si="356"/>
        <v>0.10824089678127964</v>
      </c>
      <c r="I118" s="167">
        <f t="shared" si="356"/>
        <v>6.6556398831899594E-2</v>
      </c>
      <c r="J118" s="379">
        <f t="shared" si="356"/>
        <v>0.12667646113006251</v>
      </c>
      <c r="K118" s="167">
        <f t="shared" si="356"/>
        <v>-0.3077936107200076</v>
      </c>
      <c r="L118" s="167">
        <f t="shared" si="356"/>
        <v>-3.936120417816328E-2</v>
      </c>
      <c r="M118" s="167">
        <f t="shared" si="356"/>
        <v>-2.7174463987024267E-2</v>
      </c>
      <c r="N118" s="379">
        <f t="shared" si="356"/>
        <v>5.1729745003225441E-2</v>
      </c>
      <c r="O118" s="167">
        <f t="shared" si="356"/>
        <v>-9.98749351078391E-3</v>
      </c>
      <c r="P118" s="167">
        <f t="shared" si="356"/>
        <v>6.9894471930678215E-3</v>
      </c>
      <c r="Q118" s="167">
        <f t="shared" si="356"/>
        <v>-2.8313150264370323E-3</v>
      </c>
      <c r="R118" s="379">
        <f t="shared" si="356"/>
        <v>2.7639248363950139E-2</v>
      </c>
      <c r="S118" s="167">
        <f t="shared" si="356"/>
        <v>-2.9731047902535602E-2</v>
      </c>
      <c r="T118" s="167">
        <f t="shared" si="356"/>
        <v>2.934882899153615E-3</v>
      </c>
      <c r="U118" s="167">
        <f t="shared" si="356"/>
        <v>-5.6348153946926952E-2</v>
      </c>
      <c r="V118" s="379">
        <f t="shared" si="356"/>
        <v>-3.8979033543285542E-3</v>
      </c>
      <c r="W118" s="167">
        <f t="shared" si="356"/>
        <v>9.966010389277238E-3</v>
      </c>
      <c r="X118" s="167">
        <f t="shared" si="356"/>
        <v>4.6335818529985189E-2</v>
      </c>
      <c r="Y118" s="384"/>
      <c r="Z118" s="384"/>
      <c r="AA118" s="384"/>
      <c r="AB118" s="167">
        <f t="shared" ref="AB118:AL118" si="357">+AB111/AB$9</f>
        <v>3.7178783493837617E-2</v>
      </c>
      <c r="AC118" s="167">
        <f t="shared" si="357"/>
        <v>6.0916052196758524E-2</v>
      </c>
      <c r="AD118" s="167">
        <f t="shared" si="357"/>
        <v>6.1214860220080866E-2</v>
      </c>
      <c r="AE118" s="379">
        <f t="shared" si="357"/>
        <v>0.10001684494230609</v>
      </c>
      <c r="AF118" s="167">
        <f t="shared" si="357"/>
        <v>-0.17456532902941821</v>
      </c>
      <c r="AG118" s="379">
        <f t="shared" si="357"/>
        <v>1.5674444055205038E-2</v>
      </c>
      <c r="AH118" s="167">
        <f t="shared" si="357"/>
        <v>-1.3678063116565249E-3</v>
      </c>
      <c r="AI118" s="379">
        <f t="shared" si="357"/>
        <v>1.2995174626074508E-2</v>
      </c>
      <c r="AJ118" s="167">
        <f t="shared" si="357"/>
        <v>-1.3200410293091441E-2</v>
      </c>
      <c r="AK118" s="379">
        <f t="shared" si="357"/>
        <v>-2.9492630090850493E-2</v>
      </c>
      <c r="AL118" s="167">
        <f t="shared" si="357"/>
        <v>2.8009961395284708E-2</v>
      </c>
      <c r="AM118" s="111"/>
      <c r="AN118" s="111"/>
      <c r="AO118" s="111"/>
      <c r="AP118" s="167">
        <f>+AP111/AP$9</f>
        <v>4.9559431928592391E-2</v>
      </c>
      <c r="AQ118" s="167">
        <f>+AQ111/AQ$9</f>
        <v>8.2644323762786909E-2</v>
      </c>
      <c r="AR118" s="167">
        <f>+AR111/AR$9</f>
        <v>-7.6863029646998648E-2</v>
      </c>
      <c r="AS118" s="167">
        <f>+AS111/AS$9</f>
        <v>6.0324159649965169E-3</v>
      </c>
      <c r="AT118" s="167">
        <f>+AT111/AT$9</f>
        <v>-2.1162059160807066E-2</v>
      </c>
      <c r="AU118" s="111"/>
      <c r="AV118" s="111"/>
      <c r="AW118" s="111"/>
      <c r="AX118" s="111"/>
      <c r="AY118" s="111"/>
      <c r="AZ118" s="111"/>
      <c r="BA118" s="111"/>
      <c r="BB118" s="111"/>
      <c r="BC118" s="111"/>
      <c r="BD118" s="111"/>
      <c r="BE118" s="111"/>
      <c r="BF118" s="111"/>
      <c r="BG118" s="111"/>
      <c r="BH118" s="111"/>
      <c r="BI118" s="111"/>
    </row>
    <row r="119" spans="1:61" s="29" customFormat="1">
      <c r="A119" s="91" t="str">
        <f t="shared" si="355"/>
        <v>FTCH</v>
      </c>
      <c r="C119" s="167">
        <f t="shared" ref="C119:T119" si="358">+C112/C$10</f>
        <v>-0.19809527443932715</v>
      </c>
      <c r="D119" s="167">
        <f t="shared" si="358"/>
        <v>-0.19982394185987004</v>
      </c>
      <c r="E119" s="167">
        <f t="shared" si="358"/>
        <v>-0.2083172430052804</v>
      </c>
      <c r="F119" s="167">
        <f t="shared" si="358"/>
        <v>-0.14897079075651037</v>
      </c>
      <c r="G119" s="167">
        <f t="shared" si="358"/>
        <v>-0.16435795270383091</v>
      </c>
      <c r="H119" s="167">
        <f t="shared" si="358"/>
        <v>-0.19249421191997895</v>
      </c>
      <c r="I119" s="167">
        <f t="shared" si="358"/>
        <v>-0.18319587887295699</v>
      </c>
      <c r="J119" s="379">
        <f t="shared" si="358"/>
        <v>-0.16166378111429627</v>
      </c>
      <c r="K119" s="167">
        <f t="shared" si="358"/>
        <v>-0.12418469119837833</v>
      </c>
      <c r="L119" s="167">
        <f t="shared" si="358"/>
        <v>-0.142360025838178</v>
      </c>
      <c r="M119" s="167">
        <f t="shared" si="358"/>
        <v>-0.10383323143100361</v>
      </c>
      <c r="N119" s="379">
        <f t="shared" si="358"/>
        <v>-6.432092588498578E-2</v>
      </c>
      <c r="O119" s="167">
        <f t="shared" si="358"/>
        <v>-0.16404369799903734</v>
      </c>
      <c r="P119" s="167">
        <f t="shared" si="358"/>
        <v>-0.15958676973250965</v>
      </c>
      <c r="Q119" s="167">
        <f t="shared" si="358"/>
        <v>-0.17898698742572661</v>
      </c>
      <c r="R119" s="379">
        <f t="shared" si="358"/>
        <v>-0.16462867424199223</v>
      </c>
      <c r="S119" s="167">
        <f t="shared" si="358"/>
        <v>-0.18407505758550885</v>
      </c>
      <c r="T119" s="167">
        <f t="shared" si="358"/>
        <v>-0.18584722118655803</v>
      </c>
      <c r="U119" s="167" t="s">
        <v>251</v>
      </c>
      <c r="V119" s="379" t="s">
        <v>251</v>
      </c>
      <c r="W119" s="167" t="s">
        <v>251</v>
      </c>
      <c r="X119" s="167" t="s">
        <v>251</v>
      </c>
      <c r="Y119" s="384"/>
      <c r="Z119" s="384"/>
      <c r="AA119" s="384"/>
      <c r="AB119" s="167">
        <f t="shared" ref="AB119:AJ119" si="359">+AB112/AB$10</f>
        <v>-0.19902550046929326</v>
      </c>
      <c r="AC119" s="167">
        <f t="shared" si="359"/>
        <v>-0.17267245206992815</v>
      </c>
      <c r="AD119" s="167">
        <f t="shared" si="359"/>
        <v>-0.17959230856998734</v>
      </c>
      <c r="AE119" s="379">
        <f t="shared" si="359"/>
        <v>-0.17092563738994951</v>
      </c>
      <c r="AF119" s="167">
        <f t="shared" si="359"/>
        <v>-0.13370801413111574</v>
      </c>
      <c r="AG119" s="379">
        <f t="shared" si="359"/>
        <v>-8.174868922447788E-2</v>
      </c>
      <c r="AH119" s="167">
        <f t="shared" si="359"/>
        <v>-0.16171279212792128</v>
      </c>
      <c r="AI119" s="379">
        <f t="shared" si="359"/>
        <v>-0.17121996335597051</v>
      </c>
      <c r="AJ119" s="167">
        <f t="shared" si="359"/>
        <v>-0.18500668185462829</v>
      </c>
      <c r="AK119" s="379" t="s">
        <v>251</v>
      </c>
      <c r="AL119" s="167" t="s">
        <v>251</v>
      </c>
      <c r="AM119" s="111"/>
      <c r="AN119" s="111"/>
      <c r="AO119" s="111"/>
      <c r="AP119" s="167">
        <f>+AP112/AP$10</f>
        <v>-0.18385249514067167</v>
      </c>
      <c r="AQ119" s="167">
        <f>+AQ112/AQ$10</f>
        <v>-0.17454833897811556</v>
      </c>
      <c r="AR119" s="167">
        <f>+AR112/AR$10</f>
        <v>-0.10537571568325677</v>
      </c>
      <c r="AS119" s="167">
        <f>+AS112/AS$10</f>
        <v>-0.1666492135889581</v>
      </c>
      <c r="AT119" s="167" t="s">
        <v>251</v>
      </c>
      <c r="AU119" s="111"/>
      <c r="AV119" s="111"/>
      <c r="AW119" s="111"/>
      <c r="AX119" s="111"/>
      <c r="AY119" s="111"/>
      <c r="AZ119" s="111"/>
      <c r="BA119" s="111"/>
      <c r="BB119" s="111"/>
      <c r="BC119" s="111"/>
      <c r="BD119" s="111"/>
      <c r="BE119" s="111"/>
      <c r="BF119" s="111"/>
      <c r="BG119" s="111"/>
      <c r="BH119" s="111"/>
      <c r="BI119" s="111"/>
    </row>
    <row r="120" spans="1:61">
      <c r="A120" s="5"/>
      <c r="C120" s="135"/>
      <c r="D120" s="135"/>
      <c r="E120" s="135"/>
      <c r="F120" s="135"/>
      <c r="G120" s="135"/>
      <c r="H120" s="135"/>
      <c r="I120" s="135"/>
      <c r="J120" s="377"/>
      <c r="K120" s="383"/>
      <c r="L120" s="383"/>
      <c r="M120" s="383"/>
      <c r="N120" s="377"/>
      <c r="O120" s="383"/>
      <c r="P120" s="383"/>
      <c r="Q120" s="381"/>
      <c r="R120" s="375"/>
      <c r="S120" s="381"/>
      <c r="T120" s="381"/>
      <c r="U120" s="381"/>
      <c r="V120" s="377"/>
      <c r="W120" s="383"/>
      <c r="X120" s="383"/>
      <c r="Y120" s="383"/>
      <c r="Z120" s="383"/>
      <c r="AA120" s="383"/>
      <c r="AB120" s="383"/>
      <c r="AC120" s="383"/>
      <c r="AD120" s="383"/>
      <c r="AE120" s="375"/>
      <c r="AF120" s="381"/>
      <c r="AG120" s="375"/>
      <c r="AH120" s="383"/>
      <c r="AI120" s="377"/>
      <c r="AJ120" s="383"/>
      <c r="AK120" s="377"/>
      <c r="AL120" s="135"/>
      <c r="AM120" s="135"/>
      <c r="AN120" s="32"/>
      <c r="AO120" s="32"/>
      <c r="AP120" s="32"/>
      <c r="AQ120" s="135"/>
      <c r="AR120" s="9"/>
      <c r="AS120" s="9"/>
      <c r="AT120" s="9"/>
      <c r="AU120" s="9"/>
      <c r="AV120" s="9"/>
      <c r="AW120" s="9"/>
      <c r="AX120" s="9"/>
      <c r="AY120" s="9"/>
      <c r="AZ120" s="9"/>
      <c r="BA120" s="9"/>
      <c r="BB120" s="9"/>
      <c r="BC120" s="9"/>
      <c r="BD120" s="9"/>
      <c r="BE120" s="9"/>
      <c r="BF120" s="9"/>
      <c r="BG120" s="9"/>
      <c r="BH120" s="9"/>
      <c r="BI120" s="9"/>
    </row>
    <row r="121" spans="1:61">
      <c r="J121" s="374"/>
      <c r="N121" s="374"/>
      <c r="R121" s="374"/>
      <c r="V121" s="374"/>
      <c r="AE121" s="374"/>
      <c r="AG121" s="374"/>
      <c r="AI121" s="374"/>
      <c r="AK121" s="374"/>
    </row>
    <row r="122" spans="1:61">
      <c r="J122" s="374"/>
      <c r="N122" s="374"/>
      <c r="R122" s="374"/>
      <c r="V122" s="374"/>
      <c r="AE122" s="374"/>
      <c r="AG122" s="374"/>
      <c r="AI122" s="374"/>
      <c r="AK122" s="374"/>
    </row>
    <row r="123" spans="1:61">
      <c r="J123" s="374"/>
      <c r="N123" s="374"/>
      <c r="R123" s="374"/>
      <c r="V123" s="374"/>
      <c r="AE123" s="374"/>
      <c r="AG123" s="374"/>
      <c r="AI123" s="374"/>
      <c r="AK123" s="374"/>
    </row>
    <row r="124" spans="1:61">
      <c r="J124" s="374"/>
      <c r="N124" s="374"/>
      <c r="R124" s="374"/>
      <c r="V124" s="374"/>
      <c r="AE124" s="374"/>
      <c r="AG124" s="374"/>
      <c r="AI124" s="374"/>
      <c r="AK124" s="374"/>
    </row>
    <row r="125" spans="1:61">
      <c r="J125" s="374"/>
      <c r="N125" s="374"/>
      <c r="R125" s="374"/>
      <c r="V125" s="374"/>
      <c r="AE125" s="374"/>
      <c r="AG125" s="374"/>
      <c r="AI125" s="374"/>
      <c r="AK125" s="374"/>
    </row>
    <row r="126" spans="1:61">
      <c r="J126" s="374"/>
      <c r="N126" s="374"/>
      <c r="R126" s="374"/>
      <c r="V126" s="374"/>
      <c r="AE126" s="374"/>
      <c r="AG126" s="374"/>
      <c r="AI126" s="374"/>
      <c r="AK126" s="374"/>
    </row>
    <row r="127" spans="1:61">
      <c r="J127" s="374"/>
      <c r="N127" s="374"/>
      <c r="R127" s="374"/>
      <c r="V127" s="374"/>
      <c r="AE127" s="374"/>
      <c r="AG127" s="374"/>
      <c r="AI127" s="374"/>
      <c r="AK127" s="374"/>
    </row>
    <row r="128" spans="1:61">
      <c r="J128" s="374"/>
      <c r="N128" s="374"/>
      <c r="R128" s="374"/>
      <c r="V128" s="374"/>
      <c r="AE128" s="374"/>
      <c r="AG128" s="374"/>
      <c r="AI128" s="374"/>
      <c r="AK128" s="374"/>
    </row>
    <row r="129" spans="10:37">
      <c r="J129" s="374"/>
      <c r="N129" s="374"/>
      <c r="R129" s="374"/>
      <c r="V129" s="374"/>
      <c r="AE129" s="374"/>
      <c r="AG129" s="374"/>
      <c r="AI129" s="374"/>
      <c r="AK129" s="374"/>
    </row>
    <row r="130" spans="10:37">
      <c r="J130" s="374"/>
      <c r="N130" s="374"/>
      <c r="R130" s="374"/>
      <c r="V130" s="374"/>
      <c r="AE130" s="374"/>
      <c r="AG130" s="374"/>
      <c r="AI130" s="374"/>
      <c r="AK130" s="374"/>
    </row>
    <row r="131" spans="10:37">
      <c r="J131" s="374"/>
      <c r="N131" s="374"/>
      <c r="R131" s="374"/>
      <c r="V131" s="374"/>
      <c r="AE131" s="374"/>
      <c r="AG131" s="374"/>
      <c r="AI131" s="374"/>
      <c r="AK131" s="374"/>
    </row>
    <row r="132" spans="10:37">
      <c r="J132" s="374"/>
      <c r="N132" s="374"/>
      <c r="R132" s="374"/>
      <c r="V132" s="374"/>
      <c r="AE132" s="374"/>
      <c r="AG132" s="374"/>
      <c r="AI132" s="374"/>
      <c r="AK132" s="374"/>
    </row>
    <row r="133" spans="10:37">
      <c r="J133" s="374"/>
      <c r="N133" s="374"/>
      <c r="R133" s="374"/>
      <c r="V133" s="374"/>
      <c r="AE133" s="374"/>
      <c r="AG133" s="374"/>
      <c r="AI133" s="374"/>
      <c r="AK133" s="374"/>
    </row>
    <row r="134" spans="10:37">
      <c r="J134" s="374"/>
      <c r="N134" s="374"/>
      <c r="R134" s="374"/>
      <c r="V134" s="374"/>
      <c r="AE134" s="374"/>
      <c r="AG134" s="374"/>
      <c r="AI134" s="374"/>
      <c r="AK134" s="374"/>
    </row>
    <row r="135" spans="10:37">
      <c r="J135" s="374"/>
      <c r="N135" s="374"/>
      <c r="R135" s="374"/>
      <c r="V135" s="374"/>
      <c r="AE135" s="374"/>
      <c r="AG135" s="374"/>
      <c r="AI135" s="374"/>
      <c r="AK135" s="374"/>
    </row>
    <row r="136" spans="10:37">
      <c r="J136" s="374"/>
      <c r="N136" s="374"/>
      <c r="R136" s="374"/>
      <c r="V136" s="374"/>
      <c r="AE136" s="374"/>
      <c r="AG136" s="374"/>
      <c r="AI136" s="374"/>
      <c r="AK136" s="374"/>
    </row>
    <row r="137" spans="10:37">
      <c r="J137" s="374"/>
      <c r="N137" s="374"/>
      <c r="R137" s="374"/>
      <c r="V137" s="374"/>
      <c r="AE137" s="374"/>
      <c r="AG137" s="374"/>
      <c r="AI137" s="374"/>
      <c r="AK137" s="374"/>
    </row>
    <row r="138" spans="10:37">
      <c r="J138" s="374"/>
      <c r="N138" s="374"/>
      <c r="R138" s="374"/>
      <c r="V138" s="374"/>
      <c r="AE138" s="374"/>
      <c r="AG138" s="374"/>
      <c r="AI138" s="374"/>
      <c r="AK138" s="374"/>
    </row>
    <row r="139" spans="10:37">
      <c r="J139" s="374"/>
      <c r="N139" s="374"/>
      <c r="R139" s="374"/>
      <c r="V139" s="374"/>
      <c r="AE139" s="374"/>
      <c r="AG139" s="374"/>
      <c r="AI139" s="374"/>
      <c r="AK139" s="374"/>
    </row>
    <row r="140" spans="10:37">
      <c r="J140" s="374"/>
      <c r="N140" s="374"/>
      <c r="R140" s="374"/>
      <c r="V140" s="374"/>
      <c r="AE140" s="374"/>
      <c r="AG140" s="374"/>
      <c r="AI140" s="374"/>
      <c r="AK140" s="374"/>
    </row>
    <row r="141" spans="10:37">
      <c r="J141" s="374"/>
      <c r="N141" s="374"/>
      <c r="R141" s="374"/>
      <c r="V141" s="374"/>
      <c r="AE141" s="374"/>
      <c r="AG141" s="374"/>
      <c r="AI141" s="374"/>
      <c r="AK141" s="374"/>
    </row>
    <row r="142" spans="10:37">
      <c r="J142" s="374"/>
      <c r="N142" s="374"/>
      <c r="R142" s="374"/>
      <c r="V142" s="374"/>
      <c r="AE142" s="374"/>
      <c r="AG142" s="374"/>
      <c r="AI142" s="374"/>
      <c r="AK142" s="374"/>
    </row>
    <row r="143" spans="10:37">
      <c r="J143" s="374"/>
      <c r="N143" s="374"/>
      <c r="R143" s="374"/>
      <c r="V143" s="374"/>
      <c r="AE143" s="374"/>
      <c r="AG143" s="374"/>
      <c r="AI143" s="374"/>
      <c r="AK143" s="374"/>
    </row>
    <row r="144" spans="10:37">
      <c r="J144" s="374"/>
      <c r="N144" s="374"/>
      <c r="R144" s="374"/>
      <c r="V144" s="374"/>
      <c r="AE144" s="374"/>
      <c r="AG144" s="374"/>
      <c r="AI144" s="374"/>
      <c r="AK144" s="374"/>
    </row>
    <row r="145" spans="10:37">
      <c r="J145" s="374"/>
      <c r="N145" s="374"/>
      <c r="R145" s="374"/>
      <c r="V145" s="374"/>
      <c r="AE145" s="374"/>
      <c r="AG145" s="374"/>
      <c r="AI145" s="374"/>
      <c r="AK145" s="374"/>
    </row>
    <row r="146" spans="10:37">
      <c r="J146" s="374"/>
      <c r="N146" s="374"/>
      <c r="R146" s="374"/>
      <c r="V146" s="374"/>
      <c r="AE146" s="374"/>
      <c r="AG146" s="374"/>
      <c r="AI146" s="374"/>
      <c r="AK146" s="374"/>
    </row>
    <row r="147" spans="10:37">
      <c r="J147" s="374"/>
      <c r="N147" s="374"/>
      <c r="R147" s="374"/>
      <c r="V147" s="374"/>
      <c r="AE147" s="374"/>
      <c r="AG147" s="374"/>
      <c r="AI147" s="374"/>
      <c r="AK147" s="374"/>
    </row>
    <row r="148" spans="10:37">
      <c r="J148" s="374"/>
      <c r="N148" s="374"/>
      <c r="R148" s="374"/>
      <c r="V148" s="374"/>
      <c r="AE148" s="374"/>
      <c r="AG148" s="374"/>
      <c r="AI148" s="374"/>
      <c r="AK148" s="374"/>
    </row>
    <row r="149" spans="10:37">
      <c r="J149" s="374"/>
      <c r="N149" s="374"/>
      <c r="R149" s="374"/>
      <c r="V149" s="374"/>
      <c r="AE149" s="374"/>
      <c r="AG149" s="374"/>
      <c r="AI149" s="374"/>
      <c r="AK149" s="374"/>
    </row>
    <row r="150" spans="10:37">
      <c r="J150" s="374"/>
      <c r="N150" s="374"/>
      <c r="R150" s="374"/>
      <c r="V150" s="374"/>
      <c r="AE150" s="374"/>
      <c r="AG150" s="374"/>
      <c r="AI150" s="374"/>
      <c r="AK150" s="374"/>
    </row>
    <row r="151" spans="10:37">
      <c r="J151" s="374"/>
      <c r="N151" s="374"/>
      <c r="R151" s="374"/>
      <c r="V151" s="374"/>
      <c r="AE151" s="374"/>
      <c r="AG151" s="374"/>
      <c r="AI151" s="374"/>
      <c r="AK151" s="374"/>
    </row>
    <row r="152" spans="10:37">
      <c r="J152" s="374"/>
      <c r="N152" s="374"/>
      <c r="R152" s="374"/>
      <c r="V152" s="374"/>
      <c r="AE152" s="374"/>
      <c r="AG152" s="374"/>
      <c r="AI152" s="374"/>
      <c r="AK152" s="374"/>
    </row>
    <row r="153" spans="10:37">
      <c r="J153" s="374"/>
      <c r="N153" s="374"/>
      <c r="R153" s="374"/>
      <c r="V153" s="374"/>
      <c r="AE153" s="374"/>
      <c r="AG153" s="374"/>
      <c r="AI153" s="374"/>
      <c r="AK153" s="374"/>
    </row>
    <row r="154" spans="10:37">
      <c r="J154" s="374"/>
      <c r="N154" s="374"/>
      <c r="R154" s="374"/>
      <c r="V154" s="374"/>
      <c r="AE154" s="374"/>
      <c r="AG154" s="374"/>
      <c r="AI154" s="374"/>
      <c r="AK154" s="374"/>
    </row>
    <row r="155" spans="10:37">
      <c r="J155" s="374"/>
      <c r="N155" s="374"/>
      <c r="R155" s="374"/>
      <c r="V155" s="374"/>
      <c r="AE155" s="374"/>
      <c r="AG155" s="374"/>
      <c r="AI155" s="374"/>
      <c r="AK155" s="374"/>
    </row>
    <row r="156" spans="10:37">
      <c r="J156" s="374"/>
      <c r="N156" s="374"/>
      <c r="R156" s="374"/>
      <c r="V156" s="374"/>
      <c r="AE156" s="374"/>
      <c r="AG156" s="374"/>
      <c r="AI156" s="374"/>
      <c r="AK156" s="374"/>
    </row>
    <row r="157" spans="10:37">
      <c r="J157" s="374"/>
      <c r="N157" s="374"/>
      <c r="R157" s="374"/>
      <c r="V157" s="374"/>
      <c r="AE157" s="374"/>
      <c r="AG157" s="374"/>
      <c r="AI157" s="374"/>
      <c r="AK157" s="374"/>
    </row>
    <row r="158" spans="10:37">
      <c r="J158" s="374"/>
      <c r="N158" s="374"/>
      <c r="R158" s="374"/>
      <c r="V158" s="374"/>
      <c r="AE158" s="374"/>
      <c r="AG158" s="374"/>
      <c r="AI158" s="374"/>
      <c r="AK158" s="374"/>
    </row>
    <row r="159" spans="10:37">
      <c r="J159" s="374"/>
      <c r="N159" s="374"/>
      <c r="R159" s="374"/>
      <c r="V159" s="374"/>
      <c r="AE159" s="374"/>
      <c r="AG159" s="374"/>
      <c r="AI159" s="374"/>
      <c r="AK159" s="374"/>
    </row>
    <row r="160" spans="10:37">
      <c r="J160" s="374"/>
      <c r="N160" s="374"/>
      <c r="R160" s="374"/>
      <c r="V160" s="374"/>
      <c r="AE160" s="374"/>
      <c r="AG160" s="374"/>
      <c r="AI160" s="374"/>
      <c r="AK160" s="374"/>
    </row>
    <row r="161" spans="10:37">
      <c r="J161" s="374"/>
      <c r="N161" s="374"/>
      <c r="R161" s="374"/>
      <c r="V161" s="374"/>
      <c r="AE161" s="374"/>
      <c r="AG161" s="374"/>
      <c r="AI161" s="374"/>
      <c r="AK161" s="374"/>
    </row>
    <row r="162" spans="10:37">
      <c r="J162" s="374"/>
      <c r="N162" s="374"/>
      <c r="R162" s="374"/>
      <c r="V162" s="374"/>
      <c r="AE162" s="374"/>
      <c r="AG162" s="374"/>
      <c r="AI162" s="374"/>
      <c r="AK162" s="374"/>
    </row>
    <row r="163" spans="10:37">
      <c r="J163" s="374"/>
      <c r="N163" s="374"/>
      <c r="R163" s="374"/>
      <c r="V163" s="374"/>
      <c r="AE163" s="374"/>
      <c r="AG163" s="374"/>
      <c r="AI163" s="374"/>
      <c r="AK163" s="374"/>
    </row>
  </sheetData>
  <pageMargins left="0.3" right="0.3" top="0.3" bottom="0.3" header="0.3" footer="0.3"/>
  <pageSetup scale="38" fitToHeight="0" orientation="landscape" r:id="rId1"/>
  <headerFooter>
    <oddFooter>Page &amp;P of &amp;N</oddFooter>
  </headerFooter>
  <colBreaks count="1" manualBreakCount="1">
    <brk id="46"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8005-C712-4229-BCAE-B9CD842A40D7}">
  <dimension ref="A32:Z1243"/>
  <sheetViews>
    <sheetView topLeftCell="H319" workbookViewId="0">
      <selection activeCell="U343" sqref="U343"/>
    </sheetView>
  </sheetViews>
  <sheetFormatPr defaultRowHeight="14.5" outlineLevelRow="1" outlineLevelCol="1"/>
  <cols>
    <col min="1" max="1" width="2.54296875" customWidth="1"/>
    <col min="2" max="2" width="12.1796875" bestFit="1" customWidth="1"/>
    <col min="6" max="7" width="9.1796875" hidden="1" customWidth="1" outlineLevel="1"/>
    <col min="8" max="8" width="9.1796875" collapsed="1"/>
    <col min="9" max="10" width="9.1796875" hidden="1" customWidth="1" outlineLevel="1"/>
    <col min="11" max="11" width="9.1796875" collapsed="1"/>
    <col min="12" max="12" width="9.1796875" hidden="1" customWidth="1" outlineLevel="1"/>
    <col min="13" max="13" width="9.1796875" collapsed="1"/>
    <col min="14" max="14" width="9.1796875" hidden="1" customWidth="1" outlineLevel="1"/>
    <col min="15" max="15" width="9.1796875" collapsed="1"/>
  </cols>
  <sheetData>
    <row r="32" spans="1:2" s="392" customFormat="1">
      <c r="A32" s="392" t="s">
        <v>1702</v>
      </c>
      <c r="B32" s="393" t="s">
        <v>1701</v>
      </c>
    </row>
    <row r="33" spans="2:14">
      <c r="B33" s="388" t="s">
        <v>1690</v>
      </c>
      <c r="C33" s="388" t="s">
        <v>1691</v>
      </c>
      <c r="D33" s="388" t="s">
        <v>1692</v>
      </c>
      <c r="E33" s="388" t="s">
        <v>1693</v>
      </c>
      <c r="F33" s="388" t="s">
        <v>1694</v>
      </c>
      <c r="G33" s="388" t="s">
        <v>1695</v>
      </c>
      <c r="H33" s="388" t="s">
        <v>1696</v>
      </c>
      <c r="I33" s="388" t="s">
        <v>1697</v>
      </c>
      <c r="J33" s="388" t="s">
        <v>1698</v>
      </c>
      <c r="K33" s="388" t="s">
        <v>1699</v>
      </c>
      <c r="L33" s="388" t="s">
        <v>1700</v>
      </c>
      <c r="M33" s="388" t="s">
        <v>1711</v>
      </c>
      <c r="N33" s="388" t="s">
        <v>1713</v>
      </c>
    </row>
    <row r="34" spans="2:14">
      <c r="B34" s="389">
        <v>45292</v>
      </c>
      <c r="C34" s="390"/>
      <c r="D34" s="390"/>
      <c r="E34" s="390"/>
      <c r="F34" s="390"/>
      <c r="G34" s="390"/>
      <c r="H34" s="390"/>
      <c r="I34" s="390"/>
      <c r="J34" s="390"/>
      <c r="K34" s="390"/>
      <c r="L34" s="390"/>
    </row>
    <row r="35" spans="2:14">
      <c r="B35" s="389">
        <v>45293</v>
      </c>
      <c r="C35" s="390">
        <v>3.97</v>
      </c>
      <c r="D35" s="390">
        <v>3.12</v>
      </c>
      <c r="E35" s="390">
        <v>3.05</v>
      </c>
      <c r="F35" s="390">
        <v>0</v>
      </c>
      <c r="G35" s="390">
        <v>4.7</v>
      </c>
      <c r="H35" s="390">
        <v>1.92</v>
      </c>
      <c r="I35" s="390">
        <v>0</v>
      </c>
      <c r="J35" s="390">
        <v>3.58</v>
      </c>
      <c r="K35" s="390">
        <v>0.32</v>
      </c>
      <c r="L35" s="390">
        <v>1.07</v>
      </c>
      <c r="M35" s="390">
        <v>1.94</v>
      </c>
      <c r="N35" s="390">
        <v>-2.99</v>
      </c>
    </row>
    <row r="36" spans="2:14">
      <c r="B36" s="389">
        <v>45294</v>
      </c>
      <c r="C36" s="390">
        <v>0</v>
      </c>
      <c r="D36" s="390">
        <v>0</v>
      </c>
      <c r="E36" s="390">
        <v>0</v>
      </c>
      <c r="F36" s="390">
        <v>0</v>
      </c>
      <c r="G36" s="390">
        <v>0</v>
      </c>
      <c r="H36" s="390">
        <v>0</v>
      </c>
      <c r="I36" s="390">
        <v>0</v>
      </c>
      <c r="J36" s="390">
        <v>0</v>
      </c>
      <c r="K36" s="390">
        <v>0</v>
      </c>
      <c r="L36" s="390">
        <v>0</v>
      </c>
      <c r="M36" s="390">
        <v>0</v>
      </c>
      <c r="N36" s="390">
        <v>0</v>
      </c>
    </row>
    <row r="37" spans="2:14">
      <c r="B37" s="389">
        <v>45295</v>
      </c>
      <c r="C37" s="390">
        <v>0.35</v>
      </c>
      <c r="D37" s="390">
        <v>-0.45</v>
      </c>
      <c r="E37" s="390">
        <v>7.0000000000000007E-2</v>
      </c>
      <c r="F37" s="390">
        <v>0.45</v>
      </c>
      <c r="G37" s="390">
        <v>-1.58</v>
      </c>
      <c r="H37" s="390">
        <v>-1.39</v>
      </c>
      <c r="I37" s="390">
        <v>1.45</v>
      </c>
      <c r="J37" s="390">
        <v>0.14000000000000001</v>
      </c>
      <c r="K37" s="390">
        <v>0.18</v>
      </c>
      <c r="L37" s="390">
        <v>-1.7</v>
      </c>
      <c r="M37" s="390">
        <v>-0.56999999999999995</v>
      </c>
      <c r="N37" s="390">
        <v>-1.49</v>
      </c>
    </row>
    <row r="38" spans="2:14">
      <c r="B38" s="389">
        <v>45296</v>
      </c>
      <c r="C38" s="390">
        <v>-0.93</v>
      </c>
      <c r="D38" s="390">
        <v>-0.72</v>
      </c>
      <c r="E38" s="390">
        <v>1.44</v>
      </c>
      <c r="F38" s="390">
        <v>0.09</v>
      </c>
      <c r="G38" s="390">
        <v>-1.92</v>
      </c>
      <c r="H38" s="390">
        <v>-1.45</v>
      </c>
      <c r="I38" s="390">
        <v>-0.55000000000000004</v>
      </c>
      <c r="J38" s="390">
        <v>1.3</v>
      </c>
      <c r="K38" s="390">
        <v>1.08</v>
      </c>
      <c r="L38" s="390">
        <v>-2.2400000000000002</v>
      </c>
      <c r="M38" s="390">
        <v>-2.2200000000000002</v>
      </c>
      <c r="N38" s="390">
        <v>-1.49</v>
      </c>
    </row>
    <row r="39" spans="2:14">
      <c r="B39" s="389">
        <v>45299</v>
      </c>
      <c r="C39" s="390">
        <v>-0.59</v>
      </c>
      <c r="D39" s="390">
        <v>1.1299999999999999</v>
      </c>
      <c r="E39" s="390">
        <v>2.4300000000000002</v>
      </c>
      <c r="F39" s="390">
        <v>0.94</v>
      </c>
      <c r="G39" s="390">
        <v>0.56000000000000005</v>
      </c>
      <c r="H39" s="390">
        <v>0.74</v>
      </c>
      <c r="I39" s="390">
        <v>0.27</v>
      </c>
      <c r="J39" s="390">
        <v>3.36</v>
      </c>
      <c r="K39" s="390">
        <v>0.68</v>
      </c>
      <c r="L39" s="390">
        <v>-2.06</v>
      </c>
      <c r="M39" s="390">
        <v>-1.34</v>
      </c>
      <c r="N39" s="390">
        <v>-1.49</v>
      </c>
    </row>
    <row r="40" spans="2:14">
      <c r="B40" s="389">
        <v>45300</v>
      </c>
      <c r="C40" s="390">
        <v>-2.11</v>
      </c>
      <c r="D40" s="390">
        <v>0.75</v>
      </c>
      <c r="E40" s="390">
        <v>1.66</v>
      </c>
      <c r="F40" s="390">
        <v>0.67</v>
      </c>
      <c r="G40" s="390">
        <v>1.88</v>
      </c>
      <c r="H40" s="390">
        <v>-0.37</v>
      </c>
      <c r="I40" s="390">
        <v>-0.27</v>
      </c>
      <c r="J40" s="390">
        <v>1.66</v>
      </c>
      <c r="K40" s="390">
        <v>0.48</v>
      </c>
      <c r="L40" s="390">
        <v>1.1599999999999999</v>
      </c>
      <c r="M40" s="390">
        <v>-1.88</v>
      </c>
      <c r="N40" s="390">
        <v>-8.66</v>
      </c>
    </row>
    <row r="41" spans="2:14">
      <c r="B41" s="389">
        <v>45301</v>
      </c>
      <c r="C41" s="390">
        <v>-1.78</v>
      </c>
      <c r="D41" s="390">
        <v>0.14000000000000001</v>
      </c>
      <c r="E41" s="390">
        <v>3.28</v>
      </c>
      <c r="F41" s="390">
        <v>0.27</v>
      </c>
      <c r="G41" s="390">
        <v>2.1800000000000002</v>
      </c>
      <c r="H41" s="390">
        <v>2.5099999999999998</v>
      </c>
      <c r="I41" s="390">
        <v>-1</v>
      </c>
      <c r="J41" s="390">
        <v>1.74</v>
      </c>
      <c r="K41" s="390">
        <v>1.75</v>
      </c>
      <c r="L41" s="390">
        <v>-3.94</v>
      </c>
      <c r="M41" s="390">
        <v>-0.39</v>
      </c>
      <c r="N41" s="390">
        <v>-7.76</v>
      </c>
    </row>
    <row r="42" spans="2:14">
      <c r="B42" s="389">
        <v>45302</v>
      </c>
      <c r="C42" s="390">
        <v>-3.34</v>
      </c>
      <c r="D42" s="390">
        <v>-2.62</v>
      </c>
      <c r="E42" s="390">
        <v>0.15</v>
      </c>
      <c r="F42" s="390">
        <v>-1.38</v>
      </c>
      <c r="G42" s="390">
        <v>0.49</v>
      </c>
      <c r="H42" s="390">
        <v>2.66</v>
      </c>
      <c r="I42" s="390">
        <v>-1.55</v>
      </c>
      <c r="J42" s="390">
        <v>2.23</v>
      </c>
      <c r="K42" s="390">
        <v>1.62</v>
      </c>
      <c r="L42" s="390">
        <v>-1.61</v>
      </c>
      <c r="M42" s="390">
        <v>-1.32</v>
      </c>
      <c r="N42" s="390">
        <v>-5.37</v>
      </c>
    </row>
    <row r="43" spans="2:14">
      <c r="B43" s="389">
        <v>45303</v>
      </c>
      <c r="C43" s="390">
        <v>-3.67</v>
      </c>
      <c r="D43" s="390">
        <v>-3.79</v>
      </c>
      <c r="E43" s="390">
        <v>-5.37</v>
      </c>
      <c r="F43" s="390">
        <v>-1.56</v>
      </c>
      <c r="G43" s="390">
        <v>1.1299999999999999</v>
      </c>
      <c r="H43" s="390">
        <v>3.03</v>
      </c>
      <c r="I43" s="390">
        <v>-2.1800000000000002</v>
      </c>
      <c r="J43" s="390">
        <v>-1.38</v>
      </c>
      <c r="K43" s="390">
        <v>1.02</v>
      </c>
      <c r="L43" s="390">
        <v>-2.95</v>
      </c>
      <c r="M43" s="390">
        <v>-1.31</v>
      </c>
      <c r="N43" s="390">
        <v>-1.49</v>
      </c>
    </row>
    <row r="44" spans="2:14">
      <c r="B44" s="389">
        <v>45306</v>
      </c>
      <c r="C44" s="390">
        <v>-3.77</v>
      </c>
      <c r="D44" s="390">
        <v>-3.72</v>
      </c>
      <c r="E44" s="390">
        <v>-10.78</v>
      </c>
      <c r="F44" s="390">
        <v>-1.92</v>
      </c>
      <c r="G44" s="390">
        <v>0.68</v>
      </c>
      <c r="H44" s="390">
        <v>2.54</v>
      </c>
      <c r="I44" s="390">
        <v>-1.86</v>
      </c>
      <c r="J44" s="391" t="e">
        <v>#N/A</v>
      </c>
      <c r="K44" s="391" t="e">
        <v>#N/A</v>
      </c>
      <c r="L44" s="391" t="e">
        <v>#N/A</v>
      </c>
      <c r="M44" s="390">
        <v>-1.49</v>
      </c>
      <c r="N44" s="391" t="e">
        <v>#N/A</v>
      </c>
    </row>
    <row r="45" spans="2:14">
      <c r="B45" s="389">
        <v>45307</v>
      </c>
      <c r="C45" s="390">
        <v>-4.18</v>
      </c>
      <c r="D45" s="390">
        <v>-4.72</v>
      </c>
      <c r="E45" s="390">
        <v>-9.68</v>
      </c>
      <c r="F45" s="390">
        <v>-3.57</v>
      </c>
      <c r="G45" s="390">
        <v>-1.02</v>
      </c>
      <c r="H45" s="390">
        <v>-7.36</v>
      </c>
      <c r="I45" s="390">
        <v>-2.64</v>
      </c>
      <c r="J45" s="390">
        <v>-1.03</v>
      </c>
      <c r="K45" s="390">
        <v>1.1599999999999999</v>
      </c>
      <c r="L45" s="390">
        <v>-6.53</v>
      </c>
      <c r="M45" s="390">
        <v>-1.92</v>
      </c>
      <c r="N45" s="390">
        <v>-5.97</v>
      </c>
    </row>
    <row r="46" spans="2:14">
      <c r="B46" s="389">
        <v>45308</v>
      </c>
      <c r="C46" s="390">
        <v>-6.9</v>
      </c>
      <c r="D46" s="390">
        <v>-8.07</v>
      </c>
      <c r="E46" s="390">
        <v>-9.09</v>
      </c>
      <c r="F46" s="390">
        <v>-5.89</v>
      </c>
      <c r="G46" s="390">
        <v>-3.76</v>
      </c>
      <c r="H46" s="390">
        <v>-10.64</v>
      </c>
      <c r="I46" s="390">
        <v>-3.68</v>
      </c>
      <c r="J46" s="390">
        <v>-2.74</v>
      </c>
      <c r="K46" s="390">
        <v>0.98</v>
      </c>
      <c r="L46" s="390">
        <v>-8.94</v>
      </c>
      <c r="M46" s="390">
        <v>-2.75</v>
      </c>
      <c r="N46" s="390">
        <v>-9.85</v>
      </c>
    </row>
    <row r="47" spans="2:14">
      <c r="B47" s="389">
        <v>45309</v>
      </c>
      <c r="C47" s="390">
        <v>-4.5999999999999996</v>
      </c>
      <c r="D47" s="390">
        <v>-6.08</v>
      </c>
      <c r="E47" s="390">
        <v>-9.4600000000000009</v>
      </c>
      <c r="F47" s="390">
        <v>3.88</v>
      </c>
      <c r="G47" s="390">
        <v>-3.01</v>
      </c>
      <c r="H47" s="390">
        <v>-10.61</v>
      </c>
      <c r="I47" s="390">
        <v>-2.73</v>
      </c>
      <c r="J47" s="390">
        <v>-2.77</v>
      </c>
      <c r="K47" s="390">
        <v>0.7</v>
      </c>
      <c r="L47" s="390">
        <v>-8.32</v>
      </c>
      <c r="M47" s="390">
        <v>-1.04</v>
      </c>
      <c r="N47" s="390">
        <v>-11.64</v>
      </c>
    </row>
    <row r="48" spans="2:14">
      <c r="B48" s="389">
        <v>45310</v>
      </c>
      <c r="C48" s="390">
        <v>-5.18</v>
      </c>
      <c r="D48" s="390">
        <v>-6.9</v>
      </c>
      <c r="E48" s="390">
        <v>-9.27</v>
      </c>
      <c r="F48" s="390">
        <v>3.93</v>
      </c>
      <c r="G48" s="390">
        <v>-3.2</v>
      </c>
      <c r="H48" s="390">
        <v>-10.58</v>
      </c>
      <c r="I48" s="390">
        <v>-3.5</v>
      </c>
      <c r="J48" s="390">
        <v>-0.56999999999999995</v>
      </c>
      <c r="K48" s="390">
        <v>0.14000000000000001</v>
      </c>
      <c r="L48" s="390">
        <v>-7.87</v>
      </c>
      <c r="M48" s="390">
        <v>-1.53</v>
      </c>
      <c r="N48" s="390">
        <v>-10.75</v>
      </c>
    </row>
    <row r="49" spans="2:14">
      <c r="B49" s="389">
        <v>45313</v>
      </c>
      <c r="C49" s="390">
        <v>-4.67</v>
      </c>
      <c r="D49" s="390">
        <v>-6.01</v>
      </c>
      <c r="E49" s="390">
        <v>-8.39</v>
      </c>
      <c r="F49" s="390">
        <v>5.04</v>
      </c>
      <c r="G49" s="390">
        <v>-2.52</v>
      </c>
      <c r="H49" s="390">
        <v>-10.050000000000001</v>
      </c>
      <c r="I49" s="390">
        <v>-3.23</v>
      </c>
      <c r="J49" s="390">
        <v>1.63</v>
      </c>
      <c r="K49" s="390">
        <v>-0.2</v>
      </c>
      <c r="L49" s="390">
        <v>-6.62</v>
      </c>
      <c r="M49" s="390">
        <v>-1.35</v>
      </c>
      <c r="N49" s="390">
        <v>-11.64</v>
      </c>
    </row>
    <row r="50" spans="2:14">
      <c r="B50" s="389">
        <v>45314</v>
      </c>
      <c r="C50" s="390">
        <v>-3.6</v>
      </c>
      <c r="D50" s="390">
        <v>-4.38</v>
      </c>
      <c r="E50" s="390">
        <v>-8.39</v>
      </c>
      <c r="F50" s="390">
        <v>6.83</v>
      </c>
      <c r="G50" s="390">
        <v>-2.33</v>
      </c>
      <c r="H50" s="390">
        <v>-9.3699999999999992</v>
      </c>
      <c r="I50" s="390">
        <v>-7.64</v>
      </c>
      <c r="J50" s="390">
        <v>2.2000000000000002</v>
      </c>
      <c r="K50" s="390">
        <v>-1.32</v>
      </c>
      <c r="L50" s="390">
        <v>-4.03</v>
      </c>
      <c r="M50" s="390">
        <v>-2.78</v>
      </c>
      <c r="N50" s="390">
        <v>-11.64</v>
      </c>
    </row>
    <row r="51" spans="2:14">
      <c r="B51" s="389">
        <v>45315</v>
      </c>
      <c r="C51" s="390">
        <v>-1.73</v>
      </c>
      <c r="D51" s="390">
        <v>-3.11</v>
      </c>
      <c r="E51" s="390">
        <v>-5.01</v>
      </c>
      <c r="F51" s="390">
        <v>8.39</v>
      </c>
      <c r="G51" s="390">
        <v>-2.2200000000000002</v>
      </c>
      <c r="H51" s="390">
        <v>-9.2799999999999994</v>
      </c>
      <c r="I51" s="390">
        <v>-10.07</v>
      </c>
      <c r="J51" s="390">
        <v>1.87</v>
      </c>
      <c r="K51" s="390">
        <v>-2.31</v>
      </c>
      <c r="L51" s="390">
        <v>-5.72</v>
      </c>
      <c r="M51" s="390">
        <v>-1.58</v>
      </c>
      <c r="N51" s="390">
        <v>-12.84</v>
      </c>
    </row>
    <row r="52" spans="2:14">
      <c r="B52" s="389">
        <v>45316</v>
      </c>
      <c r="C52" s="390">
        <v>-1.45</v>
      </c>
      <c r="D52" s="390">
        <v>-4.1100000000000003</v>
      </c>
      <c r="E52" s="390">
        <v>-5.89</v>
      </c>
      <c r="F52" s="390">
        <v>8.0399999999999991</v>
      </c>
      <c r="G52" s="390">
        <v>-2.41</v>
      </c>
      <c r="H52" s="390">
        <v>-9.4</v>
      </c>
      <c r="I52" s="390">
        <v>-11</v>
      </c>
      <c r="J52" s="390">
        <v>3.83</v>
      </c>
      <c r="K52" s="390">
        <v>-3.25</v>
      </c>
      <c r="L52" s="390">
        <v>-4.38</v>
      </c>
      <c r="M52" s="390">
        <v>-0.92</v>
      </c>
      <c r="N52" s="390">
        <v>-12.84</v>
      </c>
    </row>
    <row r="53" spans="2:14">
      <c r="B53" s="389">
        <v>45317</v>
      </c>
      <c r="C53" s="390">
        <v>11.17</v>
      </c>
      <c r="D53" s="390">
        <v>2.21</v>
      </c>
      <c r="E53" s="390">
        <v>-1.25</v>
      </c>
      <c r="F53" s="390">
        <v>14.73</v>
      </c>
      <c r="G53" s="390">
        <v>7</v>
      </c>
      <c r="H53" s="390">
        <v>-7.11</v>
      </c>
      <c r="I53" s="390">
        <v>-8.18</v>
      </c>
      <c r="J53" s="390">
        <v>5.75</v>
      </c>
      <c r="K53" s="390">
        <v>-2.87</v>
      </c>
      <c r="L53" s="390">
        <v>1.43</v>
      </c>
      <c r="M53" s="390">
        <v>5.64</v>
      </c>
      <c r="N53" s="390">
        <v>-10.75</v>
      </c>
    </row>
    <row r="54" spans="2:14">
      <c r="B54" s="389">
        <v>45320</v>
      </c>
      <c r="C54" s="390">
        <v>11.63</v>
      </c>
      <c r="D54" s="390">
        <v>2.23</v>
      </c>
      <c r="E54" s="390">
        <v>-1.1399999999999999</v>
      </c>
      <c r="F54" s="390">
        <v>14.96</v>
      </c>
      <c r="G54" s="390">
        <v>7.79</v>
      </c>
      <c r="H54" s="390">
        <v>-8.82</v>
      </c>
      <c r="I54" s="390">
        <v>-8.0500000000000007</v>
      </c>
      <c r="J54" s="390">
        <v>7.6</v>
      </c>
      <c r="K54" s="390">
        <v>-1.46</v>
      </c>
      <c r="L54" s="390">
        <v>2.68</v>
      </c>
      <c r="M54" s="390">
        <v>5.66</v>
      </c>
      <c r="N54" s="390">
        <v>-11.34</v>
      </c>
    </row>
    <row r="55" spans="2:14">
      <c r="B55" s="389">
        <v>45321</v>
      </c>
      <c r="C55" s="390">
        <v>12.45</v>
      </c>
      <c r="D55" s="390">
        <v>2.5</v>
      </c>
      <c r="E55" s="390">
        <v>-2.54</v>
      </c>
      <c r="F55" s="390">
        <v>16.47</v>
      </c>
      <c r="G55" s="390">
        <v>8.58</v>
      </c>
      <c r="H55" s="390">
        <v>-7.7</v>
      </c>
      <c r="I55" s="390">
        <v>-7.18</v>
      </c>
      <c r="J55" s="390">
        <v>7.08</v>
      </c>
      <c r="K55" s="390">
        <v>-1.79</v>
      </c>
      <c r="L55" s="390">
        <v>2.77</v>
      </c>
      <c r="M55" s="390">
        <v>5.77</v>
      </c>
      <c r="N55" s="390">
        <v>-13.13</v>
      </c>
    </row>
    <row r="56" spans="2:14">
      <c r="B56" s="389">
        <v>45322</v>
      </c>
      <c r="C56" s="390">
        <v>11.25</v>
      </c>
      <c r="D56" s="390">
        <v>1.8</v>
      </c>
      <c r="E56" s="390">
        <v>-3.72</v>
      </c>
      <c r="F56" s="390">
        <v>15.18</v>
      </c>
      <c r="G56" s="390">
        <v>7.83</v>
      </c>
      <c r="H56" s="390">
        <v>-10.08</v>
      </c>
      <c r="I56" s="390">
        <v>-7.41</v>
      </c>
      <c r="J56" s="390">
        <v>5.26</v>
      </c>
      <c r="K56" s="390">
        <v>-2.81</v>
      </c>
      <c r="L56" s="390">
        <v>9.0299999999999994</v>
      </c>
      <c r="M56" s="390">
        <v>5.19</v>
      </c>
      <c r="N56" s="390">
        <v>-17.91</v>
      </c>
    </row>
    <row r="57" spans="2:14">
      <c r="B57" s="389">
        <v>45323</v>
      </c>
      <c r="C57" s="390">
        <v>10.81</v>
      </c>
      <c r="D57" s="390">
        <v>0.5</v>
      </c>
      <c r="E57" s="390">
        <v>-5.48</v>
      </c>
      <c r="F57" s="390">
        <v>14.73</v>
      </c>
      <c r="G57" s="390">
        <v>7.56</v>
      </c>
      <c r="H57" s="390">
        <v>-12.03</v>
      </c>
      <c r="I57" s="390">
        <v>-8.32</v>
      </c>
      <c r="J57" s="390">
        <v>8.6</v>
      </c>
      <c r="K57" s="390">
        <v>-5.38</v>
      </c>
      <c r="L57" s="390">
        <v>18.52</v>
      </c>
      <c r="M57" s="390">
        <v>6.49</v>
      </c>
      <c r="N57" s="390">
        <v>-23.58</v>
      </c>
    </row>
    <row r="58" spans="2:14">
      <c r="B58" s="389">
        <v>45324</v>
      </c>
      <c r="C58" s="390">
        <v>11.89</v>
      </c>
      <c r="D58" s="390">
        <v>0.03</v>
      </c>
      <c r="E58" s="390">
        <v>-5.59</v>
      </c>
      <c r="F58" s="390">
        <v>14.82</v>
      </c>
      <c r="G58" s="390">
        <v>8.66</v>
      </c>
      <c r="H58" s="390">
        <v>-12.06</v>
      </c>
      <c r="I58" s="390">
        <v>-9.66</v>
      </c>
      <c r="J58" s="390">
        <v>8.58</v>
      </c>
      <c r="K58" s="390">
        <v>-5.14</v>
      </c>
      <c r="L58" s="390">
        <v>17.350000000000001</v>
      </c>
      <c r="M58" s="390">
        <v>8.69</v>
      </c>
      <c r="N58" s="390">
        <v>-23.88</v>
      </c>
    </row>
    <row r="59" spans="2:14">
      <c r="B59" s="389">
        <v>45327</v>
      </c>
      <c r="C59" s="390">
        <v>12.27</v>
      </c>
      <c r="D59" s="390">
        <v>2.04</v>
      </c>
      <c r="E59" s="390">
        <v>-5.01</v>
      </c>
      <c r="F59" s="390">
        <v>14.82</v>
      </c>
      <c r="G59" s="390">
        <v>8.6199999999999992</v>
      </c>
      <c r="H59" s="390">
        <v>-12.43</v>
      </c>
      <c r="I59" s="390">
        <v>-10.23</v>
      </c>
      <c r="J59" s="390">
        <v>9.5500000000000007</v>
      </c>
      <c r="K59" s="390">
        <v>-6.28</v>
      </c>
      <c r="L59" s="390">
        <v>17.89</v>
      </c>
      <c r="M59" s="390">
        <v>8.83</v>
      </c>
      <c r="N59" s="390">
        <v>-24.18</v>
      </c>
    </row>
    <row r="60" spans="2:14">
      <c r="B60" s="389">
        <v>45328</v>
      </c>
      <c r="C60" s="390">
        <v>12.09</v>
      </c>
      <c r="D60" s="390">
        <v>4.04</v>
      </c>
      <c r="E60" s="390">
        <v>-3.68</v>
      </c>
      <c r="F60" s="390">
        <v>14.91</v>
      </c>
      <c r="G60" s="390">
        <v>9.86</v>
      </c>
      <c r="H60" s="390">
        <v>-11.14</v>
      </c>
      <c r="I60" s="390">
        <v>-10.32</v>
      </c>
      <c r="J60" s="390">
        <v>11.26</v>
      </c>
      <c r="K60" s="390">
        <v>-7.12</v>
      </c>
      <c r="L60" s="390">
        <v>17.079999999999998</v>
      </c>
      <c r="M60" s="390">
        <v>8.4</v>
      </c>
      <c r="N60" s="390">
        <v>-24.78</v>
      </c>
    </row>
    <row r="61" spans="2:14">
      <c r="B61" s="389">
        <v>45329</v>
      </c>
      <c r="C61" s="390">
        <v>12.76</v>
      </c>
      <c r="D61" s="390">
        <v>3.66</v>
      </c>
      <c r="E61" s="390">
        <v>-4.8600000000000003</v>
      </c>
      <c r="F61" s="390">
        <v>15.31</v>
      </c>
      <c r="G61" s="390">
        <v>9.41</v>
      </c>
      <c r="H61" s="390">
        <v>-11.41</v>
      </c>
      <c r="I61" s="390">
        <v>-8.82</v>
      </c>
      <c r="J61" s="390">
        <v>9.5</v>
      </c>
      <c r="K61" s="390">
        <v>-7.84</v>
      </c>
      <c r="L61" s="390">
        <v>15.03</v>
      </c>
      <c r="M61" s="390">
        <v>9.5</v>
      </c>
      <c r="N61" s="390">
        <v>-20.6</v>
      </c>
    </row>
    <row r="62" spans="2:14">
      <c r="B62" s="389">
        <v>45330</v>
      </c>
      <c r="C62" s="390">
        <v>15.69</v>
      </c>
      <c r="D62" s="390">
        <v>8.75</v>
      </c>
      <c r="E62" s="390">
        <v>-4.5999999999999996</v>
      </c>
      <c r="F62" s="390">
        <v>19.149999999999999</v>
      </c>
      <c r="G62" s="390">
        <v>10.69</v>
      </c>
      <c r="H62" s="390">
        <v>-9</v>
      </c>
      <c r="I62" s="390">
        <v>-6.32</v>
      </c>
      <c r="J62" s="390">
        <v>16.66</v>
      </c>
      <c r="K62" s="390">
        <v>-5.2</v>
      </c>
      <c r="L62" s="390">
        <v>12.16</v>
      </c>
      <c r="M62" s="390">
        <v>11.49</v>
      </c>
      <c r="N62" s="390">
        <v>-17.91</v>
      </c>
    </row>
    <row r="63" spans="2:14">
      <c r="B63" s="389">
        <v>45331</v>
      </c>
      <c r="C63" s="390">
        <v>16.12</v>
      </c>
      <c r="D63" s="390">
        <v>9.73</v>
      </c>
      <c r="E63" s="390">
        <v>-6.44</v>
      </c>
      <c r="F63" s="390">
        <v>19.87</v>
      </c>
      <c r="G63" s="390">
        <v>12.08</v>
      </c>
      <c r="H63" s="390">
        <v>-6.77</v>
      </c>
      <c r="I63" s="390">
        <v>-5.68</v>
      </c>
      <c r="J63" s="390">
        <v>13.98</v>
      </c>
      <c r="K63" s="390">
        <v>-6.62</v>
      </c>
      <c r="L63" s="390">
        <v>11.9</v>
      </c>
      <c r="M63" s="390">
        <v>16.829999999999998</v>
      </c>
      <c r="N63" s="390">
        <v>-15.82</v>
      </c>
    </row>
    <row r="64" spans="2:14">
      <c r="B64" s="389">
        <v>45334</v>
      </c>
      <c r="C64" s="390">
        <v>18.190000000000001</v>
      </c>
      <c r="D64" s="390">
        <v>9.41</v>
      </c>
      <c r="E64" s="390">
        <v>-1.69</v>
      </c>
      <c r="F64" s="390">
        <v>20.67</v>
      </c>
      <c r="G64" s="390">
        <v>13.55</v>
      </c>
      <c r="H64" s="390">
        <v>-3.65</v>
      </c>
      <c r="I64" s="390">
        <v>-3.45</v>
      </c>
      <c r="J64" s="390">
        <v>17.88</v>
      </c>
      <c r="K64" s="390">
        <v>-5.28</v>
      </c>
      <c r="L64" s="390">
        <v>13.33</v>
      </c>
      <c r="M64" s="390">
        <v>17.420000000000002</v>
      </c>
      <c r="N64" s="390">
        <v>-18.510000000000002</v>
      </c>
    </row>
    <row r="65" spans="2:14">
      <c r="B65" s="389">
        <v>45335</v>
      </c>
      <c r="C65" s="390">
        <v>15.16</v>
      </c>
      <c r="D65" s="390">
        <v>9.14</v>
      </c>
      <c r="E65" s="390">
        <v>-4.45</v>
      </c>
      <c r="F65" s="390">
        <v>18.48</v>
      </c>
      <c r="G65" s="390">
        <v>11.7</v>
      </c>
      <c r="H65" s="390">
        <v>-4.1399999999999997</v>
      </c>
      <c r="I65" s="390">
        <v>-4.95</v>
      </c>
      <c r="J65" s="390">
        <v>15.85</v>
      </c>
      <c r="K65" s="390">
        <v>-6.2</v>
      </c>
      <c r="L65" s="390">
        <v>10.29</v>
      </c>
      <c r="M65" s="390">
        <v>14.71</v>
      </c>
      <c r="N65" s="390">
        <v>-20</v>
      </c>
    </row>
    <row r="66" spans="2:14">
      <c r="B66" s="389">
        <v>45336</v>
      </c>
      <c r="C66" s="390">
        <v>15.42</v>
      </c>
      <c r="D66" s="390">
        <v>10.53</v>
      </c>
      <c r="E66" s="390">
        <v>-4.5599999999999996</v>
      </c>
      <c r="F66" s="390">
        <v>19.87</v>
      </c>
      <c r="G66" s="390">
        <v>12.34</v>
      </c>
      <c r="H66" s="390">
        <v>-2.0699999999999998</v>
      </c>
      <c r="I66" s="390">
        <v>-4.8600000000000003</v>
      </c>
      <c r="J66" s="390">
        <v>20.079999999999998</v>
      </c>
      <c r="K66" s="390">
        <v>-5.6</v>
      </c>
      <c r="L66" s="390">
        <v>13.77</v>
      </c>
      <c r="M66" s="390">
        <v>15.41</v>
      </c>
      <c r="N66" s="390">
        <v>-22.99</v>
      </c>
    </row>
    <row r="67" spans="2:14">
      <c r="B67" s="389">
        <v>45337</v>
      </c>
      <c r="C67" s="390">
        <v>17.29</v>
      </c>
      <c r="D67" s="390">
        <v>12.45</v>
      </c>
      <c r="E67" s="390">
        <v>-3.28</v>
      </c>
      <c r="F67" s="390">
        <v>21.83</v>
      </c>
      <c r="G67" s="390">
        <v>16.329999999999998</v>
      </c>
      <c r="H67" s="390">
        <v>-2.23</v>
      </c>
      <c r="I67" s="390">
        <v>-3.23</v>
      </c>
      <c r="J67" s="390">
        <v>23.36</v>
      </c>
      <c r="K67" s="390">
        <v>-5.32</v>
      </c>
      <c r="L67" s="390">
        <v>14.31</v>
      </c>
      <c r="M67" s="390">
        <v>17.75</v>
      </c>
      <c r="N67" s="390">
        <v>-7.46</v>
      </c>
    </row>
    <row r="68" spans="2:14">
      <c r="B68" s="389">
        <v>45338</v>
      </c>
      <c r="C68" s="390">
        <v>17.309999999999999</v>
      </c>
      <c r="D68" s="390">
        <v>13.71</v>
      </c>
      <c r="E68" s="390">
        <v>-1.47</v>
      </c>
      <c r="F68" s="390">
        <v>22.37</v>
      </c>
      <c r="G68" s="390">
        <v>17.649999999999999</v>
      </c>
      <c r="H68" s="390">
        <v>-1.86</v>
      </c>
      <c r="I68" s="390">
        <v>-1.05</v>
      </c>
      <c r="J68" s="390">
        <v>24.59</v>
      </c>
      <c r="K68" s="390">
        <v>-5.64</v>
      </c>
      <c r="L68" s="390">
        <v>16.010000000000002</v>
      </c>
      <c r="M68" s="390">
        <v>18.34</v>
      </c>
      <c r="N68" s="390">
        <v>-10.45</v>
      </c>
    </row>
    <row r="69" spans="2:14">
      <c r="B69" s="389">
        <v>45341</v>
      </c>
      <c r="C69" s="390">
        <v>18.190000000000001</v>
      </c>
      <c r="D69" s="390">
        <v>13.69</v>
      </c>
      <c r="E69" s="390">
        <v>-2.87</v>
      </c>
      <c r="F69" s="390">
        <v>21.34</v>
      </c>
      <c r="G69" s="390">
        <v>17.73</v>
      </c>
      <c r="H69" s="390">
        <v>-2.78</v>
      </c>
      <c r="I69" s="390">
        <v>-0.36</v>
      </c>
      <c r="J69" s="391" t="e">
        <v>#N/A</v>
      </c>
      <c r="K69" s="391" t="e">
        <v>#N/A</v>
      </c>
      <c r="L69" s="391" t="e">
        <v>#N/A</v>
      </c>
      <c r="M69" s="390">
        <v>19.07</v>
      </c>
      <c r="N69" s="391" t="e">
        <v>#N/A</v>
      </c>
    </row>
    <row r="70" spans="2:14">
      <c r="B70" s="389">
        <v>45342</v>
      </c>
      <c r="C70" s="390">
        <v>17.95</v>
      </c>
      <c r="D70" s="390">
        <v>13.74</v>
      </c>
      <c r="E70" s="390">
        <v>-3.75</v>
      </c>
      <c r="F70" s="390">
        <v>21.25</v>
      </c>
      <c r="G70" s="390">
        <v>17.95</v>
      </c>
      <c r="H70" s="390">
        <v>-3.56</v>
      </c>
      <c r="I70" s="390">
        <v>-3.36</v>
      </c>
      <c r="J70" s="390">
        <v>26.87</v>
      </c>
      <c r="K70" s="390">
        <v>-6.18</v>
      </c>
      <c r="L70" s="390">
        <v>18.96</v>
      </c>
      <c r="M70" s="390">
        <v>19.440000000000001</v>
      </c>
      <c r="N70" s="390">
        <v>-12.54</v>
      </c>
    </row>
    <row r="71" spans="2:14">
      <c r="B71" s="389">
        <v>45343</v>
      </c>
      <c r="C71" s="390">
        <v>18.149999999999999</v>
      </c>
      <c r="D71" s="390">
        <v>14.14</v>
      </c>
      <c r="E71" s="390">
        <v>-3.75</v>
      </c>
      <c r="F71" s="390">
        <v>19.690000000000001</v>
      </c>
      <c r="G71" s="390">
        <v>18.399999999999999</v>
      </c>
      <c r="H71" s="390">
        <v>-1.64</v>
      </c>
      <c r="I71" s="390">
        <v>-3.41</v>
      </c>
      <c r="J71" s="390">
        <v>27.44</v>
      </c>
      <c r="K71" s="390">
        <v>-7.18</v>
      </c>
      <c r="L71" s="390">
        <v>25.31</v>
      </c>
      <c r="M71" s="390">
        <v>19.93</v>
      </c>
      <c r="N71" s="390">
        <v>-11.94</v>
      </c>
    </row>
    <row r="72" spans="2:14">
      <c r="B72" s="389">
        <v>45344</v>
      </c>
      <c r="C72" s="390">
        <v>20.85</v>
      </c>
      <c r="D72" s="390">
        <v>15.41</v>
      </c>
      <c r="E72" s="390">
        <v>-3.57</v>
      </c>
      <c r="F72" s="390">
        <v>21.21</v>
      </c>
      <c r="G72" s="390">
        <v>19.91</v>
      </c>
      <c r="H72" s="390">
        <v>-1.1399999999999999</v>
      </c>
      <c r="I72" s="390">
        <v>-3.77</v>
      </c>
      <c r="J72" s="390">
        <v>29.72</v>
      </c>
      <c r="K72" s="390">
        <v>-7.1</v>
      </c>
      <c r="L72" s="390">
        <v>27.01</v>
      </c>
      <c r="M72" s="390">
        <v>22.16</v>
      </c>
      <c r="N72" s="390">
        <v>-15.22</v>
      </c>
    </row>
    <row r="73" spans="2:14">
      <c r="B73" s="389">
        <v>45345</v>
      </c>
      <c r="C73" s="390">
        <v>22.25</v>
      </c>
      <c r="D73" s="390">
        <v>13.06</v>
      </c>
      <c r="E73" s="390">
        <v>-4.01</v>
      </c>
      <c r="F73" s="390">
        <v>22.86</v>
      </c>
      <c r="G73" s="390">
        <v>20.62</v>
      </c>
      <c r="H73" s="390">
        <v>-2.1</v>
      </c>
      <c r="I73" s="390">
        <v>-4.91</v>
      </c>
      <c r="J73" s="390">
        <v>31.75</v>
      </c>
      <c r="K73" s="390">
        <v>-7.54</v>
      </c>
      <c r="L73" s="390">
        <v>27.01</v>
      </c>
      <c r="M73" s="390">
        <v>23.83</v>
      </c>
      <c r="N73" s="390">
        <v>-15.52</v>
      </c>
    </row>
    <row r="74" spans="2:14">
      <c r="B74" s="389">
        <v>45348</v>
      </c>
      <c r="C74" s="390">
        <v>21.11</v>
      </c>
      <c r="D74" s="390">
        <v>13.69</v>
      </c>
      <c r="E74" s="390">
        <v>-5.26</v>
      </c>
      <c r="F74" s="390">
        <v>22.37</v>
      </c>
      <c r="G74" s="390">
        <v>17.989999999999998</v>
      </c>
      <c r="H74" s="390">
        <v>-1.55</v>
      </c>
      <c r="I74" s="390">
        <v>-5.05</v>
      </c>
      <c r="J74" s="390">
        <v>29.23</v>
      </c>
      <c r="K74" s="390">
        <v>-8.06</v>
      </c>
      <c r="L74" s="390">
        <v>24.78</v>
      </c>
      <c r="M74" s="390">
        <v>23.48</v>
      </c>
      <c r="N74" s="390">
        <v>-15.52</v>
      </c>
    </row>
    <row r="75" spans="2:14">
      <c r="B75" s="389">
        <v>45349</v>
      </c>
      <c r="C75" s="390">
        <v>22.29</v>
      </c>
      <c r="D75" s="390">
        <v>15.17</v>
      </c>
      <c r="E75" s="390">
        <v>-3.46</v>
      </c>
      <c r="F75" s="390">
        <v>22.32</v>
      </c>
      <c r="G75" s="390">
        <v>19.829999999999998</v>
      </c>
      <c r="H75" s="390">
        <v>-1.45</v>
      </c>
      <c r="I75" s="390">
        <v>-3.77</v>
      </c>
      <c r="J75" s="390">
        <v>28.98</v>
      </c>
      <c r="K75" s="390">
        <v>-7.64</v>
      </c>
      <c r="L75" s="390">
        <v>25.67</v>
      </c>
      <c r="M75" s="390">
        <v>23.61</v>
      </c>
      <c r="N75" s="390">
        <v>-8.9600000000000009</v>
      </c>
    </row>
    <row r="76" spans="2:14">
      <c r="B76" s="389">
        <v>45350</v>
      </c>
      <c r="C76" s="390">
        <v>21.9</v>
      </c>
      <c r="D76" s="390">
        <v>13.16</v>
      </c>
      <c r="E76" s="390">
        <v>-6.07</v>
      </c>
      <c r="F76" s="390">
        <v>23.71</v>
      </c>
      <c r="G76" s="390">
        <v>19.5</v>
      </c>
      <c r="H76" s="390">
        <v>-1.39</v>
      </c>
      <c r="I76" s="390">
        <v>-4.09</v>
      </c>
      <c r="J76" s="390">
        <v>29.5</v>
      </c>
      <c r="K76" s="390">
        <v>-7.74</v>
      </c>
      <c r="L76" s="390">
        <v>29.34</v>
      </c>
      <c r="M76" s="390">
        <v>24.66</v>
      </c>
      <c r="N76" s="390">
        <v>1.79</v>
      </c>
    </row>
    <row r="77" spans="2:14">
      <c r="B77" s="389">
        <v>45351</v>
      </c>
      <c r="C77" s="390">
        <v>21.2</v>
      </c>
      <c r="D77" s="390">
        <v>12.9</v>
      </c>
      <c r="E77" s="390">
        <v>-5.41</v>
      </c>
      <c r="F77" s="390">
        <v>25.54</v>
      </c>
      <c r="G77" s="390">
        <v>25.44</v>
      </c>
      <c r="H77" s="390">
        <v>-2.75</v>
      </c>
      <c r="I77" s="390">
        <v>-5.18</v>
      </c>
      <c r="J77" s="390">
        <v>28.98</v>
      </c>
      <c r="K77" s="390">
        <v>-8.02</v>
      </c>
      <c r="L77" s="390">
        <v>27.91</v>
      </c>
      <c r="M77" s="390">
        <v>24.47</v>
      </c>
      <c r="N77" s="390">
        <v>2.99</v>
      </c>
    </row>
    <row r="78" spans="2:14">
      <c r="B78" s="389">
        <v>45352</v>
      </c>
      <c r="C78" s="390">
        <v>21.71</v>
      </c>
      <c r="D78" s="390">
        <v>12.61</v>
      </c>
      <c r="E78" s="390">
        <v>-5.26</v>
      </c>
      <c r="F78" s="390">
        <v>27.81</v>
      </c>
      <c r="G78" s="390">
        <v>26.95</v>
      </c>
      <c r="H78" s="390">
        <v>-1.1399999999999999</v>
      </c>
      <c r="I78" s="390">
        <v>-3.68</v>
      </c>
      <c r="J78" s="390">
        <v>28.14</v>
      </c>
      <c r="K78" s="390">
        <v>-8.65</v>
      </c>
      <c r="L78" s="390">
        <v>30.14</v>
      </c>
      <c r="M78" s="390">
        <v>24.2</v>
      </c>
      <c r="N78" s="390">
        <v>3.28</v>
      </c>
    </row>
    <row r="79" spans="2:14">
      <c r="B79" s="389">
        <v>45355</v>
      </c>
      <c r="C79" s="390">
        <v>20.77</v>
      </c>
      <c r="D79" s="390">
        <v>10.43</v>
      </c>
      <c r="E79" s="390">
        <v>-7.55</v>
      </c>
      <c r="F79" s="390">
        <v>27.14</v>
      </c>
      <c r="G79" s="390">
        <v>25.93</v>
      </c>
      <c r="H79" s="390">
        <v>-1.52</v>
      </c>
      <c r="I79" s="390">
        <v>-4.55</v>
      </c>
      <c r="J79" s="390">
        <v>28.3</v>
      </c>
      <c r="K79" s="390">
        <v>-8.61</v>
      </c>
      <c r="L79" s="390">
        <v>29.79</v>
      </c>
      <c r="M79" s="390">
        <v>23.77</v>
      </c>
      <c r="N79" s="390">
        <v>5.37</v>
      </c>
    </row>
    <row r="80" spans="2:14">
      <c r="B80" s="389">
        <v>45356</v>
      </c>
      <c r="C80" s="390">
        <v>19.23</v>
      </c>
      <c r="D80" s="390">
        <v>9.17</v>
      </c>
      <c r="E80" s="390">
        <v>-6.74</v>
      </c>
      <c r="F80" s="390">
        <v>26.34</v>
      </c>
      <c r="G80" s="390">
        <v>24.16</v>
      </c>
      <c r="H80" s="390">
        <v>-2.85</v>
      </c>
      <c r="I80" s="390">
        <v>-4.82</v>
      </c>
      <c r="J80" s="390">
        <v>29.66</v>
      </c>
      <c r="K80" s="390">
        <v>-8.4700000000000006</v>
      </c>
      <c r="L80" s="390">
        <v>30.77</v>
      </c>
      <c r="M80" s="390">
        <v>21.97</v>
      </c>
      <c r="N80" s="390">
        <v>9.5500000000000007</v>
      </c>
    </row>
    <row r="81" spans="2:14">
      <c r="B81" s="389">
        <v>45357</v>
      </c>
      <c r="C81" s="390">
        <v>19.73</v>
      </c>
      <c r="D81" s="390">
        <v>9.2100000000000009</v>
      </c>
      <c r="E81" s="390">
        <v>-6.59</v>
      </c>
      <c r="F81" s="390">
        <v>26.34</v>
      </c>
      <c r="G81" s="390">
        <v>25.4</v>
      </c>
      <c r="H81" s="390">
        <v>-2.5099999999999998</v>
      </c>
      <c r="I81" s="390">
        <v>-5.68</v>
      </c>
      <c r="J81" s="390">
        <v>27.52</v>
      </c>
      <c r="K81" s="390">
        <v>-8.7100000000000009</v>
      </c>
      <c r="L81" s="390">
        <v>26.48</v>
      </c>
      <c r="M81" s="390">
        <v>22.24</v>
      </c>
      <c r="N81" s="390">
        <v>11.04</v>
      </c>
    </row>
    <row r="82" spans="2:14">
      <c r="B82" s="389">
        <v>45358</v>
      </c>
      <c r="C82" s="390">
        <v>20.77</v>
      </c>
      <c r="D82" s="390">
        <v>9.2899999999999991</v>
      </c>
      <c r="E82" s="390">
        <v>-7.51</v>
      </c>
      <c r="F82" s="390">
        <v>29.02</v>
      </c>
      <c r="G82" s="390">
        <v>26.08</v>
      </c>
      <c r="H82" s="390">
        <v>-15.93</v>
      </c>
      <c r="I82" s="390">
        <v>-5.36</v>
      </c>
      <c r="J82" s="390">
        <v>28.31</v>
      </c>
      <c r="K82" s="390">
        <v>-7.32</v>
      </c>
      <c r="L82" s="390">
        <v>27.01</v>
      </c>
      <c r="M82" s="390">
        <v>24.58</v>
      </c>
      <c r="N82" s="390">
        <v>14.33</v>
      </c>
    </row>
    <row r="83" spans="2:14">
      <c r="B83" s="389">
        <v>45359</v>
      </c>
      <c r="C83" s="390">
        <v>21.5</v>
      </c>
      <c r="D83" s="390">
        <v>10.87</v>
      </c>
      <c r="E83" s="390">
        <v>-7.4</v>
      </c>
      <c r="F83" s="390">
        <v>29.55</v>
      </c>
      <c r="G83" s="390">
        <v>26.27</v>
      </c>
      <c r="H83" s="390">
        <v>-13.39</v>
      </c>
      <c r="I83" s="390">
        <v>-5.41</v>
      </c>
      <c r="J83" s="390">
        <v>28.72</v>
      </c>
      <c r="K83" s="390">
        <v>-6.7</v>
      </c>
      <c r="L83" s="390">
        <v>29.25</v>
      </c>
      <c r="M83" s="390">
        <v>24.47</v>
      </c>
      <c r="N83" s="390">
        <v>15.22</v>
      </c>
    </row>
    <row r="84" spans="2:14">
      <c r="B84" s="389">
        <v>45362</v>
      </c>
      <c r="C84" s="390">
        <v>22.29</v>
      </c>
      <c r="D84" s="390">
        <v>11.6</v>
      </c>
      <c r="E84" s="390">
        <v>-8.17</v>
      </c>
      <c r="F84" s="390">
        <v>29.42</v>
      </c>
      <c r="G84" s="390">
        <v>28.49</v>
      </c>
      <c r="H84" s="390">
        <v>-14.79</v>
      </c>
      <c r="I84" s="390">
        <v>-5.45</v>
      </c>
      <c r="J84" s="390">
        <v>27.74</v>
      </c>
      <c r="K84" s="390">
        <v>-7.28</v>
      </c>
      <c r="L84" s="390">
        <v>29.16</v>
      </c>
      <c r="M84" s="390">
        <v>24.02</v>
      </c>
      <c r="N84" s="390">
        <v>16.420000000000002</v>
      </c>
    </row>
    <row r="85" spans="2:14">
      <c r="B85" s="389">
        <v>45363</v>
      </c>
      <c r="C85" s="390">
        <v>23.53</v>
      </c>
      <c r="D85" s="390">
        <v>13.2</v>
      </c>
      <c r="E85" s="390">
        <v>-7.43</v>
      </c>
      <c r="F85" s="390">
        <v>30.58</v>
      </c>
      <c r="G85" s="390">
        <v>30.56</v>
      </c>
      <c r="H85" s="390">
        <v>-14.1</v>
      </c>
      <c r="I85" s="390">
        <v>-4.91</v>
      </c>
      <c r="J85" s="390">
        <v>29.13</v>
      </c>
      <c r="K85" s="390">
        <v>-6.6</v>
      </c>
      <c r="L85" s="390">
        <v>31.13</v>
      </c>
      <c r="M85" s="390">
        <v>25.47</v>
      </c>
      <c r="N85" s="390">
        <v>17.309999999999999</v>
      </c>
    </row>
    <row r="86" spans="2:14">
      <c r="B86" s="389">
        <v>45364</v>
      </c>
      <c r="C86" s="390">
        <v>24.71</v>
      </c>
      <c r="D86" s="390">
        <v>12.52</v>
      </c>
      <c r="E86" s="390">
        <v>-7.29</v>
      </c>
      <c r="F86" s="390">
        <v>31.87</v>
      </c>
      <c r="G86" s="390">
        <v>31.05</v>
      </c>
      <c r="H86" s="390">
        <v>-13.27</v>
      </c>
      <c r="I86" s="390">
        <v>-5.05</v>
      </c>
      <c r="J86" s="390">
        <v>30.69</v>
      </c>
      <c r="K86" s="390">
        <v>-6.88</v>
      </c>
      <c r="L86" s="390">
        <v>32.29</v>
      </c>
      <c r="M86" s="390">
        <v>26.87</v>
      </c>
      <c r="N86" s="390">
        <v>13.13</v>
      </c>
    </row>
    <row r="87" spans="2:14">
      <c r="B87" s="389">
        <v>45365</v>
      </c>
      <c r="C87" s="390">
        <v>25.51</v>
      </c>
      <c r="D87" s="390">
        <v>13.21</v>
      </c>
      <c r="E87" s="390">
        <v>-7.25</v>
      </c>
      <c r="F87" s="390">
        <v>32.32</v>
      </c>
      <c r="G87" s="390">
        <v>32.369999999999997</v>
      </c>
      <c r="H87" s="390">
        <v>-13.95</v>
      </c>
      <c r="I87" s="390">
        <v>-4.6399999999999997</v>
      </c>
      <c r="J87" s="390">
        <v>29.46</v>
      </c>
      <c r="K87" s="390">
        <v>-6.42</v>
      </c>
      <c r="L87" s="390">
        <v>32.29</v>
      </c>
      <c r="M87" s="390">
        <v>28.75</v>
      </c>
      <c r="N87" s="390">
        <v>13.73</v>
      </c>
    </row>
    <row r="88" spans="2:14">
      <c r="B88" s="389">
        <v>45366</v>
      </c>
      <c r="C88" s="390">
        <v>24</v>
      </c>
      <c r="D88" s="390">
        <v>13.2</v>
      </c>
      <c r="E88" s="390">
        <v>-6.55</v>
      </c>
      <c r="F88" s="390">
        <v>30.18</v>
      </c>
      <c r="G88" s="390">
        <v>30.33</v>
      </c>
      <c r="H88" s="390">
        <v>-15.68</v>
      </c>
      <c r="I88" s="390">
        <v>-5.14</v>
      </c>
      <c r="J88" s="390">
        <v>28.06</v>
      </c>
      <c r="K88" s="390">
        <v>-6.64</v>
      </c>
      <c r="L88" s="390">
        <v>31.84</v>
      </c>
      <c r="M88" s="390">
        <v>28.62</v>
      </c>
      <c r="N88" s="390">
        <v>12.24</v>
      </c>
    </row>
    <row r="89" spans="2:14">
      <c r="B89" s="389">
        <v>45369</v>
      </c>
      <c r="C89" s="390">
        <v>23.4</v>
      </c>
      <c r="D89" s="390">
        <v>12.48</v>
      </c>
      <c r="E89" s="390">
        <v>-7.55</v>
      </c>
      <c r="F89" s="390">
        <v>26.83</v>
      </c>
      <c r="G89" s="390">
        <v>30.26</v>
      </c>
      <c r="H89" s="390">
        <v>-17.04</v>
      </c>
      <c r="I89" s="390">
        <v>-5.95</v>
      </c>
      <c r="J89" s="390">
        <v>27.65</v>
      </c>
      <c r="K89" s="390">
        <v>-8.49</v>
      </c>
      <c r="L89" s="390">
        <v>31.4</v>
      </c>
      <c r="M89" s="390">
        <v>27.95</v>
      </c>
      <c r="N89" s="390">
        <v>13.13</v>
      </c>
    </row>
    <row r="90" spans="2:14">
      <c r="B90" s="389">
        <v>45370</v>
      </c>
      <c r="C90" s="390">
        <v>23.7</v>
      </c>
      <c r="D90" s="390">
        <v>13.14</v>
      </c>
      <c r="E90" s="390">
        <v>-9.4600000000000009</v>
      </c>
      <c r="F90" s="390">
        <v>24.87</v>
      </c>
      <c r="G90" s="390">
        <v>28.9</v>
      </c>
      <c r="H90" s="390">
        <v>-17.82</v>
      </c>
      <c r="I90" s="390">
        <v>-8.59</v>
      </c>
      <c r="J90" s="390">
        <v>27.22</v>
      </c>
      <c r="K90" s="390">
        <v>-8.18</v>
      </c>
      <c r="L90" s="390">
        <v>33.01</v>
      </c>
      <c r="M90" s="390">
        <v>29.4</v>
      </c>
      <c r="N90" s="390">
        <v>14.93</v>
      </c>
    </row>
    <row r="91" spans="2:14">
      <c r="B91" s="389">
        <v>45371</v>
      </c>
      <c r="C91" s="390">
        <v>21.69</v>
      </c>
      <c r="D91" s="390">
        <v>-0.34</v>
      </c>
      <c r="E91" s="390">
        <v>-12.44</v>
      </c>
      <c r="F91" s="390">
        <v>22.14</v>
      </c>
      <c r="G91" s="390">
        <v>28.42</v>
      </c>
      <c r="H91" s="390">
        <v>-17.690000000000001</v>
      </c>
      <c r="I91" s="390">
        <v>-9.32</v>
      </c>
      <c r="J91" s="390">
        <v>29.59</v>
      </c>
      <c r="K91" s="390">
        <v>-8.77</v>
      </c>
      <c r="L91" s="390">
        <v>34.08</v>
      </c>
      <c r="M91" s="390">
        <v>29.42</v>
      </c>
      <c r="N91" s="390">
        <v>14.33</v>
      </c>
    </row>
    <row r="92" spans="2:14">
      <c r="B92" s="389">
        <v>45372</v>
      </c>
      <c r="C92" s="390">
        <v>21.93</v>
      </c>
      <c r="D92" s="390">
        <v>-1.37</v>
      </c>
      <c r="E92" s="390">
        <v>-12.4</v>
      </c>
      <c r="F92" s="390">
        <v>23.08</v>
      </c>
      <c r="G92" s="390">
        <v>28.42</v>
      </c>
      <c r="H92" s="390">
        <v>-18.16</v>
      </c>
      <c r="I92" s="390">
        <v>-7.36</v>
      </c>
      <c r="J92" s="390">
        <v>31.48</v>
      </c>
      <c r="K92" s="390">
        <v>-9.17</v>
      </c>
      <c r="L92" s="390">
        <v>36.4</v>
      </c>
      <c r="M92" s="390">
        <v>29.72</v>
      </c>
      <c r="N92" s="390">
        <v>13.73</v>
      </c>
    </row>
    <row r="93" spans="2:14">
      <c r="B93" s="389">
        <v>45373</v>
      </c>
      <c r="C93" s="390">
        <v>19.149999999999999</v>
      </c>
      <c r="D93" s="390">
        <v>-4.8899999999999997</v>
      </c>
      <c r="E93" s="390">
        <v>-12.88</v>
      </c>
      <c r="F93" s="390">
        <v>19.87</v>
      </c>
      <c r="G93" s="390">
        <v>28.26</v>
      </c>
      <c r="H93" s="390">
        <v>-19.829999999999998</v>
      </c>
      <c r="I93" s="390">
        <v>-8.73</v>
      </c>
      <c r="J93" s="390">
        <v>28.36</v>
      </c>
      <c r="K93" s="390">
        <v>-9.69</v>
      </c>
      <c r="L93" s="390">
        <v>30.77</v>
      </c>
      <c r="M93" s="390">
        <v>28.4</v>
      </c>
      <c r="N93" s="390">
        <v>5.07</v>
      </c>
    </row>
    <row r="94" spans="2:14">
      <c r="B94" s="389">
        <v>45376</v>
      </c>
      <c r="C94" s="390">
        <v>18.71</v>
      </c>
      <c r="D94" s="390">
        <v>-6.04</v>
      </c>
      <c r="E94" s="390">
        <v>-11.7</v>
      </c>
      <c r="F94" s="390">
        <v>20.309999999999999</v>
      </c>
      <c r="G94" s="390">
        <v>28.26</v>
      </c>
      <c r="H94" s="390">
        <v>-16.95</v>
      </c>
      <c r="I94" s="390">
        <v>-8.68</v>
      </c>
      <c r="J94" s="390">
        <v>24.54</v>
      </c>
      <c r="K94" s="390">
        <v>-10.37</v>
      </c>
      <c r="L94" s="390">
        <v>29.96</v>
      </c>
      <c r="M94" s="390">
        <v>29.32</v>
      </c>
      <c r="N94" s="390">
        <v>3.58</v>
      </c>
    </row>
    <row r="95" spans="2:14">
      <c r="B95" s="389">
        <v>45377</v>
      </c>
      <c r="C95" s="390">
        <v>18.18</v>
      </c>
      <c r="D95" s="390">
        <v>-3.07</v>
      </c>
      <c r="E95" s="390">
        <v>-10.27</v>
      </c>
      <c r="F95" s="390">
        <v>20.27</v>
      </c>
      <c r="G95" s="390">
        <v>27.96</v>
      </c>
      <c r="H95" s="390">
        <v>-16.489999999999998</v>
      </c>
      <c r="I95" s="390">
        <v>-7.41</v>
      </c>
      <c r="J95" s="390">
        <v>24.15</v>
      </c>
      <c r="K95" s="390">
        <v>-10.75</v>
      </c>
      <c r="L95" s="390">
        <v>28.62</v>
      </c>
      <c r="M95" s="390">
        <v>28.46</v>
      </c>
      <c r="N95" s="390">
        <v>2.69</v>
      </c>
    </row>
    <row r="96" spans="2:14">
      <c r="B96" s="389">
        <v>45378</v>
      </c>
      <c r="C96" s="390">
        <v>19.399999999999999</v>
      </c>
      <c r="D96" s="390">
        <v>-2.62</v>
      </c>
      <c r="E96" s="390">
        <v>-9.35</v>
      </c>
      <c r="F96" s="390">
        <v>21.88</v>
      </c>
      <c r="G96" s="390">
        <v>28.94</v>
      </c>
      <c r="H96" s="390">
        <v>-15.03</v>
      </c>
      <c r="I96" s="390">
        <v>-5.45</v>
      </c>
      <c r="J96" s="390">
        <v>27.63</v>
      </c>
      <c r="K96" s="390">
        <v>-9.75</v>
      </c>
      <c r="L96" s="390">
        <v>29.87</v>
      </c>
      <c r="M96" s="390">
        <v>28.51</v>
      </c>
      <c r="N96" s="390">
        <v>-5.97</v>
      </c>
    </row>
    <row r="97" spans="2:14">
      <c r="B97" s="389">
        <v>45379</v>
      </c>
      <c r="C97" s="390">
        <v>19.89</v>
      </c>
      <c r="D97" s="390">
        <v>-2.69</v>
      </c>
      <c r="E97" s="390">
        <v>-10.71</v>
      </c>
      <c r="F97" s="390">
        <v>22.77</v>
      </c>
      <c r="G97" s="390">
        <v>30.18</v>
      </c>
      <c r="H97" s="390">
        <v>-15.53</v>
      </c>
      <c r="I97" s="390">
        <v>-4.82</v>
      </c>
      <c r="J97" s="390">
        <v>29.81</v>
      </c>
      <c r="K97" s="390">
        <v>-9.67</v>
      </c>
      <c r="L97" s="390">
        <v>31.04</v>
      </c>
      <c r="M97" s="390">
        <v>27.33</v>
      </c>
      <c r="N97" s="390">
        <v>-5.07</v>
      </c>
    </row>
    <row r="98" spans="2:14">
      <c r="B98" s="389">
        <v>45383</v>
      </c>
      <c r="C98" s="391" t="e">
        <v>#N/A</v>
      </c>
      <c r="D98" s="391" t="e">
        <v>#N/A</v>
      </c>
      <c r="E98" s="391" t="e">
        <v>#N/A</v>
      </c>
      <c r="F98" s="391" t="e">
        <v>#N/A</v>
      </c>
      <c r="G98" s="391" t="e">
        <v>#N/A</v>
      </c>
      <c r="H98" s="391" t="e">
        <v>#N/A</v>
      </c>
      <c r="I98" s="391" t="e">
        <v>#N/A</v>
      </c>
      <c r="J98" s="390">
        <v>31.51</v>
      </c>
      <c r="K98" s="390">
        <v>-9.5500000000000007</v>
      </c>
      <c r="L98" s="390">
        <v>30.41</v>
      </c>
      <c r="M98" s="391" t="e">
        <v>#N/A</v>
      </c>
      <c r="N98" s="390">
        <v>5.07</v>
      </c>
    </row>
    <row r="99" spans="2:14">
      <c r="B99" s="389">
        <v>45384</v>
      </c>
      <c r="C99" s="390">
        <v>18.18</v>
      </c>
      <c r="D99" s="390">
        <v>-2.56</v>
      </c>
      <c r="E99" s="390">
        <v>-13.77</v>
      </c>
      <c r="F99" s="390">
        <v>21.61</v>
      </c>
      <c r="G99" s="390">
        <v>26.65</v>
      </c>
      <c r="H99" s="390">
        <v>-18.28</v>
      </c>
      <c r="I99" s="390">
        <v>-6.82</v>
      </c>
      <c r="J99" s="390">
        <v>26.04</v>
      </c>
      <c r="K99" s="390">
        <v>-10.53</v>
      </c>
      <c r="L99" s="390">
        <v>26.3</v>
      </c>
      <c r="M99" s="390">
        <v>27.06</v>
      </c>
      <c r="N99" s="390">
        <v>2.39</v>
      </c>
    </row>
    <row r="100" spans="2:14">
      <c r="B100" s="389">
        <v>45385</v>
      </c>
      <c r="C100" s="390">
        <v>17.34</v>
      </c>
      <c r="D100" s="390">
        <v>-2.66</v>
      </c>
      <c r="E100" s="390">
        <v>-12.73</v>
      </c>
      <c r="F100" s="390">
        <v>23.13</v>
      </c>
      <c r="G100" s="390">
        <v>26.76</v>
      </c>
      <c r="H100" s="390">
        <v>-19.73</v>
      </c>
      <c r="I100" s="390">
        <v>-4.41</v>
      </c>
      <c r="J100" s="390">
        <v>23.5</v>
      </c>
      <c r="K100" s="390">
        <v>-9.69</v>
      </c>
      <c r="L100" s="390">
        <v>25.85</v>
      </c>
      <c r="M100" s="390">
        <v>28.89</v>
      </c>
      <c r="N100" s="390">
        <v>1.19</v>
      </c>
    </row>
    <row r="101" spans="2:14">
      <c r="B101" s="389">
        <v>45386</v>
      </c>
      <c r="C101" s="390">
        <v>17.829999999999998</v>
      </c>
      <c r="D101" s="390">
        <v>-1.91</v>
      </c>
      <c r="E101" s="390">
        <v>-12.99</v>
      </c>
      <c r="F101" s="390">
        <v>22.99</v>
      </c>
      <c r="G101" s="390">
        <v>25.89</v>
      </c>
      <c r="H101" s="390">
        <v>-21.25</v>
      </c>
      <c r="I101" s="390">
        <v>-3.23</v>
      </c>
      <c r="J101" s="390">
        <v>17.649999999999999</v>
      </c>
      <c r="K101" s="390">
        <v>-10.69</v>
      </c>
      <c r="L101" s="390">
        <v>24.69</v>
      </c>
      <c r="M101" s="390">
        <v>28.29</v>
      </c>
      <c r="N101" s="390">
        <v>9.5500000000000007</v>
      </c>
    </row>
    <row r="102" spans="2:14">
      <c r="B102" s="389">
        <v>45387</v>
      </c>
      <c r="C102" s="390">
        <v>15.01</v>
      </c>
      <c r="D102" s="390">
        <v>-3.63</v>
      </c>
      <c r="E102" s="390">
        <v>-14.65</v>
      </c>
      <c r="F102" s="390">
        <v>19.600000000000001</v>
      </c>
      <c r="G102" s="390">
        <v>24.28</v>
      </c>
      <c r="H102" s="390">
        <v>-23.49</v>
      </c>
      <c r="I102" s="390">
        <v>-5.36</v>
      </c>
      <c r="J102" s="390">
        <v>17.37</v>
      </c>
      <c r="K102" s="390">
        <v>-12.76</v>
      </c>
      <c r="L102" s="390">
        <v>6.98</v>
      </c>
      <c r="M102" s="390">
        <v>26.2</v>
      </c>
      <c r="N102" s="390">
        <v>-0.9</v>
      </c>
    </row>
    <row r="103" spans="2:14">
      <c r="B103" s="389">
        <v>45390</v>
      </c>
      <c r="C103" s="390">
        <v>16.09</v>
      </c>
      <c r="D103" s="390">
        <v>-2.99</v>
      </c>
      <c r="E103" s="390">
        <v>-12.4</v>
      </c>
      <c r="F103" s="390">
        <v>20.62</v>
      </c>
      <c r="G103" s="390">
        <v>24.28</v>
      </c>
      <c r="H103" s="390">
        <v>-19.579999999999998</v>
      </c>
      <c r="I103" s="390">
        <v>-4.82</v>
      </c>
      <c r="J103" s="390">
        <v>17.95</v>
      </c>
      <c r="K103" s="390">
        <v>-12.76</v>
      </c>
      <c r="L103" s="390">
        <v>8.86</v>
      </c>
      <c r="M103" s="390">
        <v>25.87</v>
      </c>
      <c r="N103" s="390">
        <v>10.15</v>
      </c>
    </row>
    <row r="104" spans="2:14">
      <c r="B104" s="389">
        <v>45391</v>
      </c>
      <c r="C104" s="390">
        <v>14.35</v>
      </c>
      <c r="D104" s="390">
        <v>-3.26</v>
      </c>
      <c r="E104" s="390">
        <v>-12.51</v>
      </c>
      <c r="F104" s="390">
        <v>19.510000000000002</v>
      </c>
      <c r="G104" s="390">
        <v>22.69</v>
      </c>
      <c r="H104" s="390">
        <v>-18.68</v>
      </c>
      <c r="I104" s="390">
        <v>-4.82</v>
      </c>
      <c r="J104" s="390">
        <v>16.72</v>
      </c>
      <c r="K104" s="390">
        <v>-12.2</v>
      </c>
      <c r="L104" s="390">
        <v>7.42</v>
      </c>
      <c r="M104" s="390">
        <v>22.81</v>
      </c>
      <c r="N104" s="390">
        <v>9.25</v>
      </c>
    </row>
    <row r="105" spans="2:14">
      <c r="B105" s="389">
        <v>45392</v>
      </c>
      <c r="C105" s="390">
        <v>14.04</v>
      </c>
      <c r="D105" s="390">
        <v>-5.19</v>
      </c>
      <c r="E105" s="390">
        <v>-11.74</v>
      </c>
      <c r="F105" s="390">
        <v>19.149999999999999</v>
      </c>
      <c r="G105" s="390">
        <v>21.53</v>
      </c>
      <c r="H105" s="390">
        <v>-19.27</v>
      </c>
      <c r="I105" s="390">
        <v>-5.36</v>
      </c>
      <c r="J105" s="390">
        <v>13.3</v>
      </c>
      <c r="K105" s="390">
        <v>-15.05</v>
      </c>
      <c r="L105" s="390">
        <v>4.38</v>
      </c>
      <c r="M105" s="390">
        <v>22.75</v>
      </c>
      <c r="N105" s="390">
        <v>12.54</v>
      </c>
    </row>
    <row r="106" spans="2:14">
      <c r="B106" s="389">
        <v>45393</v>
      </c>
      <c r="C106" s="390">
        <v>13.68</v>
      </c>
      <c r="D106" s="390">
        <v>-5.68</v>
      </c>
      <c r="E106" s="390">
        <v>-12.4</v>
      </c>
      <c r="F106" s="390">
        <v>17.899999999999999</v>
      </c>
      <c r="G106" s="390">
        <v>21.6</v>
      </c>
      <c r="H106" s="390">
        <v>-18.84</v>
      </c>
      <c r="I106" s="390">
        <v>-6.77</v>
      </c>
      <c r="J106" s="390">
        <v>14.34</v>
      </c>
      <c r="K106" s="390">
        <v>-18.68</v>
      </c>
      <c r="L106" s="390">
        <v>4.38</v>
      </c>
      <c r="M106" s="390">
        <v>23.34</v>
      </c>
      <c r="N106" s="390">
        <v>11.64</v>
      </c>
    </row>
    <row r="107" spans="2:14">
      <c r="B107" s="389">
        <v>45394</v>
      </c>
      <c r="C107" s="390">
        <v>12.34</v>
      </c>
      <c r="D107" s="390">
        <v>-6.9</v>
      </c>
      <c r="E107" s="390">
        <v>-13.91</v>
      </c>
      <c r="F107" s="390">
        <v>14.33</v>
      </c>
      <c r="G107" s="390">
        <v>20.74</v>
      </c>
      <c r="H107" s="390">
        <v>-21.5</v>
      </c>
      <c r="I107" s="390">
        <v>-9.09</v>
      </c>
      <c r="J107" s="390">
        <v>12.48</v>
      </c>
      <c r="K107" s="390">
        <v>-21.62</v>
      </c>
      <c r="L107" s="390">
        <v>1.1599999999999999</v>
      </c>
      <c r="M107" s="390">
        <v>22.16</v>
      </c>
      <c r="N107" s="390">
        <v>8.9600000000000009</v>
      </c>
    </row>
    <row r="108" spans="2:14">
      <c r="B108" s="389">
        <v>45397</v>
      </c>
      <c r="C108" s="390">
        <v>14.29</v>
      </c>
      <c r="D108" s="390">
        <v>-6.98</v>
      </c>
      <c r="E108" s="390">
        <v>-14.21</v>
      </c>
      <c r="F108" s="390">
        <v>16.25</v>
      </c>
      <c r="G108" s="390">
        <v>22.13</v>
      </c>
      <c r="H108" s="390">
        <v>-23.21</v>
      </c>
      <c r="I108" s="390">
        <v>-8.68</v>
      </c>
      <c r="J108" s="390">
        <v>11.63</v>
      </c>
      <c r="K108" s="390">
        <v>-21.58</v>
      </c>
      <c r="L108" s="390">
        <v>-1.52</v>
      </c>
      <c r="M108" s="390">
        <v>23.94</v>
      </c>
      <c r="N108" s="390">
        <v>5.67</v>
      </c>
    </row>
    <row r="109" spans="2:14">
      <c r="B109" s="389">
        <v>45398</v>
      </c>
      <c r="C109" s="390">
        <v>12.42</v>
      </c>
      <c r="D109" s="390">
        <v>-9.61</v>
      </c>
      <c r="E109" s="390">
        <v>-16.45</v>
      </c>
      <c r="F109" s="390">
        <v>14.24</v>
      </c>
      <c r="G109" s="390">
        <v>21.49</v>
      </c>
      <c r="H109" s="390">
        <v>-24.64</v>
      </c>
      <c r="I109" s="390">
        <v>-10.68</v>
      </c>
      <c r="J109" s="390">
        <v>11.71</v>
      </c>
      <c r="K109" s="390">
        <v>-22.37</v>
      </c>
      <c r="L109" s="390">
        <v>-1.43</v>
      </c>
      <c r="M109" s="390">
        <v>23.18</v>
      </c>
      <c r="N109" s="390">
        <v>9.5500000000000007</v>
      </c>
    </row>
    <row r="110" spans="2:14">
      <c r="B110" s="389">
        <v>45399</v>
      </c>
      <c r="C110" s="390">
        <v>15.62</v>
      </c>
      <c r="D110" s="390">
        <v>-9.42</v>
      </c>
      <c r="E110" s="390">
        <v>-15.64</v>
      </c>
      <c r="F110" s="390">
        <v>17.63</v>
      </c>
      <c r="G110" s="390">
        <v>24.31</v>
      </c>
      <c r="H110" s="390">
        <v>-24.16</v>
      </c>
      <c r="I110" s="390">
        <v>-11.86</v>
      </c>
      <c r="J110" s="390">
        <v>10.7</v>
      </c>
      <c r="K110" s="390">
        <v>-24.49</v>
      </c>
      <c r="L110" s="390">
        <v>2.5</v>
      </c>
      <c r="M110" s="390">
        <v>26.03</v>
      </c>
      <c r="N110" s="390">
        <v>8.36</v>
      </c>
    </row>
    <row r="111" spans="2:14">
      <c r="B111" s="389">
        <v>45400</v>
      </c>
      <c r="C111" s="390">
        <v>14.58</v>
      </c>
      <c r="D111" s="390">
        <v>-9.56</v>
      </c>
      <c r="E111" s="390">
        <v>-17.41</v>
      </c>
      <c r="F111" s="390">
        <v>14.69</v>
      </c>
      <c r="G111" s="390">
        <v>23.52</v>
      </c>
      <c r="H111" s="390">
        <v>-23</v>
      </c>
      <c r="I111" s="390">
        <v>-12.36</v>
      </c>
      <c r="J111" s="390">
        <v>10.73</v>
      </c>
      <c r="K111" s="390">
        <v>-24.57</v>
      </c>
      <c r="L111" s="390">
        <v>4.2</v>
      </c>
      <c r="M111" s="390">
        <v>25.12</v>
      </c>
      <c r="N111" s="390">
        <v>14.93</v>
      </c>
    </row>
    <row r="112" spans="2:14">
      <c r="B112" s="389">
        <v>45401</v>
      </c>
      <c r="C112" s="390">
        <v>14.55</v>
      </c>
      <c r="D112" s="390">
        <v>-9.93</v>
      </c>
      <c r="E112" s="390">
        <v>-16.670000000000002</v>
      </c>
      <c r="F112" s="390">
        <v>13.79</v>
      </c>
      <c r="G112" s="390">
        <v>23.15</v>
      </c>
      <c r="H112" s="390">
        <v>-23.57</v>
      </c>
      <c r="I112" s="390">
        <v>-13.18</v>
      </c>
      <c r="J112" s="390">
        <v>11.06</v>
      </c>
      <c r="K112" s="390">
        <v>-23.17</v>
      </c>
      <c r="L112" s="390">
        <v>2.95</v>
      </c>
      <c r="M112" s="390">
        <v>24.85</v>
      </c>
      <c r="N112" s="390">
        <v>14.33</v>
      </c>
    </row>
    <row r="113" spans="2:14">
      <c r="B113" s="389">
        <v>45404</v>
      </c>
      <c r="C113" s="390">
        <v>14.58</v>
      </c>
      <c r="D113" s="390">
        <v>-8.01</v>
      </c>
      <c r="E113" s="390">
        <v>-14.8</v>
      </c>
      <c r="F113" s="390">
        <v>13.57</v>
      </c>
      <c r="G113" s="390">
        <v>22.81</v>
      </c>
      <c r="H113" s="390">
        <v>-21.74</v>
      </c>
      <c r="I113" s="390">
        <v>-11.98</v>
      </c>
      <c r="J113" s="390">
        <v>10.210000000000001</v>
      </c>
      <c r="K113" s="390">
        <v>-24.31</v>
      </c>
      <c r="L113" s="390">
        <v>4.83</v>
      </c>
      <c r="M113" s="390">
        <v>24.31</v>
      </c>
      <c r="N113" s="390">
        <v>19.7</v>
      </c>
    </row>
    <row r="114" spans="2:14">
      <c r="B114" s="389">
        <v>45405</v>
      </c>
      <c r="C114" s="390">
        <v>16.079999999999998</v>
      </c>
      <c r="D114" s="390">
        <v>-6.98</v>
      </c>
      <c r="E114" s="390">
        <v>-14.28</v>
      </c>
      <c r="F114" s="390">
        <v>15.49</v>
      </c>
      <c r="G114" s="390">
        <v>23.9</v>
      </c>
      <c r="H114" s="390">
        <v>-21.34</v>
      </c>
      <c r="I114" s="390">
        <v>-11.8</v>
      </c>
      <c r="J114" s="390">
        <v>7.83</v>
      </c>
      <c r="K114" s="390">
        <v>-27.2</v>
      </c>
      <c r="L114" s="390">
        <v>6.62</v>
      </c>
      <c r="M114" s="390">
        <v>26.73</v>
      </c>
      <c r="N114" s="390">
        <v>28.06</v>
      </c>
    </row>
    <row r="115" spans="2:14">
      <c r="B115" s="389">
        <v>45406</v>
      </c>
      <c r="C115" s="390">
        <v>16.16</v>
      </c>
      <c r="D115" s="390">
        <v>-13.37</v>
      </c>
      <c r="E115" s="390">
        <v>-16.489999999999998</v>
      </c>
      <c r="F115" s="390">
        <v>15.4</v>
      </c>
      <c r="G115" s="390">
        <v>25.71</v>
      </c>
      <c r="H115" s="390">
        <v>-21.34</v>
      </c>
      <c r="I115" s="390">
        <v>-12.66</v>
      </c>
      <c r="J115" s="390">
        <v>9.44</v>
      </c>
      <c r="K115" s="390">
        <v>-29.41</v>
      </c>
      <c r="L115" s="390">
        <v>7.16</v>
      </c>
      <c r="M115" s="390">
        <v>26.63</v>
      </c>
      <c r="N115" s="390">
        <v>23.28</v>
      </c>
    </row>
    <row r="116" spans="2:14">
      <c r="B116" s="389">
        <v>45407</v>
      </c>
      <c r="C116" s="390">
        <v>12.94</v>
      </c>
      <c r="D116" s="390">
        <v>-13.06</v>
      </c>
      <c r="E116" s="390">
        <v>-15.75</v>
      </c>
      <c r="F116" s="390">
        <v>14.06</v>
      </c>
      <c r="G116" s="390">
        <v>21.87</v>
      </c>
      <c r="H116" s="390">
        <v>-21.9</v>
      </c>
      <c r="I116" s="390">
        <v>-12.05</v>
      </c>
      <c r="J116" s="390">
        <v>7.69</v>
      </c>
      <c r="K116" s="390">
        <v>-30.59</v>
      </c>
      <c r="L116" s="390">
        <v>5.9</v>
      </c>
      <c r="M116" s="390">
        <v>23.61</v>
      </c>
      <c r="N116" s="390">
        <v>23.88</v>
      </c>
    </row>
    <row r="117" spans="2:14">
      <c r="B117" s="389">
        <v>45408</v>
      </c>
      <c r="C117" s="390">
        <v>15</v>
      </c>
      <c r="D117" s="390">
        <v>-10.23</v>
      </c>
      <c r="E117" s="390">
        <v>-15.2</v>
      </c>
      <c r="F117" s="390">
        <v>15.94</v>
      </c>
      <c r="G117" s="390">
        <v>22.17</v>
      </c>
      <c r="H117" s="390">
        <v>-21.53</v>
      </c>
      <c r="I117" s="390">
        <v>-11.39</v>
      </c>
      <c r="J117" s="390">
        <v>9.5</v>
      </c>
      <c r="K117" s="390">
        <v>-29.13</v>
      </c>
      <c r="L117" s="390">
        <v>7.6</v>
      </c>
      <c r="M117" s="390">
        <v>26.47</v>
      </c>
      <c r="N117" s="390">
        <v>23.58</v>
      </c>
    </row>
    <row r="118" spans="2:14">
      <c r="B118" s="389">
        <v>45411</v>
      </c>
      <c r="C118" s="390">
        <v>13.12</v>
      </c>
      <c r="D118" s="390">
        <v>-10.84</v>
      </c>
      <c r="E118" s="390">
        <v>-14.94</v>
      </c>
      <c r="F118" s="390">
        <v>15.8</v>
      </c>
      <c r="G118" s="390">
        <v>21.42</v>
      </c>
      <c r="H118" s="390">
        <v>-20.51</v>
      </c>
      <c r="I118" s="390">
        <v>-10.52</v>
      </c>
      <c r="J118" s="390">
        <v>12.04</v>
      </c>
      <c r="K118" s="390">
        <v>-28.55</v>
      </c>
      <c r="L118" s="390">
        <v>10.02</v>
      </c>
      <c r="M118" s="390">
        <v>23.67</v>
      </c>
      <c r="N118" s="390">
        <v>28.66</v>
      </c>
    </row>
    <row r="119" spans="2:14">
      <c r="B119" s="389">
        <v>45412</v>
      </c>
      <c r="C119" s="390">
        <v>12.42</v>
      </c>
      <c r="D119" s="390">
        <v>-12.34</v>
      </c>
      <c r="E119" s="390">
        <v>-15.31</v>
      </c>
      <c r="F119" s="390">
        <v>14.2</v>
      </c>
      <c r="G119" s="390">
        <v>20.66</v>
      </c>
      <c r="H119" s="390">
        <v>-21.84</v>
      </c>
      <c r="I119" s="390">
        <v>-11.98</v>
      </c>
      <c r="J119" s="390">
        <v>9.14</v>
      </c>
      <c r="K119" s="390">
        <v>-29.25</v>
      </c>
      <c r="L119" s="390">
        <v>10.02</v>
      </c>
      <c r="M119" s="390">
        <v>21.14</v>
      </c>
      <c r="N119" s="390">
        <v>17.010000000000002</v>
      </c>
    </row>
    <row r="120" spans="2:14">
      <c r="B120" s="389">
        <v>45413</v>
      </c>
      <c r="C120" s="391" t="e">
        <v>#N/A</v>
      </c>
      <c r="D120" s="391" t="e">
        <v>#N/A</v>
      </c>
      <c r="E120" s="390">
        <v>-15.94</v>
      </c>
      <c r="F120" s="391" t="e">
        <v>#N/A</v>
      </c>
      <c r="G120" s="391" t="e">
        <v>#N/A</v>
      </c>
      <c r="H120" s="391" t="e">
        <v>#N/A</v>
      </c>
      <c r="I120" s="391" t="e">
        <v>#N/A</v>
      </c>
      <c r="J120" s="390">
        <v>7.97</v>
      </c>
      <c r="K120" s="390">
        <v>-29.71</v>
      </c>
      <c r="L120" s="390">
        <v>10.91</v>
      </c>
      <c r="M120" s="391" t="e">
        <v>#N/A</v>
      </c>
      <c r="N120" s="390">
        <v>23.28</v>
      </c>
    </row>
    <row r="121" spans="2:14">
      <c r="B121" s="389">
        <v>45414</v>
      </c>
      <c r="C121" s="390">
        <v>11.34</v>
      </c>
      <c r="D121" s="390">
        <v>-11.72</v>
      </c>
      <c r="E121" s="390">
        <v>-15.35</v>
      </c>
      <c r="F121" s="390">
        <v>14.42</v>
      </c>
      <c r="G121" s="390">
        <v>20.66</v>
      </c>
      <c r="H121" s="390">
        <v>-27.22</v>
      </c>
      <c r="I121" s="390">
        <v>-11.91</v>
      </c>
      <c r="J121" s="390">
        <v>6.05</v>
      </c>
      <c r="K121" s="390">
        <v>-30.01</v>
      </c>
      <c r="L121" s="390">
        <v>14.58</v>
      </c>
      <c r="M121" s="390">
        <v>21.71</v>
      </c>
      <c r="N121" s="390">
        <v>26.87</v>
      </c>
    </row>
    <row r="122" spans="2:14">
      <c r="B122" s="389">
        <v>45415</v>
      </c>
      <c r="C122" s="390">
        <v>13.52</v>
      </c>
      <c r="D122" s="390">
        <v>-10.14</v>
      </c>
      <c r="E122" s="390">
        <v>-13.14</v>
      </c>
      <c r="F122" s="390">
        <v>17.68</v>
      </c>
      <c r="G122" s="390">
        <v>21</v>
      </c>
      <c r="H122" s="390">
        <v>-26</v>
      </c>
      <c r="I122" s="390">
        <v>-10.82</v>
      </c>
      <c r="J122" s="390">
        <v>7.28</v>
      </c>
      <c r="K122" s="390">
        <v>-28.85</v>
      </c>
      <c r="L122" s="390">
        <v>13.69</v>
      </c>
      <c r="M122" s="390">
        <v>24.15</v>
      </c>
      <c r="N122" s="390">
        <v>27.46</v>
      </c>
    </row>
    <row r="123" spans="2:14">
      <c r="B123" s="389">
        <v>45418</v>
      </c>
      <c r="C123" s="390">
        <v>13.48</v>
      </c>
      <c r="D123" s="390">
        <v>-10.62</v>
      </c>
      <c r="E123" s="391" t="e">
        <v>#N/A</v>
      </c>
      <c r="F123" s="390">
        <v>17.809999999999999</v>
      </c>
      <c r="G123" s="390">
        <v>20.96</v>
      </c>
      <c r="H123" s="390">
        <v>-26</v>
      </c>
      <c r="I123" s="390">
        <v>-11.05</v>
      </c>
      <c r="J123" s="390">
        <v>7.94</v>
      </c>
      <c r="K123" s="390">
        <v>-28.75</v>
      </c>
      <c r="L123" s="390">
        <v>14.67</v>
      </c>
      <c r="M123" s="390">
        <v>23.56</v>
      </c>
      <c r="N123" s="390">
        <v>34.33</v>
      </c>
    </row>
    <row r="124" spans="2:14">
      <c r="B124" s="389">
        <v>45419</v>
      </c>
      <c r="C124" s="390">
        <v>14.6</v>
      </c>
      <c r="D124" s="390">
        <v>-9.7899999999999991</v>
      </c>
      <c r="E124" s="390">
        <v>-15.27</v>
      </c>
      <c r="F124" s="390">
        <v>18.62</v>
      </c>
      <c r="G124" s="390">
        <v>20.81</v>
      </c>
      <c r="H124" s="390">
        <v>-26.54</v>
      </c>
      <c r="I124" s="390">
        <v>-11.34</v>
      </c>
      <c r="J124" s="390">
        <v>6.6</v>
      </c>
      <c r="K124" s="390">
        <v>-26.3</v>
      </c>
      <c r="L124" s="390">
        <v>14.58</v>
      </c>
      <c r="M124" s="390">
        <v>24.64</v>
      </c>
      <c r="N124" s="390">
        <v>28.96</v>
      </c>
    </row>
    <row r="125" spans="2:14">
      <c r="B125" s="389">
        <v>45420</v>
      </c>
      <c r="C125" s="390">
        <v>14.38</v>
      </c>
      <c r="D125" s="390">
        <v>-9.4499999999999993</v>
      </c>
      <c r="E125" s="390">
        <v>-15.31</v>
      </c>
      <c r="F125" s="390">
        <v>18.71</v>
      </c>
      <c r="G125" s="390">
        <v>18.97</v>
      </c>
      <c r="H125" s="390">
        <v>-27.23</v>
      </c>
      <c r="I125" s="390">
        <v>-10.75</v>
      </c>
      <c r="J125" s="390">
        <v>6.57</v>
      </c>
      <c r="K125" s="390">
        <v>-26.8</v>
      </c>
      <c r="L125" s="390">
        <v>13.69</v>
      </c>
      <c r="M125" s="390">
        <v>25.24</v>
      </c>
      <c r="N125" s="390">
        <v>28.66</v>
      </c>
    </row>
    <row r="126" spans="2:14">
      <c r="B126" s="389">
        <v>45421</v>
      </c>
      <c r="C126" s="390">
        <v>14.54</v>
      </c>
      <c r="D126" s="390">
        <v>-8.86</v>
      </c>
      <c r="E126" s="390">
        <v>-14.54</v>
      </c>
      <c r="F126" s="391" t="e">
        <v>#N/A</v>
      </c>
      <c r="G126" s="390">
        <v>19.38</v>
      </c>
      <c r="H126" s="390">
        <v>-26.42</v>
      </c>
      <c r="I126" s="391" t="e">
        <v>#N/A</v>
      </c>
      <c r="J126" s="390">
        <v>10.37</v>
      </c>
      <c r="K126" s="390">
        <v>-27.74</v>
      </c>
      <c r="L126" s="390">
        <v>13.42</v>
      </c>
      <c r="M126" s="390">
        <v>25.13</v>
      </c>
      <c r="N126" s="390">
        <v>28.36</v>
      </c>
    </row>
    <row r="127" spans="2:14">
      <c r="B127" s="389">
        <v>45422</v>
      </c>
      <c r="C127" s="390">
        <v>14.45</v>
      </c>
      <c r="D127" s="390">
        <v>-9.08</v>
      </c>
      <c r="E127" s="390">
        <v>-13.51</v>
      </c>
      <c r="F127" s="390">
        <v>20.98</v>
      </c>
      <c r="G127" s="390">
        <v>19.38</v>
      </c>
      <c r="H127" s="390">
        <v>-25.92</v>
      </c>
      <c r="I127" s="390">
        <v>-10.91</v>
      </c>
      <c r="J127" s="390">
        <v>9.5500000000000007</v>
      </c>
      <c r="K127" s="390">
        <v>-27.98</v>
      </c>
      <c r="L127" s="390">
        <v>10.199999999999999</v>
      </c>
      <c r="M127" s="390">
        <v>24.75</v>
      </c>
      <c r="N127" s="390">
        <v>35.82</v>
      </c>
    </row>
    <row r="128" spans="2:14">
      <c r="B128" s="389">
        <v>45425</v>
      </c>
      <c r="C128" s="390">
        <v>13.61</v>
      </c>
      <c r="D128" s="390">
        <v>-9.06</v>
      </c>
      <c r="E128" s="390">
        <v>-14.24</v>
      </c>
      <c r="F128" s="390">
        <v>20.27</v>
      </c>
      <c r="G128" s="390">
        <v>17.239999999999998</v>
      </c>
      <c r="H128" s="390">
        <v>-24.45</v>
      </c>
      <c r="I128" s="390">
        <v>-9.52</v>
      </c>
      <c r="J128" s="390">
        <v>13.05</v>
      </c>
      <c r="K128" s="390">
        <v>-28.69</v>
      </c>
      <c r="L128" s="390">
        <v>11.63</v>
      </c>
      <c r="M128" s="390">
        <v>24.15</v>
      </c>
      <c r="N128" s="390">
        <v>44.48</v>
      </c>
    </row>
    <row r="129" spans="2:14">
      <c r="B129" s="389">
        <v>45426</v>
      </c>
      <c r="C129" s="390">
        <v>14.96</v>
      </c>
      <c r="D129" s="390">
        <v>-7.33</v>
      </c>
      <c r="E129" s="390">
        <v>-12.51</v>
      </c>
      <c r="F129" s="390">
        <v>21.79</v>
      </c>
      <c r="G129" s="390">
        <v>19.23</v>
      </c>
      <c r="H129" s="390">
        <v>-23.85</v>
      </c>
      <c r="I129" s="390">
        <v>-8.49</v>
      </c>
      <c r="J129" s="390">
        <v>15.13</v>
      </c>
      <c r="K129" s="390">
        <v>-27.82</v>
      </c>
      <c r="L129" s="390">
        <v>13.51</v>
      </c>
      <c r="M129" s="390">
        <v>24.97</v>
      </c>
      <c r="N129" s="390">
        <v>49.25</v>
      </c>
    </row>
    <row r="130" spans="2:14">
      <c r="B130" s="389">
        <v>45427</v>
      </c>
      <c r="C130" s="390">
        <v>14.54</v>
      </c>
      <c r="D130" s="390">
        <v>-7.91</v>
      </c>
      <c r="E130" s="390">
        <v>-18.88</v>
      </c>
      <c r="F130" s="390">
        <v>21.92</v>
      </c>
      <c r="G130" s="390">
        <v>20.14</v>
      </c>
      <c r="H130" s="390">
        <v>-22.26</v>
      </c>
      <c r="I130" s="390">
        <v>-9.2200000000000006</v>
      </c>
      <c r="J130" s="390">
        <v>16.66</v>
      </c>
      <c r="K130" s="390">
        <v>-27.92</v>
      </c>
      <c r="L130" s="390">
        <v>11.99</v>
      </c>
      <c r="M130" s="390">
        <v>24.21</v>
      </c>
      <c r="N130" s="390">
        <v>44.48</v>
      </c>
    </row>
    <row r="131" spans="2:14">
      <c r="B131" s="389">
        <v>45428</v>
      </c>
      <c r="C131" s="390">
        <v>14.1</v>
      </c>
      <c r="D131" s="390">
        <v>-6.67</v>
      </c>
      <c r="E131" s="390">
        <v>-16.079999999999998</v>
      </c>
      <c r="F131" s="390">
        <v>22.72</v>
      </c>
      <c r="G131" s="390">
        <v>20.399999999999999</v>
      </c>
      <c r="H131" s="390">
        <v>-19.89</v>
      </c>
      <c r="I131" s="390">
        <v>-8.3699999999999992</v>
      </c>
      <c r="J131" s="390">
        <v>16.25</v>
      </c>
      <c r="K131" s="390">
        <v>-27.92</v>
      </c>
      <c r="L131" s="390">
        <v>14.4</v>
      </c>
      <c r="M131" s="390">
        <v>24.04</v>
      </c>
      <c r="N131" s="390">
        <v>46.27</v>
      </c>
    </row>
    <row r="132" spans="2:14">
      <c r="B132" s="389">
        <v>45429</v>
      </c>
      <c r="C132" s="390">
        <v>13.7</v>
      </c>
      <c r="D132" s="390">
        <v>-9.19</v>
      </c>
      <c r="E132" s="390">
        <v>-19.03</v>
      </c>
      <c r="F132" s="390">
        <v>29.24</v>
      </c>
      <c r="G132" s="390">
        <v>20.440000000000001</v>
      </c>
      <c r="H132" s="390">
        <v>-19.98</v>
      </c>
      <c r="I132" s="390">
        <v>-6.02</v>
      </c>
      <c r="J132" s="390">
        <v>15.71</v>
      </c>
      <c r="K132" s="390">
        <v>-28.32</v>
      </c>
      <c r="L132" s="390">
        <v>17.98</v>
      </c>
      <c r="M132" s="390">
        <v>24.7</v>
      </c>
      <c r="N132" s="390">
        <v>49.25</v>
      </c>
    </row>
    <row r="133" spans="2:14">
      <c r="B133" s="389">
        <v>45432</v>
      </c>
      <c r="C133" s="390">
        <v>13.1</v>
      </c>
      <c r="D133" s="390">
        <v>-8.1300000000000008</v>
      </c>
      <c r="E133" s="390">
        <v>-21.46</v>
      </c>
      <c r="F133" s="391" t="e">
        <v>#N/A</v>
      </c>
      <c r="G133" s="390">
        <v>20.76</v>
      </c>
      <c r="H133" s="390">
        <v>-20.7</v>
      </c>
      <c r="I133" s="391" t="e">
        <v>#N/A</v>
      </c>
      <c r="J133" s="390">
        <v>16.09</v>
      </c>
      <c r="K133" s="390">
        <v>-28.75</v>
      </c>
      <c r="L133" s="390">
        <v>16.010000000000002</v>
      </c>
      <c r="M133" s="390">
        <v>25.02</v>
      </c>
      <c r="N133" s="390">
        <v>49.85</v>
      </c>
    </row>
    <row r="134" spans="2:14">
      <c r="B134" s="389">
        <v>45433</v>
      </c>
      <c r="C134" s="390">
        <v>11.5</v>
      </c>
      <c r="D134" s="390">
        <v>-8.84</v>
      </c>
      <c r="E134" s="390">
        <v>-21.94</v>
      </c>
      <c r="F134" s="390">
        <v>28.17</v>
      </c>
      <c r="G134" s="390">
        <v>16.39</v>
      </c>
      <c r="H134" s="390">
        <v>-20.46</v>
      </c>
      <c r="I134" s="390">
        <v>-7.67</v>
      </c>
      <c r="J134" s="390">
        <v>15.79</v>
      </c>
      <c r="K134" s="390">
        <v>-29.91</v>
      </c>
      <c r="L134" s="390">
        <v>14.67</v>
      </c>
      <c r="M134" s="390">
        <v>23.94</v>
      </c>
      <c r="N134" s="390">
        <v>52.84</v>
      </c>
    </row>
    <row r="135" spans="2:14">
      <c r="B135" s="389">
        <v>45434</v>
      </c>
      <c r="C135" s="390">
        <v>9.15</v>
      </c>
      <c r="D135" s="390">
        <v>-9.6999999999999993</v>
      </c>
      <c r="E135" s="390">
        <v>-22.78</v>
      </c>
      <c r="F135" s="390">
        <v>25.54</v>
      </c>
      <c r="G135" s="390">
        <v>15.78</v>
      </c>
      <c r="H135" s="390">
        <v>-23.15</v>
      </c>
      <c r="I135" s="390">
        <v>-9.6199999999999992</v>
      </c>
      <c r="J135" s="390">
        <v>13.41</v>
      </c>
      <c r="K135" s="390">
        <v>-30.35</v>
      </c>
      <c r="L135" s="390">
        <v>13.06</v>
      </c>
      <c r="M135" s="390">
        <v>18.670000000000002</v>
      </c>
      <c r="N135" s="390">
        <v>50.45</v>
      </c>
    </row>
    <row r="136" spans="2:14">
      <c r="B136" s="389">
        <v>45435</v>
      </c>
      <c r="C136" s="390">
        <v>9.2799999999999994</v>
      </c>
      <c r="D136" s="390">
        <v>-9.02</v>
      </c>
      <c r="E136" s="390">
        <v>-22.64</v>
      </c>
      <c r="F136" s="390">
        <v>27.01</v>
      </c>
      <c r="G136" s="390">
        <v>16.78</v>
      </c>
      <c r="H136" s="390">
        <v>-23.7</v>
      </c>
      <c r="I136" s="390">
        <v>-9.57</v>
      </c>
      <c r="J136" s="390">
        <v>13.08</v>
      </c>
      <c r="K136" s="390">
        <v>-30.61</v>
      </c>
      <c r="L136" s="390">
        <v>12.7</v>
      </c>
      <c r="M136" s="390">
        <v>18.88</v>
      </c>
      <c r="N136" s="390">
        <v>48.66</v>
      </c>
    </row>
    <row r="137" spans="2:14">
      <c r="B137" s="389">
        <v>45436</v>
      </c>
      <c r="C137" s="390">
        <v>8.8800000000000008</v>
      </c>
      <c r="D137" s="390">
        <v>-9.08</v>
      </c>
      <c r="E137" s="390">
        <v>-23.78</v>
      </c>
      <c r="F137" s="390">
        <v>27.99</v>
      </c>
      <c r="G137" s="390">
        <v>18.690000000000001</v>
      </c>
      <c r="H137" s="390">
        <v>-25.28</v>
      </c>
      <c r="I137" s="390">
        <v>-9.9499999999999993</v>
      </c>
      <c r="J137" s="390">
        <v>15.65</v>
      </c>
      <c r="K137" s="390">
        <v>-30.95</v>
      </c>
      <c r="L137" s="390">
        <v>12.88</v>
      </c>
      <c r="M137" s="390">
        <v>18.45</v>
      </c>
      <c r="N137" s="390">
        <v>57.91</v>
      </c>
    </row>
    <row r="138" spans="2:14">
      <c r="B138" s="389">
        <v>45439</v>
      </c>
      <c r="C138" s="390">
        <v>9.7799999999999994</v>
      </c>
      <c r="D138" s="390">
        <v>-8.8699999999999992</v>
      </c>
      <c r="E138" s="391" t="e">
        <v>#N/A</v>
      </c>
      <c r="F138" s="390">
        <v>28.39</v>
      </c>
      <c r="G138" s="390">
        <v>18.350000000000001</v>
      </c>
      <c r="H138" s="390">
        <v>-23.05</v>
      </c>
      <c r="I138" s="390">
        <v>-9.5</v>
      </c>
      <c r="J138" s="391" t="e">
        <v>#N/A</v>
      </c>
      <c r="K138" s="391" t="e">
        <v>#N/A</v>
      </c>
      <c r="L138" s="391" t="e">
        <v>#N/A</v>
      </c>
      <c r="M138" s="390">
        <v>19.53</v>
      </c>
      <c r="N138" s="391" t="e">
        <v>#N/A</v>
      </c>
    </row>
    <row r="139" spans="2:14">
      <c r="B139" s="389">
        <v>45440</v>
      </c>
      <c r="C139" s="390">
        <v>8.2100000000000009</v>
      </c>
      <c r="D139" s="390">
        <v>-9.43</v>
      </c>
      <c r="E139" s="390">
        <v>-23.89</v>
      </c>
      <c r="F139" s="390">
        <v>28.39</v>
      </c>
      <c r="G139" s="390">
        <v>16.93</v>
      </c>
      <c r="H139" s="390">
        <v>-24.75</v>
      </c>
      <c r="I139" s="390">
        <v>-8.82</v>
      </c>
      <c r="J139" s="390">
        <v>13.22</v>
      </c>
      <c r="K139" s="390">
        <v>-31.7</v>
      </c>
      <c r="L139" s="390">
        <v>11.18</v>
      </c>
      <c r="M139" s="390">
        <v>18.45</v>
      </c>
      <c r="N139" s="390">
        <v>62.99</v>
      </c>
    </row>
    <row r="140" spans="2:14">
      <c r="B140" s="389">
        <v>45441</v>
      </c>
      <c r="C140" s="390">
        <v>5.13</v>
      </c>
      <c r="D140" s="390">
        <v>-11.52</v>
      </c>
      <c r="E140" s="390">
        <v>-24.48</v>
      </c>
      <c r="F140" s="390">
        <v>27.01</v>
      </c>
      <c r="G140" s="390">
        <v>15.51</v>
      </c>
      <c r="H140" s="390">
        <v>-25.2</v>
      </c>
      <c r="I140" s="390">
        <v>-11.17</v>
      </c>
      <c r="J140" s="390">
        <v>13.52</v>
      </c>
      <c r="K140" s="390">
        <v>-31.84</v>
      </c>
      <c r="L140" s="390">
        <v>6.26</v>
      </c>
      <c r="M140" s="390">
        <v>16.71</v>
      </c>
      <c r="N140" s="390">
        <v>59.4</v>
      </c>
    </row>
    <row r="141" spans="2:14">
      <c r="B141" s="389">
        <v>45442</v>
      </c>
      <c r="C141" s="390">
        <v>6.61</v>
      </c>
      <c r="D141" s="390">
        <v>-12.32</v>
      </c>
      <c r="E141" s="390">
        <v>-22.41</v>
      </c>
      <c r="F141" s="390">
        <v>27.46</v>
      </c>
      <c r="G141" s="390">
        <v>17.239999999999998</v>
      </c>
      <c r="H141" s="390">
        <v>-23.67</v>
      </c>
      <c r="I141" s="390">
        <v>-10.51</v>
      </c>
      <c r="J141" s="390">
        <v>15.79</v>
      </c>
      <c r="K141" s="390">
        <v>-32.5</v>
      </c>
      <c r="L141" s="390">
        <v>10.29</v>
      </c>
      <c r="M141" s="390">
        <v>17.96</v>
      </c>
      <c r="N141" s="390">
        <v>61.79</v>
      </c>
    </row>
    <row r="142" spans="2:14">
      <c r="B142" s="389">
        <v>45443</v>
      </c>
      <c r="C142" s="390">
        <v>6.68</v>
      </c>
      <c r="D142" s="390">
        <v>-13.25</v>
      </c>
      <c r="E142" s="390">
        <v>-23.81</v>
      </c>
      <c r="F142" s="390">
        <v>28.62</v>
      </c>
      <c r="G142" s="390">
        <v>17.350000000000001</v>
      </c>
      <c r="H142" s="390">
        <v>-22.54</v>
      </c>
      <c r="I142" s="390">
        <v>-9.19</v>
      </c>
      <c r="J142" s="390">
        <v>18.899999999999999</v>
      </c>
      <c r="K142" s="390">
        <v>-31.11</v>
      </c>
      <c r="L142" s="390">
        <v>10.199999999999999</v>
      </c>
      <c r="M142" s="390">
        <v>18.23</v>
      </c>
      <c r="N142" s="390">
        <v>60.3</v>
      </c>
    </row>
    <row r="143" spans="2:14">
      <c r="B143" s="389">
        <v>45446</v>
      </c>
      <c r="C143" s="390">
        <v>7.13</v>
      </c>
      <c r="D143" s="390">
        <v>-11.89</v>
      </c>
      <c r="E143" s="390">
        <v>-23.04</v>
      </c>
      <c r="F143" s="390">
        <v>28.26</v>
      </c>
      <c r="G143" s="390">
        <v>18.420000000000002</v>
      </c>
      <c r="H143" s="390">
        <v>-23.35</v>
      </c>
      <c r="I143" s="390">
        <v>-8.93</v>
      </c>
      <c r="J143" s="390">
        <v>21.06</v>
      </c>
      <c r="K143" s="390">
        <v>-31.39</v>
      </c>
      <c r="L143" s="390">
        <v>11.54</v>
      </c>
      <c r="M143" s="390">
        <v>17.899999999999999</v>
      </c>
      <c r="N143" s="390">
        <v>61.79</v>
      </c>
    </row>
    <row r="144" spans="2:14">
      <c r="B144" s="389">
        <v>45447</v>
      </c>
      <c r="C144" s="390">
        <v>6.7</v>
      </c>
      <c r="D144" s="390">
        <v>-11.85</v>
      </c>
      <c r="E144" s="390">
        <v>-23.67</v>
      </c>
      <c r="F144" s="390">
        <v>28.35</v>
      </c>
      <c r="G144" s="390">
        <v>17.77</v>
      </c>
      <c r="H144" s="390">
        <v>-24.5</v>
      </c>
      <c r="I144" s="390">
        <v>-8.84</v>
      </c>
      <c r="J144" s="390">
        <v>17.73</v>
      </c>
      <c r="K144" s="390">
        <v>-32.520000000000003</v>
      </c>
      <c r="L144" s="390">
        <v>9.75</v>
      </c>
      <c r="M144" s="390">
        <v>17.52</v>
      </c>
      <c r="N144" s="390">
        <v>61.49</v>
      </c>
    </row>
    <row r="145" spans="2:14">
      <c r="B145" s="389">
        <v>45448</v>
      </c>
      <c r="C145" s="390">
        <v>9.25</v>
      </c>
      <c r="D145" s="390">
        <v>-11.59</v>
      </c>
      <c r="E145" s="390">
        <v>-24.4</v>
      </c>
      <c r="F145" s="390">
        <v>31.07</v>
      </c>
      <c r="G145" s="390">
        <v>17.89</v>
      </c>
      <c r="H145" s="390">
        <v>-25.28</v>
      </c>
      <c r="I145" s="390">
        <v>-10.84</v>
      </c>
      <c r="J145" s="390">
        <v>18.93</v>
      </c>
      <c r="K145" s="390">
        <v>-32.26</v>
      </c>
      <c r="L145" s="390">
        <v>12.34</v>
      </c>
      <c r="M145" s="390">
        <v>20.46</v>
      </c>
      <c r="N145" s="390">
        <v>64.78</v>
      </c>
    </row>
    <row r="146" spans="2:14">
      <c r="B146" s="389">
        <v>45449</v>
      </c>
      <c r="C146" s="390">
        <v>10.72</v>
      </c>
      <c r="D146" s="390">
        <v>-10.85</v>
      </c>
      <c r="E146" s="390">
        <v>-23.26</v>
      </c>
      <c r="F146" s="390">
        <v>33.21</v>
      </c>
      <c r="G146" s="390">
        <v>18.809999999999999</v>
      </c>
      <c r="H146" s="390">
        <v>-25.07</v>
      </c>
      <c r="I146" s="390">
        <v>-10.58</v>
      </c>
      <c r="J146" s="390">
        <v>19.07</v>
      </c>
      <c r="K146" s="390">
        <v>-32.28</v>
      </c>
      <c r="L146" s="390">
        <v>11.27</v>
      </c>
      <c r="M146" s="390">
        <v>20.079999999999998</v>
      </c>
      <c r="N146" s="390">
        <v>71.34</v>
      </c>
    </row>
    <row r="147" spans="2:14">
      <c r="B147" s="389">
        <v>45450</v>
      </c>
      <c r="C147" s="390">
        <v>10.69</v>
      </c>
      <c r="D147" s="390">
        <v>-10.27</v>
      </c>
      <c r="E147" s="390">
        <v>-24.03</v>
      </c>
      <c r="F147" s="390">
        <v>34.020000000000003</v>
      </c>
      <c r="G147" s="390">
        <v>17.77</v>
      </c>
      <c r="H147" s="390">
        <v>-25.12</v>
      </c>
      <c r="I147" s="390">
        <v>-11.21</v>
      </c>
      <c r="J147" s="390">
        <v>19.559999999999999</v>
      </c>
      <c r="K147" s="390">
        <v>-32.4</v>
      </c>
      <c r="L147" s="390">
        <v>10.02</v>
      </c>
      <c r="M147" s="390">
        <v>19.59</v>
      </c>
      <c r="N147" s="390">
        <v>81.790000000000006</v>
      </c>
    </row>
    <row r="148" spans="2:14">
      <c r="B148" s="389">
        <v>45453</v>
      </c>
      <c r="C148" s="390">
        <v>8.34</v>
      </c>
      <c r="D148" s="390">
        <v>-10.31</v>
      </c>
      <c r="E148" s="390">
        <v>-24.95</v>
      </c>
      <c r="F148" s="390">
        <v>32.630000000000003</v>
      </c>
      <c r="G148" s="390">
        <v>15.59</v>
      </c>
      <c r="H148" s="390">
        <v>-25.25</v>
      </c>
      <c r="I148" s="390">
        <v>-11.71</v>
      </c>
      <c r="J148" s="390">
        <v>21.8</v>
      </c>
      <c r="K148" s="390">
        <v>-33.18</v>
      </c>
      <c r="L148" s="390">
        <v>10.91</v>
      </c>
      <c r="M148" s="390">
        <v>16.22</v>
      </c>
      <c r="N148" s="390">
        <v>79.099999999999994</v>
      </c>
    </row>
    <row r="149" spans="2:14">
      <c r="B149" s="389">
        <v>45454</v>
      </c>
      <c r="C149" s="390">
        <v>6.93</v>
      </c>
      <c r="D149" s="390">
        <v>-12.66</v>
      </c>
      <c r="E149" s="390">
        <v>-25.69</v>
      </c>
      <c r="F149" s="390">
        <v>31.29</v>
      </c>
      <c r="G149" s="390">
        <v>13.67</v>
      </c>
      <c r="H149" s="390">
        <v>-26.61</v>
      </c>
      <c r="I149" s="390">
        <v>-12.08</v>
      </c>
      <c r="J149" s="390">
        <v>18.57</v>
      </c>
      <c r="K149" s="390">
        <v>-34.520000000000003</v>
      </c>
      <c r="L149" s="390">
        <v>11</v>
      </c>
      <c r="M149" s="390">
        <v>15.73</v>
      </c>
      <c r="N149" s="390">
        <v>64.48</v>
      </c>
    </row>
    <row r="150" spans="2:14">
      <c r="B150" s="389">
        <v>45455</v>
      </c>
      <c r="C150" s="390">
        <v>6.76</v>
      </c>
      <c r="D150" s="390">
        <v>-13.36</v>
      </c>
      <c r="E150" s="390">
        <v>-24.11</v>
      </c>
      <c r="F150" s="390">
        <v>32.630000000000003</v>
      </c>
      <c r="G150" s="390">
        <v>15.01</v>
      </c>
      <c r="H150" s="390">
        <v>-27.17</v>
      </c>
      <c r="I150" s="390">
        <v>-10.91</v>
      </c>
      <c r="J150" s="390">
        <v>18.05</v>
      </c>
      <c r="K150" s="390">
        <v>-34.96</v>
      </c>
      <c r="L150" s="390">
        <v>9.57</v>
      </c>
      <c r="M150" s="390">
        <v>17.14</v>
      </c>
      <c r="N150" s="390">
        <v>66.569999999999993</v>
      </c>
    </row>
    <row r="151" spans="2:14">
      <c r="B151" s="389">
        <v>45456</v>
      </c>
      <c r="C151" s="390">
        <v>6.19</v>
      </c>
      <c r="D151" s="390">
        <v>-13.97</v>
      </c>
      <c r="E151" s="390">
        <v>-24.66</v>
      </c>
      <c r="F151" s="390">
        <v>30.4</v>
      </c>
      <c r="G151" s="390">
        <v>14.63</v>
      </c>
      <c r="H151" s="390">
        <v>-29.14</v>
      </c>
      <c r="I151" s="390">
        <v>-11.29</v>
      </c>
      <c r="J151" s="390">
        <v>16.75</v>
      </c>
      <c r="K151" s="390">
        <v>-35.83</v>
      </c>
      <c r="L151" s="390">
        <v>7.25</v>
      </c>
      <c r="M151" s="390">
        <v>17.8</v>
      </c>
      <c r="N151" s="390">
        <v>64.48</v>
      </c>
    </row>
    <row r="152" spans="2:14">
      <c r="B152" s="389">
        <v>45457</v>
      </c>
      <c r="C152" s="390">
        <v>3.27</v>
      </c>
      <c r="D152" s="390">
        <v>-17.27</v>
      </c>
      <c r="E152" s="390">
        <v>-27.85</v>
      </c>
      <c r="F152" s="390">
        <v>28.44</v>
      </c>
      <c r="G152" s="390">
        <v>12.37</v>
      </c>
      <c r="H152" s="390">
        <v>-31.31</v>
      </c>
      <c r="I152" s="390">
        <v>-12.91</v>
      </c>
      <c r="J152" s="390">
        <v>15.24</v>
      </c>
      <c r="K152" s="390">
        <v>-36.79</v>
      </c>
      <c r="L152" s="390">
        <v>4.2</v>
      </c>
      <c r="M152" s="390">
        <v>14.75</v>
      </c>
      <c r="N152" s="390">
        <v>48.06</v>
      </c>
    </row>
    <row r="153" spans="2:14">
      <c r="B153" s="389">
        <v>45460</v>
      </c>
      <c r="C153" s="390">
        <v>4.1399999999999997</v>
      </c>
      <c r="D153" s="390">
        <v>-16.68</v>
      </c>
      <c r="E153" s="390">
        <v>-27.43</v>
      </c>
      <c r="F153" s="390">
        <v>26.87</v>
      </c>
      <c r="G153" s="390">
        <v>13.37</v>
      </c>
      <c r="H153" s="390">
        <v>-30.08</v>
      </c>
      <c r="I153" s="390">
        <v>-13.17</v>
      </c>
      <c r="J153" s="390">
        <v>15.54</v>
      </c>
      <c r="K153" s="390">
        <v>-36.19</v>
      </c>
      <c r="L153" s="390">
        <v>5.28</v>
      </c>
      <c r="M153" s="390">
        <v>15.46</v>
      </c>
      <c r="N153" s="390">
        <v>34.03</v>
      </c>
    </row>
    <row r="154" spans="2:14">
      <c r="B154" s="389">
        <v>45461</v>
      </c>
      <c r="C154" s="390">
        <v>3.08</v>
      </c>
      <c r="D154" s="390">
        <v>-15.02</v>
      </c>
      <c r="E154" s="390">
        <v>-27.88</v>
      </c>
      <c r="F154" s="390">
        <v>26.12</v>
      </c>
      <c r="G154" s="390">
        <v>10.34</v>
      </c>
      <c r="H154" s="390">
        <v>-29.51</v>
      </c>
      <c r="I154" s="390">
        <v>-10.039999999999999</v>
      </c>
      <c r="J154" s="390">
        <v>13.03</v>
      </c>
      <c r="K154" s="390">
        <v>-36.729999999999997</v>
      </c>
      <c r="L154" s="390">
        <v>4.47</v>
      </c>
      <c r="M154" s="390">
        <v>15.13</v>
      </c>
      <c r="N154" s="390">
        <v>45.67</v>
      </c>
    </row>
    <row r="155" spans="2:14">
      <c r="B155" s="389">
        <v>45462</v>
      </c>
      <c r="C155" s="390">
        <v>2.63</v>
      </c>
      <c r="D155" s="390">
        <v>-15.6</v>
      </c>
      <c r="E155" s="390">
        <v>-29.02</v>
      </c>
      <c r="F155" s="390">
        <v>25.85</v>
      </c>
      <c r="G155" s="390">
        <v>8.35</v>
      </c>
      <c r="H155" s="390">
        <v>-29.84</v>
      </c>
      <c r="I155" s="390">
        <v>-10.02</v>
      </c>
      <c r="J155" s="391" t="e">
        <v>#N/A</v>
      </c>
      <c r="K155" s="391" t="e">
        <v>#N/A</v>
      </c>
      <c r="L155" s="391" t="e">
        <v>#N/A</v>
      </c>
      <c r="M155" s="390">
        <v>15.57</v>
      </c>
      <c r="N155" s="391" t="e">
        <v>#N/A</v>
      </c>
    </row>
    <row r="156" spans="2:14">
      <c r="B156" s="389">
        <v>45463</v>
      </c>
      <c r="C156" s="390">
        <v>3.59</v>
      </c>
      <c r="D156" s="390">
        <v>-13.53</v>
      </c>
      <c r="E156" s="390">
        <v>-28.44</v>
      </c>
      <c r="F156" s="390">
        <v>24.69</v>
      </c>
      <c r="G156" s="390">
        <v>9.23</v>
      </c>
      <c r="H156" s="390">
        <v>-29.27</v>
      </c>
      <c r="I156" s="390">
        <v>-11.47</v>
      </c>
      <c r="J156" s="390">
        <v>13.86</v>
      </c>
      <c r="K156" s="390">
        <v>-38.29</v>
      </c>
      <c r="L156" s="390">
        <v>5.72</v>
      </c>
      <c r="M156" s="390">
        <v>17.899999999999999</v>
      </c>
      <c r="N156" s="390">
        <v>48.06</v>
      </c>
    </row>
    <row r="157" spans="2:14">
      <c r="B157" s="389">
        <v>45464</v>
      </c>
      <c r="C157" s="390">
        <v>4.13</v>
      </c>
      <c r="D157" s="390">
        <v>-12.45</v>
      </c>
      <c r="E157" s="390">
        <v>-27.49</v>
      </c>
      <c r="F157" s="390">
        <v>24.06</v>
      </c>
      <c r="G157" s="390">
        <v>8.8800000000000008</v>
      </c>
      <c r="H157" s="390">
        <v>-31.26</v>
      </c>
      <c r="I157" s="390">
        <v>-11.76</v>
      </c>
      <c r="J157" s="390">
        <v>14.77</v>
      </c>
      <c r="K157" s="390">
        <v>-37.590000000000003</v>
      </c>
      <c r="L157" s="390">
        <v>5.99</v>
      </c>
      <c r="M157" s="390">
        <v>17.420000000000002</v>
      </c>
      <c r="N157" s="390">
        <v>47.16</v>
      </c>
    </row>
    <row r="158" spans="2:14">
      <c r="B158" s="389">
        <v>45467</v>
      </c>
      <c r="C158" s="390">
        <v>5.46</v>
      </c>
      <c r="D158" s="390">
        <v>-11.33</v>
      </c>
      <c r="E158" s="390">
        <v>-25.06</v>
      </c>
      <c r="F158" s="390">
        <v>25.45</v>
      </c>
      <c r="G158" s="390">
        <v>11.64</v>
      </c>
      <c r="H158" s="390">
        <v>-29.92</v>
      </c>
      <c r="I158" s="390">
        <v>-9.5</v>
      </c>
      <c r="J158" s="390">
        <v>17.77</v>
      </c>
      <c r="K158" s="390">
        <v>-37.17</v>
      </c>
      <c r="L158" s="390">
        <v>6.26</v>
      </c>
      <c r="M158" s="390">
        <v>18.34</v>
      </c>
      <c r="N158" s="390">
        <v>47.16</v>
      </c>
    </row>
    <row r="159" spans="2:14">
      <c r="B159" s="389">
        <v>45468</v>
      </c>
      <c r="C159" s="390">
        <v>6.96</v>
      </c>
      <c r="D159" s="390">
        <v>-11.07</v>
      </c>
      <c r="E159" s="390">
        <v>-28.41</v>
      </c>
      <c r="F159" s="390">
        <v>28.88</v>
      </c>
      <c r="G159" s="390">
        <v>12.25</v>
      </c>
      <c r="H159" s="390">
        <v>-30.69</v>
      </c>
      <c r="I159" s="390">
        <v>-10.130000000000001</v>
      </c>
      <c r="J159" s="390">
        <v>15.4</v>
      </c>
      <c r="K159" s="390">
        <v>-36.39</v>
      </c>
      <c r="L159" s="390">
        <v>5.46</v>
      </c>
      <c r="M159" s="390">
        <v>20.02</v>
      </c>
      <c r="N159" s="390">
        <v>50.45</v>
      </c>
    </row>
    <row r="160" spans="2:14">
      <c r="B160" s="389">
        <v>45469</v>
      </c>
      <c r="C160" s="390">
        <v>5.54</v>
      </c>
      <c r="D160" s="390">
        <v>-10.7</v>
      </c>
      <c r="E160" s="390">
        <v>-29.2</v>
      </c>
      <c r="F160" s="390">
        <v>26.92</v>
      </c>
      <c r="G160" s="390">
        <v>11.99</v>
      </c>
      <c r="H160" s="390">
        <v>-32.24</v>
      </c>
      <c r="I160" s="390">
        <v>-11.03</v>
      </c>
      <c r="J160" s="390">
        <v>14.93</v>
      </c>
      <c r="K160" s="390">
        <v>-35.57</v>
      </c>
      <c r="L160" s="390">
        <v>5.55</v>
      </c>
      <c r="M160" s="390">
        <v>19.59</v>
      </c>
      <c r="N160" s="390">
        <v>46.87</v>
      </c>
    </row>
    <row r="161" spans="2:14">
      <c r="B161" s="389">
        <v>45470</v>
      </c>
      <c r="C161" s="390">
        <v>3.87</v>
      </c>
      <c r="D161" s="390">
        <v>-6.53</v>
      </c>
      <c r="E161" s="390">
        <v>-30.69</v>
      </c>
      <c r="F161" s="390">
        <v>26.79</v>
      </c>
      <c r="G161" s="390">
        <v>9.57</v>
      </c>
      <c r="H161" s="390">
        <v>-32.74</v>
      </c>
      <c r="I161" s="390">
        <v>-11.83</v>
      </c>
      <c r="J161" s="390">
        <v>14.69</v>
      </c>
      <c r="K161" s="390">
        <v>-35.270000000000003</v>
      </c>
      <c r="L161" s="390">
        <v>5.0999999999999996</v>
      </c>
      <c r="M161" s="390">
        <v>18.07</v>
      </c>
      <c r="N161" s="390">
        <v>44.78</v>
      </c>
    </row>
    <row r="162" spans="2:14">
      <c r="B162" s="389">
        <v>45471</v>
      </c>
      <c r="C162" s="390">
        <v>3.59</v>
      </c>
      <c r="D162" s="390">
        <v>-7.42</v>
      </c>
      <c r="E162" s="390">
        <v>-32.380000000000003</v>
      </c>
      <c r="F162" s="390">
        <v>25.22</v>
      </c>
      <c r="G162" s="390">
        <v>9.34</v>
      </c>
      <c r="H162" s="390">
        <v>-33.58</v>
      </c>
      <c r="I162" s="390">
        <v>-13.47</v>
      </c>
      <c r="J162" s="390">
        <v>17.940000000000001</v>
      </c>
      <c r="K162" s="390">
        <v>-34.04</v>
      </c>
      <c r="L162" s="390">
        <v>5.9</v>
      </c>
      <c r="M162" s="390">
        <v>16.27</v>
      </c>
      <c r="N162" s="390">
        <v>52.24</v>
      </c>
    </row>
    <row r="163" spans="2:14">
      <c r="B163" s="389">
        <v>45474</v>
      </c>
      <c r="C163" s="390">
        <v>3.36</v>
      </c>
      <c r="D163" s="390">
        <v>-8.11</v>
      </c>
      <c r="E163" s="390">
        <v>-33.549999999999997</v>
      </c>
      <c r="F163" s="390">
        <v>25.49</v>
      </c>
      <c r="G163" s="390">
        <v>10.15</v>
      </c>
      <c r="H163" s="390">
        <v>-33.64</v>
      </c>
      <c r="I163" s="390">
        <v>-13.05</v>
      </c>
      <c r="J163" s="390">
        <v>15.73</v>
      </c>
      <c r="K163" s="390">
        <v>-32.36</v>
      </c>
      <c r="L163" s="390">
        <v>4.38</v>
      </c>
      <c r="M163" s="390">
        <v>14.21</v>
      </c>
      <c r="N163" s="390">
        <v>51.34</v>
      </c>
    </row>
    <row r="164" spans="2:14">
      <c r="B164" s="389">
        <v>45475</v>
      </c>
      <c r="C164" s="390">
        <v>3.01</v>
      </c>
      <c r="D164" s="390">
        <v>-9.92</v>
      </c>
      <c r="E164" s="390">
        <v>-34.71</v>
      </c>
      <c r="F164" s="390">
        <v>25.98</v>
      </c>
      <c r="G164" s="390">
        <v>9.11</v>
      </c>
      <c r="H164" s="390">
        <v>-33.42</v>
      </c>
      <c r="I164" s="390">
        <v>-12.81</v>
      </c>
      <c r="J164" s="390">
        <v>11.74</v>
      </c>
      <c r="K164" s="390">
        <v>-33.340000000000003</v>
      </c>
      <c r="L164" s="390">
        <v>2.86</v>
      </c>
      <c r="M164" s="390">
        <v>14.21</v>
      </c>
      <c r="N164" s="390">
        <v>48.96</v>
      </c>
    </row>
    <row r="165" spans="2:14">
      <c r="B165" s="389">
        <v>45476</v>
      </c>
      <c r="C165" s="390">
        <v>3.77</v>
      </c>
      <c r="D165" s="390">
        <v>-9.58</v>
      </c>
      <c r="E165" s="390">
        <v>-32.43</v>
      </c>
      <c r="F165" s="390">
        <v>25.8</v>
      </c>
      <c r="G165" s="390">
        <v>8.35</v>
      </c>
      <c r="H165" s="390">
        <v>-32.99</v>
      </c>
      <c r="I165" s="390">
        <v>-12.23</v>
      </c>
      <c r="J165" s="390">
        <v>10.77</v>
      </c>
      <c r="K165" s="390">
        <v>-33.54</v>
      </c>
      <c r="L165" s="390">
        <v>3.94</v>
      </c>
      <c r="M165" s="390">
        <v>15.02</v>
      </c>
      <c r="N165" s="390">
        <v>41.79</v>
      </c>
    </row>
    <row r="166" spans="2:14">
      <c r="B166" s="389">
        <v>45477</v>
      </c>
      <c r="C166" s="390">
        <v>4.49</v>
      </c>
      <c r="D166" s="390">
        <v>-8.15</v>
      </c>
      <c r="E166" s="390">
        <v>-32.340000000000003</v>
      </c>
      <c r="F166" s="390">
        <v>25.49</v>
      </c>
      <c r="G166" s="390">
        <v>8.0399999999999991</v>
      </c>
      <c r="H166" s="390">
        <v>-35.409999999999997</v>
      </c>
      <c r="I166" s="390">
        <v>-11.36</v>
      </c>
      <c r="J166" s="391" t="e">
        <v>#N/A</v>
      </c>
      <c r="K166" s="391" t="e">
        <v>#N/A</v>
      </c>
      <c r="L166" s="391" t="e">
        <v>#N/A</v>
      </c>
      <c r="M166" s="390">
        <v>15.3</v>
      </c>
      <c r="N166" s="391" t="e">
        <v>#N/A</v>
      </c>
    </row>
    <row r="167" spans="2:14">
      <c r="B167" s="389">
        <v>45478</v>
      </c>
      <c r="C167" s="390">
        <v>4</v>
      </c>
      <c r="D167" s="390">
        <v>-8.36</v>
      </c>
      <c r="E167" s="390">
        <v>-31.54</v>
      </c>
      <c r="F167" s="390">
        <v>24.82</v>
      </c>
      <c r="G167" s="390">
        <v>8.61</v>
      </c>
      <c r="H167" s="390">
        <v>-34.57</v>
      </c>
      <c r="I167" s="390">
        <v>-12.08</v>
      </c>
      <c r="J167" s="390">
        <v>10.63</v>
      </c>
      <c r="K167" s="390">
        <v>-33.42</v>
      </c>
      <c r="L167" s="390">
        <v>2.67</v>
      </c>
      <c r="M167" s="390">
        <v>14.97</v>
      </c>
      <c r="N167" s="390">
        <v>42.39</v>
      </c>
    </row>
    <row r="168" spans="2:14">
      <c r="B168" s="389">
        <v>45481</v>
      </c>
      <c r="C168" s="390">
        <v>0.99</v>
      </c>
      <c r="D168" s="390">
        <v>-10.92</v>
      </c>
      <c r="E168" s="390">
        <v>-30.81</v>
      </c>
      <c r="F168" s="390">
        <v>23.44</v>
      </c>
      <c r="G168" s="390">
        <v>7.89</v>
      </c>
      <c r="H168" s="390">
        <v>-35.270000000000003</v>
      </c>
      <c r="I168" s="390">
        <v>-12.48</v>
      </c>
      <c r="J168" s="390">
        <v>15.51</v>
      </c>
      <c r="K168" s="390">
        <v>-32.159999999999997</v>
      </c>
      <c r="L168" s="390">
        <v>2.13</v>
      </c>
      <c r="M168" s="390">
        <v>13.5</v>
      </c>
      <c r="N168" s="390">
        <v>35.520000000000003</v>
      </c>
    </row>
    <row r="169" spans="2:14">
      <c r="B169" s="389">
        <v>45482</v>
      </c>
      <c r="C169" s="390">
        <v>-0.28000000000000003</v>
      </c>
      <c r="D169" s="390">
        <v>-11.96</v>
      </c>
      <c r="E169" s="390">
        <v>-33.950000000000003</v>
      </c>
      <c r="F169" s="390">
        <v>23.3</v>
      </c>
      <c r="G169" s="390">
        <v>6.47</v>
      </c>
      <c r="H169" s="390">
        <v>-36.58</v>
      </c>
      <c r="I169" s="390">
        <v>-13.31</v>
      </c>
      <c r="J169" s="390">
        <v>14.55</v>
      </c>
      <c r="K169" s="390">
        <v>-32.22</v>
      </c>
      <c r="L169" s="390">
        <v>-1.31</v>
      </c>
      <c r="M169" s="390">
        <v>11.98</v>
      </c>
      <c r="N169" s="390">
        <v>31.34</v>
      </c>
    </row>
    <row r="170" spans="2:14">
      <c r="B170" s="389">
        <v>45483</v>
      </c>
      <c r="C170" s="390">
        <v>1.27</v>
      </c>
      <c r="D170" s="390">
        <v>-11.13</v>
      </c>
      <c r="E170" s="390">
        <v>-33.69</v>
      </c>
      <c r="F170" s="390">
        <v>24.42</v>
      </c>
      <c r="G170" s="390">
        <v>8.5399999999999991</v>
      </c>
      <c r="H170" s="390">
        <v>-37.380000000000003</v>
      </c>
      <c r="I170" s="390">
        <v>-12.88</v>
      </c>
      <c r="J170" s="390">
        <v>16.73</v>
      </c>
      <c r="K170" s="390">
        <v>-32.020000000000003</v>
      </c>
      <c r="L170" s="390">
        <v>-2.21</v>
      </c>
      <c r="M170" s="390">
        <v>13.34</v>
      </c>
      <c r="N170" s="390">
        <v>28.96</v>
      </c>
    </row>
    <row r="171" spans="2:14">
      <c r="B171" s="389">
        <v>45484</v>
      </c>
      <c r="C171" s="390">
        <v>3.07</v>
      </c>
      <c r="D171" s="390">
        <v>-9.3800000000000008</v>
      </c>
      <c r="E171" s="390">
        <v>-32.549999999999997</v>
      </c>
      <c r="F171" s="390">
        <v>26.21</v>
      </c>
      <c r="G171" s="390">
        <v>9.5299999999999994</v>
      </c>
      <c r="H171" s="390">
        <v>-35.82</v>
      </c>
      <c r="I171" s="390">
        <v>-12.27</v>
      </c>
      <c r="J171" s="390">
        <v>19.84</v>
      </c>
      <c r="K171" s="390">
        <v>-29.87</v>
      </c>
      <c r="L171" s="390">
        <v>1.77</v>
      </c>
      <c r="M171" s="390">
        <v>15.02</v>
      </c>
      <c r="N171" s="390">
        <v>46.57</v>
      </c>
    </row>
    <row r="172" spans="2:14">
      <c r="B172" s="389">
        <v>45485</v>
      </c>
      <c r="C172" s="390">
        <v>5.22</v>
      </c>
      <c r="D172" s="390">
        <v>-7.23</v>
      </c>
      <c r="E172" s="390">
        <v>-31.7</v>
      </c>
      <c r="F172" s="390">
        <v>27.68</v>
      </c>
      <c r="G172" s="390">
        <v>11.68</v>
      </c>
      <c r="H172" s="390">
        <v>-33.880000000000003</v>
      </c>
      <c r="I172" s="390">
        <v>-11.05</v>
      </c>
      <c r="J172" s="390">
        <v>21</v>
      </c>
      <c r="K172" s="390">
        <v>-28.59</v>
      </c>
      <c r="L172" s="390">
        <v>2.58</v>
      </c>
      <c r="M172" s="390">
        <v>17.899999999999999</v>
      </c>
      <c r="N172" s="390">
        <v>39.700000000000003</v>
      </c>
    </row>
    <row r="173" spans="2:14">
      <c r="B173" s="389">
        <v>45488</v>
      </c>
      <c r="C173" s="390">
        <v>2.4300000000000002</v>
      </c>
      <c r="D173" s="390">
        <v>-12.13</v>
      </c>
      <c r="E173" s="390">
        <v>-42.69</v>
      </c>
      <c r="F173" s="390">
        <v>22.37</v>
      </c>
      <c r="G173" s="390">
        <v>9.0299999999999994</v>
      </c>
      <c r="H173" s="390">
        <v>-35.81</v>
      </c>
      <c r="I173" s="390">
        <v>-19.75</v>
      </c>
      <c r="J173" s="391" t="e">
        <v>#N/A</v>
      </c>
      <c r="K173" s="391" t="e">
        <v>#N/A</v>
      </c>
      <c r="L173" s="391" t="e">
        <v>#N/A</v>
      </c>
      <c r="M173" s="390">
        <v>14.86</v>
      </c>
      <c r="N173" s="390"/>
    </row>
    <row r="178" spans="2:14">
      <c r="B178" s="388" t="s">
        <v>1690</v>
      </c>
      <c r="C178" s="388" t="s">
        <v>1703</v>
      </c>
      <c r="D178" s="388" t="s">
        <v>1704</v>
      </c>
      <c r="E178" s="388" t="s">
        <v>960</v>
      </c>
      <c r="F178" s="388" t="s">
        <v>1705</v>
      </c>
      <c r="G178" s="388" t="s">
        <v>1267</v>
      </c>
      <c r="H178" s="388" t="s">
        <v>1706</v>
      </c>
      <c r="I178" s="388" t="s">
        <v>1707</v>
      </c>
      <c r="J178" s="388" t="s">
        <v>1708</v>
      </c>
      <c r="K178" s="388" t="s">
        <v>1709</v>
      </c>
      <c r="L178" s="388" t="s">
        <v>1710</v>
      </c>
      <c r="M178" s="388" t="s">
        <v>1712</v>
      </c>
      <c r="N178" s="388" t="s">
        <v>637</v>
      </c>
    </row>
    <row r="179" spans="2:14">
      <c r="B179" s="389">
        <v>45292</v>
      </c>
      <c r="C179" s="394">
        <v>100</v>
      </c>
      <c r="D179" s="394">
        <v>100</v>
      </c>
      <c r="E179" s="394">
        <v>100</v>
      </c>
      <c r="F179" s="394">
        <v>100</v>
      </c>
      <c r="G179" s="394">
        <v>100</v>
      </c>
      <c r="H179" s="394">
        <v>100</v>
      </c>
      <c r="I179" s="394">
        <v>100</v>
      </c>
      <c r="J179" s="394">
        <v>100</v>
      </c>
      <c r="K179" s="394">
        <v>100</v>
      </c>
      <c r="L179" s="394">
        <v>100</v>
      </c>
      <c r="M179" s="394">
        <v>100</v>
      </c>
      <c r="N179" s="394">
        <v>100</v>
      </c>
    </row>
    <row r="180" spans="2:14">
      <c r="B180" s="389">
        <v>45293</v>
      </c>
      <c r="C180" s="394">
        <f t="shared" ref="C180:C211" si="0">IFERROR(C$179*(1+C35/100),C179)</f>
        <v>103.97000000000001</v>
      </c>
      <c r="D180" s="394">
        <f t="shared" ref="D180:L180" si="1">IFERROR(D$179*(1+D35/100),D179)</f>
        <v>103.11999999999999</v>
      </c>
      <c r="E180" s="394">
        <f t="shared" si="1"/>
        <v>103.05</v>
      </c>
      <c r="F180" s="394">
        <f t="shared" si="1"/>
        <v>100</v>
      </c>
      <c r="G180" s="394">
        <f t="shared" si="1"/>
        <v>104.69999999999999</v>
      </c>
      <c r="H180" s="394">
        <f t="shared" si="1"/>
        <v>101.92000000000002</v>
      </c>
      <c r="I180" s="394">
        <f t="shared" si="1"/>
        <v>100</v>
      </c>
      <c r="J180" s="394">
        <f t="shared" si="1"/>
        <v>103.58000000000001</v>
      </c>
      <c r="K180" s="394">
        <f t="shared" si="1"/>
        <v>100.32000000000001</v>
      </c>
      <c r="L180" s="394">
        <f t="shared" si="1"/>
        <v>101.07</v>
      </c>
      <c r="M180" s="394">
        <f t="shared" ref="M180:M211" si="2">IFERROR(M$179*(1+M35/100),M179)</f>
        <v>101.94000000000001</v>
      </c>
      <c r="N180" s="394">
        <f t="shared" ref="N180:N211" si="3">IFERROR(N$179*(1+N35/100),N179)</f>
        <v>97.009999999999991</v>
      </c>
    </row>
    <row r="181" spans="2:14">
      <c r="B181" s="389">
        <v>45294</v>
      </c>
      <c r="C181" s="394">
        <f t="shared" si="0"/>
        <v>100</v>
      </c>
      <c r="D181" s="394">
        <f t="shared" ref="D181:D212" si="4">IFERROR(D$179*(1+D36/100),D180)</f>
        <v>100</v>
      </c>
      <c r="E181" s="394">
        <f t="shared" ref="E181:E212" si="5">IFERROR(E$179*(1+E36/100),E180)</f>
        <v>100</v>
      </c>
      <c r="F181" s="394">
        <f t="shared" ref="F181:F212" si="6">IFERROR(F$179*(1+F36/100),F180)</f>
        <v>100</v>
      </c>
      <c r="G181" s="394">
        <f t="shared" ref="G181:G212" si="7">IFERROR(G$179*(1+G36/100),G180)</f>
        <v>100</v>
      </c>
      <c r="H181" s="394">
        <f t="shared" ref="H181:H212" si="8">IFERROR(H$179*(1+H36/100),H180)</f>
        <v>100</v>
      </c>
      <c r="I181" s="394">
        <f t="shared" ref="I181:I212" si="9">IFERROR(I$179*(1+I36/100),I180)</f>
        <v>100</v>
      </c>
      <c r="J181" s="394">
        <f t="shared" ref="J181:J212" si="10">IFERROR(J$179*(1+J36/100),J180)</f>
        <v>100</v>
      </c>
      <c r="K181" s="394">
        <f t="shared" ref="K181:K212" si="11">IFERROR(K$179*(1+K36/100),K180)</f>
        <v>100</v>
      </c>
      <c r="L181" s="394">
        <f t="shared" ref="L181:L212" si="12">IFERROR(L$179*(1+L36/100),L180)</f>
        <v>100</v>
      </c>
      <c r="M181" s="394">
        <f t="shared" si="2"/>
        <v>100</v>
      </c>
      <c r="N181" s="394">
        <f t="shared" si="3"/>
        <v>100</v>
      </c>
    </row>
    <row r="182" spans="2:14">
      <c r="B182" s="389">
        <v>45295</v>
      </c>
      <c r="C182" s="394">
        <f t="shared" si="0"/>
        <v>100.35000000000001</v>
      </c>
      <c r="D182" s="394">
        <f t="shared" si="4"/>
        <v>99.550000000000011</v>
      </c>
      <c r="E182" s="394">
        <f t="shared" si="5"/>
        <v>100.07</v>
      </c>
      <c r="F182" s="394">
        <f t="shared" si="6"/>
        <v>100.44999999999999</v>
      </c>
      <c r="G182" s="394">
        <f t="shared" si="7"/>
        <v>98.42</v>
      </c>
      <c r="H182" s="394">
        <f t="shared" si="8"/>
        <v>98.61</v>
      </c>
      <c r="I182" s="394">
        <f t="shared" si="9"/>
        <v>101.44999999999999</v>
      </c>
      <c r="J182" s="394">
        <f t="shared" si="10"/>
        <v>100.14</v>
      </c>
      <c r="K182" s="394">
        <f t="shared" si="11"/>
        <v>100.18</v>
      </c>
      <c r="L182" s="394">
        <f t="shared" si="12"/>
        <v>98.3</v>
      </c>
      <c r="M182" s="394">
        <f t="shared" si="2"/>
        <v>99.429999999999993</v>
      </c>
      <c r="N182" s="394">
        <f t="shared" si="3"/>
        <v>98.509999999999991</v>
      </c>
    </row>
    <row r="183" spans="2:14">
      <c r="B183" s="389">
        <v>45296</v>
      </c>
      <c r="C183" s="394">
        <f t="shared" si="0"/>
        <v>99.070000000000007</v>
      </c>
      <c r="D183" s="394">
        <f t="shared" si="4"/>
        <v>99.28</v>
      </c>
      <c r="E183" s="394">
        <f t="shared" si="5"/>
        <v>101.44</v>
      </c>
      <c r="F183" s="394">
        <f t="shared" si="6"/>
        <v>100.08999999999999</v>
      </c>
      <c r="G183" s="394">
        <f t="shared" si="7"/>
        <v>98.08</v>
      </c>
      <c r="H183" s="394">
        <f t="shared" si="8"/>
        <v>98.550000000000011</v>
      </c>
      <c r="I183" s="394">
        <f t="shared" si="9"/>
        <v>99.45</v>
      </c>
      <c r="J183" s="394">
        <f t="shared" si="10"/>
        <v>101.29999999999998</v>
      </c>
      <c r="K183" s="394">
        <f t="shared" si="11"/>
        <v>101.08</v>
      </c>
      <c r="L183" s="394">
        <f t="shared" si="12"/>
        <v>97.76</v>
      </c>
      <c r="M183" s="394">
        <f t="shared" si="2"/>
        <v>97.78</v>
      </c>
      <c r="N183" s="394">
        <f t="shared" si="3"/>
        <v>98.509999999999991</v>
      </c>
    </row>
    <row r="184" spans="2:14">
      <c r="B184" s="389">
        <v>45299</v>
      </c>
      <c r="C184" s="394">
        <f t="shared" si="0"/>
        <v>99.41</v>
      </c>
      <c r="D184" s="394">
        <f t="shared" si="4"/>
        <v>101.13000000000001</v>
      </c>
      <c r="E184" s="394">
        <f t="shared" si="5"/>
        <v>102.42999999999999</v>
      </c>
      <c r="F184" s="394">
        <f t="shared" si="6"/>
        <v>100.94000000000001</v>
      </c>
      <c r="G184" s="394">
        <f t="shared" si="7"/>
        <v>100.56</v>
      </c>
      <c r="H184" s="394">
        <f t="shared" si="8"/>
        <v>100.74000000000001</v>
      </c>
      <c r="I184" s="394">
        <f t="shared" si="9"/>
        <v>100.27</v>
      </c>
      <c r="J184" s="394">
        <f t="shared" si="10"/>
        <v>103.36000000000001</v>
      </c>
      <c r="K184" s="394">
        <f t="shared" si="11"/>
        <v>100.67999999999999</v>
      </c>
      <c r="L184" s="394">
        <f t="shared" si="12"/>
        <v>97.94</v>
      </c>
      <c r="M184" s="394">
        <f t="shared" si="2"/>
        <v>98.66</v>
      </c>
      <c r="N184" s="394">
        <f t="shared" si="3"/>
        <v>98.509999999999991</v>
      </c>
    </row>
    <row r="185" spans="2:14">
      <c r="B185" s="389">
        <v>45300</v>
      </c>
      <c r="C185" s="394">
        <f t="shared" si="0"/>
        <v>97.89</v>
      </c>
      <c r="D185" s="394">
        <f t="shared" si="4"/>
        <v>100.75</v>
      </c>
      <c r="E185" s="394">
        <f t="shared" si="5"/>
        <v>101.66</v>
      </c>
      <c r="F185" s="394">
        <f t="shared" si="6"/>
        <v>100.66999999999999</v>
      </c>
      <c r="G185" s="394">
        <f t="shared" si="7"/>
        <v>101.88</v>
      </c>
      <c r="H185" s="394">
        <f t="shared" si="8"/>
        <v>99.63</v>
      </c>
      <c r="I185" s="394">
        <f t="shared" si="9"/>
        <v>99.72999999999999</v>
      </c>
      <c r="J185" s="394">
        <f t="shared" si="10"/>
        <v>101.66</v>
      </c>
      <c r="K185" s="394">
        <f t="shared" si="11"/>
        <v>100.47999999999999</v>
      </c>
      <c r="L185" s="394">
        <f t="shared" si="12"/>
        <v>101.16000000000001</v>
      </c>
      <c r="M185" s="394">
        <f t="shared" si="2"/>
        <v>98.11999999999999</v>
      </c>
      <c r="N185" s="394">
        <f t="shared" si="3"/>
        <v>91.34</v>
      </c>
    </row>
    <row r="186" spans="2:14">
      <c r="B186" s="389">
        <v>45301</v>
      </c>
      <c r="C186" s="394">
        <f t="shared" si="0"/>
        <v>98.22</v>
      </c>
      <c r="D186" s="394">
        <f t="shared" si="4"/>
        <v>100.14</v>
      </c>
      <c r="E186" s="394">
        <f t="shared" si="5"/>
        <v>103.28</v>
      </c>
      <c r="F186" s="394">
        <f t="shared" si="6"/>
        <v>100.27</v>
      </c>
      <c r="G186" s="394">
        <f t="shared" si="7"/>
        <v>102.18</v>
      </c>
      <c r="H186" s="394">
        <f t="shared" si="8"/>
        <v>102.50999999999999</v>
      </c>
      <c r="I186" s="394">
        <f t="shared" si="9"/>
        <v>99</v>
      </c>
      <c r="J186" s="394">
        <f t="shared" si="10"/>
        <v>101.74000000000001</v>
      </c>
      <c r="K186" s="394">
        <f t="shared" si="11"/>
        <v>101.75</v>
      </c>
      <c r="L186" s="394">
        <f t="shared" si="12"/>
        <v>96.06</v>
      </c>
      <c r="M186" s="394">
        <f t="shared" si="2"/>
        <v>99.61</v>
      </c>
      <c r="N186" s="394">
        <f t="shared" si="3"/>
        <v>92.24</v>
      </c>
    </row>
    <row r="187" spans="2:14">
      <c r="B187" s="389">
        <v>45302</v>
      </c>
      <c r="C187" s="394">
        <f t="shared" si="0"/>
        <v>96.66</v>
      </c>
      <c r="D187" s="394">
        <f t="shared" si="4"/>
        <v>97.38</v>
      </c>
      <c r="E187" s="394">
        <f t="shared" si="5"/>
        <v>100.15</v>
      </c>
      <c r="F187" s="394">
        <f t="shared" si="6"/>
        <v>98.61999999999999</v>
      </c>
      <c r="G187" s="394">
        <f t="shared" si="7"/>
        <v>100.49</v>
      </c>
      <c r="H187" s="394">
        <f t="shared" si="8"/>
        <v>102.66</v>
      </c>
      <c r="I187" s="394">
        <f t="shared" si="9"/>
        <v>98.45</v>
      </c>
      <c r="J187" s="394">
        <f t="shared" si="10"/>
        <v>102.23</v>
      </c>
      <c r="K187" s="394">
        <f t="shared" si="11"/>
        <v>101.62</v>
      </c>
      <c r="L187" s="394">
        <f t="shared" si="12"/>
        <v>98.39</v>
      </c>
      <c r="M187" s="394">
        <f t="shared" si="2"/>
        <v>98.68</v>
      </c>
      <c r="N187" s="394">
        <f t="shared" si="3"/>
        <v>94.63000000000001</v>
      </c>
    </row>
    <row r="188" spans="2:14">
      <c r="B188" s="389">
        <v>45303</v>
      </c>
      <c r="C188" s="394">
        <f t="shared" si="0"/>
        <v>96.33</v>
      </c>
      <c r="D188" s="394">
        <f t="shared" si="4"/>
        <v>96.21</v>
      </c>
      <c r="E188" s="394">
        <f t="shared" si="5"/>
        <v>94.63000000000001</v>
      </c>
      <c r="F188" s="394">
        <f t="shared" si="6"/>
        <v>98.440000000000012</v>
      </c>
      <c r="G188" s="394">
        <f t="shared" si="7"/>
        <v>101.13000000000001</v>
      </c>
      <c r="H188" s="394">
        <f t="shared" si="8"/>
        <v>103.03</v>
      </c>
      <c r="I188" s="394">
        <f t="shared" si="9"/>
        <v>97.82</v>
      </c>
      <c r="J188" s="394">
        <f t="shared" si="10"/>
        <v>98.61999999999999</v>
      </c>
      <c r="K188" s="394">
        <f t="shared" si="11"/>
        <v>101.02</v>
      </c>
      <c r="L188" s="394">
        <f t="shared" si="12"/>
        <v>97.05</v>
      </c>
      <c r="M188" s="394">
        <f t="shared" si="2"/>
        <v>98.69</v>
      </c>
      <c r="N188" s="394">
        <f t="shared" si="3"/>
        <v>98.509999999999991</v>
      </c>
    </row>
    <row r="189" spans="2:14">
      <c r="B189" s="389">
        <v>45306</v>
      </c>
      <c r="C189" s="394">
        <f t="shared" si="0"/>
        <v>96.23</v>
      </c>
      <c r="D189" s="394">
        <f t="shared" si="4"/>
        <v>96.28</v>
      </c>
      <c r="E189" s="394">
        <f t="shared" si="5"/>
        <v>89.22</v>
      </c>
      <c r="F189" s="394">
        <f t="shared" si="6"/>
        <v>98.08</v>
      </c>
      <c r="G189" s="394">
        <f t="shared" si="7"/>
        <v>100.67999999999999</v>
      </c>
      <c r="H189" s="394">
        <f t="shared" si="8"/>
        <v>102.54</v>
      </c>
      <c r="I189" s="394">
        <f t="shared" si="9"/>
        <v>98.14</v>
      </c>
      <c r="J189" s="394">
        <f t="shared" si="10"/>
        <v>98.61999999999999</v>
      </c>
      <c r="K189" s="394">
        <f t="shared" si="11"/>
        <v>101.02</v>
      </c>
      <c r="L189" s="394">
        <f t="shared" si="12"/>
        <v>97.05</v>
      </c>
      <c r="M189" s="394">
        <f t="shared" si="2"/>
        <v>98.509999999999991</v>
      </c>
      <c r="N189" s="394">
        <f t="shared" si="3"/>
        <v>98.509999999999991</v>
      </c>
    </row>
    <row r="190" spans="2:14">
      <c r="B190" s="389">
        <v>45307</v>
      </c>
      <c r="C190" s="394">
        <f t="shared" si="0"/>
        <v>95.820000000000007</v>
      </c>
      <c r="D190" s="394">
        <f t="shared" si="4"/>
        <v>95.28</v>
      </c>
      <c r="E190" s="394">
        <f t="shared" si="5"/>
        <v>90.32</v>
      </c>
      <c r="F190" s="394">
        <f t="shared" si="6"/>
        <v>96.43</v>
      </c>
      <c r="G190" s="394">
        <f t="shared" si="7"/>
        <v>98.98</v>
      </c>
      <c r="H190" s="394">
        <f t="shared" si="8"/>
        <v>92.64</v>
      </c>
      <c r="I190" s="394">
        <f t="shared" si="9"/>
        <v>97.36</v>
      </c>
      <c r="J190" s="394">
        <f t="shared" si="10"/>
        <v>98.97</v>
      </c>
      <c r="K190" s="394">
        <f t="shared" si="11"/>
        <v>101.16000000000001</v>
      </c>
      <c r="L190" s="394">
        <f t="shared" si="12"/>
        <v>93.47</v>
      </c>
      <c r="M190" s="394">
        <f t="shared" si="2"/>
        <v>98.08</v>
      </c>
      <c r="N190" s="394">
        <f t="shared" si="3"/>
        <v>94.03</v>
      </c>
    </row>
    <row r="191" spans="2:14">
      <c r="B191" s="389">
        <v>45308</v>
      </c>
      <c r="C191" s="394">
        <f t="shared" si="0"/>
        <v>93.100000000000009</v>
      </c>
      <c r="D191" s="394">
        <f t="shared" si="4"/>
        <v>91.93</v>
      </c>
      <c r="E191" s="394">
        <f t="shared" si="5"/>
        <v>90.91</v>
      </c>
      <c r="F191" s="394">
        <f t="shared" si="6"/>
        <v>94.11</v>
      </c>
      <c r="G191" s="394">
        <f t="shared" si="7"/>
        <v>96.240000000000009</v>
      </c>
      <c r="H191" s="394">
        <f t="shared" si="8"/>
        <v>89.36</v>
      </c>
      <c r="I191" s="394">
        <f t="shared" si="9"/>
        <v>96.320000000000007</v>
      </c>
      <c r="J191" s="394">
        <f t="shared" si="10"/>
        <v>97.26</v>
      </c>
      <c r="K191" s="394">
        <f t="shared" si="11"/>
        <v>100.98</v>
      </c>
      <c r="L191" s="394">
        <f t="shared" si="12"/>
        <v>91.06</v>
      </c>
      <c r="M191" s="394">
        <f t="shared" si="2"/>
        <v>97.25</v>
      </c>
      <c r="N191" s="394">
        <f t="shared" si="3"/>
        <v>90.149999999999991</v>
      </c>
    </row>
    <row r="192" spans="2:14">
      <c r="B192" s="389">
        <v>45309</v>
      </c>
      <c r="C192" s="394">
        <f t="shared" si="0"/>
        <v>95.399999999999991</v>
      </c>
      <c r="D192" s="394">
        <f t="shared" si="4"/>
        <v>93.92</v>
      </c>
      <c r="E192" s="394">
        <f t="shared" si="5"/>
        <v>90.539999999999992</v>
      </c>
      <c r="F192" s="394">
        <f t="shared" si="6"/>
        <v>103.88</v>
      </c>
      <c r="G192" s="394">
        <f t="shared" si="7"/>
        <v>96.99</v>
      </c>
      <c r="H192" s="394">
        <f t="shared" si="8"/>
        <v>89.39</v>
      </c>
      <c r="I192" s="394">
        <f t="shared" si="9"/>
        <v>97.27</v>
      </c>
      <c r="J192" s="394">
        <f t="shared" si="10"/>
        <v>97.23</v>
      </c>
      <c r="K192" s="394">
        <f t="shared" si="11"/>
        <v>100.69999999999999</v>
      </c>
      <c r="L192" s="394">
        <f t="shared" si="12"/>
        <v>91.68</v>
      </c>
      <c r="M192" s="394">
        <f t="shared" si="2"/>
        <v>98.960000000000008</v>
      </c>
      <c r="N192" s="394">
        <f t="shared" si="3"/>
        <v>88.36</v>
      </c>
    </row>
    <row r="193" spans="2:14">
      <c r="B193" s="389">
        <v>45310</v>
      </c>
      <c r="C193" s="394">
        <f t="shared" si="0"/>
        <v>94.820000000000007</v>
      </c>
      <c r="D193" s="394">
        <f t="shared" si="4"/>
        <v>93.100000000000009</v>
      </c>
      <c r="E193" s="394">
        <f t="shared" si="5"/>
        <v>90.73</v>
      </c>
      <c r="F193" s="394">
        <f t="shared" si="6"/>
        <v>103.92999999999999</v>
      </c>
      <c r="G193" s="394">
        <f t="shared" si="7"/>
        <v>96.8</v>
      </c>
      <c r="H193" s="394">
        <f t="shared" si="8"/>
        <v>89.42</v>
      </c>
      <c r="I193" s="394">
        <f t="shared" si="9"/>
        <v>96.5</v>
      </c>
      <c r="J193" s="394">
        <f t="shared" si="10"/>
        <v>99.429999999999993</v>
      </c>
      <c r="K193" s="394">
        <f t="shared" si="11"/>
        <v>100.14</v>
      </c>
      <c r="L193" s="394">
        <f t="shared" si="12"/>
        <v>92.13</v>
      </c>
      <c r="M193" s="394">
        <f t="shared" si="2"/>
        <v>98.47</v>
      </c>
      <c r="N193" s="394">
        <f t="shared" si="3"/>
        <v>89.25</v>
      </c>
    </row>
    <row r="194" spans="2:14">
      <c r="B194" s="389">
        <v>45313</v>
      </c>
      <c r="C194" s="394">
        <f t="shared" si="0"/>
        <v>95.33</v>
      </c>
      <c r="D194" s="394">
        <f t="shared" si="4"/>
        <v>93.99</v>
      </c>
      <c r="E194" s="394">
        <f t="shared" si="5"/>
        <v>91.61</v>
      </c>
      <c r="F194" s="394">
        <f t="shared" si="6"/>
        <v>105.04</v>
      </c>
      <c r="G194" s="394">
        <f t="shared" si="7"/>
        <v>97.48</v>
      </c>
      <c r="H194" s="394">
        <f t="shared" si="8"/>
        <v>89.95</v>
      </c>
      <c r="I194" s="394">
        <f t="shared" si="9"/>
        <v>96.77</v>
      </c>
      <c r="J194" s="394">
        <f t="shared" si="10"/>
        <v>101.63</v>
      </c>
      <c r="K194" s="394">
        <f t="shared" si="11"/>
        <v>99.8</v>
      </c>
      <c r="L194" s="394">
        <f t="shared" si="12"/>
        <v>93.38</v>
      </c>
      <c r="M194" s="394">
        <f t="shared" si="2"/>
        <v>98.65</v>
      </c>
      <c r="N194" s="394">
        <f t="shared" si="3"/>
        <v>88.36</v>
      </c>
    </row>
    <row r="195" spans="2:14">
      <c r="B195" s="389">
        <v>45314</v>
      </c>
      <c r="C195" s="394">
        <f t="shared" si="0"/>
        <v>96.399999999999991</v>
      </c>
      <c r="D195" s="394">
        <f t="shared" si="4"/>
        <v>95.62</v>
      </c>
      <c r="E195" s="394">
        <f t="shared" si="5"/>
        <v>91.61</v>
      </c>
      <c r="F195" s="394">
        <f t="shared" si="6"/>
        <v>106.83</v>
      </c>
      <c r="G195" s="394">
        <f t="shared" si="7"/>
        <v>97.67</v>
      </c>
      <c r="H195" s="394">
        <f t="shared" si="8"/>
        <v>90.63</v>
      </c>
      <c r="I195" s="394">
        <f t="shared" si="9"/>
        <v>92.36</v>
      </c>
      <c r="J195" s="394">
        <f t="shared" si="10"/>
        <v>102.2</v>
      </c>
      <c r="K195" s="394">
        <f t="shared" si="11"/>
        <v>98.68</v>
      </c>
      <c r="L195" s="394">
        <f t="shared" si="12"/>
        <v>95.97</v>
      </c>
      <c r="M195" s="394">
        <f t="shared" si="2"/>
        <v>97.22</v>
      </c>
      <c r="N195" s="394">
        <f t="shared" si="3"/>
        <v>88.36</v>
      </c>
    </row>
    <row r="196" spans="2:14">
      <c r="B196" s="389">
        <v>45315</v>
      </c>
      <c r="C196" s="394">
        <f t="shared" si="0"/>
        <v>98.27</v>
      </c>
      <c r="D196" s="394">
        <f t="shared" si="4"/>
        <v>96.89</v>
      </c>
      <c r="E196" s="394">
        <f t="shared" si="5"/>
        <v>94.99</v>
      </c>
      <c r="F196" s="394">
        <f t="shared" si="6"/>
        <v>108.39000000000001</v>
      </c>
      <c r="G196" s="394">
        <f t="shared" si="7"/>
        <v>97.78</v>
      </c>
      <c r="H196" s="394">
        <f t="shared" si="8"/>
        <v>90.72</v>
      </c>
      <c r="I196" s="394">
        <f t="shared" si="9"/>
        <v>89.929999999999993</v>
      </c>
      <c r="J196" s="394">
        <f t="shared" si="10"/>
        <v>101.86999999999999</v>
      </c>
      <c r="K196" s="394">
        <f t="shared" si="11"/>
        <v>97.69</v>
      </c>
      <c r="L196" s="394">
        <f t="shared" si="12"/>
        <v>94.28</v>
      </c>
      <c r="M196" s="394">
        <f t="shared" si="2"/>
        <v>98.42</v>
      </c>
      <c r="N196" s="394">
        <f t="shared" si="3"/>
        <v>87.160000000000011</v>
      </c>
    </row>
    <row r="197" spans="2:14">
      <c r="B197" s="389">
        <v>45316</v>
      </c>
      <c r="C197" s="394">
        <f t="shared" si="0"/>
        <v>98.550000000000011</v>
      </c>
      <c r="D197" s="394">
        <f t="shared" si="4"/>
        <v>95.89</v>
      </c>
      <c r="E197" s="394">
        <f t="shared" si="5"/>
        <v>94.11</v>
      </c>
      <c r="F197" s="394">
        <f t="shared" si="6"/>
        <v>108.04</v>
      </c>
      <c r="G197" s="394">
        <f t="shared" si="7"/>
        <v>97.59</v>
      </c>
      <c r="H197" s="394">
        <f t="shared" si="8"/>
        <v>90.600000000000009</v>
      </c>
      <c r="I197" s="394">
        <f t="shared" si="9"/>
        <v>89</v>
      </c>
      <c r="J197" s="394">
        <f t="shared" si="10"/>
        <v>103.83</v>
      </c>
      <c r="K197" s="394">
        <f t="shared" si="11"/>
        <v>96.75</v>
      </c>
      <c r="L197" s="394">
        <f t="shared" si="12"/>
        <v>95.62</v>
      </c>
      <c r="M197" s="394">
        <f t="shared" si="2"/>
        <v>99.08</v>
      </c>
      <c r="N197" s="394">
        <f t="shared" si="3"/>
        <v>87.160000000000011</v>
      </c>
    </row>
    <row r="198" spans="2:14">
      <c r="B198" s="389">
        <v>45317</v>
      </c>
      <c r="C198" s="394">
        <f t="shared" si="0"/>
        <v>111.16999999999999</v>
      </c>
      <c r="D198" s="394">
        <f t="shared" si="4"/>
        <v>102.21000000000001</v>
      </c>
      <c r="E198" s="394">
        <f t="shared" si="5"/>
        <v>98.75</v>
      </c>
      <c r="F198" s="394">
        <f t="shared" si="6"/>
        <v>114.73</v>
      </c>
      <c r="G198" s="394">
        <f t="shared" si="7"/>
        <v>107</v>
      </c>
      <c r="H198" s="394">
        <f t="shared" si="8"/>
        <v>92.89</v>
      </c>
      <c r="I198" s="394">
        <f t="shared" si="9"/>
        <v>91.820000000000007</v>
      </c>
      <c r="J198" s="394">
        <f t="shared" si="10"/>
        <v>105.75000000000001</v>
      </c>
      <c r="K198" s="394">
        <f t="shared" si="11"/>
        <v>97.13000000000001</v>
      </c>
      <c r="L198" s="394">
        <f t="shared" si="12"/>
        <v>101.42999999999999</v>
      </c>
      <c r="M198" s="394">
        <f t="shared" si="2"/>
        <v>105.64</v>
      </c>
      <c r="N198" s="394">
        <f t="shared" si="3"/>
        <v>89.25</v>
      </c>
    </row>
    <row r="199" spans="2:14">
      <c r="B199" s="389">
        <v>45320</v>
      </c>
      <c r="C199" s="394">
        <f t="shared" si="0"/>
        <v>111.63000000000001</v>
      </c>
      <c r="D199" s="394">
        <f t="shared" si="4"/>
        <v>102.23</v>
      </c>
      <c r="E199" s="394">
        <f t="shared" si="5"/>
        <v>98.86</v>
      </c>
      <c r="F199" s="394">
        <f t="shared" si="6"/>
        <v>114.96</v>
      </c>
      <c r="G199" s="394">
        <f t="shared" si="7"/>
        <v>107.79</v>
      </c>
      <c r="H199" s="394">
        <f t="shared" si="8"/>
        <v>91.179999999999993</v>
      </c>
      <c r="I199" s="394">
        <f t="shared" si="9"/>
        <v>91.95</v>
      </c>
      <c r="J199" s="394">
        <f t="shared" si="10"/>
        <v>107.60000000000001</v>
      </c>
      <c r="K199" s="394">
        <f t="shared" si="11"/>
        <v>98.54</v>
      </c>
      <c r="L199" s="394">
        <f t="shared" si="12"/>
        <v>102.67999999999999</v>
      </c>
      <c r="M199" s="394">
        <f t="shared" si="2"/>
        <v>105.66</v>
      </c>
      <c r="N199" s="394">
        <f t="shared" si="3"/>
        <v>88.660000000000011</v>
      </c>
    </row>
    <row r="200" spans="2:14">
      <c r="B200" s="389">
        <v>45321</v>
      </c>
      <c r="C200" s="394">
        <f t="shared" si="0"/>
        <v>112.45</v>
      </c>
      <c r="D200" s="394">
        <f t="shared" si="4"/>
        <v>102.49999999999999</v>
      </c>
      <c r="E200" s="394">
        <f t="shared" si="5"/>
        <v>97.460000000000008</v>
      </c>
      <c r="F200" s="394">
        <f t="shared" si="6"/>
        <v>116.47000000000001</v>
      </c>
      <c r="G200" s="394">
        <f t="shared" si="7"/>
        <v>108.58000000000001</v>
      </c>
      <c r="H200" s="394">
        <f t="shared" si="8"/>
        <v>92.300000000000011</v>
      </c>
      <c r="I200" s="394">
        <f t="shared" si="9"/>
        <v>92.820000000000007</v>
      </c>
      <c r="J200" s="394">
        <f t="shared" si="10"/>
        <v>107.08</v>
      </c>
      <c r="K200" s="394">
        <f t="shared" si="11"/>
        <v>98.21</v>
      </c>
      <c r="L200" s="394">
        <f t="shared" si="12"/>
        <v>102.77000000000001</v>
      </c>
      <c r="M200" s="394">
        <f t="shared" si="2"/>
        <v>105.77000000000001</v>
      </c>
      <c r="N200" s="394">
        <f t="shared" si="3"/>
        <v>86.87</v>
      </c>
    </row>
    <row r="201" spans="2:14">
      <c r="B201" s="389">
        <v>45322</v>
      </c>
      <c r="C201" s="394">
        <f t="shared" si="0"/>
        <v>111.25</v>
      </c>
      <c r="D201" s="394">
        <f t="shared" si="4"/>
        <v>101.8</v>
      </c>
      <c r="E201" s="394">
        <f t="shared" si="5"/>
        <v>96.28</v>
      </c>
      <c r="F201" s="394">
        <f t="shared" si="6"/>
        <v>115.17999999999999</v>
      </c>
      <c r="G201" s="394">
        <f t="shared" si="7"/>
        <v>107.83</v>
      </c>
      <c r="H201" s="394">
        <f t="shared" si="8"/>
        <v>89.92</v>
      </c>
      <c r="I201" s="394">
        <f t="shared" si="9"/>
        <v>92.589999999999989</v>
      </c>
      <c r="J201" s="394">
        <f t="shared" si="10"/>
        <v>105.25999999999999</v>
      </c>
      <c r="K201" s="394">
        <f t="shared" si="11"/>
        <v>97.19</v>
      </c>
      <c r="L201" s="394">
        <f t="shared" si="12"/>
        <v>109.03</v>
      </c>
      <c r="M201" s="394">
        <f t="shared" si="2"/>
        <v>105.19000000000001</v>
      </c>
      <c r="N201" s="394">
        <f t="shared" si="3"/>
        <v>82.09</v>
      </c>
    </row>
    <row r="202" spans="2:14">
      <c r="B202" s="389">
        <v>45323</v>
      </c>
      <c r="C202" s="394">
        <f t="shared" si="0"/>
        <v>110.81</v>
      </c>
      <c r="D202" s="394">
        <f t="shared" si="4"/>
        <v>100.49999999999999</v>
      </c>
      <c r="E202" s="394">
        <f t="shared" si="5"/>
        <v>94.52000000000001</v>
      </c>
      <c r="F202" s="394">
        <f t="shared" si="6"/>
        <v>114.73</v>
      </c>
      <c r="G202" s="394">
        <f t="shared" si="7"/>
        <v>107.56000000000002</v>
      </c>
      <c r="H202" s="394">
        <f t="shared" si="8"/>
        <v>87.97</v>
      </c>
      <c r="I202" s="394">
        <f t="shared" si="9"/>
        <v>91.68</v>
      </c>
      <c r="J202" s="394">
        <f t="shared" si="10"/>
        <v>108.60000000000001</v>
      </c>
      <c r="K202" s="394">
        <f t="shared" si="11"/>
        <v>94.62</v>
      </c>
      <c r="L202" s="394">
        <f t="shared" si="12"/>
        <v>118.52000000000001</v>
      </c>
      <c r="M202" s="394">
        <f t="shared" si="2"/>
        <v>106.49</v>
      </c>
      <c r="N202" s="394">
        <f t="shared" si="3"/>
        <v>76.42</v>
      </c>
    </row>
    <row r="203" spans="2:14">
      <c r="B203" s="389">
        <v>45324</v>
      </c>
      <c r="C203" s="394">
        <f t="shared" si="0"/>
        <v>111.89</v>
      </c>
      <c r="D203" s="394">
        <f t="shared" si="4"/>
        <v>100.03</v>
      </c>
      <c r="E203" s="394">
        <f t="shared" si="5"/>
        <v>94.410000000000011</v>
      </c>
      <c r="F203" s="394">
        <f t="shared" si="6"/>
        <v>114.82000000000001</v>
      </c>
      <c r="G203" s="394">
        <f t="shared" si="7"/>
        <v>108.66</v>
      </c>
      <c r="H203" s="394">
        <f t="shared" si="8"/>
        <v>87.94</v>
      </c>
      <c r="I203" s="394">
        <f t="shared" si="9"/>
        <v>90.34</v>
      </c>
      <c r="J203" s="394">
        <f t="shared" si="10"/>
        <v>108.58000000000001</v>
      </c>
      <c r="K203" s="394">
        <f t="shared" si="11"/>
        <v>94.86</v>
      </c>
      <c r="L203" s="394">
        <f t="shared" si="12"/>
        <v>117.35</v>
      </c>
      <c r="M203" s="394">
        <f t="shared" si="2"/>
        <v>108.69</v>
      </c>
      <c r="N203" s="394">
        <f t="shared" si="3"/>
        <v>76.12</v>
      </c>
    </row>
    <row r="204" spans="2:14">
      <c r="B204" s="389">
        <v>45327</v>
      </c>
      <c r="C204" s="394">
        <f t="shared" si="0"/>
        <v>112.27000000000001</v>
      </c>
      <c r="D204" s="394">
        <f t="shared" si="4"/>
        <v>102.03999999999999</v>
      </c>
      <c r="E204" s="394">
        <f t="shared" si="5"/>
        <v>94.99</v>
      </c>
      <c r="F204" s="394">
        <f t="shared" si="6"/>
        <v>114.82000000000001</v>
      </c>
      <c r="G204" s="394">
        <f t="shared" si="7"/>
        <v>108.62</v>
      </c>
      <c r="H204" s="394">
        <f t="shared" si="8"/>
        <v>87.570000000000007</v>
      </c>
      <c r="I204" s="394">
        <f t="shared" si="9"/>
        <v>89.77</v>
      </c>
      <c r="J204" s="394">
        <f t="shared" si="10"/>
        <v>109.55</v>
      </c>
      <c r="K204" s="394">
        <f t="shared" si="11"/>
        <v>93.72</v>
      </c>
      <c r="L204" s="394">
        <f t="shared" si="12"/>
        <v>117.89</v>
      </c>
      <c r="M204" s="394">
        <f t="shared" si="2"/>
        <v>108.83</v>
      </c>
      <c r="N204" s="394">
        <f t="shared" si="3"/>
        <v>75.819999999999993</v>
      </c>
    </row>
    <row r="205" spans="2:14">
      <c r="B205" s="389">
        <v>45328</v>
      </c>
      <c r="C205" s="394">
        <f t="shared" si="0"/>
        <v>112.09</v>
      </c>
      <c r="D205" s="394">
        <f t="shared" si="4"/>
        <v>104.03999999999999</v>
      </c>
      <c r="E205" s="394">
        <f t="shared" si="5"/>
        <v>96.320000000000007</v>
      </c>
      <c r="F205" s="394">
        <f t="shared" si="6"/>
        <v>114.91</v>
      </c>
      <c r="G205" s="394">
        <f t="shared" si="7"/>
        <v>109.86</v>
      </c>
      <c r="H205" s="394">
        <f t="shared" si="8"/>
        <v>88.86</v>
      </c>
      <c r="I205" s="394">
        <f t="shared" si="9"/>
        <v>89.68</v>
      </c>
      <c r="J205" s="394">
        <f t="shared" si="10"/>
        <v>111.26</v>
      </c>
      <c r="K205" s="394">
        <f t="shared" si="11"/>
        <v>92.88</v>
      </c>
      <c r="L205" s="394">
        <f t="shared" si="12"/>
        <v>117.08000000000001</v>
      </c>
      <c r="M205" s="394">
        <f t="shared" si="2"/>
        <v>108.4</v>
      </c>
      <c r="N205" s="394">
        <f t="shared" si="3"/>
        <v>75.22</v>
      </c>
    </row>
    <row r="206" spans="2:14">
      <c r="B206" s="389">
        <v>45329</v>
      </c>
      <c r="C206" s="394">
        <f t="shared" si="0"/>
        <v>112.75999999999999</v>
      </c>
      <c r="D206" s="394">
        <f t="shared" si="4"/>
        <v>103.66</v>
      </c>
      <c r="E206" s="394">
        <f t="shared" si="5"/>
        <v>95.14</v>
      </c>
      <c r="F206" s="394">
        <f t="shared" si="6"/>
        <v>115.31</v>
      </c>
      <c r="G206" s="394">
        <f t="shared" si="7"/>
        <v>109.41000000000001</v>
      </c>
      <c r="H206" s="394">
        <f t="shared" si="8"/>
        <v>88.59</v>
      </c>
      <c r="I206" s="394">
        <f t="shared" si="9"/>
        <v>91.179999999999993</v>
      </c>
      <c r="J206" s="394">
        <f t="shared" si="10"/>
        <v>109.5</v>
      </c>
      <c r="K206" s="394">
        <f t="shared" si="11"/>
        <v>92.16</v>
      </c>
      <c r="L206" s="394">
        <f t="shared" si="12"/>
        <v>115.03000000000002</v>
      </c>
      <c r="M206" s="394">
        <f t="shared" si="2"/>
        <v>109.5</v>
      </c>
      <c r="N206" s="394">
        <f t="shared" si="3"/>
        <v>79.400000000000006</v>
      </c>
    </row>
    <row r="207" spans="2:14">
      <c r="B207" s="389">
        <v>45330</v>
      </c>
      <c r="C207" s="394">
        <f t="shared" si="0"/>
        <v>115.69</v>
      </c>
      <c r="D207" s="394">
        <f t="shared" si="4"/>
        <v>108.74999999999999</v>
      </c>
      <c r="E207" s="394">
        <f t="shared" si="5"/>
        <v>95.399999999999991</v>
      </c>
      <c r="F207" s="394">
        <f t="shared" si="6"/>
        <v>119.15</v>
      </c>
      <c r="G207" s="394">
        <f t="shared" si="7"/>
        <v>110.69</v>
      </c>
      <c r="H207" s="394">
        <f t="shared" si="8"/>
        <v>91</v>
      </c>
      <c r="I207" s="394">
        <f t="shared" si="9"/>
        <v>93.679999999999993</v>
      </c>
      <c r="J207" s="394">
        <f t="shared" si="10"/>
        <v>116.66000000000001</v>
      </c>
      <c r="K207" s="394">
        <f t="shared" si="11"/>
        <v>94.8</v>
      </c>
      <c r="L207" s="394">
        <f t="shared" si="12"/>
        <v>112.16</v>
      </c>
      <c r="M207" s="394">
        <f t="shared" si="2"/>
        <v>111.49</v>
      </c>
      <c r="N207" s="394">
        <f t="shared" si="3"/>
        <v>82.09</v>
      </c>
    </row>
    <row r="208" spans="2:14">
      <c r="B208" s="389">
        <v>45331</v>
      </c>
      <c r="C208" s="394">
        <f t="shared" si="0"/>
        <v>116.12</v>
      </c>
      <c r="D208" s="394">
        <f t="shared" si="4"/>
        <v>109.72999999999999</v>
      </c>
      <c r="E208" s="394">
        <f t="shared" si="5"/>
        <v>93.56</v>
      </c>
      <c r="F208" s="394">
        <f t="shared" si="6"/>
        <v>119.87</v>
      </c>
      <c r="G208" s="394">
        <f t="shared" si="7"/>
        <v>112.08</v>
      </c>
      <c r="H208" s="394">
        <f t="shared" si="8"/>
        <v>93.23</v>
      </c>
      <c r="I208" s="394">
        <f t="shared" si="9"/>
        <v>94.320000000000007</v>
      </c>
      <c r="J208" s="394">
        <f t="shared" si="10"/>
        <v>113.97999999999999</v>
      </c>
      <c r="K208" s="394">
        <f t="shared" si="11"/>
        <v>93.38</v>
      </c>
      <c r="L208" s="394">
        <f t="shared" si="12"/>
        <v>111.9</v>
      </c>
      <c r="M208" s="394">
        <f t="shared" si="2"/>
        <v>116.82999999999998</v>
      </c>
      <c r="N208" s="394">
        <f t="shared" si="3"/>
        <v>84.179999999999993</v>
      </c>
    </row>
    <row r="209" spans="2:14">
      <c r="B209" s="389">
        <v>45334</v>
      </c>
      <c r="C209" s="394">
        <f t="shared" si="0"/>
        <v>118.19</v>
      </c>
      <c r="D209" s="394">
        <f t="shared" si="4"/>
        <v>109.41000000000001</v>
      </c>
      <c r="E209" s="394">
        <f t="shared" si="5"/>
        <v>98.31</v>
      </c>
      <c r="F209" s="394">
        <f t="shared" si="6"/>
        <v>120.67000000000002</v>
      </c>
      <c r="G209" s="394">
        <f t="shared" si="7"/>
        <v>113.55</v>
      </c>
      <c r="H209" s="394">
        <f t="shared" si="8"/>
        <v>96.350000000000009</v>
      </c>
      <c r="I209" s="394">
        <f t="shared" si="9"/>
        <v>96.55</v>
      </c>
      <c r="J209" s="394">
        <f t="shared" si="10"/>
        <v>117.88000000000001</v>
      </c>
      <c r="K209" s="394">
        <f t="shared" si="11"/>
        <v>94.72</v>
      </c>
      <c r="L209" s="394">
        <f t="shared" si="12"/>
        <v>113.33</v>
      </c>
      <c r="M209" s="394">
        <f t="shared" si="2"/>
        <v>117.41999999999999</v>
      </c>
      <c r="N209" s="394">
        <f t="shared" si="3"/>
        <v>81.489999999999995</v>
      </c>
    </row>
    <row r="210" spans="2:14">
      <c r="B210" s="389">
        <v>45335</v>
      </c>
      <c r="C210" s="394">
        <f t="shared" si="0"/>
        <v>115.16</v>
      </c>
      <c r="D210" s="394">
        <f t="shared" si="4"/>
        <v>109.13999999999999</v>
      </c>
      <c r="E210" s="394">
        <f t="shared" si="5"/>
        <v>95.55</v>
      </c>
      <c r="F210" s="394">
        <f t="shared" si="6"/>
        <v>118.48</v>
      </c>
      <c r="G210" s="394">
        <f t="shared" si="7"/>
        <v>111.7</v>
      </c>
      <c r="H210" s="394">
        <f t="shared" si="8"/>
        <v>95.86</v>
      </c>
      <c r="I210" s="394">
        <f t="shared" si="9"/>
        <v>95.05</v>
      </c>
      <c r="J210" s="394">
        <f t="shared" si="10"/>
        <v>115.85000000000001</v>
      </c>
      <c r="K210" s="394">
        <f t="shared" si="11"/>
        <v>93.8</v>
      </c>
      <c r="L210" s="394">
        <f t="shared" si="12"/>
        <v>110.28999999999999</v>
      </c>
      <c r="M210" s="394">
        <f t="shared" si="2"/>
        <v>114.71000000000001</v>
      </c>
      <c r="N210" s="394">
        <f t="shared" si="3"/>
        <v>80</v>
      </c>
    </row>
    <row r="211" spans="2:14">
      <c r="B211" s="389">
        <v>45336</v>
      </c>
      <c r="C211" s="394">
        <f t="shared" si="0"/>
        <v>115.41999999999999</v>
      </c>
      <c r="D211" s="394">
        <f t="shared" si="4"/>
        <v>110.53</v>
      </c>
      <c r="E211" s="394">
        <f t="shared" si="5"/>
        <v>95.44</v>
      </c>
      <c r="F211" s="394">
        <f t="shared" si="6"/>
        <v>119.87</v>
      </c>
      <c r="G211" s="394">
        <f t="shared" si="7"/>
        <v>112.33999999999999</v>
      </c>
      <c r="H211" s="394">
        <f t="shared" si="8"/>
        <v>97.929999999999993</v>
      </c>
      <c r="I211" s="394">
        <f t="shared" si="9"/>
        <v>95.14</v>
      </c>
      <c r="J211" s="394">
        <f t="shared" si="10"/>
        <v>120.08000000000001</v>
      </c>
      <c r="K211" s="394">
        <f t="shared" si="11"/>
        <v>94.399999999999991</v>
      </c>
      <c r="L211" s="394">
        <f t="shared" si="12"/>
        <v>113.77</v>
      </c>
      <c r="M211" s="394">
        <f t="shared" si="2"/>
        <v>115.41000000000001</v>
      </c>
      <c r="N211" s="394">
        <f t="shared" si="3"/>
        <v>77.010000000000005</v>
      </c>
    </row>
    <row r="212" spans="2:14">
      <c r="B212" s="389">
        <v>45337</v>
      </c>
      <c r="C212" s="394">
        <f t="shared" ref="C212:C243" si="13">IFERROR(C$179*(1+C67/100),C211)</f>
        <v>117.29</v>
      </c>
      <c r="D212" s="394">
        <f t="shared" si="4"/>
        <v>112.45</v>
      </c>
      <c r="E212" s="394">
        <f t="shared" si="5"/>
        <v>96.72</v>
      </c>
      <c r="F212" s="394">
        <f t="shared" si="6"/>
        <v>121.83</v>
      </c>
      <c r="G212" s="394">
        <f t="shared" si="7"/>
        <v>116.33</v>
      </c>
      <c r="H212" s="394">
        <f t="shared" si="8"/>
        <v>97.77</v>
      </c>
      <c r="I212" s="394">
        <f t="shared" si="9"/>
        <v>96.77</v>
      </c>
      <c r="J212" s="394">
        <f t="shared" si="10"/>
        <v>123.36</v>
      </c>
      <c r="K212" s="394">
        <f t="shared" si="11"/>
        <v>94.679999999999993</v>
      </c>
      <c r="L212" s="394">
        <f t="shared" si="12"/>
        <v>114.31</v>
      </c>
      <c r="M212" s="394">
        <f t="shared" ref="M212:M243" si="14">IFERROR(M$179*(1+M67/100),M211)</f>
        <v>117.75</v>
      </c>
      <c r="N212" s="394">
        <f t="shared" ref="N212:N243" si="15">IFERROR(N$179*(1+N67/100),N211)</f>
        <v>92.54</v>
      </c>
    </row>
    <row r="213" spans="2:14">
      <c r="B213" s="389">
        <v>45338</v>
      </c>
      <c r="C213" s="394">
        <f t="shared" si="13"/>
        <v>117.31</v>
      </c>
      <c r="D213" s="394">
        <f t="shared" ref="D213:D244" si="16">IFERROR(D$179*(1+D68/100),D212)</f>
        <v>113.71</v>
      </c>
      <c r="E213" s="394">
        <f t="shared" ref="E213:E244" si="17">IFERROR(E$179*(1+E68/100),E212)</f>
        <v>98.53</v>
      </c>
      <c r="F213" s="394">
        <f t="shared" ref="F213:F244" si="18">IFERROR(F$179*(1+F68/100),F212)</f>
        <v>122.37</v>
      </c>
      <c r="G213" s="394">
        <f t="shared" ref="G213:G244" si="19">IFERROR(G$179*(1+G68/100),G212)</f>
        <v>117.64999999999999</v>
      </c>
      <c r="H213" s="394">
        <f t="shared" ref="H213:H244" si="20">IFERROR(H$179*(1+H68/100),H212)</f>
        <v>98.14</v>
      </c>
      <c r="I213" s="394">
        <f t="shared" ref="I213:I244" si="21">IFERROR(I$179*(1+I68/100),I212)</f>
        <v>98.95</v>
      </c>
      <c r="J213" s="394">
        <f t="shared" ref="J213:J244" si="22">IFERROR(J$179*(1+J68/100),J212)</f>
        <v>124.59</v>
      </c>
      <c r="K213" s="394">
        <f t="shared" ref="K213:K244" si="23">IFERROR(K$179*(1+K68/100),K212)</f>
        <v>94.36</v>
      </c>
      <c r="L213" s="394">
        <f t="shared" ref="L213:L244" si="24">IFERROR(L$179*(1+L68/100),L212)</f>
        <v>116.00999999999999</v>
      </c>
      <c r="M213" s="394">
        <f t="shared" si="14"/>
        <v>118.34</v>
      </c>
      <c r="N213" s="394">
        <f t="shared" si="15"/>
        <v>89.55</v>
      </c>
    </row>
    <row r="214" spans="2:14">
      <c r="B214" s="389">
        <v>45341</v>
      </c>
      <c r="C214" s="394">
        <f t="shared" si="13"/>
        <v>118.19</v>
      </c>
      <c r="D214" s="394">
        <f t="shared" si="16"/>
        <v>113.69</v>
      </c>
      <c r="E214" s="394">
        <f t="shared" si="17"/>
        <v>97.13000000000001</v>
      </c>
      <c r="F214" s="394">
        <f t="shared" si="18"/>
        <v>121.34</v>
      </c>
      <c r="G214" s="394">
        <f t="shared" si="19"/>
        <v>117.73</v>
      </c>
      <c r="H214" s="394">
        <f t="shared" si="20"/>
        <v>97.22</v>
      </c>
      <c r="I214" s="394">
        <f t="shared" si="21"/>
        <v>99.64</v>
      </c>
      <c r="J214" s="394">
        <f t="shared" si="22"/>
        <v>124.59</v>
      </c>
      <c r="K214" s="394">
        <f t="shared" si="23"/>
        <v>94.36</v>
      </c>
      <c r="L214" s="394">
        <f t="shared" si="24"/>
        <v>116.00999999999999</v>
      </c>
      <c r="M214" s="394">
        <f t="shared" si="14"/>
        <v>119.07000000000001</v>
      </c>
      <c r="N214" s="394">
        <f t="shared" si="15"/>
        <v>89.55</v>
      </c>
    </row>
    <row r="215" spans="2:14">
      <c r="B215" s="389">
        <v>45342</v>
      </c>
      <c r="C215" s="394">
        <f t="shared" si="13"/>
        <v>117.95</v>
      </c>
      <c r="D215" s="394">
        <f t="shared" si="16"/>
        <v>113.74</v>
      </c>
      <c r="E215" s="394">
        <f t="shared" si="17"/>
        <v>96.25</v>
      </c>
      <c r="F215" s="394">
        <f t="shared" si="18"/>
        <v>121.24999999999999</v>
      </c>
      <c r="G215" s="394">
        <f t="shared" si="19"/>
        <v>117.95</v>
      </c>
      <c r="H215" s="394">
        <f t="shared" si="20"/>
        <v>96.44</v>
      </c>
      <c r="I215" s="394">
        <f t="shared" si="21"/>
        <v>96.64</v>
      </c>
      <c r="J215" s="394">
        <f t="shared" si="22"/>
        <v>126.86999999999999</v>
      </c>
      <c r="K215" s="394">
        <f t="shared" si="23"/>
        <v>93.820000000000007</v>
      </c>
      <c r="L215" s="394">
        <f t="shared" si="24"/>
        <v>118.96</v>
      </c>
      <c r="M215" s="394">
        <f t="shared" si="14"/>
        <v>119.44</v>
      </c>
      <c r="N215" s="394">
        <f t="shared" si="15"/>
        <v>87.460000000000008</v>
      </c>
    </row>
    <row r="216" spans="2:14">
      <c r="B216" s="389">
        <v>45343</v>
      </c>
      <c r="C216" s="394">
        <f t="shared" si="13"/>
        <v>118.15</v>
      </c>
      <c r="D216" s="394">
        <f t="shared" si="16"/>
        <v>114.14</v>
      </c>
      <c r="E216" s="394">
        <f t="shared" si="17"/>
        <v>96.25</v>
      </c>
      <c r="F216" s="394">
        <f t="shared" si="18"/>
        <v>119.69000000000001</v>
      </c>
      <c r="G216" s="394">
        <f t="shared" si="19"/>
        <v>118.39999999999999</v>
      </c>
      <c r="H216" s="394">
        <f t="shared" si="20"/>
        <v>98.36</v>
      </c>
      <c r="I216" s="394">
        <f t="shared" si="21"/>
        <v>96.59</v>
      </c>
      <c r="J216" s="394">
        <f t="shared" si="22"/>
        <v>127.44</v>
      </c>
      <c r="K216" s="394">
        <f t="shared" si="23"/>
        <v>92.820000000000007</v>
      </c>
      <c r="L216" s="394">
        <f t="shared" si="24"/>
        <v>125.30999999999999</v>
      </c>
      <c r="M216" s="394">
        <f t="shared" si="14"/>
        <v>119.93</v>
      </c>
      <c r="N216" s="394">
        <f t="shared" si="15"/>
        <v>88.06</v>
      </c>
    </row>
    <row r="217" spans="2:14">
      <c r="B217" s="389">
        <v>45344</v>
      </c>
      <c r="C217" s="394">
        <f t="shared" si="13"/>
        <v>120.85</v>
      </c>
      <c r="D217" s="394">
        <f t="shared" si="16"/>
        <v>115.41000000000001</v>
      </c>
      <c r="E217" s="394">
        <f t="shared" si="17"/>
        <v>96.43</v>
      </c>
      <c r="F217" s="394">
        <f t="shared" si="18"/>
        <v>121.21</v>
      </c>
      <c r="G217" s="394">
        <f t="shared" si="19"/>
        <v>119.91000000000001</v>
      </c>
      <c r="H217" s="394">
        <f t="shared" si="20"/>
        <v>98.86</v>
      </c>
      <c r="I217" s="394">
        <f t="shared" si="21"/>
        <v>96.23</v>
      </c>
      <c r="J217" s="394">
        <f t="shared" si="22"/>
        <v>129.72</v>
      </c>
      <c r="K217" s="394">
        <f t="shared" si="23"/>
        <v>92.9</v>
      </c>
      <c r="L217" s="394">
        <f t="shared" si="24"/>
        <v>127.01</v>
      </c>
      <c r="M217" s="394">
        <f t="shared" si="14"/>
        <v>122.16</v>
      </c>
      <c r="N217" s="394">
        <f t="shared" si="15"/>
        <v>84.78</v>
      </c>
    </row>
    <row r="218" spans="2:14">
      <c r="B218" s="389">
        <v>45345</v>
      </c>
      <c r="C218" s="394">
        <f t="shared" si="13"/>
        <v>122.24999999999999</v>
      </c>
      <c r="D218" s="394">
        <f t="shared" si="16"/>
        <v>113.06</v>
      </c>
      <c r="E218" s="394">
        <f t="shared" si="17"/>
        <v>95.99</v>
      </c>
      <c r="F218" s="394">
        <f t="shared" si="18"/>
        <v>122.85999999999999</v>
      </c>
      <c r="G218" s="394">
        <f t="shared" si="19"/>
        <v>120.61999999999999</v>
      </c>
      <c r="H218" s="394">
        <f t="shared" si="20"/>
        <v>97.899999999999991</v>
      </c>
      <c r="I218" s="394">
        <f t="shared" si="21"/>
        <v>95.09</v>
      </c>
      <c r="J218" s="394">
        <f t="shared" si="22"/>
        <v>131.75</v>
      </c>
      <c r="K218" s="394">
        <f t="shared" si="23"/>
        <v>92.46</v>
      </c>
      <c r="L218" s="394">
        <f t="shared" si="24"/>
        <v>127.01</v>
      </c>
      <c r="M218" s="394">
        <f t="shared" si="14"/>
        <v>123.83</v>
      </c>
      <c r="N218" s="394">
        <f t="shared" si="15"/>
        <v>84.48</v>
      </c>
    </row>
    <row r="219" spans="2:14">
      <c r="B219" s="389">
        <v>45348</v>
      </c>
      <c r="C219" s="394">
        <f t="shared" si="13"/>
        <v>121.11000000000001</v>
      </c>
      <c r="D219" s="394">
        <f t="shared" si="16"/>
        <v>113.69</v>
      </c>
      <c r="E219" s="394">
        <f t="shared" si="17"/>
        <v>94.740000000000009</v>
      </c>
      <c r="F219" s="394">
        <f t="shared" si="18"/>
        <v>122.37</v>
      </c>
      <c r="G219" s="394">
        <f t="shared" si="19"/>
        <v>117.99</v>
      </c>
      <c r="H219" s="394">
        <f t="shared" si="20"/>
        <v>98.45</v>
      </c>
      <c r="I219" s="394">
        <f t="shared" si="21"/>
        <v>94.95</v>
      </c>
      <c r="J219" s="394">
        <f t="shared" si="22"/>
        <v>129.22999999999999</v>
      </c>
      <c r="K219" s="394">
        <f t="shared" si="23"/>
        <v>91.94</v>
      </c>
      <c r="L219" s="394">
        <f t="shared" si="24"/>
        <v>124.78</v>
      </c>
      <c r="M219" s="394">
        <f t="shared" si="14"/>
        <v>123.47999999999999</v>
      </c>
      <c r="N219" s="394">
        <f t="shared" si="15"/>
        <v>84.48</v>
      </c>
    </row>
    <row r="220" spans="2:14">
      <c r="B220" s="389">
        <v>45349</v>
      </c>
      <c r="C220" s="394">
        <f t="shared" si="13"/>
        <v>122.29</v>
      </c>
      <c r="D220" s="394">
        <f t="shared" si="16"/>
        <v>115.16999999999999</v>
      </c>
      <c r="E220" s="394">
        <f t="shared" si="17"/>
        <v>96.54</v>
      </c>
      <c r="F220" s="394">
        <f t="shared" si="18"/>
        <v>122.32000000000001</v>
      </c>
      <c r="G220" s="394">
        <f t="shared" si="19"/>
        <v>119.83</v>
      </c>
      <c r="H220" s="394">
        <f t="shared" si="20"/>
        <v>98.550000000000011</v>
      </c>
      <c r="I220" s="394">
        <f t="shared" si="21"/>
        <v>96.23</v>
      </c>
      <c r="J220" s="394">
        <f t="shared" si="22"/>
        <v>128.98000000000002</v>
      </c>
      <c r="K220" s="394">
        <f t="shared" si="23"/>
        <v>92.36</v>
      </c>
      <c r="L220" s="394">
        <f t="shared" si="24"/>
        <v>125.66999999999999</v>
      </c>
      <c r="M220" s="394">
        <f t="shared" si="14"/>
        <v>123.61</v>
      </c>
      <c r="N220" s="394">
        <f t="shared" si="15"/>
        <v>91.039999999999992</v>
      </c>
    </row>
    <row r="221" spans="2:14">
      <c r="B221" s="389">
        <v>45350</v>
      </c>
      <c r="C221" s="394">
        <f t="shared" si="13"/>
        <v>121.89999999999999</v>
      </c>
      <c r="D221" s="394">
        <f t="shared" si="16"/>
        <v>113.16</v>
      </c>
      <c r="E221" s="394">
        <f t="shared" si="17"/>
        <v>93.93</v>
      </c>
      <c r="F221" s="394">
        <f t="shared" si="18"/>
        <v>123.71000000000001</v>
      </c>
      <c r="G221" s="394">
        <f t="shared" si="19"/>
        <v>119.5</v>
      </c>
      <c r="H221" s="394">
        <f t="shared" si="20"/>
        <v>98.61</v>
      </c>
      <c r="I221" s="394">
        <f t="shared" si="21"/>
        <v>95.91</v>
      </c>
      <c r="J221" s="394">
        <f t="shared" si="22"/>
        <v>129.5</v>
      </c>
      <c r="K221" s="394">
        <f t="shared" si="23"/>
        <v>92.259999999999991</v>
      </c>
      <c r="L221" s="394">
        <f t="shared" si="24"/>
        <v>129.34</v>
      </c>
      <c r="M221" s="394">
        <f t="shared" si="14"/>
        <v>124.66</v>
      </c>
      <c r="N221" s="394">
        <f t="shared" si="15"/>
        <v>101.79</v>
      </c>
    </row>
    <row r="222" spans="2:14">
      <c r="B222" s="389">
        <v>45351</v>
      </c>
      <c r="C222" s="394">
        <f t="shared" si="13"/>
        <v>121.2</v>
      </c>
      <c r="D222" s="394">
        <f t="shared" si="16"/>
        <v>112.9</v>
      </c>
      <c r="E222" s="394">
        <f t="shared" si="17"/>
        <v>94.59</v>
      </c>
      <c r="F222" s="394">
        <f t="shared" si="18"/>
        <v>125.54</v>
      </c>
      <c r="G222" s="394">
        <f t="shared" si="19"/>
        <v>125.44</v>
      </c>
      <c r="H222" s="394">
        <f t="shared" si="20"/>
        <v>97.25</v>
      </c>
      <c r="I222" s="394">
        <f t="shared" si="21"/>
        <v>94.820000000000007</v>
      </c>
      <c r="J222" s="394">
        <f t="shared" si="22"/>
        <v>128.98000000000002</v>
      </c>
      <c r="K222" s="394">
        <f t="shared" si="23"/>
        <v>91.97999999999999</v>
      </c>
      <c r="L222" s="394">
        <f t="shared" si="24"/>
        <v>127.91000000000001</v>
      </c>
      <c r="M222" s="394">
        <f t="shared" si="14"/>
        <v>124.47</v>
      </c>
      <c r="N222" s="394">
        <f t="shared" si="15"/>
        <v>102.99000000000001</v>
      </c>
    </row>
    <row r="223" spans="2:14">
      <c r="B223" s="389">
        <v>45352</v>
      </c>
      <c r="C223" s="394">
        <f t="shared" si="13"/>
        <v>121.71000000000001</v>
      </c>
      <c r="D223" s="394">
        <f t="shared" si="16"/>
        <v>112.61000000000001</v>
      </c>
      <c r="E223" s="394">
        <f t="shared" si="17"/>
        <v>94.740000000000009</v>
      </c>
      <c r="F223" s="394">
        <f t="shared" si="18"/>
        <v>127.81</v>
      </c>
      <c r="G223" s="394">
        <f t="shared" si="19"/>
        <v>126.95</v>
      </c>
      <c r="H223" s="394">
        <f t="shared" si="20"/>
        <v>98.86</v>
      </c>
      <c r="I223" s="394">
        <f t="shared" si="21"/>
        <v>96.320000000000007</v>
      </c>
      <c r="J223" s="394">
        <f t="shared" si="22"/>
        <v>128.14000000000001</v>
      </c>
      <c r="K223" s="394">
        <f t="shared" si="23"/>
        <v>91.35</v>
      </c>
      <c r="L223" s="394">
        <f t="shared" si="24"/>
        <v>130.14000000000001</v>
      </c>
      <c r="M223" s="394">
        <f t="shared" si="14"/>
        <v>124.2</v>
      </c>
      <c r="N223" s="394">
        <f t="shared" si="15"/>
        <v>103.28</v>
      </c>
    </row>
    <row r="224" spans="2:14">
      <c r="B224" s="389">
        <v>45355</v>
      </c>
      <c r="C224" s="394">
        <f t="shared" si="13"/>
        <v>120.77</v>
      </c>
      <c r="D224" s="394">
        <f t="shared" si="16"/>
        <v>110.43</v>
      </c>
      <c r="E224" s="394">
        <f t="shared" si="17"/>
        <v>92.45</v>
      </c>
      <c r="F224" s="394">
        <f t="shared" si="18"/>
        <v>127.14000000000001</v>
      </c>
      <c r="G224" s="394">
        <f t="shared" si="19"/>
        <v>125.93</v>
      </c>
      <c r="H224" s="394">
        <f t="shared" si="20"/>
        <v>98.48</v>
      </c>
      <c r="I224" s="394">
        <f t="shared" si="21"/>
        <v>95.45</v>
      </c>
      <c r="J224" s="394">
        <f t="shared" si="22"/>
        <v>128.29999999999998</v>
      </c>
      <c r="K224" s="394">
        <f t="shared" si="23"/>
        <v>91.39</v>
      </c>
      <c r="L224" s="394">
        <f t="shared" si="24"/>
        <v>129.79</v>
      </c>
      <c r="M224" s="394">
        <f t="shared" si="14"/>
        <v>123.77</v>
      </c>
      <c r="N224" s="394">
        <f t="shared" si="15"/>
        <v>105.37</v>
      </c>
    </row>
    <row r="225" spans="2:14">
      <c r="B225" s="389">
        <v>45356</v>
      </c>
      <c r="C225" s="394">
        <f t="shared" si="13"/>
        <v>119.22999999999999</v>
      </c>
      <c r="D225" s="394">
        <f t="shared" si="16"/>
        <v>109.16999999999999</v>
      </c>
      <c r="E225" s="394">
        <f t="shared" si="17"/>
        <v>93.26</v>
      </c>
      <c r="F225" s="394">
        <f t="shared" si="18"/>
        <v>126.34</v>
      </c>
      <c r="G225" s="394">
        <f t="shared" si="19"/>
        <v>124.16</v>
      </c>
      <c r="H225" s="394">
        <f t="shared" si="20"/>
        <v>97.15</v>
      </c>
      <c r="I225" s="394">
        <f t="shared" si="21"/>
        <v>95.179999999999993</v>
      </c>
      <c r="J225" s="394">
        <f t="shared" si="22"/>
        <v>129.66</v>
      </c>
      <c r="K225" s="394">
        <f t="shared" si="23"/>
        <v>91.53</v>
      </c>
      <c r="L225" s="394">
        <f t="shared" si="24"/>
        <v>130.77000000000001</v>
      </c>
      <c r="M225" s="394">
        <f t="shared" si="14"/>
        <v>121.97</v>
      </c>
      <c r="N225" s="394">
        <f t="shared" si="15"/>
        <v>109.55</v>
      </c>
    </row>
    <row r="226" spans="2:14">
      <c r="B226" s="389">
        <v>45357</v>
      </c>
      <c r="C226" s="394">
        <f t="shared" si="13"/>
        <v>119.73</v>
      </c>
      <c r="D226" s="394">
        <f t="shared" si="16"/>
        <v>109.21000000000001</v>
      </c>
      <c r="E226" s="394">
        <f t="shared" si="17"/>
        <v>93.410000000000011</v>
      </c>
      <c r="F226" s="394">
        <f t="shared" si="18"/>
        <v>126.34</v>
      </c>
      <c r="G226" s="394">
        <f t="shared" si="19"/>
        <v>125.4</v>
      </c>
      <c r="H226" s="394">
        <f t="shared" si="20"/>
        <v>97.49</v>
      </c>
      <c r="I226" s="394">
        <f t="shared" si="21"/>
        <v>94.320000000000007</v>
      </c>
      <c r="J226" s="394">
        <f t="shared" si="22"/>
        <v>127.51999999999998</v>
      </c>
      <c r="K226" s="394">
        <f t="shared" si="23"/>
        <v>91.29</v>
      </c>
      <c r="L226" s="394">
        <f t="shared" si="24"/>
        <v>126.47999999999999</v>
      </c>
      <c r="M226" s="394">
        <f t="shared" si="14"/>
        <v>122.24</v>
      </c>
      <c r="N226" s="394">
        <f t="shared" si="15"/>
        <v>111.04</v>
      </c>
    </row>
    <row r="227" spans="2:14">
      <c r="B227" s="389">
        <v>45358</v>
      </c>
      <c r="C227" s="394">
        <f t="shared" si="13"/>
        <v>120.77</v>
      </c>
      <c r="D227" s="394">
        <f t="shared" si="16"/>
        <v>109.28999999999999</v>
      </c>
      <c r="E227" s="394">
        <f t="shared" si="17"/>
        <v>92.490000000000009</v>
      </c>
      <c r="F227" s="394">
        <f t="shared" si="18"/>
        <v>129.02000000000001</v>
      </c>
      <c r="G227" s="394">
        <f t="shared" si="19"/>
        <v>126.08</v>
      </c>
      <c r="H227" s="394">
        <f t="shared" si="20"/>
        <v>84.07</v>
      </c>
      <c r="I227" s="394">
        <f t="shared" si="21"/>
        <v>94.64</v>
      </c>
      <c r="J227" s="394">
        <f t="shared" si="22"/>
        <v>128.31</v>
      </c>
      <c r="K227" s="394">
        <f t="shared" si="23"/>
        <v>92.679999999999993</v>
      </c>
      <c r="L227" s="394">
        <f t="shared" si="24"/>
        <v>127.01</v>
      </c>
      <c r="M227" s="394">
        <f t="shared" si="14"/>
        <v>124.58</v>
      </c>
      <c r="N227" s="394">
        <f t="shared" si="15"/>
        <v>114.33</v>
      </c>
    </row>
    <row r="228" spans="2:14">
      <c r="B228" s="389">
        <v>45359</v>
      </c>
      <c r="C228" s="394">
        <f t="shared" si="13"/>
        <v>121.50000000000001</v>
      </c>
      <c r="D228" s="394">
        <f t="shared" si="16"/>
        <v>110.87</v>
      </c>
      <c r="E228" s="394">
        <f t="shared" si="17"/>
        <v>92.6</v>
      </c>
      <c r="F228" s="394">
        <f t="shared" si="18"/>
        <v>129.55000000000001</v>
      </c>
      <c r="G228" s="394">
        <f t="shared" si="19"/>
        <v>126.27</v>
      </c>
      <c r="H228" s="394">
        <f t="shared" si="20"/>
        <v>86.61</v>
      </c>
      <c r="I228" s="394">
        <f t="shared" si="21"/>
        <v>94.59</v>
      </c>
      <c r="J228" s="394">
        <f t="shared" si="22"/>
        <v>128.72</v>
      </c>
      <c r="K228" s="394">
        <f t="shared" si="23"/>
        <v>93.300000000000011</v>
      </c>
      <c r="L228" s="394">
        <f t="shared" si="24"/>
        <v>129.25</v>
      </c>
      <c r="M228" s="394">
        <f t="shared" si="14"/>
        <v>124.47</v>
      </c>
      <c r="N228" s="394">
        <f t="shared" si="15"/>
        <v>115.22000000000001</v>
      </c>
    </row>
    <row r="229" spans="2:14">
      <c r="B229" s="389">
        <v>45362</v>
      </c>
      <c r="C229" s="394">
        <f t="shared" si="13"/>
        <v>122.29</v>
      </c>
      <c r="D229" s="394">
        <f t="shared" si="16"/>
        <v>111.60000000000001</v>
      </c>
      <c r="E229" s="394">
        <f t="shared" si="17"/>
        <v>91.83</v>
      </c>
      <c r="F229" s="394">
        <f t="shared" si="18"/>
        <v>129.42000000000002</v>
      </c>
      <c r="G229" s="394">
        <f t="shared" si="19"/>
        <v>128.48999999999998</v>
      </c>
      <c r="H229" s="394">
        <f t="shared" si="20"/>
        <v>85.21</v>
      </c>
      <c r="I229" s="394">
        <f t="shared" si="21"/>
        <v>94.55</v>
      </c>
      <c r="J229" s="394">
        <f t="shared" si="22"/>
        <v>127.74000000000001</v>
      </c>
      <c r="K229" s="394">
        <f t="shared" si="23"/>
        <v>92.72</v>
      </c>
      <c r="L229" s="394">
        <f t="shared" si="24"/>
        <v>129.16</v>
      </c>
      <c r="M229" s="394">
        <f t="shared" si="14"/>
        <v>124.02</v>
      </c>
      <c r="N229" s="394">
        <f t="shared" si="15"/>
        <v>116.42000000000002</v>
      </c>
    </row>
    <row r="230" spans="2:14">
      <c r="B230" s="389">
        <v>45363</v>
      </c>
      <c r="C230" s="394">
        <f t="shared" si="13"/>
        <v>123.53</v>
      </c>
      <c r="D230" s="394">
        <f t="shared" si="16"/>
        <v>113.20000000000002</v>
      </c>
      <c r="E230" s="394">
        <f t="shared" si="17"/>
        <v>92.57</v>
      </c>
      <c r="F230" s="394">
        <f t="shared" si="18"/>
        <v>130.58000000000001</v>
      </c>
      <c r="G230" s="394">
        <f t="shared" si="19"/>
        <v>130.56</v>
      </c>
      <c r="H230" s="394">
        <f t="shared" si="20"/>
        <v>85.9</v>
      </c>
      <c r="I230" s="394">
        <f t="shared" si="21"/>
        <v>95.09</v>
      </c>
      <c r="J230" s="394">
        <f t="shared" si="22"/>
        <v>129.13000000000002</v>
      </c>
      <c r="K230" s="394">
        <f t="shared" si="23"/>
        <v>93.399999999999991</v>
      </c>
      <c r="L230" s="394">
        <f t="shared" si="24"/>
        <v>131.13</v>
      </c>
      <c r="M230" s="394">
        <f t="shared" si="14"/>
        <v>125.47</v>
      </c>
      <c r="N230" s="394">
        <f t="shared" si="15"/>
        <v>117.31</v>
      </c>
    </row>
    <row r="231" spans="2:14">
      <c r="B231" s="389">
        <v>45364</v>
      </c>
      <c r="C231" s="394">
        <f t="shared" si="13"/>
        <v>124.71000000000001</v>
      </c>
      <c r="D231" s="394">
        <f t="shared" si="16"/>
        <v>112.52</v>
      </c>
      <c r="E231" s="394">
        <f t="shared" si="17"/>
        <v>92.710000000000008</v>
      </c>
      <c r="F231" s="394">
        <f t="shared" si="18"/>
        <v>131.87</v>
      </c>
      <c r="G231" s="394">
        <f t="shared" si="19"/>
        <v>131.05000000000001</v>
      </c>
      <c r="H231" s="394">
        <f t="shared" si="20"/>
        <v>86.72999999999999</v>
      </c>
      <c r="I231" s="394">
        <f t="shared" si="21"/>
        <v>94.95</v>
      </c>
      <c r="J231" s="394">
        <f t="shared" si="22"/>
        <v>130.69</v>
      </c>
      <c r="K231" s="394">
        <f t="shared" si="23"/>
        <v>93.12</v>
      </c>
      <c r="L231" s="394">
        <f t="shared" si="24"/>
        <v>132.29</v>
      </c>
      <c r="M231" s="394">
        <f t="shared" si="14"/>
        <v>126.86999999999999</v>
      </c>
      <c r="N231" s="394">
        <f t="shared" si="15"/>
        <v>113.13</v>
      </c>
    </row>
    <row r="232" spans="2:14">
      <c r="B232" s="389">
        <v>45365</v>
      </c>
      <c r="C232" s="394">
        <f t="shared" si="13"/>
        <v>125.51</v>
      </c>
      <c r="D232" s="394">
        <f t="shared" si="16"/>
        <v>113.21</v>
      </c>
      <c r="E232" s="394">
        <f t="shared" si="17"/>
        <v>92.75</v>
      </c>
      <c r="F232" s="394">
        <f t="shared" si="18"/>
        <v>132.32</v>
      </c>
      <c r="G232" s="394">
        <f t="shared" si="19"/>
        <v>132.37</v>
      </c>
      <c r="H232" s="394">
        <f t="shared" si="20"/>
        <v>86.050000000000011</v>
      </c>
      <c r="I232" s="394">
        <f t="shared" si="21"/>
        <v>95.36</v>
      </c>
      <c r="J232" s="394">
        <f t="shared" si="22"/>
        <v>129.46</v>
      </c>
      <c r="K232" s="394">
        <f t="shared" si="23"/>
        <v>93.58</v>
      </c>
      <c r="L232" s="394">
        <f t="shared" si="24"/>
        <v>132.29</v>
      </c>
      <c r="M232" s="394">
        <f t="shared" si="14"/>
        <v>128.75</v>
      </c>
      <c r="N232" s="394">
        <f t="shared" si="15"/>
        <v>113.73</v>
      </c>
    </row>
    <row r="233" spans="2:14">
      <c r="B233" s="389">
        <v>45366</v>
      </c>
      <c r="C233" s="394">
        <f t="shared" si="13"/>
        <v>124</v>
      </c>
      <c r="D233" s="394">
        <f t="shared" si="16"/>
        <v>113.20000000000002</v>
      </c>
      <c r="E233" s="394">
        <f t="shared" si="17"/>
        <v>93.45</v>
      </c>
      <c r="F233" s="394">
        <f t="shared" si="18"/>
        <v>130.18</v>
      </c>
      <c r="G233" s="394">
        <f t="shared" si="19"/>
        <v>130.32999999999998</v>
      </c>
      <c r="H233" s="394">
        <f t="shared" si="20"/>
        <v>84.32</v>
      </c>
      <c r="I233" s="394">
        <f t="shared" si="21"/>
        <v>94.86</v>
      </c>
      <c r="J233" s="394">
        <f t="shared" si="22"/>
        <v>128.06</v>
      </c>
      <c r="K233" s="394">
        <f t="shared" si="23"/>
        <v>93.36</v>
      </c>
      <c r="L233" s="394">
        <f t="shared" si="24"/>
        <v>131.84</v>
      </c>
      <c r="M233" s="394">
        <f t="shared" si="14"/>
        <v>128.62</v>
      </c>
      <c r="N233" s="394">
        <f t="shared" si="15"/>
        <v>112.24000000000001</v>
      </c>
    </row>
    <row r="234" spans="2:14">
      <c r="B234" s="389">
        <v>45369</v>
      </c>
      <c r="C234" s="394">
        <f t="shared" si="13"/>
        <v>123.4</v>
      </c>
      <c r="D234" s="394">
        <f t="shared" si="16"/>
        <v>112.48</v>
      </c>
      <c r="E234" s="394">
        <f t="shared" si="17"/>
        <v>92.45</v>
      </c>
      <c r="F234" s="394">
        <f t="shared" si="18"/>
        <v>126.83</v>
      </c>
      <c r="G234" s="394">
        <f t="shared" si="19"/>
        <v>130.26</v>
      </c>
      <c r="H234" s="394">
        <f t="shared" si="20"/>
        <v>82.96</v>
      </c>
      <c r="I234" s="394">
        <f t="shared" si="21"/>
        <v>94.05</v>
      </c>
      <c r="J234" s="394">
        <f t="shared" si="22"/>
        <v>127.64999999999999</v>
      </c>
      <c r="K234" s="394">
        <f t="shared" si="23"/>
        <v>91.51</v>
      </c>
      <c r="L234" s="394">
        <f t="shared" si="24"/>
        <v>131.4</v>
      </c>
      <c r="M234" s="394">
        <f t="shared" si="14"/>
        <v>127.95</v>
      </c>
      <c r="N234" s="394">
        <f t="shared" si="15"/>
        <v>113.13</v>
      </c>
    </row>
    <row r="235" spans="2:14">
      <c r="B235" s="389">
        <v>45370</v>
      </c>
      <c r="C235" s="394">
        <f t="shared" si="13"/>
        <v>123.70000000000002</v>
      </c>
      <c r="D235" s="394">
        <f t="shared" si="16"/>
        <v>113.14</v>
      </c>
      <c r="E235" s="394">
        <f t="shared" si="17"/>
        <v>90.539999999999992</v>
      </c>
      <c r="F235" s="394">
        <f t="shared" si="18"/>
        <v>124.86999999999999</v>
      </c>
      <c r="G235" s="394">
        <f t="shared" si="19"/>
        <v>128.9</v>
      </c>
      <c r="H235" s="394">
        <f t="shared" si="20"/>
        <v>82.179999999999993</v>
      </c>
      <c r="I235" s="394">
        <f t="shared" si="21"/>
        <v>91.41</v>
      </c>
      <c r="J235" s="394">
        <f t="shared" si="22"/>
        <v>127.22</v>
      </c>
      <c r="K235" s="394">
        <f t="shared" si="23"/>
        <v>91.820000000000007</v>
      </c>
      <c r="L235" s="394">
        <f t="shared" si="24"/>
        <v>133.01000000000002</v>
      </c>
      <c r="M235" s="394">
        <f t="shared" si="14"/>
        <v>129.4</v>
      </c>
      <c r="N235" s="394">
        <f t="shared" si="15"/>
        <v>114.92999999999999</v>
      </c>
    </row>
    <row r="236" spans="2:14">
      <c r="B236" s="389">
        <v>45371</v>
      </c>
      <c r="C236" s="394">
        <f t="shared" si="13"/>
        <v>121.69000000000001</v>
      </c>
      <c r="D236" s="394">
        <f t="shared" si="16"/>
        <v>99.660000000000011</v>
      </c>
      <c r="E236" s="394">
        <f t="shared" si="17"/>
        <v>87.56</v>
      </c>
      <c r="F236" s="394">
        <f t="shared" si="18"/>
        <v>122.14</v>
      </c>
      <c r="G236" s="394">
        <f t="shared" si="19"/>
        <v>128.41999999999999</v>
      </c>
      <c r="H236" s="394">
        <f t="shared" si="20"/>
        <v>82.309999999999988</v>
      </c>
      <c r="I236" s="394">
        <f t="shared" si="21"/>
        <v>90.68</v>
      </c>
      <c r="J236" s="394">
        <f t="shared" si="22"/>
        <v>129.59</v>
      </c>
      <c r="K236" s="394">
        <f t="shared" si="23"/>
        <v>91.23</v>
      </c>
      <c r="L236" s="394">
        <f t="shared" si="24"/>
        <v>134.08000000000001</v>
      </c>
      <c r="M236" s="394">
        <f t="shared" si="14"/>
        <v>129.42000000000002</v>
      </c>
      <c r="N236" s="394">
        <f t="shared" si="15"/>
        <v>114.33</v>
      </c>
    </row>
    <row r="237" spans="2:14">
      <c r="B237" s="389">
        <v>45372</v>
      </c>
      <c r="C237" s="394">
        <f t="shared" si="13"/>
        <v>121.93</v>
      </c>
      <c r="D237" s="394">
        <f t="shared" si="16"/>
        <v>98.63</v>
      </c>
      <c r="E237" s="394">
        <f t="shared" si="17"/>
        <v>87.6</v>
      </c>
      <c r="F237" s="394">
        <f t="shared" si="18"/>
        <v>123.07999999999998</v>
      </c>
      <c r="G237" s="394">
        <f t="shared" si="19"/>
        <v>128.41999999999999</v>
      </c>
      <c r="H237" s="394">
        <f t="shared" si="20"/>
        <v>81.84</v>
      </c>
      <c r="I237" s="394">
        <f t="shared" si="21"/>
        <v>92.64</v>
      </c>
      <c r="J237" s="394">
        <f t="shared" si="22"/>
        <v>131.47999999999999</v>
      </c>
      <c r="K237" s="394">
        <f t="shared" si="23"/>
        <v>90.83</v>
      </c>
      <c r="L237" s="394">
        <f t="shared" si="24"/>
        <v>136.39999999999998</v>
      </c>
      <c r="M237" s="394">
        <f t="shared" si="14"/>
        <v>129.72</v>
      </c>
      <c r="N237" s="394">
        <f t="shared" si="15"/>
        <v>113.73</v>
      </c>
    </row>
    <row r="238" spans="2:14">
      <c r="B238" s="389">
        <v>45373</v>
      </c>
      <c r="C238" s="394">
        <f t="shared" si="13"/>
        <v>119.15</v>
      </c>
      <c r="D238" s="394">
        <f t="shared" si="16"/>
        <v>95.11</v>
      </c>
      <c r="E238" s="394">
        <f t="shared" si="17"/>
        <v>87.12</v>
      </c>
      <c r="F238" s="394">
        <f t="shared" si="18"/>
        <v>119.87</v>
      </c>
      <c r="G238" s="394">
        <f t="shared" si="19"/>
        <v>128.26</v>
      </c>
      <c r="H238" s="394">
        <f t="shared" si="20"/>
        <v>80.17</v>
      </c>
      <c r="I238" s="394">
        <f t="shared" si="21"/>
        <v>91.27</v>
      </c>
      <c r="J238" s="394">
        <f t="shared" si="22"/>
        <v>128.36000000000001</v>
      </c>
      <c r="K238" s="394">
        <f t="shared" si="23"/>
        <v>90.31</v>
      </c>
      <c r="L238" s="394">
        <f t="shared" si="24"/>
        <v>130.77000000000001</v>
      </c>
      <c r="M238" s="394">
        <f t="shared" si="14"/>
        <v>128.4</v>
      </c>
      <c r="N238" s="394">
        <f t="shared" si="15"/>
        <v>105.07</v>
      </c>
    </row>
    <row r="239" spans="2:14">
      <c r="B239" s="389">
        <v>45376</v>
      </c>
      <c r="C239" s="394">
        <f t="shared" si="13"/>
        <v>118.71000000000001</v>
      </c>
      <c r="D239" s="394">
        <f t="shared" si="16"/>
        <v>93.96</v>
      </c>
      <c r="E239" s="394">
        <f t="shared" si="17"/>
        <v>88.3</v>
      </c>
      <c r="F239" s="394">
        <f t="shared" si="18"/>
        <v>120.31</v>
      </c>
      <c r="G239" s="394">
        <f t="shared" si="19"/>
        <v>128.26</v>
      </c>
      <c r="H239" s="394">
        <f t="shared" si="20"/>
        <v>83.05</v>
      </c>
      <c r="I239" s="394">
        <f t="shared" si="21"/>
        <v>91.320000000000007</v>
      </c>
      <c r="J239" s="394">
        <f t="shared" si="22"/>
        <v>124.54</v>
      </c>
      <c r="K239" s="394">
        <f t="shared" si="23"/>
        <v>89.63</v>
      </c>
      <c r="L239" s="394">
        <f t="shared" si="24"/>
        <v>129.96</v>
      </c>
      <c r="M239" s="394">
        <f t="shared" si="14"/>
        <v>129.32000000000002</v>
      </c>
      <c r="N239" s="394">
        <f t="shared" si="15"/>
        <v>103.58000000000001</v>
      </c>
    </row>
    <row r="240" spans="2:14">
      <c r="B240" s="389">
        <v>45377</v>
      </c>
      <c r="C240" s="394">
        <f t="shared" si="13"/>
        <v>118.17999999999999</v>
      </c>
      <c r="D240" s="394">
        <f t="shared" si="16"/>
        <v>96.93</v>
      </c>
      <c r="E240" s="394">
        <f t="shared" si="17"/>
        <v>89.73</v>
      </c>
      <c r="F240" s="394">
        <f t="shared" si="18"/>
        <v>120.27000000000001</v>
      </c>
      <c r="G240" s="394">
        <f t="shared" si="19"/>
        <v>127.96000000000001</v>
      </c>
      <c r="H240" s="394">
        <f t="shared" si="20"/>
        <v>83.509999999999991</v>
      </c>
      <c r="I240" s="394">
        <f t="shared" si="21"/>
        <v>92.589999999999989</v>
      </c>
      <c r="J240" s="394">
        <f t="shared" si="22"/>
        <v>124.15</v>
      </c>
      <c r="K240" s="394">
        <f t="shared" si="23"/>
        <v>89.25</v>
      </c>
      <c r="L240" s="394">
        <f t="shared" si="24"/>
        <v>128.62</v>
      </c>
      <c r="M240" s="394">
        <f t="shared" si="14"/>
        <v>128.46</v>
      </c>
      <c r="N240" s="394">
        <f t="shared" si="15"/>
        <v>102.69</v>
      </c>
    </row>
    <row r="241" spans="2:14">
      <c r="B241" s="389">
        <v>45378</v>
      </c>
      <c r="C241" s="394">
        <f t="shared" si="13"/>
        <v>119.39999999999999</v>
      </c>
      <c r="D241" s="394">
        <f t="shared" si="16"/>
        <v>97.38</v>
      </c>
      <c r="E241" s="394">
        <f t="shared" si="17"/>
        <v>90.649999999999991</v>
      </c>
      <c r="F241" s="394">
        <f t="shared" si="18"/>
        <v>121.88</v>
      </c>
      <c r="G241" s="394">
        <f t="shared" si="19"/>
        <v>128.94</v>
      </c>
      <c r="H241" s="394">
        <f t="shared" si="20"/>
        <v>84.97</v>
      </c>
      <c r="I241" s="394">
        <f t="shared" si="21"/>
        <v>94.55</v>
      </c>
      <c r="J241" s="394">
        <f t="shared" si="22"/>
        <v>127.63</v>
      </c>
      <c r="K241" s="394">
        <f t="shared" si="23"/>
        <v>90.25</v>
      </c>
      <c r="L241" s="394">
        <f t="shared" si="24"/>
        <v>129.87</v>
      </c>
      <c r="M241" s="394">
        <f t="shared" si="14"/>
        <v>128.51</v>
      </c>
      <c r="N241" s="394">
        <f t="shared" si="15"/>
        <v>94.03</v>
      </c>
    </row>
    <row r="242" spans="2:14">
      <c r="B242" s="389">
        <v>45379</v>
      </c>
      <c r="C242" s="394">
        <f t="shared" si="13"/>
        <v>119.89000000000001</v>
      </c>
      <c r="D242" s="394">
        <f t="shared" si="16"/>
        <v>97.31</v>
      </c>
      <c r="E242" s="394">
        <f t="shared" si="17"/>
        <v>89.29</v>
      </c>
      <c r="F242" s="394">
        <f t="shared" si="18"/>
        <v>122.77</v>
      </c>
      <c r="G242" s="394">
        <f t="shared" si="19"/>
        <v>130.18</v>
      </c>
      <c r="H242" s="394">
        <f t="shared" si="20"/>
        <v>84.47</v>
      </c>
      <c r="I242" s="394">
        <f t="shared" si="21"/>
        <v>95.179999999999993</v>
      </c>
      <c r="J242" s="394">
        <f t="shared" si="22"/>
        <v>129.81</v>
      </c>
      <c r="K242" s="394">
        <f t="shared" si="23"/>
        <v>90.33</v>
      </c>
      <c r="L242" s="394">
        <f t="shared" si="24"/>
        <v>131.04</v>
      </c>
      <c r="M242" s="394">
        <f t="shared" si="14"/>
        <v>127.32999999999998</v>
      </c>
      <c r="N242" s="394">
        <f t="shared" si="15"/>
        <v>94.93</v>
      </c>
    </row>
    <row r="243" spans="2:14">
      <c r="B243" s="389">
        <v>45383</v>
      </c>
      <c r="C243" s="394">
        <f t="shared" si="13"/>
        <v>119.89000000000001</v>
      </c>
      <c r="D243" s="394">
        <f t="shared" si="16"/>
        <v>97.31</v>
      </c>
      <c r="E243" s="394">
        <f t="shared" si="17"/>
        <v>89.29</v>
      </c>
      <c r="F243" s="394">
        <f t="shared" si="18"/>
        <v>122.77</v>
      </c>
      <c r="G243" s="394">
        <f t="shared" si="19"/>
        <v>130.18</v>
      </c>
      <c r="H243" s="394">
        <f t="shared" si="20"/>
        <v>84.47</v>
      </c>
      <c r="I243" s="394">
        <f t="shared" si="21"/>
        <v>95.179999999999993</v>
      </c>
      <c r="J243" s="394">
        <f t="shared" si="22"/>
        <v>131.51</v>
      </c>
      <c r="K243" s="394">
        <f t="shared" si="23"/>
        <v>90.45</v>
      </c>
      <c r="L243" s="394">
        <f t="shared" si="24"/>
        <v>130.41</v>
      </c>
      <c r="M243" s="394">
        <f t="shared" si="14"/>
        <v>127.32999999999998</v>
      </c>
      <c r="N243" s="394">
        <f t="shared" si="15"/>
        <v>105.07</v>
      </c>
    </row>
    <row r="244" spans="2:14">
      <c r="B244" s="389">
        <v>45384</v>
      </c>
      <c r="C244" s="394">
        <f t="shared" ref="C244:C275" si="25">IFERROR(C$179*(1+C99/100),C243)</f>
        <v>118.17999999999999</v>
      </c>
      <c r="D244" s="394">
        <f t="shared" si="16"/>
        <v>97.44</v>
      </c>
      <c r="E244" s="394">
        <f t="shared" si="17"/>
        <v>86.23</v>
      </c>
      <c r="F244" s="394">
        <f t="shared" si="18"/>
        <v>121.61</v>
      </c>
      <c r="G244" s="394">
        <f t="shared" si="19"/>
        <v>126.64999999999999</v>
      </c>
      <c r="H244" s="394">
        <f t="shared" si="20"/>
        <v>81.72</v>
      </c>
      <c r="I244" s="394">
        <f t="shared" si="21"/>
        <v>93.179999999999993</v>
      </c>
      <c r="J244" s="394">
        <f t="shared" si="22"/>
        <v>126.03999999999999</v>
      </c>
      <c r="K244" s="394">
        <f t="shared" si="23"/>
        <v>89.47</v>
      </c>
      <c r="L244" s="394">
        <f t="shared" si="24"/>
        <v>126.29999999999998</v>
      </c>
      <c r="M244" s="394">
        <f t="shared" ref="M244:M275" si="26">IFERROR(M$179*(1+M99/100),M243)</f>
        <v>127.06</v>
      </c>
      <c r="N244" s="394">
        <f t="shared" ref="N244:N275" si="27">IFERROR(N$179*(1+N99/100),N243)</f>
        <v>102.39</v>
      </c>
    </row>
    <row r="245" spans="2:14">
      <c r="B245" s="389">
        <v>45385</v>
      </c>
      <c r="C245" s="394">
        <f t="shared" si="25"/>
        <v>117.34</v>
      </c>
      <c r="D245" s="394">
        <f t="shared" ref="D245:D276" si="28">IFERROR(D$179*(1+D100/100),D244)</f>
        <v>97.34</v>
      </c>
      <c r="E245" s="394">
        <f t="shared" ref="E245:E276" si="29">IFERROR(E$179*(1+E100/100),E244)</f>
        <v>87.27000000000001</v>
      </c>
      <c r="F245" s="394">
        <f t="shared" ref="F245:F276" si="30">IFERROR(F$179*(1+F100/100),F244)</f>
        <v>123.13000000000001</v>
      </c>
      <c r="G245" s="394">
        <f t="shared" ref="G245:G276" si="31">IFERROR(G$179*(1+G100/100),G244)</f>
        <v>126.76</v>
      </c>
      <c r="H245" s="394">
        <f t="shared" ref="H245:H276" si="32">IFERROR(H$179*(1+H100/100),H244)</f>
        <v>80.27</v>
      </c>
      <c r="I245" s="394">
        <f t="shared" ref="I245:I276" si="33">IFERROR(I$179*(1+I100/100),I244)</f>
        <v>95.59</v>
      </c>
      <c r="J245" s="394">
        <f t="shared" ref="J245:J276" si="34">IFERROR(J$179*(1+J100/100),J244)</f>
        <v>123.49999999999999</v>
      </c>
      <c r="K245" s="394">
        <f t="shared" ref="K245:K276" si="35">IFERROR(K$179*(1+K100/100),K244)</f>
        <v>90.31</v>
      </c>
      <c r="L245" s="394">
        <f t="shared" ref="L245:L276" si="36">IFERROR(L$179*(1+L100/100),L244)</f>
        <v>125.85</v>
      </c>
      <c r="M245" s="394">
        <f t="shared" si="26"/>
        <v>128.88999999999999</v>
      </c>
      <c r="N245" s="394">
        <f t="shared" si="27"/>
        <v>101.19</v>
      </c>
    </row>
    <row r="246" spans="2:14">
      <c r="B246" s="389">
        <v>45386</v>
      </c>
      <c r="C246" s="394">
        <f t="shared" si="25"/>
        <v>117.82999999999998</v>
      </c>
      <c r="D246" s="394">
        <f t="shared" si="28"/>
        <v>98.09</v>
      </c>
      <c r="E246" s="394">
        <f t="shared" si="29"/>
        <v>87.01</v>
      </c>
      <c r="F246" s="394">
        <f t="shared" si="30"/>
        <v>122.99</v>
      </c>
      <c r="G246" s="394">
        <f t="shared" si="31"/>
        <v>125.89000000000001</v>
      </c>
      <c r="H246" s="394">
        <f t="shared" si="32"/>
        <v>78.75</v>
      </c>
      <c r="I246" s="394">
        <f t="shared" si="33"/>
        <v>96.77</v>
      </c>
      <c r="J246" s="394">
        <f t="shared" si="34"/>
        <v>117.64999999999999</v>
      </c>
      <c r="K246" s="394">
        <f t="shared" si="35"/>
        <v>89.31</v>
      </c>
      <c r="L246" s="394">
        <f t="shared" si="36"/>
        <v>124.69000000000001</v>
      </c>
      <c r="M246" s="394">
        <f t="shared" si="26"/>
        <v>128.29</v>
      </c>
      <c r="N246" s="394">
        <f t="shared" si="27"/>
        <v>109.55</v>
      </c>
    </row>
    <row r="247" spans="2:14">
      <c r="B247" s="389">
        <v>45387</v>
      </c>
      <c r="C247" s="394">
        <f t="shared" si="25"/>
        <v>115.01000000000002</v>
      </c>
      <c r="D247" s="394">
        <f t="shared" si="28"/>
        <v>96.37</v>
      </c>
      <c r="E247" s="394">
        <f t="shared" si="29"/>
        <v>85.350000000000009</v>
      </c>
      <c r="F247" s="394">
        <f t="shared" si="30"/>
        <v>119.6</v>
      </c>
      <c r="G247" s="394">
        <f t="shared" si="31"/>
        <v>124.27999999999999</v>
      </c>
      <c r="H247" s="394">
        <f t="shared" si="32"/>
        <v>76.510000000000005</v>
      </c>
      <c r="I247" s="394">
        <f t="shared" si="33"/>
        <v>94.64</v>
      </c>
      <c r="J247" s="394">
        <f t="shared" si="34"/>
        <v>117.36999999999999</v>
      </c>
      <c r="K247" s="394">
        <f t="shared" si="35"/>
        <v>87.240000000000009</v>
      </c>
      <c r="L247" s="394">
        <f t="shared" si="36"/>
        <v>106.98</v>
      </c>
      <c r="M247" s="394">
        <f t="shared" si="26"/>
        <v>126.2</v>
      </c>
      <c r="N247" s="394">
        <f t="shared" si="27"/>
        <v>99.1</v>
      </c>
    </row>
    <row r="248" spans="2:14">
      <c r="B248" s="389">
        <v>45390</v>
      </c>
      <c r="C248" s="394">
        <f t="shared" si="25"/>
        <v>116.09</v>
      </c>
      <c r="D248" s="394">
        <f t="shared" si="28"/>
        <v>97.009999999999991</v>
      </c>
      <c r="E248" s="394">
        <f t="shared" si="29"/>
        <v>87.6</v>
      </c>
      <c r="F248" s="394">
        <f t="shared" si="30"/>
        <v>120.61999999999999</v>
      </c>
      <c r="G248" s="394">
        <f t="shared" si="31"/>
        <v>124.27999999999999</v>
      </c>
      <c r="H248" s="394">
        <f t="shared" si="32"/>
        <v>80.42</v>
      </c>
      <c r="I248" s="394">
        <f t="shared" si="33"/>
        <v>95.179999999999993</v>
      </c>
      <c r="J248" s="394">
        <f t="shared" si="34"/>
        <v>117.95</v>
      </c>
      <c r="K248" s="394">
        <f t="shared" si="35"/>
        <v>87.240000000000009</v>
      </c>
      <c r="L248" s="394">
        <f t="shared" si="36"/>
        <v>108.86</v>
      </c>
      <c r="M248" s="394">
        <f t="shared" si="26"/>
        <v>125.86999999999999</v>
      </c>
      <c r="N248" s="394">
        <f t="shared" si="27"/>
        <v>110.14999999999999</v>
      </c>
    </row>
    <row r="249" spans="2:14">
      <c r="B249" s="389">
        <v>45391</v>
      </c>
      <c r="C249" s="394">
        <f t="shared" si="25"/>
        <v>114.35</v>
      </c>
      <c r="D249" s="394">
        <f t="shared" si="28"/>
        <v>96.740000000000009</v>
      </c>
      <c r="E249" s="394">
        <f t="shared" si="29"/>
        <v>87.49</v>
      </c>
      <c r="F249" s="394">
        <f t="shared" si="30"/>
        <v>119.51</v>
      </c>
      <c r="G249" s="394">
        <f t="shared" si="31"/>
        <v>122.69000000000001</v>
      </c>
      <c r="H249" s="394">
        <f t="shared" si="32"/>
        <v>81.320000000000007</v>
      </c>
      <c r="I249" s="394">
        <f t="shared" si="33"/>
        <v>95.179999999999993</v>
      </c>
      <c r="J249" s="394">
        <f t="shared" si="34"/>
        <v>116.72</v>
      </c>
      <c r="K249" s="394">
        <f t="shared" si="35"/>
        <v>87.8</v>
      </c>
      <c r="L249" s="394">
        <f t="shared" si="36"/>
        <v>107.42</v>
      </c>
      <c r="M249" s="394">
        <f t="shared" si="26"/>
        <v>122.81</v>
      </c>
      <c r="N249" s="394">
        <f t="shared" si="27"/>
        <v>109.25</v>
      </c>
    </row>
    <row r="250" spans="2:14">
      <c r="B250" s="389">
        <v>45392</v>
      </c>
      <c r="C250" s="394">
        <f t="shared" si="25"/>
        <v>114.04</v>
      </c>
      <c r="D250" s="394">
        <f t="shared" si="28"/>
        <v>94.809999999999988</v>
      </c>
      <c r="E250" s="394">
        <f t="shared" si="29"/>
        <v>88.26</v>
      </c>
      <c r="F250" s="394">
        <f t="shared" si="30"/>
        <v>119.15</v>
      </c>
      <c r="G250" s="394">
        <f t="shared" si="31"/>
        <v>121.53</v>
      </c>
      <c r="H250" s="394">
        <f t="shared" si="32"/>
        <v>80.73</v>
      </c>
      <c r="I250" s="394">
        <f t="shared" si="33"/>
        <v>94.64</v>
      </c>
      <c r="J250" s="394">
        <f t="shared" si="34"/>
        <v>113.3</v>
      </c>
      <c r="K250" s="394">
        <f t="shared" si="35"/>
        <v>84.95</v>
      </c>
      <c r="L250" s="394">
        <f t="shared" si="36"/>
        <v>104.38000000000001</v>
      </c>
      <c r="M250" s="394">
        <f t="shared" si="26"/>
        <v>122.75</v>
      </c>
      <c r="N250" s="394">
        <f t="shared" si="27"/>
        <v>112.53999999999999</v>
      </c>
    </row>
    <row r="251" spans="2:14">
      <c r="B251" s="389">
        <v>45393</v>
      </c>
      <c r="C251" s="394">
        <f t="shared" si="25"/>
        <v>113.68</v>
      </c>
      <c r="D251" s="394">
        <f t="shared" si="28"/>
        <v>94.320000000000007</v>
      </c>
      <c r="E251" s="394">
        <f t="shared" si="29"/>
        <v>87.6</v>
      </c>
      <c r="F251" s="394">
        <f t="shared" si="30"/>
        <v>117.9</v>
      </c>
      <c r="G251" s="394">
        <f t="shared" si="31"/>
        <v>121.6</v>
      </c>
      <c r="H251" s="394">
        <f t="shared" si="32"/>
        <v>81.16</v>
      </c>
      <c r="I251" s="394">
        <f t="shared" si="33"/>
        <v>93.23</v>
      </c>
      <c r="J251" s="394">
        <f t="shared" si="34"/>
        <v>114.34</v>
      </c>
      <c r="K251" s="394">
        <f t="shared" si="35"/>
        <v>81.320000000000007</v>
      </c>
      <c r="L251" s="394">
        <f t="shared" si="36"/>
        <v>104.38000000000001</v>
      </c>
      <c r="M251" s="394">
        <f t="shared" si="26"/>
        <v>123.34</v>
      </c>
      <c r="N251" s="394">
        <f t="shared" si="27"/>
        <v>111.64</v>
      </c>
    </row>
    <row r="252" spans="2:14">
      <c r="B252" s="389">
        <v>45394</v>
      </c>
      <c r="C252" s="394">
        <f t="shared" si="25"/>
        <v>112.33999999999999</v>
      </c>
      <c r="D252" s="394">
        <f t="shared" si="28"/>
        <v>93.100000000000009</v>
      </c>
      <c r="E252" s="394">
        <f t="shared" si="29"/>
        <v>86.09</v>
      </c>
      <c r="F252" s="394">
        <f t="shared" si="30"/>
        <v>114.33</v>
      </c>
      <c r="G252" s="394">
        <f t="shared" si="31"/>
        <v>120.74000000000001</v>
      </c>
      <c r="H252" s="394">
        <f t="shared" si="32"/>
        <v>78.5</v>
      </c>
      <c r="I252" s="394">
        <f t="shared" si="33"/>
        <v>90.91</v>
      </c>
      <c r="J252" s="394">
        <f t="shared" si="34"/>
        <v>112.48</v>
      </c>
      <c r="K252" s="394">
        <f t="shared" si="35"/>
        <v>78.38000000000001</v>
      </c>
      <c r="L252" s="394">
        <f t="shared" si="36"/>
        <v>101.16000000000001</v>
      </c>
      <c r="M252" s="394">
        <f t="shared" si="26"/>
        <v>122.16</v>
      </c>
      <c r="N252" s="394">
        <f t="shared" si="27"/>
        <v>108.96</v>
      </c>
    </row>
    <row r="253" spans="2:14">
      <c r="B253" s="389">
        <v>45397</v>
      </c>
      <c r="C253" s="394">
        <f t="shared" si="25"/>
        <v>114.29</v>
      </c>
      <c r="D253" s="394">
        <f t="shared" si="28"/>
        <v>93.02</v>
      </c>
      <c r="E253" s="394">
        <f t="shared" si="29"/>
        <v>85.79</v>
      </c>
      <c r="F253" s="394">
        <f t="shared" si="30"/>
        <v>116.25000000000001</v>
      </c>
      <c r="G253" s="394">
        <f t="shared" si="31"/>
        <v>122.13000000000001</v>
      </c>
      <c r="H253" s="394">
        <f t="shared" si="32"/>
        <v>76.790000000000006</v>
      </c>
      <c r="I253" s="394">
        <f t="shared" si="33"/>
        <v>91.320000000000007</v>
      </c>
      <c r="J253" s="394">
        <f t="shared" si="34"/>
        <v>111.63000000000001</v>
      </c>
      <c r="K253" s="394">
        <f t="shared" si="35"/>
        <v>78.42</v>
      </c>
      <c r="L253" s="394">
        <f t="shared" si="36"/>
        <v>98.48</v>
      </c>
      <c r="M253" s="394">
        <f t="shared" si="26"/>
        <v>123.94000000000001</v>
      </c>
      <c r="N253" s="394">
        <f t="shared" si="27"/>
        <v>105.67</v>
      </c>
    </row>
    <row r="254" spans="2:14">
      <c r="B254" s="389">
        <v>45398</v>
      </c>
      <c r="C254" s="394">
        <f t="shared" si="25"/>
        <v>112.42000000000002</v>
      </c>
      <c r="D254" s="394">
        <f t="shared" si="28"/>
        <v>90.39</v>
      </c>
      <c r="E254" s="394">
        <f t="shared" si="29"/>
        <v>83.55</v>
      </c>
      <c r="F254" s="394">
        <f t="shared" si="30"/>
        <v>114.24000000000001</v>
      </c>
      <c r="G254" s="394">
        <f t="shared" si="31"/>
        <v>121.49000000000001</v>
      </c>
      <c r="H254" s="394">
        <f t="shared" si="32"/>
        <v>75.36</v>
      </c>
      <c r="I254" s="394">
        <f t="shared" si="33"/>
        <v>89.32</v>
      </c>
      <c r="J254" s="394">
        <f t="shared" si="34"/>
        <v>111.71</v>
      </c>
      <c r="K254" s="394">
        <f t="shared" si="35"/>
        <v>77.63</v>
      </c>
      <c r="L254" s="394">
        <f t="shared" si="36"/>
        <v>98.570000000000007</v>
      </c>
      <c r="M254" s="394">
        <f t="shared" si="26"/>
        <v>123.18</v>
      </c>
      <c r="N254" s="394">
        <f t="shared" si="27"/>
        <v>109.55</v>
      </c>
    </row>
    <row r="255" spans="2:14">
      <c r="B255" s="389">
        <v>45399</v>
      </c>
      <c r="C255" s="394">
        <f t="shared" si="25"/>
        <v>115.62</v>
      </c>
      <c r="D255" s="394">
        <f t="shared" si="28"/>
        <v>90.58</v>
      </c>
      <c r="E255" s="394">
        <f t="shared" si="29"/>
        <v>84.36</v>
      </c>
      <c r="F255" s="394">
        <f t="shared" si="30"/>
        <v>117.63</v>
      </c>
      <c r="G255" s="394">
        <f t="shared" si="31"/>
        <v>124.31</v>
      </c>
      <c r="H255" s="394">
        <f t="shared" si="32"/>
        <v>75.84</v>
      </c>
      <c r="I255" s="394">
        <f t="shared" si="33"/>
        <v>88.14</v>
      </c>
      <c r="J255" s="394">
        <f t="shared" si="34"/>
        <v>110.7</v>
      </c>
      <c r="K255" s="394">
        <f t="shared" si="35"/>
        <v>75.510000000000005</v>
      </c>
      <c r="L255" s="394">
        <f t="shared" si="36"/>
        <v>102.49999999999999</v>
      </c>
      <c r="M255" s="394">
        <f t="shared" si="26"/>
        <v>126.03</v>
      </c>
      <c r="N255" s="394">
        <f t="shared" si="27"/>
        <v>108.35999999999999</v>
      </c>
    </row>
    <row r="256" spans="2:14">
      <c r="B256" s="389">
        <v>45400</v>
      </c>
      <c r="C256" s="394">
        <f t="shared" si="25"/>
        <v>114.58</v>
      </c>
      <c r="D256" s="394">
        <f t="shared" si="28"/>
        <v>90.44</v>
      </c>
      <c r="E256" s="394">
        <f t="shared" si="29"/>
        <v>82.59</v>
      </c>
      <c r="F256" s="394">
        <f t="shared" si="30"/>
        <v>114.69</v>
      </c>
      <c r="G256" s="394">
        <f t="shared" si="31"/>
        <v>123.52000000000001</v>
      </c>
      <c r="H256" s="394">
        <f t="shared" si="32"/>
        <v>77</v>
      </c>
      <c r="I256" s="394">
        <f t="shared" si="33"/>
        <v>87.64</v>
      </c>
      <c r="J256" s="394">
        <f t="shared" si="34"/>
        <v>110.72999999999999</v>
      </c>
      <c r="K256" s="394">
        <f t="shared" si="35"/>
        <v>75.429999999999993</v>
      </c>
      <c r="L256" s="394">
        <f t="shared" si="36"/>
        <v>104.2</v>
      </c>
      <c r="M256" s="394">
        <f t="shared" si="26"/>
        <v>125.12</v>
      </c>
      <c r="N256" s="394">
        <f t="shared" si="27"/>
        <v>114.92999999999999</v>
      </c>
    </row>
    <row r="257" spans="2:14">
      <c r="B257" s="389">
        <v>45401</v>
      </c>
      <c r="C257" s="394">
        <f t="shared" si="25"/>
        <v>114.55</v>
      </c>
      <c r="D257" s="394">
        <f t="shared" si="28"/>
        <v>90.070000000000007</v>
      </c>
      <c r="E257" s="394">
        <f t="shared" si="29"/>
        <v>83.33</v>
      </c>
      <c r="F257" s="394">
        <f t="shared" si="30"/>
        <v>113.78999999999999</v>
      </c>
      <c r="G257" s="394">
        <f t="shared" si="31"/>
        <v>123.15</v>
      </c>
      <c r="H257" s="394">
        <f t="shared" si="32"/>
        <v>76.429999999999993</v>
      </c>
      <c r="I257" s="394">
        <f t="shared" si="33"/>
        <v>86.82</v>
      </c>
      <c r="J257" s="394">
        <f t="shared" si="34"/>
        <v>111.06</v>
      </c>
      <c r="K257" s="394">
        <f t="shared" si="35"/>
        <v>76.83</v>
      </c>
      <c r="L257" s="394">
        <f t="shared" si="36"/>
        <v>102.95</v>
      </c>
      <c r="M257" s="394">
        <f t="shared" si="26"/>
        <v>124.85</v>
      </c>
      <c r="N257" s="394">
        <f t="shared" si="27"/>
        <v>114.33</v>
      </c>
    </row>
    <row r="258" spans="2:14">
      <c r="B258" s="389">
        <v>45404</v>
      </c>
      <c r="C258" s="394">
        <f t="shared" si="25"/>
        <v>114.58</v>
      </c>
      <c r="D258" s="394">
        <f t="shared" si="28"/>
        <v>91.99</v>
      </c>
      <c r="E258" s="394">
        <f t="shared" si="29"/>
        <v>85.2</v>
      </c>
      <c r="F258" s="394">
        <f t="shared" si="30"/>
        <v>113.57</v>
      </c>
      <c r="G258" s="394">
        <f t="shared" si="31"/>
        <v>122.81</v>
      </c>
      <c r="H258" s="394">
        <f t="shared" si="32"/>
        <v>78.259999999999991</v>
      </c>
      <c r="I258" s="394">
        <f t="shared" si="33"/>
        <v>88.02</v>
      </c>
      <c r="J258" s="394">
        <f t="shared" si="34"/>
        <v>110.21000000000001</v>
      </c>
      <c r="K258" s="394">
        <f t="shared" si="35"/>
        <v>75.69</v>
      </c>
      <c r="L258" s="394">
        <f t="shared" si="36"/>
        <v>104.83</v>
      </c>
      <c r="M258" s="394">
        <f t="shared" si="26"/>
        <v>124.31</v>
      </c>
      <c r="N258" s="394">
        <f t="shared" si="27"/>
        <v>119.7</v>
      </c>
    </row>
    <row r="259" spans="2:14">
      <c r="B259" s="389">
        <v>45405</v>
      </c>
      <c r="C259" s="394">
        <f t="shared" si="25"/>
        <v>116.08000000000001</v>
      </c>
      <c r="D259" s="394">
        <f t="shared" si="28"/>
        <v>93.02</v>
      </c>
      <c r="E259" s="394">
        <f t="shared" si="29"/>
        <v>85.72</v>
      </c>
      <c r="F259" s="394">
        <f t="shared" si="30"/>
        <v>115.49000000000001</v>
      </c>
      <c r="G259" s="394">
        <f t="shared" si="31"/>
        <v>123.89999999999999</v>
      </c>
      <c r="H259" s="394">
        <f t="shared" si="32"/>
        <v>78.66</v>
      </c>
      <c r="I259" s="394">
        <f t="shared" si="33"/>
        <v>88.2</v>
      </c>
      <c r="J259" s="394">
        <f t="shared" si="34"/>
        <v>107.83</v>
      </c>
      <c r="K259" s="394">
        <f t="shared" si="35"/>
        <v>72.8</v>
      </c>
      <c r="L259" s="394">
        <f t="shared" si="36"/>
        <v>106.62</v>
      </c>
      <c r="M259" s="394">
        <f t="shared" si="26"/>
        <v>126.73</v>
      </c>
      <c r="N259" s="394">
        <f t="shared" si="27"/>
        <v>128.06</v>
      </c>
    </row>
    <row r="260" spans="2:14">
      <c r="B260" s="389">
        <v>45406</v>
      </c>
      <c r="C260" s="394">
        <f t="shared" si="25"/>
        <v>116.16</v>
      </c>
      <c r="D260" s="394">
        <f t="shared" si="28"/>
        <v>86.63000000000001</v>
      </c>
      <c r="E260" s="394">
        <f t="shared" si="29"/>
        <v>83.509999999999991</v>
      </c>
      <c r="F260" s="394">
        <f t="shared" si="30"/>
        <v>115.39999999999999</v>
      </c>
      <c r="G260" s="394">
        <f t="shared" si="31"/>
        <v>125.71</v>
      </c>
      <c r="H260" s="394">
        <f t="shared" si="32"/>
        <v>78.66</v>
      </c>
      <c r="I260" s="394">
        <f t="shared" si="33"/>
        <v>87.339999999999989</v>
      </c>
      <c r="J260" s="394">
        <f t="shared" si="34"/>
        <v>109.44</v>
      </c>
      <c r="K260" s="394">
        <f t="shared" si="35"/>
        <v>70.59</v>
      </c>
      <c r="L260" s="394">
        <f t="shared" si="36"/>
        <v>107.16000000000001</v>
      </c>
      <c r="M260" s="394">
        <f t="shared" si="26"/>
        <v>126.63</v>
      </c>
      <c r="N260" s="394">
        <f t="shared" si="27"/>
        <v>123.28000000000002</v>
      </c>
    </row>
    <row r="261" spans="2:14">
      <c r="B261" s="389">
        <v>45407</v>
      </c>
      <c r="C261" s="394">
        <f t="shared" si="25"/>
        <v>112.94</v>
      </c>
      <c r="D261" s="394">
        <f t="shared" si="28"/>
        <v>86.94</v>
      </c>
      <c r="E261" s="394">
        <f t="shared" si="29"/>
        <v>84.25</v>
      </c>
      <c r="F261" s="394">
        <f t="shared" si="30"/>
        <v>114.06</v>
      </c>
      <c r="G261" s="394">
        <f t="shared" si="31"/>
        <v>121.87</v>
      </c>
      <c r="H261" s="394">
        <f t="shared" si="32"/>
        <v>78.100000000000009</v>
      </c>
      <c r="I261" s="394">
        <f t="shared" si="33"/>
        <v>87.949999999999989</v>
      </c>
      <c r="J261" s="394">
        <f t="shared" si="34"/>
        <v>107.69</v>
      </c>
      <c r="K261" s="394">
        <f t="shared" si="35"/>
        <v>69.41</v>
      </c>
      <c r="L261" s="394">
        <f t="shared" si="36"/>
        <v>105.89999999999999</v>
      </c>
      <c r="M261" s="394">
        <f t="shared" si="26"/>
        <v>123.61</v>
      </c>
      <c r="N261" s="394">
        <f t="shared" si="27"/>
        <v>123.88</v>
      </c>
    </row>
    <row r="262" spans="2:14">
      <c r="B262" s="389">
        <v>45408</v>
      </c>
      <c r="C262" s="394">
        <f t="shared" si="25"/>
        <v>114.99999999999999</v>
      </c>
      <c r="D262" s="394">
        <f t="shared" si="28"/>
        <v>89.77</v>
      </c>
      <c r="E262" s="394">
        <f t="shared" si="29"/>
        <v>84.8</v>
      </c>
      <c r="F262" s="394">
        <f t="shared" si="30"/>
        <v>115.94</v>
      </c>
      <c r="G262" s="394">
        <f t="shared" si="31"/>
        <v>122.17</v>
      </c>
      <c r="H262" s="394">
        <f t="shared" si="32"/>
        <v>78.47</v>
      </c>
      <c r="I262" s="394">
        <f t="shared" si="33"/>
        <v>88.61</v>
      </c>
      <c r="J262" s="394">
        <f t="shared" si="34"/>
        <v>109.5</v>
      </c>
      <c r="K262" s="394">
        <f t="shared" si="35"/>
        <v>70.87</v>
      </c>
      <c r="L262" s="394">
        <f t="shared" si="36"/>
        <v>107.60000000000001</v>
      </c>
      <c r="M262" s="394">
        <f t="shared" si="26"/>
        <v>126.47</v>
      </c>
      <c r="N262" s="394">
        <f t="shared" si="27"/>
        <v>123.58</v>
      </c>
    </row>
    <row r="263" spans="2:14">
      <c r="B263" s="389">
        <v>45411</v>
      </c>
      <c r="C263" s="394">
        <f t="shared" si="25"/>
        <v>113.12</v>
      </c>
      <c r="D263" s="394">
        <f t="shared" si="28"/>
        <v>89.16</v>
      </c>
      <c r="E263" s="394">
        <f t="shared" si="29"/>
        <v>85.06</v>
      </c>
      <c r="F263" s="394">
        <f t="shared" si="30"/>
        <v>115.8</v>
      </c>
      <c r="G263" s="394">
        <f t="shared" si="31"/>
        <v>121.41999999999999</v>
      </c>
      <c r="H263" s="394">
        <f t="shared" si="32"/>
        <v>79.489999999999995</v>
      </c>
      <c r="I263" s="394">
        <f t="shared" si="33"/>
        <v>89.48</v>
      </c>
      <c r="J263" s="394">
        <f t="shared" si="34"/>
        <v>112.04</v>
      </c>
      <c r="K263" s="394">
        <f t="shared" si="35"/>
        <v>71.449999999999989</v>
      </c>
      <c r="L263" s="394">
        <f t="shared" si="36"/>
        <v>110.02000000000001</v>
      </c>
      <c r="M263" s="394">
        <f t="shared" si="26"/>
        <v>123.66999999999999</v>
      </c>
      <c r="N263" s="394">
        <f t="shared" si="27"/>
        <v>128.66</v>
      </c>
    </row>
    <row r="264" spans="2:14">
      <c r="B264" s="389">
        <v>45412</v>
      </c>
      <c r="C264" s="394">
        <f t="shared" si="25"/>
        <v>112.42000000000002</v>
      </c>
      <c r="D264" s="394">
        <f t="shared" si="28"/>
        <v>87.660000000000011</v>
      </c>
      <c r="E264" s="394">
        <f t="shared" si="29"/>
        <v>84.69</v>
      </c>
      <c r="F264" s="394">
        <f t="shared" si="30"/>
        <v>114.19999999999999</v>
      </c>
      <c r="G264" s="394">
        <f t="shared" si="31"/>
        <v>120.66</v>
      </c>
      <c r="H264" s="394">
        <f t="shared" si="32"/>
        <v>78.16</v>
      </c>
      <c r="I264" s="394">
        <f t="shared" si="33"/>
        <v>88.02</v>
      </c>
      <c r="J264" s="394">
        <f t="shared" si="34"/>
        <v>109.13999999999999</v>
      </c>
      <c r="K264" s="394">
        <f t="shared" si="35"/>
        <v>70.75</v>
      </c>
      <c r="L264" s="394">
        <f t="shared" si="36"/>
        <v>110.02000000000001</v>
      </c>
      <c r="M264" s="394">
        <f t="shared" si="26"/>
        <v>121.14</v>
      </c>
      <c r="N264" s="394">
        <f t="shared" si="27"/>
        <v>117.01000000000002</v>
      </c>
    </row>
    <row r="265" spans="2:14">
      <c r="B265" s="389">
        <v>45413</v>
      </c>
      <c r="C265" s="394">
        <f t="shared" si="25"/>
        <v>112.42000000000002</v>
      </c>
      <c r="D265" s="394">
        <f t="shared" si="28"/>
        <v>87.660000000000011</v>
      </c>
      <c r="E265" s="394">
        <f t="shared" si="29"/>
        <v>84.06</v>
      </c>
      <c r="F265" s="394">
        <f t="shared" si="30"/>
        <v>114.19999999999999</v>
      </c>
      <c r="G265" s="394">
        <f t="shared" si="31"/>
        <v>120.66</v>
      </c>
      <c r="H265" s="394">
        <f t="shared" si="32"/>
        <v>78.16</v>
      </c>
      <c r="I265" s="394">
        <f t="shared" si="33"/>
        <v>88.02</v>
      </c>
      <c r="J265" s="394">
        <f t="shared" si="34"/>
        <v>107.96999999999998</v>
      </c>
      <c r="K265" s="394">
        <f t="shared" si="35"/>
        <v>70.289999999999992</v>
      </c>
      <c r="L265" s="394">
        <f t="shared" si="36"/>
        <v>110.91</v>
      </c>
      <c r="M265" s="394">
        <f t="shared" si="26"/>
        <v>121.14</v>
      </c>
      <c r="N265" s="394">
        <f t="shared" si="27"/>
        <v>123.28000000000002</v>
      </c>
    </row>
    <row r="266" spans="2:14">
      <c r="B266" s="389">
        <v>45414</v>
      </c>
      <c r="C266" s="394">
        <f t="shared" si="25"/>
        <v>111.33999999999999</v>
      </c>
      <c r="D266" s="394">
        <f t="shared" si="28"/>
        <v>88.28</v>
      </c>
      <c r="E266" s="394">
        <f t="shared" si="29"/>
        <v>84.65</v>
      </c>
      <c r="F266" s="394">
        <f t="shared" si="30"/>
        <v>114.42000000000002</v>
      </c>
      <c r="G266" s="394">
        <f t="shared" si="31"/>
        <v>120.66</v>
      </c>
      <c r="H266" s="394">
        <f t="shared" si="32"/>
        <v>72.78</v>
      </c>
      <c r="I266" s="394">
        <f t="shared" si="33"/>
        <v>88.09</v>
      </c>
      <c r="J266" s="394">
        <f t="shared" si="34"/>
        <v>106.05</v>
      </c>
      <c r="K266" s="394">
        <f t="shared" si="35"/>
        <v>69.989999999999995</v>
      </c>
      <c r="L266" s="394">
        <f t="shared" si="36"/>
        <v>114.58</v>
      </c>
      <c r="M266" s="394">
        <f t="shared" si="26"/>
        <v>121.71000000000001</v>
      </c>
      <c r="N266" s="394">
        <f t="shared" si="27"/>
        <v>126.86999999999999</v>
      </c>
    </row>
    <row r="267" spans="2:14">
      <c r="B267" s="389">
        <v>45415</v>
      </c>
      <c r="C267" s="394">
        <f t="shared" si="25"/>
        <v>113.52</v>
      </c>
      <c r="D267" s="394">
        <f t="shared" si="28"/>
        <v>89.86</v>
      </c>
      <c r="E267" s="394">
        <f t="shared" si="29"/>
        <v>86.86</v>
      </c>
      <c r="F267" s="394">
        <f t="shared" si="30"/>
        <v>117.68</v>
      </c>
      <c r="G267" s="394">
        <f t="shared" si="31"/>
        <v>121</v>
      </c>
      <c r="H267" s="394">
        <f t="shared" si="32"/>
        <v>74</v>
      </c>
      <c r="I267" s="394">
        <f t="shared" si="33"/>
        <v>89.18</v>
      </c>
      <c r="J267" s="394">
        <f t="shared" si="34"/>
        <v>107.28</v>
      </c>
      <c r="K267" s="394">
        <f t="shared" si="35"/>
        <v>71.150000000000006</v>
      </c>
      <c r="L267" s="394">
        <f t="shared" si="36"/>
        <v>113.69</v>
      </c>
      <c r="M267" s="394">
        <f t="shared" si="26"/>
        <v>124.15</v>
      </c>
      <c r="N267" s="394">
        <f t="shared" si="27"/>
        <v>127.46</v>
      </c>
    </row>
    <row r="268" spans="2:14">
      <c r="B268" s="389">
        <v>45418</v>
      </c>
      <c r="C268" s="394">
        <f t="shared" si="25"/>
        <v>113.48</v>
      </c>
      <c r="D268" s="394">
        <f t="shared" si="28"/>
        <v>89.38000000000001</v>
      </c>
      <c r="E268" s="394">
        <f t="shared" si="29"/>
        <v>86.86</v>
      </c>
      <c r="F268" s="394">
        <f t="shared" si="30"/>
        <v>117.80999999999999</v>
      </c>
      <c r="G268" s="394">
        <f t="shared" si="31"/>
        <v>120.96000000000001</v>
      </c>
      <c r="H268" s="394">
        <f t="shared" si="32"/>
        <v>74</v>
      </c>
      <c r="I268" s="394">
        <f t="shared" si="33"/>
        <v>88.949999999999989</v>
      </c>
      <c r="J268" s="394">
        <f t="shared" si="34"/>
        <v>107.94</v>
      </c>
      <c r="K268" s="394">
        <f t="shared" si="35"/>
        <v>71.25</v>
      </c>
      <c r="L268" s="394">
        <f t="shared" si="36"/>
        <v>114.67</v>
      </c>
      <c r="M268" s="394">
        <f t="shared" si="26"/>
        <v>123.56</v>
      </c>
      <c r="N268" s="394">
        <f t="shared" si="27"/>
        <v>134.32999999999998</v>
      </c>
    </row>
    <row r="269" spans="2:14">
      <c r="B269" s="389">
        <v>45419</v>
      </c>
      <c r="C269" s="394">
        <f t="shared" si="25"/>
        <v>114.6</v>
      </c>
      <c r="D269" s="394">
        <f t="shared" si="28"/>
        <v>90.210000000000008</v>
      </c>
      <c r="E269" s="394">
        <f t="shared" si="29"/>
        <v>84.72999999999999</v>
      </c>
      <c r="F269" s="394">
        <f t="shared" si="30"/>
        <v>118.61999999999999</v>
      </c>
      <c r="G269" s="394">
        <f t="shared" si="31"/>
        <v>120.81</v>
      </c>
      <c r="H269" s="394">
        <f t="shared" si="32"/>
        <v>73.460000000000008</v>
      </c>
      <c r="I269" s="394">
        <f t="shared" si="33"/>
        <v>88.660000000000011</v>
      </c>
      <c r="J269" s="394">
        <f t="shared" si="34"/>
        <v>106.60000000000001</v>
      </c>
      <c r="K269" s="394">
        <f t="shared" si="35"/>
        <v>73.7</v>
      </c>
      <c r="L269" s="394">
        <f t="shared" si="36"/>
        <v>114.58</v>
      </c>
      <c r="M269" s="394">
        <f t="shared" si="26"/>
        <v>124.64</v>
      </c>
      <c r="N269" s="394">
        <f t="shared" si="27"/>
        <v>128.96</v>
      </c>
    </row>
    <row r="270" spans="2:14">
      <c r="B270" s="389">
        <v>45420</v>
      </c>
      <c r="C270" s="394">
        <f t="shared" si="25"/>
        <v>114.38</v>
      </c>
      <c r="D270" s="394">
        <f t="shared" si="28"/>
        <v>90.55</v>
      </c>
      <c r="E270" s="394">
        <f t="shared" si="29"/>
        <v>84.69</v>
      </c>
      <c r="F270" s="394">
        <f t="shared" si="30"/>
        <v>118.71000000000001</v>
      </c>
      <c r="G270" s="394">
        <f t="shared" si="31"/>
        <v>118.97</v>
      </c>
      <c r="H270" s="394">
        <f t="shared" si="32"/>
        <v>72.77</v>
      </c>
      <c r="I270" s="394">
        <f t="shared" si="33"/>
        <v>89.25</v>
      </c>
      <c r="J270" s="394">
        <f t="shared" si="34"/>
        <v>106.57000000000001</v>
      </c>
      <c r="K270" s="394">
        <f t="shared" si="35"/>
        <v>73.2</v>
      </c>
      <c r="L270" s="394">
        <f t="shared" si="36"/>
        <v>113.69</v>
      </c>
      <c r="M270" s="394">
        <f t="shared" si="26"/>
        <v>125.24</v>
      </c>
      <c r="N270" s="394">
        <f t="shared" si="27"/>
        <v>128.66</v>
      </c>
    </row>
    <row r="271" spans="2:14">
      <c r="B271" s="389">
        <v>45421</v>
      </c>
      <c r="C271" s="394">
        <f t="shared" si="25"/>
        <v>114.53999999999999</v>
      </c>
      <c r="D271" s="394">
        <f t="shared" si="28"/>
        <v>91.14</v>
      </c>
      <c r="E271" s="394">
        <f t="shared" si="29"/>
        <v>85.460000000000008</v>
      </c>
      <c r="F271" s="394">
        <f t="shared" si="30"/>
        <v>118.71000000000001</v>
      </c>
      <c r="G271" s="394">
        <f t="shared" si="31"/>
        <v>119.38</v>
      </c>
      <c r="H271" s="394">
        <f t="shared" si="32"/>
        <v>73.58</v>
      </c>
      <c r="I271" s="394">
        <f t="shared" si="33"/>
        <v>89.25</v>
      </c>
      <c r="J271" s="394">
        <f t="shared" si="34"/>
        <v>110.36999999999999</v>
      </c>
      <c r="K271" s="394">
        <f t="shared" si="35"/>
        <v>72.260000000000005</v>
      </c>
      <c r="L271" s="394">
        <f t="shared" si="36"/>
        <v>113.41999999999999</v>
      </c>
      <c r="M271" s="394">
        <f t="shared" si="26"/>
        <v>125.13000000000001</v>
      </c>
      <c r="N271" s="394">
        <f t="shared" si="27"/>
        <v>128.36000000000001</v>
      </c>
    </row>
    <row r="272" spans="2:14">
      <c r="B272" s="389">
        <v>45422</v>
      </c>
      <c r="C272" s="394">
        <f t="shared" si="25"/>
        <v>114.45</v>
      </c>
      <c r="D272" s="394">
        <f t="shared" si="28"/>
        <v>90.92</v>
      </c>
      <c r="E272" s="394">
        <f t="shared" si="29"/>
        <v>86.49</v>
      </c>
      <c r="F272" s="394">
        <f t="shared" si="30"/>
        <v>120.98</v>
      </c>
      <c r="G272" s="394">
        <f t="shared" si="31"/>
        <v>119.38</v>
      </c>
      <c r="H272" s="394">
        <f t="shared" si="32"/>
        <v>74.079999999999984</v>
      </c>
      <c r="I272" s="394">
        <f t="shared" si="33"/>
        <v>89.09</v>
      </c>
      <c r="J272" s="394">
        <f t="shared" si="34"/>
        <v>109.55</v>
      </c>
      <c r="K272" s="394">
        <f t="shared" si="35"/>
        <v>72.02</v>
      </c>
      <c r="L272" s="394">
        <f t="shared" si="36"/>
        <v>110.2</v>
      </c>
      <c r="M272" s="394">
        <f t="shared" si="26"/>
        <v>124.75</v>
      </c>
      <c r="N272" s="394">
        <f t="shared" si="27"/>
        <v>135.82</v>
      </c>
    </row>
    <row r="273" spans="2:14">
      <c r="B273" s="389">
        <v>45425</v>
      </c>
      <c r="C273" s="394">
        <f t="shared" si="25"/>
        <v>113.60999999999999</v>
      </c>
      <c r="D273" s="394">
        <f t="shared" si="28"/>
        <v>90.94</v>
      </c>
      <c r="E273" s="394">
        <f t="shared" si="29"/>
        <v>85.76</v>
      </c>
      <c r="F273" s="394">
        <f t="shared" si="30"/>
        <v>120.27000000000001</v>
      </c>
      <c r="G273" s="394">
        <f t="shared" si="31"/>
        <v>117.24000000000001</v>
      </c>
      <c r="H273" s="394">
        <f t="shared" si="32"/>
        <v>75.550000000000011</v>
      </c>
      <c r="I273" s="394">
        <f t="shared" si="33"/>
        <v>90.48</v>
      </c>
      <c r="J273" s="394">
        <f t="shared" si="34"/>
        <v>113.05000000000001</v>
      </c>
      <c r="K273" s="394">
        <f t="shared" si="35"/>
        <v>71.31</v>
      </c>
      <c r="L273" s="394">
        <f t="shared" si="36"/>
        <v>111.63000000000001</v>
      </c>
      <c r="M273" s="394">
        <f t="shared" si="26"/>
        <v>124.15</v>
      </c>
      <c r="N273" s="394">
        <f t="shared" si="27"/>
        <v>144.47999999999999</v>
      </c>
    </row>
    <row r="274" spans="2:14">
      <c r="B274" s="389">
        <v>45426</v>
      </c>
      <c r="C274" s="394">
        <f t="shared" si="25"/>
        <v>114.96</v>
      </c>
      <c r="D274" s="394">
        <f t="shared" si="28"/>
        <v>92.67</v>
      </c>
      <c r="E274" s="394">
        <f t="shared" si="29"/>
        <v>87.49</v>
      </c>
      <c r="F274" s="394">
        <f t="shared" si="30"/>
        <v>121.78999999999999</v>
      </c>
      <c r="G274" s="394">
        <f t="shared" si="31"/>
        <v>119.22999999999999</v>
      </c>
      <c r="H274" s="394">
        <f t="shared" si="32"/>
        <v>76.149999999999991</v>
      </c>
      <c r="I274" s="394">
        <f t="shared" si="33"/>
        <v>91.51</v>
      </c>
      <c r="J274" s="394">
        <f t="shared" si="34"/>
        <v>115.13</v>
      </c>
      <c r="K274" s="394">
        <f t="shared" si="35"/>
        <v>72.180000000000007</v>
      </c>
      <c r="L274" s="394">
        <f t="shared" si="36"/>
        <v>113.51</v>
      </c>
      <c r="M274" s="394">
        <f t="shared" si="26"/>
        <v>124.97</v>
      </c>
      <c r="N274" s="394">
        <f t="shared" si="27"/>
        <v>149.25</v>
      </c>
    </row>
    <row r="275" spans="2:14">
      <c r="B275" s="389">
        <v>45427</v>
      </c>
      <c r="C275" s="394">
        <f t="shared" si="25"/>
        <v>114.53999999999999</v>
      </c>
      <c r="D275" s="394">
        <f t="shared" si="28"/>
        <v>92.09</v>
      </c>
      <c r="E275" s="394">
        <f t="shared" si="29"/>
        <v>81.12</v>
      </c>
      <c r="F275" s="394">
        <f t="shared" si="30"/>
        <v>121.92</v>
      </c>
      <c r="G275" s="394">
        <f t="shared" si="31"/>
        <v>120.14</v>
      </c>
      <c r="H275" s="394">
        <f t="shared" si="32"/>
        <v>77.739999999999995</v>
      </c>
      <c r="I275" s="394">
        <f t="shared" si="33"/>
        <v>90.78</v>
      </c>
      <c r="J275" s="394">
        <f t="shared" si="34"/>
        <v>116.66000000000001</v>
      </c>
      <c r="K275" s="394">
        <f t="shared" si="35"/>
        <v>72.08</v>
      </c>
      <c r="L275" s="394">
        <f t="shared" si="36"/>
        <v>111.99</v>
      </c>
      <c r="M275" s="394">
        <f t="shared" si="26"/>
        <v>124.21</v>
      </c>
      <c r="N275" s="394">
        <f t="shared" si="27"/>
        <v>144.47999999999999</v>
      </c>
    </row>
    <row r="276" spans="2:14">
      <c r="B276" s="389">
        <v>45428</v>
      </c>
      <c r="C276" s="394">
        <f t="shared" ref="C276:C307" si="37">IFERROR(C$179*(1+C131/100),C275)</f>
        <v>114.1</v>
      </c>
      <c r="D276" s="394">
        <f t="shared" si="28"/>
        <v>93.33</v>
      </c>
      <c r="E276" s="394">
        <f t="shared" si="29"/>
        <v>83.92</v>
      </c>
      <c r="F276" s="394">
        <f t="shared" si="30"/>
        <v>122.72000000000001</v>
      </c>
      <c r="G276" s="394">
        <f t="shared" si="31"/>
        <v>120.39999999999999</v>
      </c>
      <c r="H276" s="394">
        <f t="shared" si="32"/>
        <v>80.11</v>
      </c>
      <c r="I276" s="394">
        <f t="shared" si="33"/>
        <v>91.63</v>
      </c>
      <c r="J276" s="394">
        <f t="shared" si="34"/>
        <v>116.25000000000001</v>
      </c>
      <c r="K276" s="394">
        <f t="shared" si="35"/>
        <v>72.08</v>
      </c>
      <c r="L276" s="394">
        <f t="shared" si="36"/>
        <v>114.4</v>
      </c>
      <c r="M276" s="394">
        <f t="shared" ref="M276:M307" si="38">IFERROR(M$179*(1+M131/100),M275)</f>
        <v>124.03999999999999</v>
      </c>
      <c r="N276" s="394">
        <f t="shared" ref="N276:N307" si="39">IFERROR(N$179*(1+N131/100),N275)</f>
        <v>146.27000000000001</v>
      </c>
    </row>
    <row r="277" spans="2:14">
      <c r="B277" s="389">
        <v>45429</v>
      </c>
      <c r="C277" s="394">
        <f t="shared" si="37"/>
        <v>113.7</v>
      </c>
      <c r="D277" s="394">
        <f t="shared" ref="D277:D308" si="40">IFERROR(D$179*(1+D132/100),D276)</f>
        <v>90.81</v>
      </c>
      <c r="E277" s="394">
        <f t="shared" ref="E277:E308" si="41">IFERROR(E$179*(1+E132/100),E276)</f>
        <v>80.97</v>
      </c>
      <c r="F277" s="394">
        <f t="shared" ref="F277:F308" si="42">IFERROR(F$179*(1+F132/100),F276)</f>
        <v>129.24</v>
      </c>
      <c r="G277" s="394">
        <f t="shared" ref="G277:G308" si="43">IFERROR(G$179*(1+G132/100),G276)</f>
        <v>120.44000000000001</v>
      </c>
      <c r="H277" s="394">
        <f t="shared" ref="H277:H308" si="44">IFERROR(H$179*(1+H132/100),H276)</f>
        <v>80.02</v>
      </c>
      <c r="I277" s="394">
        <f t="shared" ref="I277:I308" si="45">IFERROR(I$179*(1+I132/100),I276)</f>
        <v>93.97999999999999</v>
      </c>
      <c r="J277" s="394">
        <f t="shared" ref="J277:J308" si="46">IFERROR(J$179*(1+J132/100),J276)</f>
        <v>115.71000000000001</v>
      </c>
      <c r="K277" s="394">
        <f t="shared" ref="K277:K308" si="47">IFERROR(K$179*(1+K132/100),K276)</f>
        <v>71.679999999999993</v>
      </c>
      <c r="L277" s="394">
        <f t="shared" ref="L277:L308" si="48">IFERROR(L$179*(1+L132/100),L276)</f>
        <v>117.97999999999999</v>
      </c>
      <c r="M277" s="394">
        <f t="shared" si="38"/>
        <v>124.69999999999999</v>
      </c>
      <c r="N277" s="394">
        <f t="shared" si="39"/>
        <v>149.25</v>
      </c>
    </row>
    <row r="278" spans="2:14">
      <c r="B278" s="389">
        <v>45432</v>
      </c>
      <c r="C278" s="394">
        <f t="shared" si="37"/>
        <v>113.1</v>
      </c>
      <c r="D278" s="394">
        <f t="shared" si="40"/>
        <v>91.86999999999999</v>
      </c>
      <c r="E278" s="394">
        <f t="shared" si="41"/>
        <v>78.539999999999992</v>
      </c>
      <c r="F278" s="394">
        <f t="shared" si="42"/>
        <v>129.24</v>
      </c>
      <c r="G278" s="394">
        <f t="shared" si="43"/>
        <v>120.76</v>
      </c>
      <c r="H278" s="394">
        <f t="shared" si="44"/>
        <v>79.3</v>
      </c>
      <c r="I278" s="394">
        <f t="shared" si="45"/>
        <v>93.97999999999999</v>
      </c>
      <c r="J278" s="394">
        <f t="shared" si="46"/>
        <v>116.09</v>
      </c>
      <c r="K278" s="394">
        <f t="shared" si="47"/>
        <v>71.25</v>
      </c>
      <c r="L278" s="394">
        <f t="shared" si="48"/>
        <v>116.00999999999999</v>
      </c>
      <c r="M278" s="394">
        <f t="shared" si="38"/>
        <v>125.02</v>
      </c>
      <c r="N278" s="394">
        <f t="shared" si="39"/>
        <v>149.85</v>
      </c>
    </row>
    <row r="279" spans="2:14">
      <c r="B279" s="389">
        <v>45433</v>
      </c>
      <c r="C279" s="394">
        <f t="shared" si="37"/>
        <v>111.5</v>
      </c>
      <c r="D279" s="394">
        <f t="shared" si="40"/>
        <v>91.16</v>
      </c>
      <c r="E279" s="394">
        <f t="shared" si="41"/>
        <v>78.06</v>
      </c>
      <c r="F279" s="394">
        <f t="shared" si="42"/>
        <v>128.17000000000002</v>
      </c>
      <c r="G279" s="394">
        <f t="shared" si="43"/>
        <v>116.38999999999999</v>
      </c>
      <c r="H279" s="394">
        <f t="shared" si="44"/>
        <v>79.540000000000006</v>
      </c>
      <c r="I279" s="394">
        <f t="shared" si="45"/>
        <v>92.33</v>
      </c>
      <c r="J279" s="394">
        <f t="shared" si="46"/>
        <v>115.78999999999999</v>
      </c>
      <c r="K279" s="394">
        <f t="shared" si="47"/>
        <v>70.09</v>
      </c>
      <c r="L279" s="394">
        <f t="shared" si="48"/>
        <v>114.67</v>
      </c>
      <c r="M279" s="394">
        <f t="shared" si="38"/>
        <v>123.94000000000001</v>
      </c>
      <c r="N279" s="394">
        <f t="shared" si="39"/>
        <v>152.84</v>
      </c>
    </row>
    <row r="280" spans="2:14">
      <c r="B280" s="389">
        <v>45434</v>
      </c>
      <c r="C280" s="394">
        <f t="shared" si="37"/>
        <v>109.14999999999999</v>
      </c>
      <c r="D280" s="394">
        <f t="shared" si="40"/>
        <v>90.3</v>
      </c>
      <c r="E280" s="394">
        <f t="shared" si="41"/>
        <v>77.22</v>
      </c>
      <c r="F280" s="394">
        <f t="shared" si="42"/>
        <v>125.54</v>
      </c>
      <c r="G280" s="394">
        <f t="shared" si="43"/>
        <v>115.78</v>
      </c>
      <c r="H280" s="394">
        <f t="shared" si="44"/>
        <v>76.849999999999994</v>
      </c>
      <c r="I280" s="394">
        <f t="shared" si="45"/>
        <v>90.38000000000001</v>
      </c>
      <c r="J280" s="394">
        <f t="shared" si="46"/>
        <v>113.41000000000001</v>
      </c>
      <c r="K280" s="394">
        <f t="shared" si="47"/>
        <v>69.650000000000006</v>
      </c>
      <c r="L280" s="394">
        <f t="shared" si="48"/>
        <v>113.06</v>
      </c>
      <c r="M280" s="394">
        <f t="shared" si="38"/>
        <v>118.67000000000002</v>
      </c>
      <c r="N280" s="394">
        <f t="shared" si="39"/>
        <v>150.45000000000002</v>
      </c>
    </row>
    <row r="281" spans="2:14">
      <c r="B281" s="389">
        <v>45435</v>
      </c>
      <c r="C281" s="394">
        <f t="shared" si="37"/>
        <v>109.28</v>
      </c>
      <c r="D281" s="394">
        <f t="shared" si="40"/>
        <v>90.97999999999999</v>
      </c>
      <c r="E281" s="394">
        <f t="shared" si="41"/>
        <v>77.36</v>
      </c>
      <c r="F281" s="394">
        <f t="shared" si="42"/>
        <v>127.01</v>
      </c>
      <c r="G281" s="394">
        <f t="shared" si="43"/>
        <v>116.78</v>
      </c>
      <c r="H281" s="394">
        <f t="shared" si="44"/>
        <v>76.3</v>
      </c>
      <c r="I281" s="394">
        <f t="shared" si="45"/>
        <v>90.429999999999993</v>
      </c>
      <c r="J281" s="394">
        <f t="shared" si="46"/>
        <v>113.08</v>
      </c>
      <c r="K281" s="394">
        <f t="shared" si="47"/>
        <v>69.39</v>
      </c>
      <c r="L281" s="394">
        <f t="shared" si="48"/>
        <v>112.7</v>
      </c>
      <c r="M281" s="394">
        <f t="shared" si="38"/>
        <v>118.88000000000001</v>
      </c>
      <c r="N281" s="394">
        <f t="shared" si="39"/>
        <v>148.66</v>
      </c>
    </row>
    <row r="282" spans="2:14">
      <c r="B282" s="389">
        <v>45436</v>
      </c>
      <c r="C282" s="394">
        <f t="shared" si="37"/>
        <v>108.88</v>
      </c>
      <c r="D282" s="394">
        <f t="shared" si="40"/>
        <v>90.92</v>
      </c>
      <c r="E282" s="394">
        <f t="shared" si="41"/>
        <v>76.22</v>
      </c>
      <c r="F282" s="394">
        <f t="shared" si="42"/>
        <v>127.99000000000001</v>
      </c>
      <c r="G282" s="394">
        <f t="shared" si="43"/>
        <v>118.69000000000001</v>
      </c>
      <c r="H282" s="394">
        <f t="shared" si="44"/>
        <v>74.72</v>
      </c>
      <c r="I282" s="394">
        <f t="shared" si="45"/>
        <v>90.05</v>
      </c>
      <c r="J282" s="394">
        <f t="shared" si="46"/>
        <v>115.65</v>
      </c>
      <c r="K282" s="394">
        <f t="shared" si="47"/>
        <v>69.05</v>
      </c>
      <c r="L282" s="394">
        <f t="shared" si="48"/>
        <v>112.88</v>
      </c>
      <c r="M282" s="394">
        <f t="shared" si="38"/>
        <v>118.44999999999999</v>
      </c>
      <c r="N282" s="394">
        <f t="shared" si="39"/>
        <v>157.91</v>
      </c>
    </row>
    <row r="283" spans="2:14">
      <c r="B283" s="389">
        <v>45439</v>
      </c>
      <c r="C283" s="394">
        <f t="shared" si="37"/>
        <v>109.77999999999999</v>
      </c>
      <c r="D283" s="394">
        <f t="shared" si="40"/>
        <v>91.13</v>
      </c>
      <c r="E283" s="394">
        <f t="shared" si="41"/>
        <v>76.22</v>
      </c>
      <c r="F283" s="394">
        <f t="shared" si="42"/>
        <v>128.39000000000001</v>
      </c>
      <c r="G283" s="394">
        <f t="shared" si="43"/>
        <v>118.35</v>
      </c>
      <c r="H283" s="394">
        <f t="shared" si="44"/>
        <v>76.95</v>
      </c>
      <c r="I283" s="394">
        <f t="shared" si="45"/>
        <v>90.5</v>
      </c>
      <c r="J283" s="394">
        <f t="shared" si="46"/>
        <v>115.65</v>
      </c>
      <c r="K283" s="394">
        <f t="shared" si="47"/>
        <v>69.05</v>
      </c>
      <c r="L283" s="394">
        <f t="shared" si="48"/>
        <v>112.88</v>
      </c>
      <c r="M283" s="394">
        <f t="shared" si="38"/>
        <v>119.53</v>
      </c>
      <c r="N283" s="394">
        <f t="shared" si="39"/>
        <v>157.91</v>
      </c>
    </row>
    <row r="284" spans="2:14">
      <c r="B284" s="389">
        <v>45440</v>
      </c>
      <c r="C284" s="394">
        <f t="shared" si="37"/>
        <v>108.21000000000001</v>
      </c>
      <c r="D284" s="394">
        <f t="shared" si="40"/>
        <v>90.57</v>
      </c>
      <c r="E284" s="394">
        <f t="shared" si="41"/>
        <v>76.11</v>
      </c>
      <c r="F284" s="394">
        <f t="shared" si="42"/>
        <v>128.39000000000001</v>
      </c>
      <c r="G284" s="394">
        <f t="shared" si="43"/>
        <v>116.93</v>
      </c>
      <c r="H284" s="394">
        <f t="shared" si="44"/>
        <v>75.25</v>
      </c>
      <c r="I284" s="394">
        <f t="shared" si="45"/>
        <v>91.179999999999993</v>
      </c>
      <c r="J284" s="394">
        <f t="shared" si="46"/>
        <v>113.22000000000001</v>
      </c>
      <c r="K284" s="394">
        <f t="shared" si="47"/>
        <v>68.300000000000011</v>
      </c>
      <c r="L284" s="394">
        <f t="shared" si="48"/>
        <v>111.17999999999999</v>
      </c>
      <c r="M284" s="394">
        <f t="shared" si="38"/>
        <v>118.44999999999999</v>
      </c>
      <c r="N284" s="394">
        <f t="shared" si="39"/>
        <v>162.99</v>
      </c>
    </row>
    <row r="285" spans="2:14">
      <c r="B285" s="389">
        <v>45441</v>
      </c>
      <c r="C285" s="394">
        <f t="shared" si="37"/>
        <v>105.13</v>
      </c>
      <c r="D285" s="394">
        <f t="shared" si="40"/>
        <v>88.48</v>
      </c>
      <c r="E285" s="394">
        <f t="shared" si="41"/>
        <v>75.52</v>
      </c>
      <c r="F285" s="394">
        <f t="shared" si="42"/>
        <v>127.01</v>
      </c>
      <c r="G285" s="394">
        <f t="shared" si="43"/>
        <v>115.51</v>
      </c>
      <c r="H285" s="394">
        <f t="shared" si="44"/>
        <v>74.8</v>
      </c>
      <c r="I285" s="394">
        <f t="shared" si="45"/>
        <v>88.83</v>
      </c>
      <c r="J285" s="394">
        <f t="shared" si="46"/>
        <v>113.52</v>
      </c>
      <c r="K285" s="394">
        <f t="shared" si="47"/>
        <v>68.16</v>
      </c>
      <c r="L285" s="394">
        <f t="shared" si="48"/>
        <v>106.26</v>
      </c>
      <c r="M285" s="394">
        <f t="shared" si="38"/>
        <v>116.71000000000001</v>
      </c>
      <c r="N285" s="394">
        <f t="shared" si="39"/>
        <v>159.39999999999998</v>
      </c>
    </row>
    <row r="286" spans="2:14">
      <c r="B286" s="389">
        <v>45442</v>
      </c>
      <c r="C286" s="394">
        <f t="shared" si="37"/>
        <v>106.61</v>
      </c>
      <c r="D286" s="394">
        <f t="shared" si="40"/>
        <v>87.68</v>
      </c>
      <c r="E286" s="394">
        <f t="shared" si="41"/>
        <v>77.59</v>
      </c>
      <c r="F286" s="394">
        <f t="shared" si="42"/>
        <v>127.46</v>
      </c>
      <c r="G286" s="394">
        <f t="shared" si="43"/>
        <v>117.24000000000001</v>
      </c>
      <c r="H286" s="394">
        <f t="shared" si="44"/>
        <v>76.33</v>
      </c>
      <c r="I286" s="394">
        <f t="shared" si="45"/>
        <v>89.490000000000009</v>
      </c>
      <c r="J286" s="394">
        <f t="shared" si="46"/>
        <v>115.78999999999999</v>
      </c>
      <c r="K286" s="394">
        <f t="shared" si="47"/>
        <v>67.5</v>
      </c>
      <c r="L286" s="394">
        <f t="shared" si="48"/>
        <v>110.28999999999999</v>
      </c>
      <c r="M286" s="394">
        <f t="shared" si="38"/>
        <v>117.96</v>
      </c>
      <c r="N286" s="394">
        <f t="shared" si="39"/>
        <v>161.79000000000002</v>
      </c>
    </row>
    <row r="287" spans="2:14">
      <c r="B287" s="389">
        <v>45443</v>
      </c>
      <c r="C287" s="394">
        <f t="shared" si="37"/>
        <v>106.67999999999999</v>
      </c>
      <c r="D287" s="394">
        <f t="shared" si="40"/>
        <v>86.75</v>
      </c>
      <c r="E287" s="394">
        <f t="shared" si="41"/>
        <v>76.19</v>
      </c>
      <c r="F287" s="394">
        <f t="shared" si="42"/>
        <v>128.62</v>
      </c>
      <c r="G287" s="394">
        <f t="shared" si="43"/>
        <v>117.35</v>
      </c>
      <c r="H287" s="394">
        <f t="shared" si="44"/>
        <v>77.459999999999994</v>
      </c>
      <c r="I287" s="394">
        <f t="shared" si="45"/>
        <v>90.81</v>
      </c>
      <c r="J287" s="394">
        <f t="shared" si="46"/>
        <v>118.9</v>
      </c>
      <c r="K287" s="394">
        <f t="shared" si="47"/>
        <v>68.89</v>
      </c>
      <c r="L287" s="394">
        <f t="shared" si="48"/>
        <v>110.2</v>
      </c>
      <c r="M287" s="394">
        <f t="shared" si="38"/>
        <v>118.23000000000002</v>
      </c>
      <c r="N287" s="394">
        <f t="shared" si="39"/>
        <v>160.30000000000001</v>
      </c>
    </row>
    <row r="288" spans="2:14">
      <c r="B288" s="389">
        <v>45446</v>
      </c>
      <c r="C288" s="394">
        <f t="shared" si="37"/>
        <v>107.13</v>
      </c>
      <c r="D288" s="394">
        <f t="shared" si="40"/>
        <v>88.11</v>
      </c>
      <c r="E288" s="394">
        <f t="shared" si="41"/>
        <v>76.960000000000008</v>
      </c>
      <c r="F288" s="394">
        <f t="shared" si="42"/>
        <v>128.26</v>
      </c>
      <c r="G288" s="394">
        <f t="shared" si="43"/>
        <v>118.42000000000002</v>
      </c>
      <c r="H288" s="394">
        <f t="shared" si="44"/>
        <v>76.649999999999991</v>
      </c>
      <c r="I288" s="394">
        <f t="shared" si="45"/>
        <v>91.070000000000007</v>
      </c>
      <c r="J288" s="394">
        <f t="shared" si="46"/>
        <v>121.05999999999999</v>
      </c>
      <c r="K288" s="394">
        <f t="shared" si="47"/>
        <v>68.61</v>
      </c>
      <c r="L288" s="394">
        <f t="shared" si="48"/>
        <v>111.53999999999999</v>
      </c>
      <c r="M288" s="394">
        <f t="shared" si="38"/>
        <v>117.9</v>
      </c>
      <c r="N288" s="394">
        <f t="shared" si="39"/>
        <v>161.79000000000002</v>
      </c>
    </row>
    <row r="289" spans="2:14">
      <c r="B289" s="389">
        <v>45447</v>
      </c>
      <c r="C289" s="394">
        <f t="shared" si="37"/>
        <v>106.69999999999999</v>
      </c>
      <c r="D289" s="394">
        <f t="shared" si="40"/>
        <v>88.149999999999991</v>
      </c>
      <c r="E289" s="394">
        <f t="shared" si="41"/>
        <v>76.33</v>
      </c>
      <c r="F289" s="394">
        <f t="shared" si="42"/>
        <v>128.35000000000002</v>
      </c>
      <c r="G289" s="394">
        <f t="shared" si="43"/>
        <v>117.77</v>
      </c>
      <c r="H289" s="394">
        <f t="shared" si="44"/>
        <v>75.5</v>
      </c>
      <c r="I289" s="394">
        <f t="shared" si="45"/>
        <v>91.16</v>
      </c>
      <c r="J289" s="394">
        <f t="shared" si="46"/>
        <v>117.73</v>
      </c>
      <c r="K289" s="394">
        <f t="shared" si="47"/>
        <v>67.47999999999999</v>
      </c>
      <c r="L289" s="394">
        <f t="shared" si="48"/>
        <v>109.74999999999999</v>
      </c>
      <c r="M289" s="394">
        <f t="shared" si="38"/>
        <v>117.52</v>
      </c>
      <c r="N289" s="394">
        <f t="shared" si="39"/>
        <v>161.49</v>
      </c>
    </row>
    <row r="290" spans="2:14">
      <c r="B290" s="389">
        <v>45448</v>
      </c>
      <c r="C290" s="394">
        <f t="shared" si="37"/>
        <v>109.25</v>
      </c>
      <c r="D290" s="394">
        <f t="shared" si="40"/>
        <v>88.41</v>
      </c>
      <c r="E290" s="394">
        <f t="shared" si="41"/>
        <v>75.599999999999994</v>
      </c>
      <c r="F290" s="394">
        <f t="shared" si="42"/>
        <v>131.07</v>
      </c>
      <c r="G290" s="394">
        <f t="shared" si="43"/>
        <v>117.89</v>
      </c>
      <c r="H290" s="394">
        <f t="shared" si="44"/>
        <v>74.72</v>
      </c>
      <c r="I290" s="394">
        <f t="shared" si="45"/>
        <v>89.16</v>
      </c>
      <c r="J290" s="394">
        <f t="shared" si="46"/>
        <v>118.93</v>
      </c>
      <c r="K290" s="394">
        <f t="shared" si="47"/>
        <v>67.739999999999995</v>
      </c>
      <c r="L290" s="394">
        <f t="shared" si="48"/>
        <v>112.33999999999999</v>
      </c>
      <c r="M290" s="394">
        <f t="shared" si="38"/>
        <v>120.46000000000001</v>
      </c>
      <c r="N290" s="394">
        <f t="shared" si="39"/>
        <v>164.78000000000003</v>
      </c>
    </row>
    <row r="291" spans="2:14">
      <c r="B291" s="389">
        <v>45449</v>
      </c>
      <c r="C291" s="394">
        <f t="shared" si="37"/>
        <v>110.72</v>
      </c>
      <c r="D291" s="394">
        <f t="shared" si="40"/>
        <v>89.149999999999991</v>
      </c>
      <c r="E291" s="394">
        <f t="shared" si="41"/>
        <v>76.739999999999995</v>
      </c>
      <c r="F291" s="394">
        <f t="shared" si="42"/>
        <v>133.21</v>
      </c>
      <c r="G291" s="394">
        <f t="shared" si="43"/>
        <v>118.80999999999999</v>
      </c>
      <c r="H291" s="394">
        <f t="shared" si="44"/>
        <v>74.930000000000007</v>
      </c>
      <c r="I291" s="394">
        <f t="shared" si="45"/>
        <v>89.42</v>
      </c>
      <c r="J291" s="394">
        <f t="shared" si="46"/>
        <v>119.07000000000001</v>
      </c>
      <c r="K291" s="394">
        <f t="shared" si="47"/>
        <v>67.72</v>
      </c>
      <c r="L291" s="394">
        <f t="shared" si="48"/>
        <v>111.27</v>
      </c>
      <c r="M291" s="394">
        <f t="shared" si="38"/>
        <v>120.08000000000001</v>
      </c>
      <c r="N291" s="394">
        <f t="shared" si="39"/>
        <v>171.34</v>
      </c>
    </row>
    <row r="292" spans="2:14">
      <c r="B292" s="389">
        <v>45450</v>
      </c>
      <c r="C292" s="394">
        <f t="shared" si="37"/>
        <v>110.69</v>
      </c>
      <c r="D292" s="394">
        <f t="shared" si="40"/>
        <v>89.73</v>
      </c>
      <c r="E292" s="394">
        <f t="shared" si="41"/>
        <v>75.97</v>
      </c>
      <c r="F292" s="394">
        <f t="shared" si="42"/>
        <v>134.02000000000001</v>
      </c>
      <c r="G292" s="394">
        <f t="shared" si="43"/>
        <v>117.77</v>
      </c>
      <c r="H292" s="394">
        <f t="shared" si="44"/>
        <v>74.88</v>
      </c>
      <c r="I292" s="394">
        <f t="shared" si="45"/>
        <v>88.79</v>
      </c>
      <c r="J292" s="394">
        <f t="shared" si="46"/>
        <v>119.56</v>
      </c>
      <c r="K292" s="394">
        <f t="shared" si="47"/>
        <v>67.599999999999994</v>
      </c>
      <c r="L292" s="394">
        <f t="shared" si="48"/>
        <v>110.02000000000001</v>
      </c>
      <c r="M292" s="394">
        <f t="shared" si="38"/>
        <v>119.59</v>
      </c>
      <c r="N292" s="394">
        <f t="shared" si="39"/>
        <v>181.79000000000002</v>
      </c>
    </row>
    <row r="293" spans="2:14">
      <c r="B293" s="389">
        <v>45453</v>
      </c>
      <c r="C293" s="394">
        <f t="shared" si="37"/>
        <v>108.33999999999999</v>
      </c>
      <c r="D293" s="394">
        <f t="shared" si="40"/>
        <v>89.69</v>
      </c>
      <c r="E293" s="394">
        <f t="shared" si="41"/>
        <v>75.05</v>
      </c>
      <c r="F293" s="394">
        <f t="shared" si="42"/>
        <v>132.63</v>
      </c>
      <c r="G293" s="394">
        <f t="shared" si="43"/>
        <v>115.58999999999999</v>
      </c>
      <c r="H293" s="394">
        <f t="shared" si="44"/>
        <v>74.75</v>
      </c>
      <c r="I293" s="394">
        <f t="shared" si="45"/>
        <v>88.29</v>
      </c>
      <c r="J293" s="394">
        <f t="shared" si="46"/>
        <v>121.8</v>
      </c>
      <c r="K293" s="394">
        <f t="shared" si="47"/>
        <v>66.820000000000007</v>
      </c>
      <c r="L293" s="394">
        <f t="shared" si="48"/>
        <v>110.91</v>
      </c>
      <c r="M293" s="394">
        <f t="shared" si="38"/>
        <v>116.21999999999998</v>
      </c>
      <c r="N293" s="394">
        <f t="shared" si="39"/>
        <v>179.1</v>
      </c>
    </row>
    <row r="294" spans="2:14">
      <c r="B294" s="389">
        <v>45454</v>
      </c>
      <c r="C294" s="394">
        <f t="shared" si="37"/>
        <v>106.92999999999999</v>
      </c>
      <c r="D294" s="394">
        <f t="shared" si="40"/>
        <v>87.339999999999989</v>
      </c>
      <c r="E294" s="394">
        <f t="shared" si="41"/>
        <v>74.31</v>
      </c>
      <c r="F294" s="394">
        <f t="shared" si="42"/>
        <v>131.29</v>
      </c>
      <c r="G294" s="394">
        <f t="shared" si="43"/>
        <v>113.67</v>
      </c>
      <c r="H294" s="394">
        <f t="shared" si="44"/>
        <v>73.39</v>
      </c>
      <c r="I294" s="394">
        <f t="shared" si="45"/>
        <v>87.92</v>
      </c>
      <c r="J294" s="394">
        <f t="shared" si="46"/>
        <v>118.57</v>
      </c>
      <c r="K294" s="394">
        <f t="shared" si="47"/>
        <v>65.48</v>
      </c>
      <c r="L294" s="394">
        <f t="shared" si="48"/>
        <v>111.00000000000001</v>
      </c>
      <c r="M294" s="394">
        <f t="shared" si="38"/>
        <v>115.73</v>
      </c>
      <c r="N294" s="394">
        <f t="shared" si="39"/>
        <v>164.48000000000002</v>
      </c>
    </row>
    <row r="295" spans="2:14">
      <c r="B295" s="389">
        <v>45455</v>
      </c>
      <c r="C295" s="394">
        <f t="shared" si="37"/>
        <v>106.76</v>
      </c>
      <c r="D295" s="394">
        <f t="shared" si="40"/>
        <v>86.64</v>
      </c>
      <c r="E295" s="394">
        <f t="shared" si="41"/>
        <v>75.89</v>
      </c>
      <c r="F295" s="394">
        <f t="shared" si="42"/>
        <v>132.63</v>
      </c>
      <c r="G295" s="394">
        <f t="shared" si="43"/>
        <v>115.01000000000002</v>
      </c>
      <c r="H295" s="394">
        <f t="shared" si="44"/>
        <v>72.83</v>
      </c>
      <c r="I295" s="394">
        <f t="shared" si="45"/>
        <v>89.09</v>
      </c>
      <c r="J295" s="394">
        <f t="shared" si="46"/>
        <v>118.04999999999998</v>
      </c>
      <c r="K295" s="394">
        <f t="shared" si="47"/>
        <v>65.039999999999992</v>
      </c>
      <c r="L295" s="394">
        <f t="shared" si="48"/>
        <v>109.57</v>
      </c>
      <c r="M295" s="394">
        <f t="shared" si="38"/>
        <v>117.14</v>
      </c>
      <c r="N295" s="394">
        <f t="shared" si="39"/>
        <v>166.57</v>
      </c>
    </row>
    <row r="296" spans="2:14">
      <c r="B296" s="389">
        <v>45456</v>
      </c>
      <c r="C296" s="394">
        <f t="shared" si="37"/>
        <v>106.19000000000001</v>
      </c>
      <c r="D296" s="394">
        <f t="shared" si="40"/>
        <v>86.03</v>
      </c>
      <c r="E296" s="394">
        <f t="shared" si="41"/>
        <v>75.339999999999989</v>
      </c>
      <c r="F296" s="394">
        <f t="shared" si="42"/>
        <v>130.4</v>
      </c>
      <c r="G296" s="394">
        <f t="shared" si="43"/>
        <v>114.63000000000001</v>
      </c>
      <c r="H296" s="394">
        <f t="shared" si="44"/>
        <v>70.86</v>
      </c>
      <c r="I296" s="394">
        <f t="shared" si="45"/>
        <v>88.71</v>
      </c>
      <c r="J296" s="394">
        <f t="shared" si="46"/>
        <v>116.75</v>
      </c>
      <c r="K296" s="394">
        <f t="shared" si="47"/>
        <v>64.169999999999987</v>
      </c>
      <c r="L296" s="394">
        <f t="shared" si="48"/>
        <v>107.25</v>
      </c>
      <c r="M296" s="394">
        <f t="shared" si="38"/>
        <v>117.8</v>
      </c>
      <c r="N296" s="394">
        <f t="shared" si="39"/>
        <v>164.48000000000002</v>
      </c>
    </row>
    <row r="297" spans="2:14">
      <c r="B297" s="389">
        <v>45457</v>
      </c>
      <c r="C297" s="394">
        <f t="shared" si="37"/>
        <v>103.27</v>
      </c>
      <c r="D297" s="394">
        <f t="shared" si="40"/>
        <v>82.73</v>
      </c>
      <c r="E297" s="394">
        <f t="shared" si="41"/>
        <v>72.150000000000006</v>
      </c>
      <c r="F297" s="394">
        <f t="shared" si="42"/>
        <v>128.44</v>
      </c>
      <c r="G297" s="394">
        <f t="shared" si="43"/>
        <v>112.36999999999999</v>
      </c>
      <c r="H297" s="394">
        <f t="shared" si="44"/>
        <v>68.690000000000012</v>
      </c>
      <c r="I297" s="394">
        <f t="shared" si="45"/>
        <v>87.09</v>
      </c>
      <c r="J297" s="394">
        <f t="shared" si="46"/>
        <v>115.24000000000001</v>
      </c>
      <c r="K297" s="394">
        <f t="shared" si="47"/>
        <v>63.21</v>
      </c>
      <c r="L297" s="394">
        <f t="shared" si="48"/>
        <v>104.2</v>
      </c>
      <c r="M297" s="394">
        <f t="shared" si="38"/>
        <v>114.75</v>
      </c>
      <c r="N297" s="394">
        <f t="shared" si="39"/>
        <v>148.06</v>
      </c>
    </row>
    <row r="298" spans="2:14">
      <c r="B298" s="389">
        <v>45460</v>
      </c>
      <c r="C298" s="394">
        <f t="shared" si="37"/>
        <v>104.14000000000001</v>
      </c>
      <c r="D298" s="394">
        <f t="shared" si="40"/>
        <v>83.32</v>
      </c>
      <c r="E298" s="394">
        <f t="shared" si="41"/>
        <v>72.570000000000007</v>
      </c>
      <c r="F298" s="394">
        <f t="shared" si="42"/>
        <v>126.86999999999999</v>
      </c>
      <c r="G298" s="394">
        <f t="shared" si="43"/>
        <v>113.36999999999999</v>
      </c>
      <c r="H298" s="394">
        <f t="shared" si="44"/>
        <v>69.92</v>
      </c>
      <c r="I298" s="394">
        <f t="shared" si="45"/>
        <v>86.83</v>
      </c>
      <c r="J298" s="394">
        <f t="shared" si="46"/>
        <v>115.53999999999999</v>
      </c>
      <c r="K298" s="394">
        <f t="shared" si="47"/>
        <v>63.81</v>
      </c>
      <c r="L298" s="394">
        <f t="shared" si="48"/>
        <v>105.28</v>
      </c>
      <c r="M298" s="394">
        <f t="shared" si="38"/>
        <v>115.46000000000001</v>
      </c>
      <c r="N298" s="394">
        <f t="shared" si="39"/>
        <v>134.03</v>
      </c>
    </row>
    <row r="299" spans="2:14">
      <c r="B299" s="389">
        <v>45461</v>
      </c>
      <c r="C299" s="394">
        <f t="shared" si="37"/>
        <v>103.08</v>
      </c>
      <c r="D299" s="394">
        <f t="shared" si="40"/>
        <v>84.98</v>
      </c>
      <c r="E299" s="394">
        <f t="shared" si="41"/>
        <v>72.12</v>
      </c>
      <c r="F299" s="394">
        <f t="shared" si="42"/>
        <v>126.12</v>
      </c>
      <c r="G299" s="394">
        <f t="shared" si="43"/>
        <v>110.33999999999999</v>
      </c>
      <c r="H299" s="394">
        <f t="shared" si="44"/>
        <v>70.489999999999995</v>
      </c>
      <c r="I299" s="394">
        <f t="shared" si="45"/>
        <v>89.96</v>
      </c>
      <c r="J299" s="394">
        <f t="shared" si="46"/>
        <v>113.03</v>
      </c>
      <c r="K299" s="394">
        <f t="shared" si="47"/>
        <v>63.27</v>
      </c>
      <c r="L299" s="394">
        <f t="shared" si="48"/>
        <v>104.47</v>
      </c>
      <c r="M299" s="394">
        <f t="shared" si="38"/>
        <v>115.13</v>
      </c>
      <c r="N299" s="394">
        <f t="shared" si="39"/>
        <v>145.67000000000002</v>
      </c>
    </row>
    <row r="300" spans="2:14">
      <c r="B300" s="389">
        <v>45462</v>
      </c>
      <c r="C300" s="394">
        <f t="shared" si="37"/>
        <v>102.63</v>
      </c>
      <c r="D300" s="394">
        <f t="shared" si="40"/>
        <v>84.399999999999991</v>
      </c>
      <c r="E300" s="394">
        <f t="shared" si="41"/>
        <v>70.98</v>
      </c>
      <c r="F300" s="394">
        <f t="shared" si="42"/>
        <v>125.85</v>
      </c>
      <c r="G300" s="394">
        <f t="shared" si="43"/>
        <v>108.35</v>
      </c>
      <c r="H300" s="394">
        <f t="shared" si="44"/>
        <v>70.16</v>
      </c>
      <c r="I300" s="394">
        <f t="shared" si="45"/>
        <v>89.98</v>
      </c>
      <c r="J300" s="394">
        <f t="shared" si="46"/>
        <v>113.03</v>
      </c>
      <c r="K300" s="394">
        <f t="shared" si="47"/>
        <v>63.27</v>
      </c>
      <c r="L300" s="394">
        <f t="shared" si="48"/>
        <v>104.47</v>
      </c>
      <c r="M300" s="394">
        <f t="shared" si="38"/>
        <v>115.57</v>
      </c>
      <c r="N300" s="394">
        <f t="shared" si="39"/>
        <v>145.67000000000002</v>
      </c>
    </row>
    <row r="301" spans="2:14">
      <c r="B301" s="389">
        <v>45463</v>
      </c>
      <c r="C301" s="394">
        <f t="shared" si="37"/>
        <v>103.59</v>
      </c>
      <c r="D301" s="394">
        <f t="shared" si="40"/>
        <v>86.47</v>
      </c>
      <c r="E301" s="394">
        <f t="shared" si="41"/>
        <v>71.56</v>
      </c>
      <c r="F301" s="394">
        <f t="shared" si="42"/>
        <v>124.69000000000001</v>
      </c>
      <c r="G301" s="394">
        <f t="shared" si="43"/>
        <v>109.23</v>
      </c>
      <c r="H301" s="394">
        <f t="shared" si="44"/>
        <v>70.73</v>
      </c>
      <c r="I301" s="394">
        <f t="shared" si="45"/>
        <v>88.53</v>
      </c>
      <c r="J301" s="394">
        <f t="shared" si="46"/>
        <v>113.86</v>
      </c>
      <c r="K301" s="394">
        <f t="shared" si="47"/>
        <v>61.71</v>
      </c>
      <c r="L301" s="394">
        <f t="shared" si="48"/>
        <v>105.72</v>
      </c>
      <c r="M301" s="394">
        <f t="shared" si="38"/>
        <v>117.9</v>
      </c>
      <c r="N301" s="394">
        <f t="shared" si="39"/>
        <v>148.06</v>
      </c>
    </row>
    <row r="302" spans="2:14">
      <c r="B302" s="389">
        <v>45464</v>
      </c>
      <c r="C302" s="394">
        <f t="shared" si="37"/>
        <v>104.13</v>
      </c>
      <c r="D302" s="394">
        <f t="shared" si="40"/>
        <v>87.55</v>
      </c>
      <c r="E302" s="394">
        <f t="shared" si="41"/>
        <v>72.510000000000005</v>
      </c>
      <c r="F302" s="394">
        <f t="shared" si="42"/>
        <v>124.05999999999999</v>
      </c>
      <c r="G302" s="394">
        <f t="shared" si="43"/>
        <v>108.88</v>
      </c>
      <c r="H302" s="394">
        <f t="shared" si="44"/>
        <v>68.739999999999995</v>
      </c>
      <c r="I302" s="394">
        <f t="shared" si="45"/>
        <v>88.24</v>
      </c>
      <c r="J302" s="394">
        <f t="shared" si="46"/>
        <v>114.77</v>
      </c>
      <c r="K302" s="394">
        <f t="shared" si="47"/>
        <v>62.41</v>
      </c>
      <c r="L302" s="394">
        <f t="shared" si="48"/>
        <v>105.99000000000001</v>
      </c>
      <c r="M302" s="394">
        <f t="shared" si="38"/>
        <v>117.41999999999999</v>
      </c>
      <c r="N302" s="394">
        <f t="shared" si="39"/>
        <v>147.16</v>
      </c>
    </row>
    <row r="303" spans="2:14">
      <c r="B303" s="389">
        <v>45467</v>
      </c>
      <c r="C303" s="394">
        <f t="shared" si="37"/>
        <v>105.46</v>
      </c>
      <c r="D303" s="394">
        <f t="shared" si="40"/>
        <v>88.67</v>
      </c>
      <c r="E303" s="394">
        <f t="shared" si="41"/>
        <v>74.940000000000012</v>
      </c>
      <c r="F303" s="394">
        <f t="shared" si="42"/>
        <v>125.44999999999999</v>
      </c>
      <c r="G303" s="394">
        <f t="shared" si="43"/>
        <v>111.64</v>
      </c>
      <c r="H303" s="394">
        <f t="shared" si="44"/>
        <v>70.08</v>
      </c>
      <c r="I303" s="394">
        <f t="shared" si="45"/>
        <v>90.5</v>
      </c>
      <c r="J303" s="394">
        <f t="shared" si="46"/>
        <v>117.77</v>
      </c>
      <c r="K303" s="394">
        <f t="shared" si="47"/>
        <v>62.83</v>
      </c>
      <c r="L303" s="394">
        <f t="shared" si="48"/>
        <v>106.26</v>
      </c>
      <c r="M303" s="394">
        <f t="shared" si="38"/>
        <v>118.34</v>
      </c>
      <c r="N303" s="394">
        <f t="shared" si="39"/>
        <v>147.16</v>
      </c>
    </row>
    <row r="304" spans="2:14">
      <c r="B304" s="389">
        <v>45468</v>
      </c>
      <c r="C304" s="394">
        <f t="shared" si="37"/>
        <v>106.96</v>
      </c>
      <c r="D304" s="394">
        <f t="shared" si="40"/>
        <v>88.929999999999993</v>
      </c>
      <c r="E304" s="394">
        <f t="shared" si="41"/>
        <v>71.59</v>
      </c>
      <c r="F304" s="394">
        <f t="shared" si="42"/>
        <v>128.88</v>
      </c>
      <c r="G304" s="394">
        <f t="shared" si="43"/>
        <v>112.25</v>
      </c>
      <c r="H304" s="394">
        <f t="shared" si="44"/>
        <v>69.31</v>
      </c>
      <c r="I304" s="394">
        <f t="shared" si="45"/>
        <v>89.87</v>
      </c>
      <c r="J304" s="394">
        <f t="shared" si="46"/>
        <v>115.39999999999999</v>
      </c>
      <c r="K304" s="394">
        <f t="shared" si="47"/>
        <v>63.61</v>
      </c>
      <c r="L304" s="394">
        <f t="shared" si="48"/>
        <v>105.46</v>
      </c>
      <c r="M304" s="394">
        <f t="shared" si="38"/>
        <v>120.02</v>
      </c>
      <c r="N304" s="394">
        <f t="shared" si="39"/>
        <v>150.45000000000002</v>
      </c>
    </row>
    <row r="305" spans="2:14">
      <c r="B305" s="389">
        <v>45469</v>
      </c>
      <c r="C305" s="394">
        <f t="shared" si="37"/>
        <v>105.53999999999999</v>
      </c>
      <c r="D305" s="394">
        <f t="shared" si="40"/>
        <v>89.3</v>
      </c>
      <c r="E305" s="394">
        <f t="shared" si="41"/>
        <v>70.8</v>
      </c>
      <c r="F305" s="394">
        <f t="shared" si="42"/>
        <v>126.92000000000002</v>
      </c>
      <c r="G305" s="394">
        <f t="shared" si="43"/>
        <v>111.99</v>
      </c>
      <c r="H305" s="394">
        <f t="shared" si="44"/>
        <v>67.759999999999991</v>
      </c>
      <c r="I305" s="394">
        <f t="shared" si="45"/>
        <v>88.97</v>
      </c>
      <c r="J305" s="394">
        <f t="shared" si="46"/>
        <v>114.92999999999999</v>
      </c>
      <c r="K305" s="394">
        <f t="shared" si="47"/>
        <v>64.429999999999993</v>
      </c>
      <c r="L305" s="394">
        <f t="shared" si="48"/>
        <v>105.55000000000001</v>
      </c>
      <c r="M305" s="394">
        <f t="shared" si="38"/>
        <v>119.59</v>
      </c>
      <c r="N305" s="394">
        <f t="shared" si="39"/>
        <v>146.86999999999998</v>
      </c>
    </row>
    <row r="306" spans="2:14">
      <c r="B306" s="389">
        <v>45470</v>
      </c>
      <c r="C306" s="394">
        <f t="shared" si="37"/>
        <v>103.86999999999999</v>
      </c>
      <c r="D306" s="394">
        <f t="shared" si="40"/>
        <v>93.47</v>
      </c>
      <c r="E306" s="394">
        <f t="shared" si="41"/>
        <v>69.31</v>
      </c>
      <c r="F306" s="394">
        <f t="shared" si="42"/>
        <v>126.79</v>
      </c>
      <c r="G306" s="394">
        <f t="shared" si="43"/>
        <v>109.57</v>
      </c>
      <c r="H306" s="394">
        <f t="shared" si="44"/>
        <v>67.259999999999991</v>
      </c>
      <c r="I306" s="394">
        <f t="shared" si="45"/>
        <v>88.17</v>
      </c>
      <c r="J306" s="394">
        <f t="shared" si="46"/>
        <v>114.69</v>
      </c>
      <c r="K306" s="394">
        <f t="shared" si="47"/>
        <v>64.73</v>
      </c>
      <c r="L306" s="394">
        <f t="shared" si="48"/>
        <v>105.1</v>
      </c>
      <c r="M306" s="394">
        <f t="shared" si="38"/>
        <v>118.07000000000001</v>
      </c>
      <c r="N306" s="394">
        <f t="shared" si="39"/>
        <v>144.78</v>
      </c>
    </row>
    <row r="307" spans="2:14">
      <c r="B307" s="389">
        <v>45471</v>
      </c>
      <c r="C307" s="394">
        <f t="shared" si="37"/>
        <v>103.59</v>
      </c>
      <c r="D307" s="394">
        <f t="shared" si="40"/>
        <v>92.58</v>
      </c>
      <c r="E307" s="394">
        <f t="shared" si="41"/>
        <v>67.61999999999999</v>
      </c>
      <c r="F307" s="394">
        <f t="shared" si="42"/>
        <v>125.22</v>
      </c>
      <c r="G307" s="394">
        <f t="shared" si="43"/>
        <v>109.33999999999999</v>
      </c>
      <c r="H307" s="394">
        <f t="shared" si="44"/>
        <v>66.42</v>
      </c>
      <c r="I307" s="394">
        <f t="shared" si="45"/>
        <v>86.53</v>
      </c>
      <c r="J307" s="394">
        <f t="shared" si="46"/>
        <v>117.94</v>
      </c>
      <c r="K307" s="394">
        <f t="shared" si="47"/>
        <v>65.959999999999994</v>
      </c>
      <c r="L307" s="394">
        <f t="shared" si="48"/>
        <v>105.89999999999999</v>
      </c>
      <c r="M307" s="394">
        <f t="shared" si="38"/>
        <v>116.27000000000001</v>
      </c>
      <c r="N307" s="394">
        <f t="shared" si="39"/>
        <v>152.24</v>
      </c>
    </row>
    <row r="308" spans="2:14">
      <c r="B308" s="389">
        <v>45474</v>
      </c>
      <c r="C308" s="394">
        <f t="shared" ref="C308:C317" si="49">IFERROR(C$179*(1+C163/100),C307)</f>
        <v>103.36000000000001</v>
      </c>
      <c r="D308" s="394">
        <f t="shared" si="40"/>
        <v>91.89</v>
      </c>
      <c r="E308" s="394">
        <f t="shared" si="41"/>
        <v>66.45</v>
      </c>
      <c r="F308" s="394">
        <f t="shared" si="42"/>
        <v>125.49</v>
      </c>
      <c r="G308" s="394">
        <f t="shared" si="43"/>
        <v>110.14999999999999</v>
      </c>
      <c r="H308" s="394">
        <f t="shared" si="44"/>
        <v>66.36</v>
      </c>
      <c r="I308" s="394">
        <f t="shared" si="45"/>
        <v>86.949999999999989</v>
      </c>
      <c r="J308" s="394">
        <f t="shared" si="46"/>
        <v>115.73</v>
      </c>
      <c r="K308" s="394">
        <f t="shared" si="47"/>
        <v>67.64</v>
      </c>
      <c r="L308" s="394">
        <f t="shared" si="48"/>
        <v>104.38000000000001</v>
      </c>
      <c r="M308" s="394">
        <f t="shared" ref="M308:M317" si="50">IFERROR(M$179*(1+M163/100),M307)</f>
        <v>114.21000000000001</v>
      </c>
      <c r="N308" s="394">
        <f t="shared" ref="N308:N317" si="51">IFERROR(N$179*(1+N163/100),N307)</f>
        <v>151.34</v>
      </c>
    </row>
    <row r="309" spans="2:14">
      <c r="B309" s="389">
        <v>45475</v>
      </c>
      <c r="C309" s="394">
        <f t="shared" si="49"/>
        <v>103.01</v>
      </c>
      <c r="D309" s="394">
        <f t="shared" ref="D309:D317" si="52">IFERROR(D$179*(1+D164/100),D308)</f>
        <v>90.08</v>
      </c>
      <c r="E309" s="394">
        <f t="shared" ref="E309:E317" si="53">IFERROR(E$179*(1+E164/100),E308)</f>
        <v>65.290000000000006</v>
      </c>
      <c r="F309" s="394">
        <f t="shared" ref="F309:F317" si="54">IFERROR(F$179*(1+F164/100),F308)</f>
        <v>125.98</v>
      </c>
      <c r="G309" s="394">
        <f t="shared" ref="G309:G317" si="55">IFERROR(G$179*(1+G164/100),G308)</f>
        <v>109.11</v>
      </c>
      <c r="H309" s="394">
        <f t="shared" ref="H309:H317" si="56">IFERROR(H$179*(1+H164/100),H308)</f>
        <v>66.58</v>
      </c>
      <c r="I309" s="394">
        <f t="shared" ref="I309:I317" si="57">IFERROR(I$179*(1+I164/100),I308)</f>
        <v>87.19</v>
      </c>
      <c r="J309" s="394">
        <f t="shared" ref="J309:J317" si="58">IFERROR(J$179*(1+J164/100),J308)</f>
        <v>111.74</v>
      </c>
      <c r="K309" s="394">
        <f t="shared" ref="K309:K317" si="59">IFERROR(K$179*(1+K164/100),K308)</f>
        <v>66.66</v>
      </c>
      <c r="L309" s="394">
        <f t="shared" ref="L309:L317" si="60">IFERROR(L$179*(1+L164/100),L308)</f>
        <v>102.86</v>
      </c>
      <c r="M309" s="394">
        <f t="shared" si="50"/>
        <v>114.21000000000001</v>
      </c>
      <c r="N309" s="394">
        <f t="shared" si="51"/>
        <v>148.96</v>
      </c>
    </row>
    <row r="310" spans="2:14">
      <c r="B310" s="389">
        <v>45476</v>
      </c>
      <c r="C310" s="394">
        <f t="shared" si="49"/>
        <v>103.77000000000001</v>
      </c>
      <c r="D310" s="394">
        <f t="shared" si="52"/>
        <v>90.42</v>
      </c>
      <c r="E310" s="394">
        <f t="shared" si="53"/>
        <v>67.569999999999993</v>
      </c>
      <c r="F310" s="394">
        <f t="shared" si="54"/>
        <v>125.8</v>
      </c>
      <c r="G310" s="394">
        <f t="shared" si="55"/>
        <v>108.35</v>
      </c>
      <c r="H310" s="394">
        <f t="shared" si="56"/>
        <v>67.009999999999991</v>
      </c>
      <c r="I310" s="394">
        <f t="shared" si="57"/>
        <v>87.77000000000001</v>
      </c>
      <c r="J310" s="394">
        <f t="shared" si="58"/>
        <v>110.77</v>
      </c>
      <c r="K310" s="394">
        <f t="shared" si="59"/>
        <v>66.460000000000008</v>
      </c>
      <c r="L310" s="394">
        <f t="shared" si="60"/>
        <v>103.94000000000001</v>
      </c>
      <c r="M310" s="394">
        <f t="shared" si="50"/>
        <v>115.01999999999998</v>
      </c>
      <c r="N310" s="394">
        <f t="shared" si="51"/>
        <v>141.79</v>
      </c>
    </row>
    <row r="311" spans="2:14">
      <c r="B311" s="389">
        <v>45477</v>
      </c>
      <c r="C311" s="394">
        <f t="shared" si="49"/>
        <v>104.49</v>
      </c>
      <c r="D311" s="394">
        <f t="shared" si="52"/>
        <v>91.85</v>
      </c>
      <c r="E311" s="394">
        <f t="shared" si="53"/>
        <v>67.66</v>
      </c>
      <c r="F311" s="394">
        <f t="shared" si="54"/>
        <v>125.49</v>
      </c>
      <c r="G311" s="394">
        <f t="shared" si="55"/>
        <v>108.04</v>
      </c>
      <c r="H311" s="394">
        <f t="shared" si="56"/>
        <v>64.59</v>
      </c>
      <c r="I311" s="394">
        <f t="shared" si="57"/>
        <v>88.64</v>
      </c>
      <c r="J311" s="394">
        <f t="shared" si="58"/>
        <v>110.77</v>
      </c>
      <c r="K311" s="394">
        <f t="shared" si="59"/>
        <v>66.460000000000008</v>
      </c>
      <c r="L311" s="394">
        <f t="shared" si="60"/>
        <v>103.94000000000001</v>
      </c>
      <c r="M311" s="394">
        <f t="shared" si="50"/>
        <v>115.3</v>
      </c>
      <c r="N311" s="394">
        <f t="shared" si="51"/>
        <v>141.79</v>
      </c>
    </row>
    <row r="312" spans="2:14">
      <c r="B312" s="389">
        <v>45478</v>
      </c>
      <c r="C312" s="394">
        <f t="shared" si="49"/>
        <v>104</v>
      </c>
      <c r="D312" s="394">
        <f t="shared" si="52"/>
        <v>91.64</v>
      </c>
      <c r="E312" s="394">
        <f t="shared" si="53"/>
        <v>68.459999999999994</v>
      </c>
      <c r="F312" s="394">
        <f t="shared" si="54"/>
        <v>124.82</v>
      </c>
      <c r="G312" s="394">
        <f t="shared" si="55"/>
        <v>108.61000000000001</v>
      </c>
      <c r="H312" s="394">
        <f t="shared" si="56"/>
        <v>65.429999999999993</v>
      </c>
      <c r="I312" s="394">
        <f t="shared" si="57"/>
        <v>87.92</v>
      </c>
      <c r="J312" s="394">
        <f t="shared" si="58"/>
        <v>110.63000000000001</v>
      </c>
      <c r="K312" s="394">
        <f t="shared" si="59"/>
        <v>66.58</v>
      </c>
      <c r="L312" s="394">
        <f t="shared" si="60"/>
        <v>102.66999999999999</v>
      </c>
      <c r="M312" s="394">
        <f t="shared" si="50"/>
        <v>114.97</v>
      </c>
      <c r="N312" s="394">
        <f t="shared" si="51"/>
        <v>142.38999999999999</v>
      </c>
    </row>
    <row r="313" spans="2:14">
      <c r="B313" s="389">
        <v>45481</v>
      </c>
      <c r="C313" s="394">
        <f t="shared" si="49"/>
        <v>100.99000000000001</v>
      </c>
      <c r="D313" s="394">
        <f t="shared" si="52"/>
        <v>89.08</v>
      </c>
      <c r="E313" s="394">
        <f t="shared" si="53"/>
        <v>69.19</v>
      </c>
      <c r="F313" s="394">
        <f t="shared" si="54"/>
        <v>123.44</v>
      </c>
      <c r="G313" s="394">
        <f t="shared" si="55"/>
        <v>107.89</v>
      </c>
      <c r="H313" s="394">
        <f t="shared" si="56"/>
        <v>64.73</v>
      </c>
      <c r="I313" s="394">
        <f t="shared" si="57"/>
        <v>87.52</v>
      </c>
      <c r="J313" s="394">
        <f t="shared" si="58"/>
        <v>115.51</v>
      </c>
      <c r="K313" s="394">
        <f t="shared" si="59"/>
        <v>67.840000000000018</v>
      </c>
      <c r="L313" s="394">
        <f t="shared" si="60"/>
        <v>102.13000000000001</v>
      </c>
      <c r="M313" s="394">
        <f t="shared" si="50"/>
        <v>113.5</v>
      </c>
      <c r="N313" s="394">
        <f t="shared" si="51"/>
        <v>135.51999999999998</v>
      </c>
    </row>
    <row r="314" spans="2:14">
      <c r="B314" s="389">
        <v>45482</v>
      </c>
      <c r="C314" s="394">
        <f t="shared" si="49"/>
        <v>99.72</v>
      </c>
      <c r="D314" s="394">
        <f t="shared" si="52"/>
        <v>88.039999999999992</v>
      </c>
      <c r="E314" s="394">
        <f t="shared" si="53"/>
        <v>66.05</v>
      </c>
      <c r="F314" s="394">
        <f t="shared" si="54"/>
        <v>123.30000000000001</v>
      </c>
      <c r="G314" s="394">
        <f t="shared" si="55"/>
        <v>106.47</v>
      </c>
      <c r="H314" s="394">
        <f t="shared" si="56"/>
        <v>63.420000000000009</v>
      </c>
      <c r="I314" s="394">
        <f t="shared" si="57"/>
        <v>86.69</v>
      </c>
      <c r="J314" s="394">
        <f t="shared" si="58"/>
        <v>114.55</v>
      </c>
      <c r="K314" s="394">
        <f t="shared" si="59"/>
        <v>67.78</v>
      </c>
      <c r="L314" s="394">
        <f t="shared" si="60"/>
        <v>98.69</v>
      </c>
      <c r="M314" s="394">
        <f t="shared" si="50"/>
        <v>111.97999999999999</v>
      </c>
      <c r="N314" s="394">
        <f t="shared" si="51"/>
        <v>131.34</v>
      </c>
    </row>
    <row r="315" spans="2:14">
      <c r="B315" s="389">
        <v>45483</v>
      </c>
      <c r="C315" s="394">
        <f t="shared" si="49"/>
        <v>101.27</v>
      </c>
      <c r="D315" s="394">
        <f t="shared" si="52"/>
        <v>88.87</v>
      </c>
      <c r="E315" s="394">
        <f t="shared" si="53"/>
        <v>66.31</v>
      </c>
      <c r="F315" s="394">
        <f t="shared" si="54"/>
        <v>124.42</v>
      </c>
      <c r="G315" s="394">
        <f t="shared" si="55"/>
        <v>108.53999999999999</v>
      </c>
      <c r="H315" s="394">
        <f t="shared" si="56"/>
        <v>62.62</v>
      </c>
      <c r="I315" s="394">
        <f t="shared" si="57"/>
        <v>87.12</v>
      </c>
      <c r="J315" s="394">
        <f t="shared" si="58"/>
        <v>116.73</v>
      </c>
      <c r="K315" s="394">
        <f t="shared" si="59"/>
        <v>67.97999999999999</v>
      </c>
      <c r="L315" s="394">
        <f t="shared" si="60"/>
        <v>97.789999999999992</v>
      </c>
      <c r="M315" s="394">
        <f t="shared" si="50"/>
        <v>113.34</v>
      </c>
      <c r="N315" s="394">
        <f t="shared" si="51"/>
        <v>128.96</v>
      </c>
    </row>
    <row r="316" spans="2:14">
      <c r="B316" s="389">
        <f t="shared" ref="B316:B317" si="61">+B171</f>
        <v>45484</v>
      </c>
      <c r="C316" s="394">
        <f t="shared" si="49"/>
        <v>103.07</v>
      </c>
      <c r="D316" s="394">
        <f t="shared" si="52"/>
        <v>90.62</v>
      </c>
      <c r="E316" s="394">
        <f t="shared" si="53"/>
        <v>67.450000000000017</v>
      </c>
      <c r="F316" s="394">
        <f t="shared" si="54"/>
        <v>126.21</v>
      </c>
      <c r="G316" s="394">
        <f t="shared" si="55"/>
        <v>109.53</v>
      </c>
      <c r="H316" s="394">
        <f t="shared" si="56"/>
        <v>64.179999999999993</v>
      </c>
      <c r="I316" s="394">
        <f t="shared" si="57"/>
        <v>87.72999999999999</v>
      </c>
      <c r="J316" s="394">
        <f t="shared" si="58"/>
        <v>119.83999999999999</v>
      </c>
      <c r="K316" s="394">
        <f t="shared" si="59"/>
        <v>70.13000000000001</v>
      </c>
      <c r="L316" s="394">
        <f t="shared" si="60"/>
        <v>101.77000000000001</v>
      </c>
      <c r="M316" s="394">
        <f t="shared" si="50"/>
        <v>115.01999999999998</v>
      </c>
      <c r="N316" s="394">
        <f t="shared" si="51"/>
        <v>146.57</v>
      </c>
    </row>
    <row r="317" spans="2:14">
      <c r="B317" s="389">
        <f t="shared" si="61"/>
        <v>45485</v>
      </c>
      <c r="C317" s="394">
        <f t="shared" si="49"/>
        <v>105.22</v>
      </c>
      <c r="D317" s="394">
        <f t="shared" si="52"/>
        <v>92.77</v>
      </c>
      <c r="E317" s="394">
        <f t="shared" si="53"/>
        <v>68.300000000000011</v>
      </c>
      <c r="F317" s="394">
        <f t="shared" si="54"/>
        <v>127.67999999999999</v>
      </c>
      <c r="G317" s="394">
        <f t="shared" si="55"/>
        <v>111.68</v>
      </c>
      <c r="H317" s="394">
        <f t="shared" si="56"/>
        <v>66.12</v>
      </c>
      <c r="I317" s="394">
        <f t="shared" si="57"/>
        <v>88.949999999999989</v>
      </c>
      <c r="J317" s="394">
        <f t="shared" si="58"/>
        <v>121</v>
      </c>
      <c r="K317" s="394">
        <f t="shared" si="59"/>
        <v>71.41</v>
      </c>
      <c r="L317" s="394">
        <f t="shared" si="60"/>
        <v>102.58</v>
      </c>
      <c r="M317" s="394">
        <f t="shared" si="50"/>
        <v>117.9</v>
      </c>
      <c r="N317" s="394">
        <f t="shared" si="51"/>
        <v>139.69999999999999</v>
      </c>
    </row>
    <row r="318" spans="2:14">
      <c r="B318" s="389">
        <f>+B173</f>
        <v>45488</v>
      </c>
      <c r="C318" s="394">
        <f t="shared" ref="C318:N318" si="62">IFERROR(C$179*(1+C173/100),C317)</f>
        <v>102.42999999999999</v>
      </c>
      <c r="D318" s="394">
        <f t="shared" si="62"/>
        <v>87.87</v>
      </c>
      <c r="E318" s="394">
        <f t="shared" si="62"/>
        <v>57.309999999999995</v>
      </c>
      <c r="F318" s="394">
        <f t="shared" si="62"/>
        <v>122.37</v>
      </c>
      <c r="G318" s="394">
        <f t="shared" si="62"/>
        <v>109.03</v>
      </c>
      <c r="H318" s="394">
        <f t="shared" si="62"/>
        <v>64.19</v>
      </c>
      <c r="I318" s="394">
        <f t="shared" si="62"/>
        <v>80.25</v>
      </c>
      <c r="J318" s="394">
        <f t="shared" si="62"/>
        <v>121</v>
      </c>
      <c r="K318" s="394">
        <f t="shared" si="62"/>
        <v>71.41</v>
      </c>
      <c r="L318" s="394">
        <f t="shared" si="62"/>
        <v>102.58</v>
      </c>
      <c r="M318" s="394">
        <f t="shared" si="62"/>
        <v>114.86000000000001</v>
      </c>
      <c r="N318" s="394">
        <f t="shared" si="62"/>
        <v>100</v>
      </c>
    </row>
    <row r="321" spans="1:26" s="392" customFormat="1">
      <c r="A321" s="392" t="s">
        <v>1702</v>
      </c>
      <c r="B321" s="393" t="s">
        <v>1714</v>
      </c>
    </row>
    <row r="323" spans="1:26" ht="17">
      <c r="C323" s="395" t="s">
        <v>1715</v>
      </c>
      <c r="D323" s="395" t="s">
        <v>1716</v>
      </c>
      <c r="E323" s="395" t="s">
        <v>1717</v>
      </c>
      <c r="F323" s="395" t="s">
        <v>1718</v>
      </c>
      <c r="G323" s="395" t="s">
        <v>1719</v>
      </c>
      <c r="H323" s="395" t="s">
        <v>1720</v>
      </c>
      <c r="I323" s="395" t="s">
        <v>1721</v>
      </c>
      <c r="J323" s="395" t="s">
        <v>1722</v>
      </c>
      <c r="K323" s="395" t="s">
        <v>1723</v>
      </c>
      <c r="L323" s="395" t="s">
        <v>1724</v>
      </c>
      <c r="M323" s="395" t="s">
        <v>1725</v>
      </c>
      <c r="N323" s="395" t="s">
        <v>1726</v>
      </c>
      <c r="O323" s="395" t="s">
        <v>1727</v>
      </c>
      <c r="P323" s="395" t="s">
        <v>1728</v>
      </c>
      <c r="Q323" s="395" t="s">
        <v>1729</v>
      </c>
      <c r="R323" s="395" t="s">
        <v>1730</v>
      </c>
      <c r="S323" s="395" t="s">
        <v>1731</v>
      </c>
      <c r="T323" s="395" t="s">
        <v>1732</v>
      </c>
      <c r="U323" s="395" t="s">
        <v>1733</v>
      </c>
      <c r="V323" s="395" t="s">
        <v>1734</v>
      </c>
      <c r="W323" s="395" t="s">
        <v>1735</v>
      </c>
      <c r="X323" s="395" t="s">
        <v>1744</v>
      </c>
    </row>
    <row r="324" spans="1:26" hidden="1" outlineLevel="1">
      <c r="B324" t="s">
        <v>1712</v>
      </c>
      <c r="C324" s="124">
        <v>0.11600000000000001</v>
      </c>
      <c r="D324" s="124">
        <v>0.123</v>
      </c>
      <c r="E324" s="124">
        <v>0.15</v>
      </c>
      <c r="F324" s="124">
        <v>0.107</v>
      </c>
      <c r="G324" s="124">
        <v>-7.6999999999999999E-2</v>
      </c>
      <c r="H324" s="124">
        <v>-0.41499999999999998</v>
      </c>
      <c r="I324" s="124">
        <v>6.9000000000000006E-2</v>
      </c>
      <c r="J324" s="124">
        <v>0.156</v>
      </c>
      <c r="K324" s="124">
        <v>0.437</v>
      </c>
      <c r="L324" s="124">
        <v>1.2709999999999999</v>
      </c>
      <c r="M324" s="124">
        <v>0.312</v>
      </c>
      <c r="N324" s="124">
        <v>0.11</v>
      </c>
      <c r="O324" s="124">
        <v>0.27100000000000002</v>
      </c>
      <c r="P324" s="124">
        <v>0.2</v>
      </c>
      <c r="Q324" s="124">
        <v>0.24299999999999999</v>
      </c>
      <c r="R324" s="124">
        <v>0.22900000000000001</v>
      </c>
      <c r="S324" s="124">
        <v>0.23</v>
      </c>
      <c r="T324" s="124">
        <v>0.27500000000000002</v>
      </c>
      <c r="U324" s="124">
        <v>0.156</v>
      </c>
      <c r="V324" s="124">
        <v>0.17499999999999999</v>
      </c>
      <c r="W324" s="124">
        <v>0.17</v>
      </c>
    </row>
    <row r="325" spans="1:26" collapsed="1">
      <c r="B325" t="s">
        <v>1736</v>
      </c>
      <c r="C325" s="124">
        <v>0.15</v>
      </c>
      <c r="D325" s="124">
        <v>0.2</v>
      </c>
      <c r="E325" s="124">
        <v>0.19</v>
      </c>
      <c r="F325" s="124">
        <v>0.15</v>
      </c>
      <c r="G325" s="124">
        <v>-0.1</v>
      </c>
      <c r="H325" s="124">
        <v>-0.37465186300338732</v>
      </c>
      <c r="I325" s="124">
        <v>0.12</v>
      </c>
      <c r="J325" s="124">
        <v>0.18</v>
      </c>
      <c r="K325" s="124">
        <v>0.52</v>
      </c>
      <c r="L325" s="124">
        <v>1.2124118350268978</v>
      </c>
      <c r="M325" s="124">
        <v>0.24</v>
      </c>
      <c r="N325" s="124">
        <v>0.28453183005637256</v>
      </c>
      <c r="O325" s="124">
        <v>0.3</v>
      </c>
      <c r="P325" s="124">
        <v>0.19</v>
      </c>
      <c r="Q325" s="124">
        <v>0.22</v>
      </c>
      <c r="R325" s="124">
        <v>0.1</v>
      </c>
      <c r="S325" s="124">
        <v>0.18</v>
      </c>
      <c r="T325" s="124">
        <v>0.21</v>
      </c>
      <c r="U325" s="124">
        <v>0.09</v>
      </c>
      <c r="V325" s="124">
        <v>0.09</v>
      </c>
      <c r="W325" s="124">
        <v>0.02</v>
      </c>
      <c r="X325" s="366">
        <v>1.6299999999999999E-2</v>
      </c>
    </row>
    <row r="326" spans="1:26">
      <c r="B326" t="s">
        <v>1737</v>
      </c>
      <c r="C326" s="124">
        <v>0.17399999999999999</v>
      </c>
      <c r="D326" s="124">
        <v>0.13100000000000001</v>
      </c>
      <c r="E326" s="124">
        <v>0.113</v>
      </c>
      <c r="F326" s="124">
        <v>0.11600000000000001</v>
      </c>
      <c r="G326" s="124">
        <v>-0.16900000000000001</v>
      </c>
      <c r="H326" s="124">
        <v>-0.434</v>
      </c>
      <c r="I326" s="124">
        <v>-1.6E-2</v>
      </c>
      <c r="J326" s="124">
        <v>-4.8000000000000001E-2</v>
      </c>
      <c r="K326" s="124">
        <v>0.26</v>
      </c>
      <c r="L326" s="124">
        <v>0.92500000000000004</v>
      </c>
      <c r="M326" s="124">
        <v>0.11799999999999999</v>
      </c>
      <c r="N326" s="124">
        <v>0.32500000000000001</v>
      </c>
      <c r="O326" s="124">
        <v>0.19953783976123976</v>
      </c>
      <c r="P326" s="124">
        <v>0.12</v>
      </c>
      <c r="Q326" s="124">
        <v>0.14000000000000001</v>
      </c>
      <c r="R326" s="124">
        <v>-0.08</v>
      </c>
      <c r="S326" s="124">
        <v>-1.2839606838861881E-2</v>
      </c>
      <c r="T326" s="124">
        <v>4.9576207092784375E-3</v>
      </c>
      <c r="U326" s="124">
        <v>-0.11277341164528523</v>
      </c>
      <c r="V326" s="124">
        <v>-4.3632929011731957E-2</v>
      </c>
      <c r="W326" s="124">
        <v>-0.13075396489138438</v>
      </c>
      <c r="X326" s="14">
        <v>-0.1</v>
      </c>
    </row>
    <row r="327" spans="1:26" hidden="1" outlineLevel="1">
      <c r="B327" t="s">
        <v>1705</v>
      </c>
      <c r="C327" s="124">
        <v>0.05</v>
      </c>
      <c r="D327" s="124">
        <v>3.3014354066985697E-2</v>
      </c>
      <c r="E327" s="124">
        <v>1.7436489607390401E-2</v>
      </c>
      <c r="F327" s="124">
        <v>0.04</v>
      </c>
      <c r="G327" s="124">
        <v>-0.18689344764237603</v>
      </c>
      <c r="H327" s="124">
        <v>-0.47</v>
      </c>
      <c r="I327" s="124">
        <v>-0.02</v>
      </c>
      <c r="J327" s="124">
        <v>0.05</v>
      </c>
      <c r="K327" s="124">
        <v>0.35680670391061453</v>
      </c>
      <c r="L327" s="124">
        <v>1.29</v>
      </c>
      <c r="M327" s="124">
        <v>0.28999999999999998</v>
      </c>
      <c r="N327" s="124">
        <v>0.32</v>
      </c>
      <c r="O327" s="124">
        <v>0.27</v>
      </c>
      <c r="P327" s="124">
        <v>0.13620895361094157</v>
      </c>
      <c r="Q327" s="124">
        <v>0.19</v>
      </c>
      <c r="R327" s="124">
        <v>0.05</v>
      </c>
      <c r="S327" s="124">
        <v>0.22</v>
      </c>
      <c r="T327" s="124">
        <v>0.19</v>
      </c>
      <c r="U327" s="124">
        <v>0.05</v>
      </c>
      <c r="V327" s="124">
        <v>0.08</v>
      </c>
      <c r="W327" s="124">
        <v>0.02</v>
      </c>
    </row>
    <row r="328" spans="1:26" hidden="1" outlineLevel="1">
      <c r="B328" t="s">
        <v>1707</v>
      </c>
      <c r="C328" s="124">
        <v>-3.6999999999999998E-2</v>
      </c>
      <c r="D328" s="124">
        <v>-3.6999999999999998E-2</v>
      </c>
      <c r="E328" s="124">
        <v>1.2573057733428373E-3</v>
      </c>
      <c r="F328" s="124">
        <v>1.2573057733428373E-3</v>
      </c>
      <c r="G328" s="124">
        <v>-0.434</v>
      </c>
      <c r="H328" s="124">
        <v>-0.434</v>
      </c>
      <c r="I328" s="124">
        <v>-0.14307058823529409</v>
      </c>
      <c r="J328" s="124">
        <v>-0.14307058823529409</v>
      </c>
      <c r="K328" s="124">
        <v>0.54600000000000004</v>
      </c>
      <c r="L328" s="124">
        <v>0.54600000000000004</v>
      </c>
      <c r="M328" s="124">
        <v>0.13436080047086515</v>
      </c>
      <c r="N328" s="124">
        <v>0.13436080047086515</v>
      </c>
      <c r="O328" s="124">
        <v>7.3999999999999996E-2</v>
      </c>
      <c r="P328" s="124">
        <v>7.3999999999999996E-2</v>
      </c>
      <c r="Q328" s="124">
        <v>2.1777607753124199E-2</v>
      </c>
      <c r="R328" s="124">
        <v>2.1777607753124199E-2</v>
      </c>
      <c r="S328" s="124">
        <v>0.18</v>
      </c>
      <c r="T328" s="124">
        <v>0.18</v>
      </c>
      <c r="U328" s="124">
        <v>7.5820427064574231E-2</v>
      </c>
      <c r="V328" s="124">
        <v>7.5820427064574231E-2</v>
      </c>
      <c r="W328" s="124">
        <v>1.9459567056481615E-2</v>
      </c>
    </row>
    <row r="329" spans="1:26" collapsed="1">
      <c r="B329" t="s">
        <v>1708</v>
      </c>
      <c r="C329" s="124">
        <v>0.02</v>
      </c>
      <c r="D329" s="124">
        <v>0.04</v>
      </c>
      <c r="E329" s="124">
        <v>-0.01</v>
      </c>
      <c r="F329" s="124">
        <v>0.01</v>
      </c>
      <c r="G329" s="124">
        <v>-0.19</v>
      </c>
      <c r="H329" s="124">
        <v>-0.52</v>
      </c>
      <c r="I329" s="124">
        <v>-0.14000000000000001</v>
      </c>
      <c r="J329" s="124">
        <v>-0.08</v>
      </c>
      <c r="K329" s="124">
        <v>0.16</v>
      </c>
      <c r="L329" s="124">
        <v>1.22</v>
      </c>
      <c r="M329" s="124">
        <v>0.25</v>
      </c>
      <c r="N329" s="124">
        <v>0.26584709071376156</v>
      </c>
      <c r="O329" s="124">
        <v>0.14000000000000001</v>
      </c>
      <c r="P329" s="124">
        <v>0.03</v>
      </c>
      <c r="Q329" s="124">
        <v>0.05</v>
      </c>
      <c r="R329" s="124">
        <v>-1.6081823276667219E-2</v>
      </c>
      <c r="S329" s="124">
        <v>8.7052435953376445E-2</v>
      </c>
      <c r="T329" s="124">
        <v>1.3442024155201439E-2</v>
      </c>
      <c r="U329" s="124">
        <v>1.8780459149618345E-2</v>
      </c>
      <c r="V329" s="124">
        <v>3.4425685847658281E-2</v>
      </c>
      <c r="W329" s="124">
        <v>0</v>
      </c>
    </row>
    <row r="330" spans="1:26">
      <c r="B330" t="s">
        <v>1709</v>
      </c>
      <c r="C330" s="124">
        <v>2.1000000000000001E-2</v>
      </c>
      <c r="D330" s="124">
        <v>0.13800000000000001</v>
      </c>
      <c r="E330" s="124">
        <v>0.161</v>
      </c>
      <c r="F330" s="124">
        <v>9.6000000000000002E-2</v>
      </c>
      <c r="G330" s="124">
        <v>-0.11</v>
      </c>
      <c r="H330" s="124">
        <v>-0.66200000000000003</v>
      </c>
      <c r="I330" s="124">
        <v>-0.246</v>
      </c>
      <c r="J330" s="124">
        <v>-0.19500000000000001</v>
      </c>
      <c r="K330" s="124">
        <v>-3.7999999999999999E-2</v>
      </c>
      <c r="L330" s="124">
        <v>1.639</v>
      </c>
      <c r="M330" s="124">
        <v>0.15</v>
      </c>
      <c r="N330" s="124">
        <v>0.247</v>
      </c>
      <c r="O330" s="124">
        <v>0.28399999999999997</v>
      </c>
      <c r="P330" s="124">
        <v>0.152</v>
      </c>
      <c r="Q330" s="124">
        <v>0.17499999999999999</v>
      </c>
      <c r="R330" s="124">
        <v>-5.0000000000000001E-3</v>
      </c>
      <c r="S330" s="124">
        <v>-7.4999999999999997E-2</v>
      </c>
      <c r="T330" s="124">
        <v>-9.2999999999999999E-2</v>
      </c>
      <c r="U330" s="124">
        <v>-0.10100000000000001</v>
      </c>
      <c r="V330" s="124">
        <v>-6.6000000000000003E-2</v>
      </c>
      <c r="W330" s="124">
        <v>-7.9000000000000001E-2</v>
      </c>
    </row>
    <row r="331" spans="1:26" hidden="1" outlineLevel="1">
      <c r="B331" t="s">
        <v>1738</v>
      </c>
      <c r="C331" s="124">
        <v>4.2999999999999997E-2</v>
      </c>
      <c r="D331" s="124">
        <v>4.4999999999999998E-2</v>
      </c>
      <c r="E331" s="124">
        <v>-3.5999999999999997E-2</v>
      </c>
      <c r="F331" s="124">
        <v>-1E-3</v>
      </c>
      <c r="G331" s="124">
        <v>-0.315</v>
      </c>
      <c r="H331" s="124">
        <v>-0.59399999999999997</v>
      </c>
      <c r="I331" s="124">
        <v>-0.18099999999999999</v>
      </c>
      <c r="J331" s="124">
        <v>-0.19900000000000001</v>
      </c>
      <c r="K331" s="124">
        <v>0.11389212740925247</v>
      </c>
      <c r="L331" s="124">
        <v>0.92202900050490022</v>
      </c>
      <c r="M331" s="124">
        <v>0.17399999999999999</v>
      </c>
      <c r="N331" s="124">
        <v>0.23503557156759211</v>
      </c>
      <c r="O331" s="124">
        <v>0.20300000000000001</v>
      </c>
      <c r="P331" s="124">
        <v>0.17964693665628206</v>
      </c>
      <c r="Q331" s="124">
        <v>4.1714901296546245E-2</v>
      </c>
      <c r="R331" s="124">
        <v>-9.655348783980304E-2</v>
      </c>
      <c r="S331" s="124">
        <v>-6.5000000000000002E-2</v>
      </c>
      <c r="T331" s="124">
        <v>-8.2767165697674422E-2</v>
      </c>
      <c r="U331" s="124">
        <v>-0.13948090522851062</v>
      </c>
      <c r="V331" s="124">
        <v>-5.1973033544965269E-2</v>
      </c>
      <c r="W331" s="124">
        <v>-0.16600000000000001</v>
      </c>
    </row>
    <row r="332" spans="1:26" collapsed="1"/>
    <row r="333" spans="1:26">
      <c r="K333" s="14"/>
      <c r="L333" s="14"/>
      <c r="M333" s="14"/>
      <c r="N333" s="14"/>
      <c r="O333" s="14"/>
      <c r="P333" s="14"/>
      <c r="Q333" s="14"/>
      <c r="R333" s="14"/>
      <c r="S333" s="14"/>
      <c r="T333" s="14"/>
      <c r="U333" s="14"/>
      <c r="V333" s="14"/>
      <c r="W333" s="14"/>
    </row>
    <row r="334" spans="1:26" s="392" customFormat="1">
      <c r="A334" s="392" t="s">
        <v>1702</v>
      </c>
      <c r="B334" s="393" t="s">
        <v>1739</v>
      </c>
    </row>
    <row r="335" spans="1:26">
      <c r="K335" s="14"/>
      <c r="L335" s="14"/>
      <c r="M335" s="14"/>
      <c r="N335" s="14"/>
      <c r="O335" s="14"/>
      <c r="P335" s="14"/>
      <c r="Q335" s="14"/>
      <c r="R335" s="14"/>
      <c r="S335" s="14"/>
      <c r="T335" s="14"/>
      <c r="U335" s="14"/>
      <c r="V335" s="14"/>
      <c r="W335" s="14"/>
    </row>
    <row r="336" spans="1:26" ht="16">
      <c r="N336" s="14"/>
      <c r="O336" s="14"/>
      <c r="Q336" s="24" t="s">
        <v>105</v>
      </c>
      <c r="R336" s="24"/>
      <c r="S336" s="24"/>
      <c r="T336" s="24"/>
      <c r="U336" s="24"/>
      <c r="V336" s="24"/>
      <c r="W336" s="24"/>
      <c r="X336" s="24"/>
      <c r="Y336" s="24"/>
      <c r="Z336" s="24"/>
    </row>
    <row r="337" spans="1:26" ht="16">
      <c r="N337" s="14"/>
      <c r="O337" s="14"/>
      <c r="Q337" s="16" t="s">
        <v>801</v>
      </c>
      <c r="R337" s="16" t="s">
        <v>802</v>
      </c>
      <c r="S337" s="16" t="s">
        <v>803</v>
      </c>
      <c r="T337" s="16" t="s">
        <v>1746</v>
      </c>
      <c r="U337" s="16" t="s">
        <v>1747</v>
      </c>
      <c r="V337" s="16" t="s">
        <v>1748</v>
      </c>
      <c r="W337" s="16" t="s">
        <v>1749</v>
      </c>
      <c r="X337" s="16" t="s">
        <v>410</v>
      </c>
      <c r="Y337" s="16" t="s">
        <v>411</v>
      </c>
      <c r="Z337" s="16" t="s">
        <v>1745</v>
      </c>
    </row>
    <row r="338" spans="1:26">
      <c r="N338" s="14"/>
      <c r="O338" s="14"/>
      <c r="P338" t="s">
        <v>1743</v>
      </c>
      <c r="Q338" s="8">
        <f>+'Historical - USD'!C116</f>
        <v>0.12847682365276902</v>
      </c>
      <c r="R338" s="8">
        <f>+'Historical - USD'!D116</f>
        <v>0.11703407652704405</v>
      </c>
      <c r="S338" s="8">
        <f>+'Historical - USD'!E116</f>
        <v>0.11831471581163046</v>
      </c>
      <c r="T338" s="8">
        <f>+'Historical - USD'!F116</f>
        <v>-4.837948295902101E-2</v>
      </c>
      <c r="U338" s="8">
        <f>+'Historical - USD'!G116</f>
        <v>-8.9229908686916812E-2</v>
      </c>
      <c r="V338" s="8">
        <f>+'Historical - USD'!H116</f>
        <v>-0.1220866574879515</v>
      </c>
      <c r="W338" s="8">
        <f>+'Historical - USD'!I116</f>
        <v>8.8196717724814036E-2</v>
      </c>
      <c r="X338" s="8">
        <f>+'Historical - USD'!J116</f>
        <v>5.438034825591629E-2</v>
      </c>
      <c r="Y338" s="8">
        <f>+'Historical - USD'!K116</f>
        <v>7.2946960605481906E-2</v>
      </c>
      <c r="Z338" s="8">
        <f>+'Historical - USD'!L116</f>
        <v>1.2148229485231582E-2</v>
      </c>
    </row>
    <row r="339" spans="1:26">
      <c r="N339" s="14"/>
      <c r="O339" s="14"/>
      <c r="P339" t="s">
        <v>1740</v>
      </c>
      <c r="Q339" s="124"/>
      <c r="R339" s="124"/>
      <c r="S339" s="124"/>
      <c r="T339" s="124"/>
      <c r="U339" s="124">
        <f>+'Historical - USD'!G34</f>
        <v>1.8393971103975542</v>
      </c>
      <c r="V339" s="124">
        <f>+'Historical - USD'!H34</f>
        <v>0.72891171811761946</v>
      </c>
      <c r="W339" s="124">
        <f>+'Historical - USD'!I34</f>
        <v>0.50373261101204059</v>
      </c>
      <c r="X339" s="124">
        <f>+'Historical - USD'!J34</f>
        <v>1.2294612948142682</v>
      </c>
      <c r="Y339" s="124">
        <f>+'Historical - USD'!K34</f>
        <v>0.84794049905064184</v>
      </c>
      <c r="Z339" s="124">
        <f>+'Historical - USD'!L34</f>
        <v>0.65636099612218723</v>
      </c>
    </row>
    <row r="341" spans="1:26" s="392" customFormat="1">
      <c r="A341" s="392" t="s">
        <v>1702</v>
      </c>
      <c r="B341" s="393" t="s">
        <v>1742</v>
      </c>
    </row>
    <row r="342" spans="1:26">
      <c r="B342" s="388" t="s">
        <v>1690</v>
      </c>
      <c r="C342" s="388" t="s">
        <v>1741</v>
      </c>
    </row>
    <row r="343" spans="1:26">
      <c r="B343" s="389">
        <v>44183</v>
      </c>
      <c r="C343" s="396">
        <v>0.5</v>
      </c>
    </row>
    <row r="344" spans="1:26">
      <c r="B344" s="389">
        <v>44186</v>
      </c>
      <c r="C344" s="396">
        <v>0.48</v>
      </c>
    </row>
    <row r="345" spans="1:26">
      <c r="B345" s="389">
        <v>44187</v>
      </c>
      <c r="C345" s="396">
        <v>0.495</v>
      </c>
    </row>
    <row r="346" spans="1:26">
      <c r="B346" s="389">
        <v>44188</v>
      </c>
      <c r="C346" s="396">
        <v>0.5</v>
      </c>
    </row>
    <row r="347" spans="1:26">
      <c r="B347" s="389">
        <v>44189</v>
      </c>
      <c r="C347" s="396">
        <v>0.5</v>
      </c>
    </row>
    <row r="348" spans="1:26">
      <c r="B348" s="389">
        <v>44194</v>
      </c>
      <c r="C348" s="396">
        <v>0.5</v>
      </c>
    </row>
    <row r="349" spans="1:26">
      <c r="B349" s="389">
        <v>44195</v>
      </c>
      <c r="C349" s="396">
        <v>0.48</v>
      </c>
    </row>
    <row r="350" spans="1:26">
      <c r="B350" s="389">
        <v>44196</v>
      </c>
      <c r="C350" s="396">
        <v>0.47</v>
      </c>
    </row>
    <row r="351" spans="1:26">
      <c r="B351" s="389">
        <v>44200</v>
      </c>
      <c r="C351" s="396">
        <v>0.48499999999999999</v>
      </c>
    </row>
    <row r="352" spans="1:26">
      <c r="B352" s="389">
        <v>44201</v>
      </c>
      <c r="C352" s="396">
        <v>0.56000000000000005</v>
      </c>
    </row>
    <row r="353" spans="2:3">
      <c r="B353" s="389">
        <v>44202</v>
      </c>
      <c r="C353" s="396">
        <v>0.57499999999999996</v>
      </c>
    </row>
    <row r="354" spans="2:3">
      <c r="B354" s="389">
        <v>44203</v>
      </c>
      <c r="C354" s="396">
        <v>0.58499999999999996</v>
      </c>
    </row>
    <row r="355" spans="2:3">
      <c r="B355" s="389">
        <v>44204</v>
      </c>
      <c r="C355" s="396">
        <v>0.57999999999999996</v>
      </c>
    </row>
    <row r="356" spans="2:3">
      <c r="B356" s="389">
        <v>44207</v>
      </c>
      <c r="C356" s="396">
        <v>0.57999999999999996</v>
      </c>
    </row>
    <row r="357" spans="2:3">
      <c r="B357" s="389">
        <v>44208</v>
      </c>
      <c r="C357" s="396">
        <v>0.55000000000000004</v>
      </c>
    </row>
    <row r="358" spans="2:3">
      <c r="B358" s="389">
        <v>44209</v>
      </c>
      <c r="C358" s="396">
        <v>0.56999999999999995</v>
      </c>
    </row>
    <row r="359" spans="2:3">
      <c r="B359" s="389">
        <v>44210</v>
      </c>
      <c r="C359" s="396">
        <v>0.57499999999999996</v>
      </c>
    </row>
    <row r="360" spans="2:3">
      <c r="B360" s="389">
        <v>44211</v>
      </c>
      <c r="C360" s="396">
        <v>0.56499999999999995</v>
      </c>
    </row>
    <row r="361" spans="2:3">
      <c r="B361" s="389">
        <v>44214</v>
      </c>
      <c r="C361" s="396">
        <v>0.57499999999999996</v>
      </c>
    </row>
    <row r="362" spans="2:3">
      <c r="B362" s="389">
        <v>44215</v>
      </c>
      <c r="C362" s="396">
        <v>0.6</v>
      </c>
    </row>
    <row r="363" spans="2:3">
      <c r="B363" s="389">
        <v>44216</v>
      </c>
      <c r="C363" s="396">
        <v>0.64500000000000002</v>
      </c>
    </row>
    <row r="364" spans="2:3">
      <c r="B364" s="389">
        <v>44217</v>
      </c>
      <c r="C364" s="396">
        <v>0.64500000000000002</v>
      </c>
    </row>
    <row r="365" spans="2:3">
      <c r="B365" s="389">
        <v>44218</v>
      </c>
      <c r="C365" s="396">
        <v>0.65</v>
      </c>
    </row>
    <row r="366" spans="2:3">
      <c r="B366" s="389">
        <v>44221</v>
      </c>
      <c r="C366" s="396">
        <v>0.69499999999999995</v>
      </c>
    </row>
    <row r="367" spans="2:3">
      <c r="B367" s="389">
        <v>44223</v>
      </c>
      <c r="C367" s="396">
        <v>0.67</v>
      </c>
    </row>
    <row r="368" spans="2:3">
      <c r="B368" s="389">
        <v>44224</v>
      </c>
      <c r="C368" s="396">
        <v>0.67</v>
      </c>
    </row>
    <row r="369" spans="2:3">
      <c r="B369" s="389">
        <v>44225</v>
      </c>
      <c r="C369" s="396">
        <v>0.6</v>
      </c>
    </row>
    <row r="370" spans="2:3">
      <c r="B370" s="389">
        <v>44228</v>
      </c>
      <c r="C370" s="396">
        <v>0.64</v>
      </c>
    </row>
    <row r="371" spans="2:3">
      <c r="B371" s="389">
        <v>44229</v>
      </c>
      <c r="C371" s="396">
        <v>0.63</v>
      </c>
    </row>
    <row r="372" spans="2:3">
      <c r="B372" s="389">
        <v>44230</v>
      </c>
      <c r="C372" s="396">
        <v>0.65</v>
      </c>
    </row>
    <row r="373" spans="2:3">
      <c r="B373" s="389">
        <v>44231</v>
      </c>
      <c r="C373" s="396">
        <v>0.7</v>
      </c>
    </row>
    <row r="374" spans="2:3">
      <c r="B374" s="389">
        <v>44232</v>
      </c>
      <c r="C374" s="396">
        <v>0.755</v>
      </c>
    </row>
    <row r="375" spans="2:3">
      <c r="B375" s="389">
        <v>44235</v>
      </c>
      <c r="C375" s="396">
        <v>0.82499999999999996</v>
      </c>
    </row>
    <row r="376" spans="2:3">
      <c r="B376" s="389">
        <v>44236</v>
      </c>
      <c r="C376" s="396">
        <v>0.81</v>
      </c>
    </row>
    <row r="377" spans="2:3">
      <c r="B377" s="389">
        <v>44237</v>
      </c>
      <c r="C377" s="396">
        <v>0.77500000000000002</v>
      </c>
    </row>
    <row r="378" spans="2:3">
      <c r="B378" s="389">
        <v>44238</v>
      </c>
      <c r="C378" s="396">
        <v>0.73</v>
      </c>
    </row>
    <row r="379" spans="2:3">
      <c r="B379" s="389">
        <v>44239</v>
      </c>
      <c r="C379" s="396">
        <v>0.76</v>
      </c>
    </row>
    <row r="380" spans="2:3">
      <c r="B380" s="389">
        <v>44242</v>
      </c>
      <c r="C380" s="396">
        <v>0.86499999999999999</v>
      </c>
    </row>
    <row r="381" spans="2:3">
      <c r="B381" s="389">
        <v>44243</v>
      </c>
      <c r="C381" s="396">
        <v>0.93</v>
      </c>
    </row>
    <row r="382" spans="2:3">
      <c r="B382" s="389">
        <v>44244</v>
      </c>
      <c r="C382" s="396">
        <v>0.93</v>
      </c>
    </row>
    <row r="383" spans="2:3">
      <c r="B383" s="389">
        <v>44245</v>
      </c>
      <c r="C383" s="396">
        <v>0.97499999999999998</v>
      </c>
    </row>
    <row r="384" spans="2:3">
      <c r="B384" s="389">
        <v>44246</v>
      </c>
      <c r="C384" s="396">
        <v>1.05</v>
      </c>
    </row>
    <row r="385" spans="2:3">
      <c r="B385" s="389">
        <v>44249</v>
      </c>
      <c r="C385" s="396">
        <v>1.03</v>
      </c>
    </row>
    <row r="386" spans="2:3">
      <c r="B386" s="389">
        <v>44250</v>
      </c>
      <c r="C386" s="396">
        <v>1.01</v>
      </c>
    </row>
    <row r="387" spans="2:3">
      <c r="B387" s="389">
        <v>44251</v>
      </c>
      <c r="C387" s="396">
        <v>0.88500000000000001</v>
      </c>
    </row>
    <row r="388" spans="2:3">
      <c r="B388" s="389">
        <v>44252</v>
      </c>
      <c r="C388" s="396">
        <v>0.89500000000000002</v>
      </c>
    </row>
    <row r="389" spans="2:3">
      <c r="B389" s="389">
        <v>44253</v>
      </c>
      <c r="C389" s="396">
        <v>0.95</v>
      </c>
    </row>
    <row r="390" spans="2:3">
      <c r="B390" s="389">
        <v>44256</v>
      </c>
      <c r="C390" s="396">
        <v>1.0049999999999999</v>
      </c>
    </row>
    <row r="391" spans="2:3">
      <c r="B391" s="389">
        <v>44257</v>
      </c>
      <c r="C391" s="396">
        <v>1.01</v>
      </c>
    </row>
    <row r="392" spans="2:3">
      <c r="B392" s="389">
        <v>44258</v>
      </c>
      <c r="C392" s="396">
        <v>1</v>
      </c>
    </row>
    <row r="393" spans="2:3">
      <c r="B393" s="389">
        <v>44259</v>
      </c>
      <c r="C393" s="396">
        <v>0.90500000000000003</v>
      </c>
    </row>
    <row r="394" spans="2:3">
      <c r="B394" s="389">
        <v>44260</v>
      </c>
      <c r="C394" s="396">
        <v>0.93</v>
      </c>
    </row>
    <row r="395" spans="2:3">
      <c r="B395" s="389">
        <v>44263</v>
      </c>
      <c r="C395" s="396">
        <v>0.95</v>
      </c>
    </row>
    <row r="396" spans="2:3">
      <c r="B396" s="389">
        <v>44264</v>
      </c>
      <c r="C396" s="396">
        <v>0.94499999999999995</v>
      </c>
    </row>
    <row r="397" spans="2:3">
      <c r="B397" s="389">
        <v>44265</v>
      </c>
      <c r="C397" s="396">
        <v>0.96</v>
      </c>
    </row>
    <row r="398" spans="2:3">
      <c r="B398" s="389">
        <v>44266</v>
      </c>
      <c r="C398" s="396">
        <v>1.115</v>
      </c>
    </row>
    <row r="399" spans="2:3">
      <c r="B399" s="389">
        <v>44267</v>
      </c>
      <c r="C399" s="396">
        <v>1.28</v>
      </c>
    </row>
    <row r="400" spans="2:3">
      <c r="B400" s="389">
        <v>44270</v>
      </c>
      <c r="C400" s="396">
        <v>1.2949999999999999</v>
      </c>
    </row>
    <row r="401" spans="2:3">
      <c r="B401" s="389">
        <v>44271</v>
      </c>
      <c r="C401" s="396">
        <v>1.2150000000000001</v>
      </c>
    </row>
    <row r="402" spans="2:3">
      <c r="B402" s="389">
        <v>44272</v>
      </c>
      <c r="C402" s="396">
        <v>1.27</v>
      </c>
    </row>
    <row r="403" spans="2:3">
      <c r="B403" s="389">
        <v>44273</v>
      </c>
      <c r="C403" s="396">
        <v>1.2649999999999999</v>
      </c>
    </row>
    <row r="404" spans="2:3">
      <c r="B404" s="389">
        <v>44274</v>
      </c>
      <c r="C404" s="396">
        <v>1.19</v>
      </c>
    </row>
    <row r="405" spans="2:3">
      <c r="B405" s="389">
        <v>44277</v>
      </c>
      <c r="C405" s="396">
        <v>1.19</v>
      </c>
    </row>
    <row r="406" spans="2:3">
      <c r="B406" s="389">
        <v>44278</v>
      </c>
      <c r="C406" s="396">
        <v>1.34</v>
      </c>
    </row>
    <row r="407" spans="2:3">
      <c r="B407" s="389">
        <v>44279</v>
      </c>
      <c r="C407" s="396">
        <v>1.44</v>
      </c>
    </row>
    <row r="408" spans="2:3">
      <c r="B408" s="389">
        <v>44280</v>
      </c>
      <c r="C408" s="396">
        <v>1.5</v>
      </c>
    </row>
    <row r="409" spans="2:3">
      <c r="B409" s="389">
        <v>44281</v>
      </c>
      <c r="C409" s="396">
        <v>1.51</v>
      </c>
    </row>
    <row r="410" spans="2:3">
      <c r="B410" s="389">
        <v>44284</v>
      </c>
      <c r="C410" s="396">
        <v>1.46</v>
      </c>
    </row>
    <row r="411" spans="2:3">
      <c r="B411" s="389">
        <v>44285</v>
      </c>
      <c r="C411" s="396">
        <v>1.43</v>
      </c>
    </row>
    <row r="412" spans="2:3">
      <c r="B412" s="389">
        <v>44286</v>
      </c>
      <c r="C412" s="396">
        <v>1.405</v>
      </c>
    </row>
    <row r="413" spans="2:3">
      <c r="B413" s="389">
        <v>44287</v>
      </c>
      <c r="C413" s="396">
        <v>1.46</v>
      </c>
    </row>
    <row r="414" spans="2:3">
      <c r="B414" s="389">
        <v>44292</v>
      </c>
      <c r="C414" s="396">
        <v>1.405</v>
      </c>
    </row>
    <row r="415" spans="2:3">
      <c r="B415" s="389">
        <v>44293</v>
      </c>
      <c r="C415" s="396">
        <v>1.48</v>
      </c>
    </row>
    <row r="416" spans="2:3">
      <c r="B416" s="389">
        <v>44294</v>
      </c>
      <c r="C416" s="396">
        <v>1.52</v>
      </c>
    </row>
    <row r="417" spans="2:3">
      <c r="B417" s="389">
        <v>44295</v>
      </c>
      <c r="C417" s="396">
        <v>1.5</v>
      </c>
    </row>
    <row r="418" spans="2:3">
      <c r="B418" s="389">
        <v>44298</v>
      </c>
      <c r="C418" s="396">
        <v>1.4850000000000001</v>
      </c>
    </row>
    <row r="419" spans="2:3">
      <c r="B419" s="389">
        <v>44299</v>
      </c>
      <c r="C419" s="396">
        <v>1.615</v>
      </c>
    </row>
    <row r="420" spans="2:3">
      <c r="B420" s="389">
        <v>44300</v>
      </c>
      <c r="C420" s="396">
        <v>1.67</v>
      </c>
    </row>
    <row r="421" spans="2:3">
      <c r="B421" s="389">
        <v>44301</v>
      </c>
      <c r="C421" s="396">
        <v>1.57</v>
      </c>
    </row>
    <row r="422" spans="2:3">
      <c r="B422" s="389">
        <v>44302</v>
      </c>
      <c r="C422" s="396">
        <v>1.56</v>
      </c>
    </row>
    <row r="423" spans="2:3">
      <c r="B423" s="389">
        <v>44305</v>
      </c>
      <c r="C423" s="396">
        <v>1.75</v>
      </c>
    </row>
    <row r="424" spans="2:3">
      <c r="B424" s="389">
        <v>44306</v>
      </c>
      <c r="C424" s="396">
        <v>1.78</v>
      </c>
    </row>
    <row r="425" spans="2:3">
      <c r="B425" s="389">
        <v>44307</v>
      </c>
      <c r="C425" s="396">
        <v>1.75</v>
      </c>
    </row>
    <row r="426" spans="2:3">
      <c r="B426" s="389">
        <v>44308</v>
      </c>
      <c r="C426" s="396">
        <v>1.75</v>
      </c>
    </row>
    <row r="427" spans="2:3">
      <c r="B427" s="389">
        <v>44309</v>
      </c>
      <c r="C427" s="396">
        <v>1.79</v>
      </c>
    </row>
    <row r="428" spans="2:3">
      <c r="B428" s="389">
        <v>44312</v>
      </c>
      <c r="C428" s="396">
        <v>1.76</v>
      </c>
    </row>
    <row r="429" spans="2:3">
      <c r="B429" s="389">
        <v>44313</v>
      </c>
      <c r="C429" s="396">
        <v>1.77</v>
      </c>
    </row>
    <row r="430" spans="2:3">
      <c r="B430" s="389">
        <v>44314</v>
      </c>
      <c r="C430" s="396">
        <v>1.75</v>
      </c>
    </row>
    <row r="431" spans="2:3">
      <c r="B431" s="389">
        <v>44315</v>
      </c>
      <c r="C431" s="396">
        <v>1.65</v>
      </c>
    </row>
    <row r="432" spans="2:3">
      <c r="B432" s="389">
        <v>44316</v>
      </c>
      <c r="C432" s="396">
        <v>1.68</v>
      </c>
    </row>
    <row r="433" spans="2:3">
      <c r="B433" s="389">
        <v>44319</v>
      </c>
      <c r="C433" s="396">
        <v>1.66</v>
      </c>
    </row>
    <row r="434" spans="2:3">
      <c r="B434" s="389">
        <v>44320</v>
      </c>
      <c r="C434" s="396">
        <v>1.5349999999999999</v>
      </c>
    </row>
    <row r="435" spans="2:3">
      <c r="B435" s="389">
        <v>44321</v>
      </c>
      <c r="C435" s="396">
        <v>1.47</v>
      </c>
    </row>
    <row r="436" spans="2:3">
      <c r="B436" s="389">
        <v>44322</v>
      </c>
      <c r="C436" s="396">
        <v>1.635</v>
      </c>
    </row>
    <row r="437" spans="2:3">
      <c r="B437" s="389">
        <v>44323</v>
      </c>
      <c r="C437" s="396">
        <v>1.61</v>
      </c>
    </row>
    <row r="438" spans="2:3">
      <c r="B438" s="389">
        <v>44326</v>
      </c>
      <c r="C438" s="396">
        <v>1.6</v>
      </c>
    </row>
    <row r="439" spans="2:3">
      <c r="B439" s="389">
        <v>44327</v>
      </c>
      <c r="C439" s="396">
        <v>1.76</v>
      </c>
    </row>
    <row r="440" spans="2:3">
      <c r="B440" s="389">
        <v>44328</v>
      </c>
      <c r="C440" s="396">
        <v>1.8049999999999999</v>
      </c>
    </row>
    <row r="441" spans="2:3">
      <c r="B441" s="389">
        <v>44329</v>
      </c>
      <c r="C441" s="396">
        <v>1.7</v>
      </c>
    </row>
    <row r="442" spans="2:3">
      <c r="B442" s="389">
        <v>44330</v>
      </c>
      <c r="C442" s="396">
        <v>1.71</v>
      </c>
    </row>
    <row r="443" spans="2:3">
      <c r="B443" s="389">
        <v>44333</v>
      </c>
      <c r="C443" s="396">
        <v>1.68</v>
      </c>
    </row>
    <row r="444" spans="2:3">
      <c r="B444" s="389">
        <v>44334</v>
      </c>
      <c r="C444" s="396">
        <v>1.72</v>
      </c>
    </row>
    <row r="445" spans="2:3">
      <c r="B445" s="389">
        <v>44335</v>
      </c>
      <c r="C445" s="396">
        <v>1.875</v>
      </c>
    </row>
    <row r="446" spans="2:3">
      <c r="B446" s="389">
        <v>44336</v>
      </c>
      <c r="C446" s="396">
        <v>1.86</v>
      </c>
    </row>
    <row r="447" spans="2:3">
      <c r="B447" s="389">
        <v>44337</v>
      </c>
      <c r="C447" s="396">
        <v>2.0499999999999998</v>
      </c>
    </row>
    <row r="448" spans="2:3">
      <c r="B448" s="389">
        <v>44340</v>
      </c>
      <c r="C448" s="396">
        <v>2.1800000000000002</v>
      </c>
    </row>
    <row r="449" spans="2:3">
      <c r="B449" s="389">
        <v>44341</v>
      </c>
      <c r="C449" s="396">
        <v>2.2799999999999998</v>
      </c>
    </row>
    <row r="450" spans="2:3">
      <c r="B450" s="389">
        <v>44342</v>
      </c>
      <c r="C450" s="396">
        <v>2.2000000000000002</v>
      </c>
    </row>
    <row r="451" spans="2:3">
      <c r="B451" s="389">
        <v>44343</v>
      </c>
      <c r="C451" s="396">
        <v>2.29</v>
      </c>
    </row>
    <row r="452" spans="2:3">
      <c r="B452" s="389">
        <v>44344</v>
      </c>
      <c r="C452" s="396">
        <v>2.36</v>
      </c>
    </row>
    <row r="453" spans="2:3">
      <c r="B453" s="389">
        <v>44347</v>
      </c>
      <c r="C453" s="396">
        <v>2.42</v>
      </c>
    </row>
    <row r="454" spans="2:3">
      <c r="B454" s="389">
        <v>44348</v>
      </c>
      <c r="C454" s="396">
        <v>2.4500000000000002</v>
      </c>
    </row>
    <row r="455" spans="2:3">
      <c r="B455" s="389">
        <v>44349</v>
      </c>
      <c r="C455" s="396">
        <v>2.54</v>
      </c>
    </row>
    <row r="456" spans="2:3">
      <c r="B456" s="389">
        <v>44350</v>
      </c>
      <c r="C456" s="396">
        <v>2.35</v>
      </c>
    </row>
    <row r="457" spans="2:3">
      <c r="B457" s="389">
        <v>44351</v>
      </c>
      <c r="C457" s="396">
        <v>2.35</v>
      </c>
    </row>
    <row r="458" spans="2:3">
      <c r="B458" s="389">
        <v>44354</v>
      </c>
      <c r="C458" s="396">
        <v>2.39</v>
      </c>
    </row>
    <row r="459" spans="2:3">
      <c r="B459" s="389">
        <v>44355</v>
      </c>
      <c r="C459" s="396">
        <v>2.78</v>
      </c>
    </row>
    <row r="460" spans="2:3">
      <c r="B460" s="389">
        <v>44356</v>
      </c>
      <c r="C460" s="396">
        <v>2.85</v>
      </c>
    </row>
    <row r="461" spans="2:3">
      <c r="B461" s="389">
        <v>44357</v>
      </c>
      <c r="C461" s="396">
        <v>2.62</v>
      </c>
    </row>
    <row r="462" spans="2:3">
      <c r="B462" s="389">
        <v>44358</v>
      </c>
      <c r="C462" s="396">
        <v>2.52</v>
      </c>
    </row>
    <row r="463" spans="2:3">
      <c r="B463" s="389">
        <v>44362</v>
      </c>
      <c r="C463" s="396">
        <v>1.98</v>
      </c>
    </row>
    <row r="464" spans="2:3">
      <c r="B464" s="389">
        <v>44363</v>
      </c>
      <c r="C464" s="396">
        <v>2.1</v>
      </c>
    </row>
    <row r="465" spans="2:3">
      <c r="B465" s="389">
        <v>44364</v>
      </c>
      <c r="C465" s="396">
        <v>2.1</v>
      </c>
    </row>
    <row r="466" spans="2:3">
      <c r="B466" s="389">
        <v>44365</v>
      </c>
      <c r="C466" s="396">
        <v>2.35</v>
      </c>
    </row>
    <row r="467" spans="2:3">
      <c r="B467" s="389">
        <v>44368</v>
      </c>
      <c r="C467" s="396">
        <v>2.2200000000000002</v>
      </c>
    </row>
    <row r="468" spans="2:3">
      <c r="B468" s="389">
        <v>44369</v>
      </c>
      <c r="C468" s="396">
        <v>2.2200000000000002</v>
      </c>
    </row>
    <row r="469" spans="2:3">
      <c r="B469" s="389">
        <v>44370</v>
      </c>
      <c r="C469" s="396">
        <v>2.29</v>
      </c>
    </row>
    <row r="470" spans="2:3">
      <c r="B470" s="389">
        <v>44371</v>
      </c>
      <c r="C470" s="396">
        <v>2.23</v>
      </c>
    </row>
    <row r="471" spans="2:3">
      <c r="B471" s="389">
        <v>44372</v>
      </c>
      <c r="C471" s="396">
        <v>2.35</v>
      </c>
    </row>
    <row r="472" spans="2:3">
      <c r="B472" s="389">
        <v>44375</v>
      </c>
      <c r="C472" s="396">
        <v>2.68</v>
      </c>
    </row>
    <row r="473" spans="2:3">
      <c r="B473" s="389">
        <v>44376</v>
      </c>
      <c r="C473" s="396">
        <v>2.63</v>
      </c>
    </row>
    <row r="474" spans="2:3">
      <c r="B474" s="389">
        <v>44377</v>
      </c>
      <c r="C474" s="396">
        <v>2.64</v>
      </c>
    </row>
    <row r="475" spans="2:3">
      <c r="B475" s="389">
        <v>44378</v>
      </c>
      <c r="C475" s="396">
        <v>2.77</v>
      </c>
    </row>
    <row r="476" spans="2:3">
      <c r="B476" s="389">
        <v>44379</v>
      </c>
      <c r="C476" s="396">
        <v>2.7</v>
      </c>
    </row>
    <row r="477" spans="2:3">
      <c r="B477" s="389">
        <v>44382</v>
      </c>
      <c r="C477" s="396">
        <v>2.68</v>
      </c>
    </row>
    <row r="478" spans="2:3">
      <c r="B478" s="389">
        <v>44383</v>
      </c>
      <c r="C478" s="396">
        <v>2.57</v>
      </c>
    </row>
    <row r="479" spans="2:3">
      <c r="B479" s="389">
        <v>44384</v>
      </c>
      <c r="C479" s="396">
        <v>2.68</v>
      </c>
    </row>
    <row r="480" spans="2:3">
      <c r="B480" s="389">
        <v>44385</v>
      </c>
      <c r="C480" s="396">
        <v>2.5499999999999998</v>
      </c>
    </row>
    <row r="481" spans="2:3">
      <c r="B481" s="389">
        <v>44386</v>
      </c>
      <c r="C481" s="396">
        <v>2.54</v>
      </c>
    </row>
    <row r="482" spans="2:3">
      <c r="B482" s="389">
        <v>44389</v>
      </c>
      <c r="C482" s="396">
        <v>2.4700000000000002</v>
      </c>
    </row>
    <row r="483" spans="2:3">
      <c r="B483" s="389">
        <v>44390</v>
      </c>
      <c r="C483" s="396">
        <v>2.36</v>
      </c>
    </row>
    <row r="484" spans="2:3">
      <c r="B484" s="389">
        <v>44391</v>
      </c>
      <c r="C484" s="396">
        <v>2.25</v>
      </c>
    </row>
    <row r="485" spans="2:3">
      <c r="B485" s="389">
        <v>44392</v>
      </c>
      <c r="C485" s="396">
        <v>2.2000000000000002</v>
      </c>
    </row>
    <row r="486" spans="2:3">
      <c r="B486" s="389">
        <v>44393</v>
      </c>
      <c r="C486" s="396">
        <v>2.15</v>
      </c>
    </row>
    <row r="487" spans="2:3">
      <c r="B487" s="389">
        <v>44396</v>
      </c>
      <c r="C487" s="396">
        <v>2.06</v>
      </c>
    </row>
    <row r="488" spans="2:3">
      <c r="B488" s="389">
        <v>44397</v>
      </c>
      <c r="C488" s="396">
        <v>2.13</v>
      </c>
    </row>
    <row r="489" spans="2:3">
      <c r="B489" s="389">
        <v>44398</v>
      </c>
      <c r="C489" s="396">
        <v>2.14</v>
      </c>
    </row>
    <row r="490" spans="2:3">
      <c r="B490" s="389">
        <v>44399</v>
      </c>
      <c r="C490" s="396">
        <v>2.08</v>
      </c>
    </row>
    <row r="491" spans="2:3">
      <c r="B491" s="389">
        <v>44400</v>
      </c>
      <c r="C491" s="396">
        <v>2.08</v>
      </c>
    </row>
    <row r="492" spans="2:3">
      <c r="B492" s="389">
        <v>44403</v>
      </c>
      <c r="C492" s="396">
        <v>2.0499999999999998</v>
      </c>
    </row>
    <row r="493" spans="2:3">
      <c r="B493" s="389">
        <v>44404</v>
      </c>
      <c r="C493" s="396">
        <v>2</v>
      </c>
    </row>
    <row r="494" spans="2:3">
      <c r="B494" s="389">
        <v>44405</v>
      </c>
      <c r="C494" s="396">
        <v>2</v>
      </c>
    </row>
    <row r="495" spans="2:3">
      <c r="B495" s="389">
        <v>44406</v>
      </c>
      <c r="C495" s="396">
        <v>2.0499999999999998</v>
      </c>
    </row>
    <row r="496" spans="2:3">
      <c r="B496" s="389">
        <v>44407</v>
      </c>
      <c r="C496" s="396">
        <v>2.02</v>
      </c>
    </row>
    <row r="497" spans="2:3">
      <c r="B497" s="389">
        <v>44410</v>
      </c>
      <c r="C497" s="396">
        <v>2.19</v>
      </c>
    </row>
    <row r="498" spans="2:3">
      <c r="B498" s="389">
        <v>44411</v>
      </c>
      <c r="C498" s="396">
        <v>2.2200000000000002</v>
      </c>
    </row>
    <row r="499" spans="2:3">
      <c r="B499" s="389">
        <v>44412</v>
      </c>
      <c r="C499" s="396">
        <v>2.13</v>
      </c>
    </row>
    <row r="500" spans="2:3">
      <c r="B500" s="389">
        <v>44413</v>
      </c>
      <c r="C500" s="396">
        <v>2.08</v>
      </c>
    </row>
    <row r="501" spans="2:3">
      <c r="B501" s="389">
        <v>44414</v>
      </c>
      <c r="C501" s="396">
        <v>2.2200000000000002</v>
      </c>
    </row>
    <row r="502" spans="2:3">
      <c r="B502" s="389">
        <v>44417</v>
      </c>
      <c r="C502" s="396">
        <v>2.2200000000000002</v>
      </c>
    </row>
    <row r="503" spans="2:3">
      <c r="B503" s="389">
        <v>44418</v>
      </c>
      <c r="C503" s="396">
        <v>2.2999999999999998</v>
      </c>
    </row>
    <row r="504" spans="2:3">
      <c r="B504" s="389">
        <v>44419</v>
      </c>
      <c r="C504" s="396">
        <v>2.5</v>
      </c>
    </row>
    <row r="505" spans="2:3">
      <c r="B505" s="389">
        <v>44420</v>
      </c>
      <c r="C505" s="396">
        <v>2.64</v>
      </c>
    </row>
    <row r="506" spans="2:3">
      <c r="B506" s="389">
        <v>44421</v>
      </c>
      <c r="C506" s="396">
        <v>2.4500000000000002</v>
      </c>
    </row>
    <row r="507" spans="2:3">
      <c r="B507" s="389">
        <v>44424</v>
      </c>
      <c r="C507" s="396">
        <v>2.2999999999999998</v>
      </c>
    </row>
    <row r="508" spans="2:3">
      <c r="B508" s="389">
        <v>44425</v>
      </c>
      <c r="C508" s="396">
        <v>2.2400000000000002</v>
      </c>
    </row>
    <row r="509" spans="2:3">
      <c r="B509" s="389">
        <v>44426</v>
      </c>
      <c r="C509" s="396">
        <v>2.2000000000000002</v>
      </c>
    </row>
    <row r="510" spans="2:3">
      <c r="B510" s="389">
        <v>44427</v>
      </c>
      <c r="C510" s="396">
        <v>2.1</v>
      </c>
    </row>
    <row r="511" spans="2:3">
      <c r="B511" s="389">
        <v>44428</v>
      </c>
      <c r="C511" s="396">
        <v>2.13</v>
      </c>
    </row>
    <row r="512" spans="2:3">
      <c r="B512" s="389">
        <v>44431</v>
      </c>
      <c r="C512" s="396">
        <v>2.35</v>
      </c>
    </row>
    <row r="513" spans="2:3">
      <c r="B513" s="389">
        <v>44432</v>
      </c>
      <c r="C513" s="396">
        <v>2.4</v>
      </c>
    </row>
    <row r="514" spans="2:3">
      <c r="B514" s="389">
        <v>44433</v>
      </c>
      <c r="C514" s="396">
        <v>2.4</v>
      </c>
    </row>
    <row r="515" spans="2:3">
      <c r="B515" s="389">
        <v>44434</v>
      </c>
      <c r="C515" s="396">
        <v>2.37</v>
      </c>
    </row>
    <row r="516" spans="2:3">
      <c r="B516" s="389">
        <v>44435</v>
      </c>
      <c r="C516" s="396">
        <v>2.4300000000000002</v>
      </c>
    </row>
    <row r="517" spans="2:3">
      <c r="B517" s="389">
        <v>44438</v>
      </c>
      <c r="C517" s="396">
        <v>2.5299999999999998</v>
      </c>
    </row>
    <row r="518" spans="2:3">
      <c r="B518" s="389">
        <v>44439</v>
      </c>
      <c r="C518" s="396">
        <v>2.6</v>
      </c>
    </row>
    <row r="519" spans="2:3">
      <c r="B519" s="389">
        <v>44440</v>
      </c>
      <c r="C519" s="396">
        <v>2.52</v>
      </c>
    </row>
    <row r="520" spans="2:3">
      <c r="B520" s="389">
        <v>44441</v>
      </c>
      <c r="C520" s="396">
        <v>2.59</v>
      </c>
    </row>
    <row r="521" spans="2:3">
      <c r="B521" s="389">
        <v>44442</v>
      </c>
      <c r="C521" s="396">
        <v>3.17</v>
      </c>
    </row>
    <row r="522" spans="2:3">
      <c r="B522" s="389">
        <v>44445</v>
      </c>
      <c r="C522" s="396">
        <v>2.98</v>
      </c>
    </row>
    <row r="523" spans="2:3">
      <c r="B523" s="389">
        <v>44446</v>
      </c>
      <c r="C523" s="396">
        <v>3.43</v>
      </c>
    </row>
    <row r="524" spans="2:3">
      <c r="B524" s="389">
        <v>44447</v>
      </c>
      <c r="C524" s="396">
        <v>3.64</v>
      </c>
    </row>
    <row r="525" spans="2:3">
      <c r="B525" s="389">
        <v>44448</v>
      </c>
      <c r="C525" s="396">
        <v>3.35</v>
      </c>
    </row>
    <row r="526" spans="2:3">
      <c r="B526" s="389">
        <v>44449</v>
      </c>
      <c r="C526" s="396">
        <v>3.36</v>
      </c>
    </row>
    <row r="527" spans="2:3">
      <c r="B527" s="389">
        <v>44452</v>
      </c>
      <c r="C527" s="396">
        <v>3.44</v>
      </c>
    </row>
    <row r="528" spans="2:3">
      <c r="B528" s="389">
        <v>44453</v>
      </c>
      <c r="C528" s="396">
        <v>3.47</v>
      </c>
    </row>
    <row r="529" spans="2:3">
      <c r="B529" s="389">
        <v>44454</v>
      </c>
      <c r="C529" s="396">
        <v>3.26</v>
      </c>
    </row>
    <row r="530" spans="2:3">
      <c r="B530" s="389">
        <v>44455</v>
      </c>
      <c r="C530" s="396">
        <v>3.19</v>
      </c>
    </row>
    <row r="531" spans="2:3">
      <c r="B531" s="389">
        <v>44456</v>
      </c>
      <c r="C531" s="396">
        <v>3.63</v>
      </c>
    </row>
    <row r="532" spans="2:3">
      <c r="B532" s="389">
        <v>44459</v>
      </c>
      <c r="C532" s="396">
        <v>3.73</v>
      </c>
    </row>
    <row r="533" spans="2:3">
      <c r="B533" s="389">
        <v>44460</v>
      </c>
      <c r="C533" s="396">
        <v>3.65</v>
      </c>
    </row>
    <row r="534" spans="2:3">
      <c r="B534" s="389">
        <v>44461</v>
      </c>
      <c r="C534" s="396">
        <v>3.6</v>
      </c>
    </row>
    <row r="535" spans="2:3">
      <c r="B535" s="389">
        <v>44462</v>
      </c>
      <c r="C535" s="396">
        <v>3.69</v>
      </c>
    </row>
    <row r="536" spans="2:3">
      <c r="B536" s="389">
        <v>44463</v>
      </c>
      <c r="C536" s="396">
        <v>3.69</v>
      </c>
    </row>
    <row r="537" spans="2:3">
      <c r="B537" s="389">
        <v>44466</v>
      </c>
      <c r="C537" s="396">
        <v>3.66</v>
      </c>
    </row>
    <row r="538" spans="2:3">
      <c r="B538" s="389">
        <v>44467</v>
      </c>
      <c r="C538" s="396">
        <v>3.59</v>
      </c>
    </row>
    <row r="539" spans="2:3">
      <c r="B539" s="389">
        <v>44468</v>
      </c>
      <c r="C539" s="396">
        <v>3.43</v>
      </c>
    </row>
    <row r="540" spans="2:3">
      <c r="B540" s="389">
        <v>44469</v>
      </c>
      <c r="C540" s="396">
        <v>3.27</v>
      </c>
    </row>
    <row r="541" spans="2:3">
      <c r="B541" s="389">
        <v>44470</v>
      </c>
      <c r="C541" s="396">
        <v>3.09</v>
      </c>
    </row>
    <row r="542" spans="2:3">
      <c r="B542" s="389">
        <v>44473</v>
      </c>
      <c r="C542" s="396">
        <v>3.18</v>
      </c>
    </row>
    <row r="543" spans="2:3">
      <c r="B543" s="389">
        <v>44474</v>
      </c>
      <c r="C543" s="396">
        <v>3.13</v>
      </c>
    </row>
    <row r="544" spans="2:3">
      <c r="B544" s="389">
        <v>44475</v>
      </c>
      <c r="C544" s="396">
        <v>3.24</v>
      </c>
    </row>
    <row r="545" spans="2:3">
      <c r="B545" s="389">
        <v>44476</v>
      </c>
      <c r="C545" s="396">
        <v>3.26</v>
      </c>
    </row>
    <row r="546" spans="2:3">
      <c r="B546" s="389">
        <v>44477</v>
      </c>
      <c r="C546" s="396">
        <v>3.25</v>
      </c>
    </row>
    <row r="547" spans="2:3">
      <c r="B547" s="389">
        <v>44480</v>
      </c>
      <c r="C547" s="396">
        <v>3.11</v>
      </c>
    </row>
    <row r="548" spans="2:3">
      <c r="B548" s="389">
        <v>44481</v>
      </c>
      <c r="C548" s="396">
        <v>2.98</v>
      </c>
    </row>
    <row r="549" spans="2:3">
      <c r="B549" s="389">
        <v>44482</v>
      </c>
      <c r="C549" s="396">
        <v>3.01</v>
      </c>
    </row>
    <row r="550" spans="2:3">
      <c r="B550" s="389">
        <v>44483</v>
      </c>
      <c r="C550" s="396">
        <v>3.17</v>
      </c>
    </row>
    <row r="551" spans="2:3">
      <c r="B551" s="389">
        <v>44484</v>
      </c>
      <c r="C551" s="396">
        <v>3.18</v>
      </c>
    </row>
    <row r="552" spans="2:3">
      <c r="B552" s="389">
        <v>44487</v>
      </c>
      <c r="C552" s="396">
        <v>3.1</v>
      </c>
    </row>
    <row r="553" spans="2:3">
      <c r="B553" s="389">
        <v>44488</v>
      </c>
      <c r="C553" s="396">
        <v>3.19</v>
      </c>
    </row>
    <row r="554" spans="2:3">
      <c r="B554" s="389">
        <v>44489</v>
      </c>
      <c r="C554" s="396">
        <v>3.2</v>
      </c>
    </row>
    <row r="555" spans="2:3">
      <c r="B555" s="389">
        <v>44490</v>
      </c>
      <c r="C555" s="396">
        <v>3.17</v>
      </c>
    </row>
    <row r="556" spans="2:3">
      <c r="B556" s="389">
        <v>44491</v>
      </c>
      <c r="C556" s="396">
        <v>3.41</v>
      </c>
    </row>
    <row r="557" spans="2:3">
      <c r="B557" s="389">
        <v>44494</v>
      </c>
      <c r="C557" s="396">
        <v>3.3</v>
      </c>
    </row>
    <row r="558" spans="2:3">
      <c r="B558" s="389">
        <v>44495</v>
      </c>
      <c r="C558" s="396">
        <v>3.39</v>
      </c>
    </row>
    <row r="559" spans="2:3">
      <c r="B559" s="389">
        <v>44496</v>
      </c>
      <c r="C559" s="396">
        <v>3.6</v>
      </c>
    </row>
    <row r="560" spans="2:3">
      <c r="B560" s="389">
        <v>44497</v>
      </c>
      <c r="C560" s="396">
        <v>3.57</v>
      </c>
    </row>
    <row r="561" spans="2:3">
      <c r="B561" s="389">
        <v>44498</v>
      </c>
      <c r="C561" s="396">
        <v>3.4</v>
      </c>
    </row>
    <row r="562" spans="2:3">
      <c r="B562" s="389">
        <v>44501</v>
      </c>
      <c r="C562" s="396">
        <v>3.5</v>
      </c>
    </row>
    <row r="563" spans="2:3">
      <c r="B563" s="389">
        <v>44502</v>
      </c>
      <c r="C563" s="396">
        <v>3.52</v>
      </c>
    </row>
    <row r="564" spans="2:3">
      <c r="B564" s="389">
        <v>44503</v>
      </c>
      <c r="C564" s="396">
        <v>3.65</v>
      </c>
    </row>
    <row r="565" spans="2:3">
      <c r="B565" s="389">
        <v>44504</v>
      </c>
      <c r="C565" s="396">
        <v>3.61</v>
      </c>
    </row>
    <row r="566" spans="2:3">
      <c r="B566" s="389">
        <v>44505</v>
      </c>
      <c r="C566" s="396">
        <v>3.5</v>
      </c>
    </row>
    <row r="567" spans="2:3">
      <c r="B567" s="389">
        <v>44508</v>
      </c>
      <c r="C567" s="396">
        <v>3.75</v>
      </c>
    </row>
    <row r="568" spans="2:3">
      <c r="B568" s="389">
        <v>44509</v>
      </c>
      <c r="C568" s="396">
        <v>4</v>
      </c>
    </row>
    <row r="569" spans="2:3">
      <c r="B569" s="389">
        <v>44510</v>
      </c>
      <c r="C569" s="396">
        <v>4.08</v>
      </c>
    </row>
    <row r="570" spans="2:3">
      <c r="B570" s="389">
        <v>44511</v>
      </c>
      <c r="C570" s="396">
        <v>4.0999999999999996</v>
      </c>
    </row>
    <row r="571" spans="2:3">
      <c r="B571" s="389">
        <v>44512</v>
      </c>
      <c r="C571" s="396">
        <v>4.32</v>
      </c>
    </row>
    <row r="572" spans="2:3">
      <c r="B572" s="389">
        <v>44515</v>
      </c>
      <c r="C572" s="396">
        <v>4.41</v>
      </c>
    </row>
    <row r="573" spans="2:3">
      <c r="B573" s="389">
        <v>44516</v>
      </c>
      <c r="C573" s="396">
        <v>4.75</v>
      </c>
    </row>
    <row r="574" spans="2:3">
      <c r="B574" s="389">
        <v>44517</v>
      </c>
      <c r="C574" s="396">
        <v>4.53</v>
      </c>
    </row>
    <row r="575" spans="2:3">
      <c r="B575" s="389">
        <v>44518</v>
      </c>
      <c r="C575" s="396">
        <v>4.29</v>
      </c>
    </row>
    <row r="576" spans="2:3">
      <c r="B576" s="389">
        <v>44519</v>
      </c>
      <c r="C576" s="396">
        <v>3.9</v>
      </c>
    </row>
    <row r="577" spans="2:3">
      <c r="B577" s="389">
        <v>44522</v>
      </c>
      <c r="C577" s="396">
        <v>3.89</v>
      </c>
    </row>
    <row r="578" spans="2:3">
      <c r="B578" s="389">
        <v>44523</v>
      </c>
      <c r="C578" s="396">
        <v>3.72</v>
      </c>
    </row>
    <row r="579" spans="2:3">
      <c r="B579" s="389">
        <v>44524</v>
      </c>
      <c r="C579" s="396">
        <v>3.92</v>
      </c>
    </row>
    <row r="580" spans="2:3">
      <c r="B580" s="389">
        <v>44525</v>
      </c>
      <c r="C580" s="396">
        <v>3.81</v>
      </c>
    </row>
    <row r="581" spans="2:3">
      <c r="B581" s="389">
        <v>44526</v>
      </c>
      <c r="C581" s="396">
        <v>3.65</v>
      </c>
    </row>
    <row r="582" spans="2:3">
      <c r="B582" s="389">
        <v>44529</v>
      </c>
      <c r="C582" s="396">
        <v>3.72</v>
      </c>
    </row>
    <row r="583" spans="2:3">
      <c r="B583" s="389">
        <v>44530</v>
      </c>
      <c r="C583" s="396">
        <v>3.81</v>
      </c>
    </row>
    <row r="584" spans="2:3">
      <c r="B584" s="389">
        <v>44531</v>
      </c>
      <c r="C584" s="396">
        <v>3.65</v>
      </c>
    </row>
    <row r="585" spans="2:3">
      <c r="B585" s="389">
        <v>44532</v>
      </c>
      <c r="C585" s="396">
        <v>3.33</v>
      </c>
    </row>
    <row r="586" spans="2:3">
      <c r="B586" s="389">
        <v>44533</v>
      </c>
      <c r="C586" s="396">
        <v>3</v>
      </c>
    </row>
    <row r="587" spans="2:3">
      <c r="B587" s="389">
        <v>44536</v>
      </c>
      <c r="C587" s="396">
        <v>3.15</v>
      </c>
    </row>
    <row r="588" spans="2:3">
      <c r="B588" s="389">
        <v>44537</v>
      </c>
      <c r="C588" s="396">
        <v>3.17</v>
      </c>
    </row>
    <row r="589" spans="2:3">
      <c r="B589" s="389">
        <v>44538</v>
      </c>
      <c r="C589" s="396">
        <v>3.43</v>
      </c>
    </row>
    <row r="590" spans="2:3">
      <c r="B590" s="389">
        <v>44539</v>
      </c>
      <c r="C590" s="396">
        <v>3.41</v>
      </c>
    </row>
    <row r="591" spans="2:3">
      <c r="B591" s="389">
        <v>44540</v>
      </c>
      <c r="C591" s="396">
        <v>3.52</v>
      </c>
    </row>
    <row r="592" spans="2:3">
      <c r="B592" s="389">
        <v>44543</v>
      </c>
      <c r="C592" s="396">
        <v>3.52</v>
      </c>
    </row>
    <row r="593" spans="2:3">
      <c r="B593" s="389">
        <v>44544</v>
      </c>
      <c r="C593" s="396">
        <v>3.9</v>
      </c>
    </row>
    <row r="594" spans="2:3">
      <c r="B594" s="389">
        <v>44545</v>
      </c>
      <c r="C594" s="396">
        <v>3.55</v>
      </c>
    </row>
    <row r="595" spans="2:3">
      <c r="B595" s="389">
        <v>44546</v>
      </c>
      <c r="C595" s="396">
        <v>3.58</v>
      </c>
    </row>
    <row r="596" spans="2:3">
      <c r="B596" s="389">
        <v>44547</v>
      </c>
      <c r="C596" s="396">
        <v>3.72</v>
      </c>
    </row>
    <row r="597" spans="2:3">
      <c r="B597" s="389">
        <v>44550</v>
      </c>
      <c r="C597" s="396">
        <v>3.52</v>
      </c>
    </row>
    <row r="598" spans="2:3">
      <c r="B598" s="389">
        <v>44551</v>
      </c>
      <c r="C598" s="396">
        <v>3.45</v>
      </c>
    </row>
    <row r="599" spans="2:3">
      <c r="B599" s="389">
        <v>44552</v>
      </c>
      <c r="C599" s="396">
        <v>3.52</v>
      </c>
    </row>
    <row r="600" spans="2:3">
      <c r="B600" s="389">
        <v>44553</v>
      </c>
      <c r="C600" s="396">
        <v>3.52</v>
      </c>
    </row>
    <row r="601" spans="2:3">
      <c r="B601" s="389">
        <v>44554</v>
      </c>
      <c r="C601" s="396">
        <v>3.6</v>
      </c>
    </row>
    <row r="602" spans="2:3">
      <c r="B602" s="389">
        <v>44559</v>
      </c>
      <c r="C602" s="396">
        <v>3.69</v>
      </c>
    </row>
    <row r="603" spans="2:3">
      <c r="B603" s="389">
        <v>44560</v>
      </c>
      <c r="C603" s="396">
        <v>3.63</v>
      </c>
    </row>
    <row r="604" spans="2:3">
      <c r="B604" s="389">
        <v>44561</v>
      </c>
      <c r="C604" s="396">
        <v>3.56</v>
      </c>
    </row>
    <row r="605" spans="2:3">
      <c r="B605" s="389">
        <v>44565</v>
      </c>
      <c r="C605" s="396">
        <v>3.67</v>
      </c>
    </row>
    <row r="606" spans="2:3">
      <c r="B606" s="389">
        <v>44566</v>
      </c>
      <c r="C606" s="396">
        <v>3.67</v>
      </c>
    </row>
    <row r="607" spans="2:3">
      <c r="B607" s="389">
        <v>44567</v>
      </c>
      <c r="C607" s="396">
        <v>3.24</v>
      </c>
    </row>
    <row r="608" spans="2:3">
      <c r="B608" s="389">
        <v>44568</v>
      </c>
      <c r="C608" s="396">
        <v>3.15</v>
      </c>
    </row>
    <row r="609" spans="2:3">
      <c r="B609" s="389">
        <v>44571</v>
      </c>
      <c r="C609" s="396">
        <v>3.2</v>
      </c>
    </row>
    <row r="610" spans="2:3">
      <c r="B610" s="389">
        <v>44572</v>
      </c>
      <c r="C610" s="396">
        <v>3.18</v>
      </c>
    </row>
    <row r="611" spans="2:3">
      <c r="B611" s="389">
        <v>44573</v>
      </c>
      <c r="C611" s="396">
        <v>3.42</v>
      </c>
    </row>
    <row r="612" spans="2:3">
      <c r="B612" s="389">
        <v>44574</v>
      </c>
      <c r="C612" s="396">
        <v>3.37</v>
      </c>
    </row>
    <row r="613" spans="2:3">
      <c r="B613" s="389">
        <v>44575</v>
      </c>
      <c r="C613" s="396">
        <v>3.3</v>
      </c>
    </row>
    <row r="614" spans="2:3">
      <c r="B614" s="389">
        <v>44578</v>
      </c>
      <c r="C614" s="396">
        <v>3.24</v>
      </c>
    </row>
    <row r="615" spans="2:3">
      <c r="B615" s="389">
        <v>44579</v>
      </c>
      <c r="C615" s="396">
        <v>3.4</v>
      </c>
    </row>
    <row r="616" spans="2:3">
      <c r="B616" s="389">
        <v>44580</v>
      </c>
      <c r="C616" s="396">
        <v>3.25</v>
      </c>
    </row>
    <row r="617" spans="2:3">
      <c r="B617" s="389">
        <v>44581</v>
      </c>
      <c r="C617" s="396">
        <v>3.23</v>
      </c>
    </row>
    <row r="618" spans="2:3">
      <c r="B618" s="389">
        <v>44582</v>
      </c>
      <c r="C618" s="396">
        <v>3.16</v>
      </c>
    </row>
    <row r="619" spans="2:3">
      <c r="B619" s="389">
        <v>44585</v>
      </c>
      <c r="C619" s="396">
        <v>3</v>
      </c>
    </row>
    <row r="620" spans="2:3">
      <c r="B620" s="389">
        <v>44586</v>
      </c>
      <c r="C620" s="396">
        <v>2.95</v>
      </c>
    </row>
    <row r="621" spans="2:3">
      <c r="B621" s="389">
        <v>44588</v>
      </c>
      <c r="C621" s="396">
        <v>2.74</v>
      </c>
    </row>
    <row r="622" spans="2:3">
      <c r="B622" s="389">
        <v>44589</v>
      </c>
      <c r="C622" s="396">
        <v>2.81</v>
      </c>
    </row>
    <row r="623" spans="2:3">
      <c r="B623" s="389">
        <v>44592</v>
      </c>
      <c r="C623" s="396">
        <v>2.9</v>
      </c>
    </row>
    <row r="624" spans="2:3">
      <c r="B624" s="389">
        <v>44593</v>
      </c>
      <c r="C624" s="396">
        <v>3.02</v>
      </c>
    </row>
    <row r="625" spans="2:3">
      <c r="B625" s="389">
        <v>44594</v>
      </c>
      <c r="C625" s="396">
        <v>3.02</v>
      </c>
    </row>
    <row r="626" spans="2:3">
      <c r="B626" s="389">
        <v>44595</v>
      </c>
      <c r="C626" s="396">
        <v>2.38</v>
      </c>
    </row>
    <row r="627" spans="2:3">
      <c r="B627" s="389">
        <v>44596</v>
      </c>
      <c r="C627" s="396">
        <v>2.34</v>
      </c>
    </row>
    <row r="628" spans="2:3">
      <c r="B628" s="389">
        <v>44599</v>
      </c>
      <c r="C628" s="396">
        <v>2.85</v>
      </c>
    </row>
    <row r="629" spans="2:3">
      <c r="B629" s="389">
        <v>44600</v>
      </c>
      <c r="C629" s="396">
        <v>2.81</v>
      </c>
    </row>
    <row r="630" spans="2:3">
      <c r="B630" s="389">
        <v>44601</v>
      </c>
      <c r="C630" s="396">
        <v>2.7</v>
      </c>
    </row>
    <row r="631" spans="2:3">
      <c r="B631" s="389">
        <v>44602</v>
      </c>
      <c r="C631" s="396">
        <v>2.88</v>
      </c>
    </row>
    <row r="632" spans="2:3">
      <c r="B632" s="389">
        <v>44603</v>
      </c>
      <c r="C632" s="396">
        <v>2.65</v>
      </c>
    </row>
    <row r="633" spans="2:3">
      <c r="B633" s="389">
        <v>44606</v>
      </c>
      <c r="C633" s="396">
        <v>2.5</v>
      </c>
    </row>
    <row r="634" spans="2:3">
      <c r="B634" s="389">
        <v>44607</v>
      </c>
      <c r="C634" s="396">
        <v>2.5</v>
      </c>
    </row>
    <row r="635" spans="2:3">
      <c r="B635" s="389">
        <v>44608</v>
      </c>
      <c r="C635" s="396">
        <v>2.59</v>
      </c>
    </row>
    <row r="636" spans="2:3">
      <c r="B636" s="389">
        <v>44609</v>
      </c>
      <c r="C636" s="396">
        <v>2.39</v>
      </c>
    </row>
    <row r="637" spans="2:3">
      <c r="B637" s="389">
        <v>44610</v>
      </c>
      <c r="C637" s="396">
        <v>2.63</v>
      </c>
    </row>
    <row r="638" spans="2:3">
      <c r="B638" s="389">
        <v>44613</v>
      </c>
      <c r="C638" s="396">
        <v>2.3199999999999998</v>
      </c>
    </row>
    <row r="639" spans="2:3">
      <c r="B639" s="389">
        <v>44614</v>
      </c>
      <c r="C639" s="396">
        <v>2.1</v>
      </c>
    </row>
    <row r="640" spans="2:3">
      <c r="B640" s="389">
        <v>44615</v>
      </c>
      <c r="C640" s="396">
        <v>2.2999999999999998</v>
      </c>
    </row>
    <row r="641" spans="2:3">
      <c r="B641" s="389">
        <v>44616</v>
      </c>
      <c r="C641" s="396">
        <v>2.0699999999999998</v>
      </c>
    </row>
    <row r="642" spans="2:3">
      <c r="B642" s="389">
        <v>44617</v>
      </c>
      <c r="C642" s="396">
        <v>2.09</v>
      </c>
    </row>
    <row r="643" spans="2:3">
      <c r="B643" s="389">
        <v>44620</v>
      </c>
      <c r="C643" s="396">
        <v>2.21</v>
      </c>
    </row>
    <row r="644" spans="2:3">
      <c r="B644" s="389">
        <v>44621</v>
      </c>
      <c r="C644" s="396">
        <v>2.19</v>
      </c>
    </row>
    <row r="645" spans="2:3">
      <c r="B645" s="389">
        <v>44622</v>
      </c>
      <c r="C645" s="396">
        <v>2.17</v>
      </c>
    </row>
    <row r="646" spans="2:3">
      <c r="B646" s="389">
        <v>44623</v>
      </c>
      <c r="C646" s="396">
        <v>2.1800000000000002</v>
      </c>
    </row>
    <row r="647" spans="2:3">
      <c r="B647" s="389">
        <v>44624</v>
      </c>
      <c r="C647" s="396">
        <v>1.98</v>
      </c>
    </row>
    <row r="648" spans="2:3">
      <c r="B648" s="389">
        <v>44627</v>
      </c>
      <c r="C648" s="396">
        <v>1.8</v>
      </c>
    </row>
    <row r="649" spans="2:3">
      <c r="B649" s="389">
        <v>44628</v>
      </c>
      <c r="C649" s="396">
        <v>1.79</v>
      </c>
    </row>
    <row r="650" spans="2:3">
      <c r="B650" s="389">
        <v>44629</v>
      </c>
      <c r="C650" s="396">
        <v>1.89</v>
      </c>
    </row>
    <row r="651" spans="2:3">
      <c r="B651" s="389">
        <v>44630</v>
      </c>
      <c r="C651" s="396">
        <v>1.865</v>
      </c>
    </row>
    <row r="652" spans="2:3">
      <c r="B652" s="389">
        <v>44631</v>
      </c>
      <c r="C652" s="396">
        <v>1.57</v>
      </c>
    </row>
    <row r="653" spans="2:3">
      <c r="B653" s="389">
        <v>44634</v>
      </c>
      <c r="C653" s="396">
        <v>1.43</v>
      </c>
    </row>
    <row r="654" spans="2:3">
      <c r="B654" s="389">
        <v>44635</v>
      </c>
      <c r="C654" s="396">
        <v>1.43</v>
      </c>
    </row>
    <row r="655" spans="2:3">
      <c r="B655" s="389">
        <v>44636</v>
      </c>
      <c r="C655" s="396">
        <v>1.4850000000000001</v>
      </c>
    </row>
    <row r="656" spans="2:3">
      <c r="B656" s="389">
        <v>44637</v>
      </c>
      <c r="C656" s="396">
        <v>1.57</v>
      </c>
    </row>
    <row r="657" spans="2:3">
      <c r="B657" s="389">
        <v>44638</v>
      </c>
      <c r="C657" s="396">
        <v>1.625</v>
      </c>
    </row>
    <row r="658" spans="2:3">
      <c r="B658" s="389">
        <v>44641</v>
      </c>
      <c r="C658" s="396">
        <v>1.59</v>
      </c>
    </row>
    <row r="659" spans="2:3">
      <c r="B659" s="389">
        <v>44642</v>
      </c>
      <c r="C659" s="396">
        <v>1.55</v>
      </c>
    </row>
    <row r="660" spans="2:3">
      <c r="B660" s="389">
        <v>44643</v>
      </c>
      <c r="C660" s="396">
        <v>1.345</v>
      </c>
    </row>
    <row r="661" spans="2:3">
      <c r="B661" s="389">
        <v>44644</v>
      </c>
      <c r="C661" s="396">
        <v>1.28</v>
      </c>
    </row>
    <row r="662" spans="2:3">
      <c r="B662" s="389">
        <v>44645</v>
      </c>
      <c r="C662" s="396">
        <v>1.3</v>
      </c>
    </row>
    <row r="663" spans="2:3">
      <c r="B663" s="389">
        <v>44648</v>
      </c>
      <c r="C663" s="396">
        <v>1.2</v>
      </c>
    </row>
    <row r="664" spans="2:3">
      <c r="B664" s="389">
        <v>44649</v>
      </c>
      <c r="C664" s="396">
        <v>1.22</v>
      </c>
    </row>
    <row r="665" spans="2:3">
      <c r="B665" s="389">
        <v>44650</v>
      </c>
      <c r="C665" s="396">
        <v>1.19</v>
      </c>
    </row>
    <row r="666" spans="2:3">
      <c r="B666" s="389">
        <v>44651</v>
      </c>
      <c r="C666" s="396">
        <v>1.1399999999999999</v>
      </c>
    </row>
    <row r="667" spans="2:3">
      <c r="B667" s="389">
        <v>44652</v>
      </c>
      <c r="C667" s="396">
        <v>1.1200000000000001</v>
      </c>
    </row>
    <row r="668" spans="2:3">
      <c r="B668" s="389">
        <v>44655</v>
      </c>
      <c r="C668" s="396">
        <v>1.1399999999999999</v>
      </c>
    </row>
    <row r="669" spans="2:3">
      <c r="B669" s="389">
        <v>44656</v>
      </c>
      <c r="C669" s="396">
        <v>1.24</v>
      </c>
    </row>
    <row r="670" spans="2:3">
      <c r="B670" s="389">
        <v>44657</v>
      </c>
      <c r="C670" s="396">
        <v>1.145</v>
      </c>
    </row>
    <row r="671" spans="2:3">
      <c r="B671" s="389">
        <v>44658</v>
      </c>
      <c r="C671" s="396">
        <v>1.0649999999999999</v>
      </c>
    </row>
    <row r="672" spans="2:3">
      <c r="B672" s="389">
        <v>44659</v>
      </c>
      <c r="C672" s="396">
        <v>1.07</v>
      </c>
    </row>
    <row r="673" spans="2:3">
      <c r="B673" s="389">
        <v>44662</v>
      </c>
      <c r="C673" s="396">
        <v>1</v>
      </c>
    </row>
    <row r="674" spans="2:3">
      <c r="B674" s="389">
        <v>44663</v>
      </c>
      <c r="C674" s="396">
        <v>0.97</v>
      </c>
    </row>
    <row r="675" spans="2:3">
      <c r="B675" s="389">
        <v>44664</v>
      </c>
      <c r="C675" s="396">
        <v>0.97499999999999998</v>
      </c>
    </row>
    <row r="676" spans="2:3">
      <c r="B676" s="389">
        <v>44665</v>
      </c>
      <c r="C676" s="396">
        <v>0.94499999999999995</v>
      </c>
    </row>
    <row r="677" spans="2:3">
      <c r="B677" s="389">
        <v>44670</v>
      </c>
      <c r="C677" s="396">
        <v>0.91</v>
      </c>
    </row>
    <row r="678" spans="2:3">
      <c r="B678" s="389">
        <v>44671</v>
      </c>
      <c r="C678" s="396">
        <v>0.9</v>
      </c>
    </row>
    <row r="679" spans="2:3">
      <c r="B679" s="389">
        <v>44672</v>
      </c>
      <c r="C679" s="396">
        <v>0.86</v>
      </c>
    </row>
    <row r="680" spans="2:3">
      <c r="B680" s="389">
        <v>44673</v>
      </c>
      <c r="C680" s="396">
        <v>0.83</v>
      </c>
    </row>
    <row r="681" spans="2:3">
      <c r="B681" s="389">
        <v>44677</v>
      </c>
      <c r="C681" s="396">
        <v>0.77500000000000002</v>
      </c>
    </row>
    <row r="682" spans="2:3">
      <c r="B682" s="389">
        <v>44678</v>
      </c>
      <c r="C682" s="396">
        <v>0.73499999999999999</v>
      </c>
    </row>
    <row r="683" spans="2:3">
      <c r="B683" s="389">
        <v>44679</v>
      </c>
      <c r="C683" s="396">
        <v>0.66</v>
      </c>
    </row>
    <row r="684" spans="2:3">
      <c r="B684" s="389">
        <v>44680</v>
      </c>
      <c r="C684" s="396">
        <v>0.66</v>
      </c>
    </row>
    <row r="685" spans="2:3">
      <c r="B685" s="389">
        <v>44683</v>
      </c>
      <c r="C685" s="396">
        <v>0.64500000000000002</v>
      </c>
    </row>
    <row r="686" spans="2:3">
      <c r="B686" s="389">
        <v>44684</v>
      </c>
      <c r="C686" s="396">
        <v>0.61499999999999999</v>
      </c>
    </row>
    <row r="687" spans="2:3">
      <c r="B687" s="389">
        <v>44685</v>
      </c>
      <c r="C687" s="396">
        <v>0.57499999999999996</v>
      </c>
    </row>
    <row r="688" spans="2:3">
      <c r="B688" s="389">
        <v>44686</v>
      </c>
      <c r="C688" s="396">
        <v>0.56999999999999995</v>
      </c>
    </row>
    <row r="689" spans="2:3">
      <c r="B689" s="389">
        <v>44687</v>
      </c>
      <c r="C689" s="396">
        <v>0.51500000000000001</v>
      </c>
    </row>
    <row r="690" spans="2:3">
      <c r="B690" s="389">
        <v>44690</v>
      </c>
      <c r="C690" s="396">
        <v>0.49</v>
      </c>
    </row>
    <row r="691" spans="2:3">
      <c r="B691" s="389">
        <v>44691</v>
      </c>
      <c r="C691" s="396">
        <v>0.54</v>
      </c>
    </row>
    <row r="692" spans="2:3">
      <c r="B692" s="389">
        <v>44692</v>
      </c>
      <c r="C692" s="396">
        <v>0.53500000000000003</v>
      </c>
    </row>
    <row r="693" spans="2:3">
      <c r="B693" s="389">
        <v>44693</v>
      </c>
      <c r="C693" s="396">
        <v>0.45500000000000002</v>
      </c>
    </row>
    <row r="694" spans="2:3">
      <c r="B694" s="389">
        <v>44694</v>
      </c>
      <c r="C694" s="396">
        <v>0.52500000000000002</v>
      </c>
    </row>
    <row r="695" spans="2:3">
      <c r="B695" s="389">
        <v>44697</v>
      </c>
      <c r="C695" s="396">
        <v>0.495</v>
      </c>
    </row>
    <row r="696" spans="2:3">
      <c r="B696" s="389">
        <v>44698</v>
      </c>
      <c r="C696" s="396">
        <v>0.5</v>
      </c>
    </row>
    <row r="697" spans="2:3">
      <c r="B697" s="389">
        <v>44699</v>
      </c>
      <c r="C697" s="396">
        <v>0.54</v>
      </c>
    </row>
    <row r="698" spans="2:3">
      <c r="B698" s="389">
        <v>44700</v>
      </c>
      <c r="C698" s="396">
        <v>0.505</v>
      </c>
    </row>
    <row r="699" spans="2:3">
      <c r="B699" s="389">
        <v>44701</v>
      </c>
      <c r="C699" s="396">
        <v>0.55000000000000004</v>
      </c>
    </row>
    <row r="700" spans="2:3">
      <c r="B700" s="389">
        <v>44704</v>
      </c>
      <c r="C700" s="396">
        <v>0.69</v>
      </c>
    </row>
    <row r="701" spans="2:3">
      <c r="B701" s="389">
        <v>44705</v>
      </c>
      <c r="C701" s="396">
        <v>0.625</v>
      </c>
    </row>
    <row r="702" spans="2:3">
      <c r="B702" s="389">
        <v>44706</v>
      </c>
      <c r="C702" s="396">
        <v>0.56499999999999995</v>
      </c>
    </row>
    <row r="703" spans="2:3">
      <c r="B703" s="389">
        <v>44707</v>
      </c>
      <c r="C703" s="396">
        <v>0.55000000000000004</v>
      </c>
    </row>
    <row r="704" spans="2:3">
      <c r="B704" s="389">
        <v>44708</v>
      </c>
      <c r="C704" s="396">
        <v>0.58499999999999996</v>
      </c>
    </row>
    <row r="705" spans="2:3">
      <c r="B705" s="389">
        <v>44711</v>
      </c>
      <c r="C705" s="396">
        <v>0.72499999999999998</v>
      </c>
    </row>
    <row r="706" spans="2:3">
      <c r="B706" s="389">
        <v>44712</v>
      </c>
      <c r="C706" s="396">
        <v>0.72499999999999998</v>
      </c>
    </row>
    <row r="707" spans="2:3">
      <c r="B707" s="389">
        <v>44713</v>
      </c>
      <c r="C707" s="396">
        <v>0.65</v>
      </c>
    </row>
    <row r="708" spans="2:3">
      <c r="B708" s="389">
        <v>44714</v>
      </c>
      <c r="C708" s="396">
        <v>0.57999999999999996</v>
      </c>
    </row>
    <row r="709" spans="2:3">
      <c r="B709" s="389">
        <v>44715</v>
      </c>
      <c r="C709" s="396">
        <v>0.57999999999999996</v>
      </c>
    </row>
    <row r="710" spans="2:3">
      <c r="B710" s="389">
        <v>44718</v>
      </c>
      <c r="C710" s="396">
        <v>0.51500000000000001</v>
      </c>
    </row>
    <row r="711" spans="2:3">
      <c r="B711" s="389">
        <v>44719</v>
      </c>
      <c r="C711" s="396">
        <v>0.46500000000000002</v>
      </c>
    </row>
    <row r="712" spans="2:3">
      <c r="B712" s="389">
        <v>44720</v>
      </c>
      <c r="C712" s="396">
        <v>0.44500000000000001</v>
      </c>
    </row>
    <row r="713" spans="2:3">
      <c r="B713" s="389">
        <v>44721</v>
      </c>
      <c r="C713" s="396">
        <v>0.43</v>
      </c>
    </row>
    <row r="714" spans="2:3">
      <c r="B714" s="389">
        <v>44722</v>
      </c>
      <c r="C714" s="396">
        <v>0.41</v>
      </c>
    </row>
    <row r="715" spans="2:3">
      <c r="B715" s="389">
        <v>44726</v>
      </c>
      <c r="C715" s="396">
        <v>0.39</v>
      </c>
    </row>
    <row r="716" spans="2:3">
      <c r="B716" s="389">
        <v>44727</v>
      </c>
      <c r="C716" s="396">
        <v>0.37</v>
      </c>
    </row>
    <row r="717" spans="2:3">
      <c r="B717" s="389">
        <v>44728</v>
      </c>
      <c r="C717" s="396">
        <v>0.4</v>
      </c>
    </row>
    <row r="718" spans="2:3">
      <c r="B718" s="389">
        <v>44729</v>
      </c>
      <c r="C718" s="396">
        <v>0.38</v>
      </c>
    </row>
    <row r="719" spans="2:3">
      <c r="B719" s="389">
        <v>44732</v>
      </c>
      <c r="C719" s="396">
        <v>0.39500000000000002</v>
      </c>
    </row>
    <row r="720" spans="2:3">
      <c r="B720" s="389">
        <v>44733</v>
      </c>
      <c r="C720" s="396">
        <v>0.39</v>
      </c>
    </row>
    <row r="721" spans="2:3">
      <c r="B721" s="389">
        <v>44734</v>
      </c>
      <c r="C721" s="396">
        <v>0.36499999999999999</v>
      </c>
    </row>
    <row r="722" spans="2:3">
      <c r="B722" s="389">
        <v>44735</v>
      </c>
      <c r="C722" s="396">
        <v>0.4</v>
      </c>
    </row>
    <row r="723" spans="2:3">
      <c r="B723" s="389">
        <v>44736</v>
      </c>
      <c r="C723" s="396">
        <v>0.5</v>
      </c>
    </row>
    <row r="724" spans="2:3">
      <c r="B724" s="389">
        <v>44739</v>
      </c>
      <c r="C724" s="396">
        <v>0.47499999999999998</v>
      </c>
    </row>
    <row r="725" spans="2:3">
      <c r="B725" s="389">
        <v>44740</v>
      </c>
      <c r="C725" s="396">
        <v>0.42</v>
      </c>
    </row>
    <row r="726" spans="2:3">
      <c r="B726" s="389">
        <v>44741</v>
      </c>
      <c r="C726" s="396">
        <v>0.4</v>
      </c>
    </row>
    <row r="727" spans="2:3">
      <c r="B727" s="389">
        <v>44742</v>
      </c>
      <c r="C727" s="396">
        <v>0.38</v>
      </c>
    </row>
    <row r="728" spans="2:3">
      <c r="B728" s="389">
        <v>44743</v>
      </c>
      <c r="C728" s="396">
        <v>0.38</v>
      </c>
    </row>
    <row r="729" spans="2:3">
      <c r="B729" s="389">
        <v>44746</v>
      </c>
      <c r="C729" s="396">
        <v>0.38500000000000001</v>
      </c>
    </row>
    <row r="730" spans="2:3">
      <c r="B730" s="389">
        <v>44747</v>
      </c>
      <c r="C730" s="396">
        <v>0.40500000000000003</v>
      </c>
    </row>
    <row r="731" spans="2:3">
      <c r="B731" s="389">
        <v>44748</v>
      </c>
      <c r="C731" s="396">
        <v>0.40500000000000003</v>
      </c>
    </row>
    <row r="732" spans="2:3">
      <c r="B732" s="389">
        <v>44749</v>
      </c>
      <c r="C732" s="396">
        <v>0.39500000000000002</v>
      </c>
    </row>
    <row r="733" spans="2:3">
      <c r="B733" s="389">
        <v>44750</v>
      </c>
      <c r="C733" s="396">
        <v>0.4</v>
      </c>
    </row>
    <row r="734" spans="2:3">
      <c r="B734" s="389">
        <v>44753</v>
      </c>
      <c r="C734" s="396">
        <v>0.38500000000000001</v>
      </c>
    </row>
    <row r="735" spans="2:3">
      <c r="B735" s="389">
        <v>44754</v>
      </c>
      <c r="C735" s="396">
        <v>0.35</v>
      </c>
    </row>
    <row r="736" spans="2:3">
      <c r="B736" s="389">
        <v>44755</v>
      </c>
      <c r="C736" s="396">
        <v>0.39500000000000002</v>
      </c>
    </row>
    <row r="737" spans="2:3">
      <c r="B737" s="389">
        <v>44756</v>
      </c>
      <c r="C737" s="396">
        <v>0.375</v>
      </c>
    </row>
    <row r="738" spans="2:3">
      <c r="B738" s="389">
        <v>44757</v>
      </c>
      <c r="C738" s="396">
        <v>0.38</v>
      </c>
    </row>
    <row r="739" spans="2:3">
      <c r="B739" s="389">
        <v>44760</v>
      </c>
      <c r="C739" s="396">
        <v>0.4</v>
      </c>
    </row>
    <row r="740" spans="2:3">
      <c r="B740" s="389">
        <v>44761</v>
      </c>
      <c r="C740" s="396">
        <v>0.41499999999999998</v>
      </c>
    </row>
    <row r="741" spans="2:3">
      <c r="B741" s="389">
        <v>44762</v>
      </c>
      <c r="C741" s="396">
        <v>0.43</v>
      </c>
    </row>
    <row r="742" spans="2:3">
      <c r="B742" s="389">
        <v>44763</v>
      </c>
      <c r="C742" s="396">
        <v>0.49</v>
      </c>
    </row>
    <row r="743" spans="2:3">
      <c r="B743" s="389">
        <v>44764</v>
      </c>
      <c r="C743" s="396">
        <v>0.53</v>
      </c>
    </row>
    <row r="744" spans="2:3">
      <c r="B744" s="389">
        <v>44767</v>
      </c>
      <c r="C744" s="396">
        <v>0.45500000000000002</v>
      </c>
    </row>
    <row r="745" spans="2:3">
      <c r="B745" s="389">
        <v>44768</v>
      </c>
      <c r="C745" s="396">
        <v>0.48</v>
      </c>
    </row>
    <row r="746" spans="2:3">
      <c r="B746" s="389">
        <v>44769</v>
      </c>
      <c r="C746" s="396">
        <v>0.53500000000000003</v>
      </c>
    </row>
    <row r="747" spans="2:3">
      <c r="B747" s="389">
        <v>44770</v>
      </c>
      <c r="C747" s="396">
        <v>0.66</v>
      </c>
    </row>
    <row r="748" spans="2:3">
      <c r="B748" s="389">
        <v>44771</v>
      </c>
      <c r="C748" s="396">
        <v>0.64500000000000002</v>
      </c>
    </row>
    <row r="749" spans="2:3">
      <c r="B749" s="389">
        <v>44774</v>
      </c>
      <c r="C749" s="396">
        <v>0.56499999999999995</v>
      </c>
    </row>
    <row r="750" spans="2:3">
      <c r="B750" s="389">
        <v>44775</v>
      </c>
      <c r="C750" s="396">
        <v>0.59</v>
      </c>
    </row>
    <row r="751" spans="2:3">
      <c r="B751" s="389">
        <v>44776</v>
      </c>
      <c r="C751" s="396">
        <v>0.63</v>
      </c>
    </row>
    <row r="752" spans="2:3">
      <c r="B752" s="389">
        <v>44777</v>
      </c>
      <c r="C752" s="396">
        <v>0.69499999999999995</v>
      </c>
    </row>
    <row r="753" spans="2:3">
      <c r="B753" s="389">
        <v>44778</v>
      </c>
      <c r="C753" s="396">
        <v>0.66</v>
      </c>
    </row>
    <row r="754" spans="2:3">
      <c r="B754" s="389">
        <v>44781</v>
      </c>
      <c r="C754" s="396">
        <v>0.71</v>
      </c>
    </row>
    <row r="755" spans="2:3">
      <c r="B755" s="389">
        <v>44782</v>
      </c>
      <c r="C755" s="396">
        <v>0.75</v>
      </c>
    </row>
    <row r="756" spans="2:3">
      <c r="B756" s="389">
        <v>44783</v>
      </c>
      <c r="C756" s="396">
        <v>0.84499999999999997</v>
      </c>
    </row>
    <row r="757" spans="2:3">
      <c r="B757" s="389">
        <v>44784</v>
      </c>
      <c r="C757" s="396">
        <v>0.94499999999999995</v>
      </c>
    </row>
    <row r="758" spans="2:3">
      <c r="B758" s="389">
        <v>44785</v>
      </c>
      <c r="C758" s="396">
        <v>0.97499999999999998</v>
      </c>
    </row>
    <row r="759" spans="2:3">
      <c r="B759" s="389">
        <v>44788</v>
      </c>
      <c r="C759" s="396">
        <v>1.03</v>
      </c>
    </row>
    <row r="760" spans="2:3">
      <c r="B760" s="389">
        <v>44789</v>
      </c>
      <c r="C760" s="396">
        <v>1.0349999999999999</v>
      </c>
    </row>
    <row r="761" spans="2:3">
      <c r="B761" s="389">
        <v>44790</v>
      </c>
      <c r="C761" s="396">
        <v>1.02</v>
      </c>
    </row>
    <row r="762" spans="2:3">
      <c r="B762" s="389">
        <v>44791</v>
      </c>
      <c r="C762" s="396">
        <v>0.88500000000000001</v>
      </c>
    </row>
    <row r="763" spans="2:3">
      <c r="B763" s="389">
        <v>44792</v>
      </c>
      <c r="C763" s="396">
        <v>0.91500000000000004</v>
      </c>
    </row>
    <row r="764" spans="2:3">
      <c r="B764" s="389">
        <v>44795</v>
      </c>
      <c r="C764" s="396">
        <v>0.90500000000000003</v>
      </c>
    </row>
    <row r="765" spans="2:3">
      <c r="B765" s="389">
        <v>44796</v>
      </c>
      <c r="C765" s="396">
        <v>0.76500000000000001</v>
      </c>
    </row>
    <row r="766" spans="2:3">
      <c r="B766" s="389">
        <v>44797</v>
      </c>
      <c r="C766" s="396">
        <v>0.88</v>
      </c>
    </row>
    <row r="767" spans="2:3">
      <c r="B767" s="389">
        <v>44798</v>
      </c>
      <c r="C767" s="396">
        <v>0.91</v>
      </c>
    </row>
    <row r="768" spans="2:3">
      <c r="B768" s="389">
        <v>44799</v>
      </c>
      <c r="C768" s="396">
        <v>0.95499999999999996</v>
      </c>
    </row>
    <row r="769" spans="2:3">
      <c r="B769" s="389">
        <v>44802</v>
      </c>
      <c r="C769" s="396">
        <v>0.875</v>
      </c>
    </row>
    <row r="770" spans="2:3">
      <c r="B770" s="389">
        <v>44803</v>
      </c>
      <c r="C770" s="396">
        <v>0.72</v>
      </c>
    </row>
    <row r="771" spans="2:3">
      <c r="B771" s="389">
        <v>44804</v>
      </c>
      <c r="C771" s="396">
        <v>0.81</v>
      </c>
    </row>
    <row r="772" spans="2:3">
      <c r="B772" s="389">
        <v>44805</v>
      </c>
      <c r="C772" s="396">
        <v>0.69</v>
      </c>
    </row>
    <row r="773" spans="2:3">
      <c r="B773" s="389">
        <v>44806</v>
      </c>
      <c r="C773" s="396">
        <v>0.73</v>
      </c>
    </row>
    <row r="774" spans="2:3">
      <c r="B774" s="389">
        <v>44809</v>
      </c>
      <c r="C774" s="396">
        <v>0.64500000000000002</v>
      </c>
    </row>
    <row r="775" spans="2:3">
      <c r="B775" s="389">
        <v>44810</v>
      </c>
      <c r="C775" s="396">
        <v>0.63500000000000001</v>
      </c>
    </row>
    <row r="776" spans="2:3">
      <c r="B776" s="389">
        <v>44811</v>
      </c>
      <c r="C776" s="396">
        <v>0.70499999999999996</v>
      </c>
    </row>
    <row r="777" spans="2:3">
      <c r="B777" s="389">
        <v>44812</v>
      </c>
      <c r="C777" s="396">
        <v>0.82</v>
      </c>
    </row>
    <row r="778" spans="2:3">
      <c r="B778" s="389">
        <v>44813</v>
      </c>
      <c r="C778" s="396">
        <v>0.89500000000000002</v>
      </c>
    </row>
    <row r="779" spans="2:3">
      <c r="B779" s="389">
        <v>44816</v>
      </c>
      <c r="C779" s="396">
        <v>1.0049999999999999</v>
      </c>
    </row>
    <row r="780" spans="2:3">
      <c r="B780" s="389">
        <v>44817</v>
      </c>
      <c r="C780" s="396">
        <v>1.06</v>
      </c>
    </row>
    <row r="781" spans="2:3">
      <c r="B781" s="389">
        <v>44818</v>
      </c>
      <c r="C781" s="396">
        <v>1</v>
      </c>
    </row>
    <row r="782" spans="2:3">
      <c r="B782" s="389">
        <v>44819</v>
      </c>
      <c r="C782" s="396">
        <v>0.99</v>
      </c>
    </row>
    <row r="783" spans="2:3">
      <c r="B783" s="389">
        <v>44820</v>
      </c>
      <c r="C783" s="396">
        <v>1</v>
      </c>
    </row>
    <row r="784" spans="2:3">
      <c r="B784" s="389">
        <v>44823</v>
      </c>
      <c r="C784" s="396">
        <v>0.96</v>
      </c>
    </row>
    <row r="785" spans="2:3">
      <c r="B785" s="389">
        <v>44824</v>
      </c>
      <c r="C785" s="396">
        <v>0.93</v>
      </c>
    </row>
    <row r="786" spans="2:3">
      <c r="B786" s="389">
        <v>44825</v>
      </c>
      <c r="C786" s="396">
        <v>0.875</v>
      </c>
    </row>
    <row r="787" spans="2:3">
      <c r="B787" s="389">
        <v>44827</v>
      </c>
      <c r="C787" s="396">
        <v>0.8</v>
      </c>
    </row>
    <row r="788" spans="2:3">
      <c r="B788" s="389">
        <v>44830</v>
      </c>
      <c r="C788" s="396">
        <v>0.78</v>
      </c>
    </row>
    <row r="789" spans="2:3">
      <c r="B789" s="389">
        <v>44831</v>
      </c>
      <c r="C789" s="396">
        <v>0.79</v>
      </c>
    </row>
    <row r="790" spans="2:3">
      <c r="B790" s="389">
        <v>44832</v>
      </c>
      <c r="C790" s="396">
        <v>0.75</v>
      </c>
    </row>
    <row r="791" spans="2:3">
      <c r="B791" s="389">
        <v>44833</v>
      </c>
      <c r="C791" s="396">
        <v>0.81</v>
      </c>
    </row>
    <row r="792" spans="2:3">
      <c r="B792" s="389">
        <v>44834</v>
      </c>
      <c r="C792" s="396">
        <v>0.745</v>
      </c>
    </row>
    <row r="793" spans="2:3">
      <c r="B793" s="389">
        <v>44837</v>
      </c>
      <c r="C793" s="396">
        <v>0.71</v>
      </c>
    </row>
    <row r="794" spans="2:3">
      <c r="B794" s="389">
        <v>44838</v>
      </c>
      <c r="C794" s="396">
        <v>0.84</v>
      </c>
    </row>
    <row r="795" spans="2:3">
      <c r="B795" s="389">
        <v>44839</v>
      </c>
      <c r="C795" s="396">
        <v>0.90500000000000003</v>
      </c>
    </row>
    <row r="796" spans="2:3">
      <c r="B796" s="389">
        <v>44840</v>
      </c>
      <c r="C796" s="396">
        <v>0.90500000000000003</v>
      </c>
    </row>
    <row r="797" spans="2:3">
      <c r="B797" s="389">
        <v>44841</v>
      </c>
      <c r="C797" s="396">
        <v>0.90500000000000003</v>
      </c>
    </row>
    <row r="798" spans="2:3">
      <c r="B798" s="389">
        <v>44844</v>
      </c>
      <c r="C798" s="396">
        <v>0.83499999999999996</v>
      </c>
    </row>
    <row r="799" spans="2:3">
      <c r="B799" s="389">
        <v>44845</v>
      </c>
      <c r="C799" s="396">
        <v>0.84499999999999997</v>
      </c>
    </row>
    <row r="800" spans="2:3">
      <c r="B800" s="389">
        <v>44846</v>
      </c>
      <c r="C800" s="396">
        <v>0.88</v>
      </c>
    </row>
    <row r="801" spans="2:3">
      <c r="B801" s="389">
        <v>44847</v>
      </c>
      <c r="C801" s="396">
        <v>1.05</v>
      </c>
    </row>
    <row r="802" spans="2:3">
      <c r="B802" s="389">
        <v>44848</v>
      </c>
      <c r="C802" s="396">
        <v>1.325</v>
      </c>
    </row>
    <row r="803" spans="2:3">
      <c r="B803" s="389">
        <v>44851</v>
      </c>
      <c r="C803" s="396">
        <v>1.21</v>
      </c>
    </row>
    <row r="804" spans="2:3">
      <c r="B804" s="389">
        <v>44852</v>
      </c>
      <c r="C804" s="396">
        <v>1.27</v>
      </c>
    </row>
    <row r="805" spans="2:3">
      <c r="B805" s="389">
        <v>44853</v>
      </c>
      <c r="C805" s="396">
        <v>1.1850000000000001</v>
      </c>
    </row>
    <row r="806" spans="2:3">
      <c r="B806" s="389">
        <v>44854</v>
      </c>
      <c r="C806" s="396">
        <v>1.145</v>
      </c>
    </row>
    <row r="807" spans="2:3">
      <c r="B807" s="389">
        <v>44855</v>
      </c>
      <c r="C807" s="396">
        <v>1.27</v>
      </c>
    </row>
    <row r="808" spans="2:3">
      <c r="B808" s="389">
        <v>44858</v>
      </c>
      <c r="C808" s="396">
        <v>1.55</v>
      </c>
    </row>
    <row r="809" spans="2:3">
      <c r="B809" s="389">
        <v>44859</v>
      </c>
      <c r="C809" s="396">
        <v>1.75</v>
      </c>
    </row>
    <row r="810" spans="2:3">
      <c r="B810" s="389">
        <v>44860</v>
      </c>
      <c r="C810" s="396">
        <v>1.75</v>
      </c>
    </row>
    <row r="811" spans="2:3">
      <c r="B811" s="389">
        <v>44861</v>
      </c>
      <c r="C811" s="396">
        <v>1.82</v>
      </c>
    </row>
    <row r="812" spans="2:3">
      <c r="B812" s="389">
        <v>44862</v>
      </c>
      <c r="C812" s="396">
        <v>1.665</v>
      </c>
    </row>
    <row r="813" spans="2:3">
      <c r="B813" s="389">
        <v>44865</v>
      </c>
      <c r="C813" s="396">
        <v>1.625</v>
      </c>
    </row>
    <row r="814" spans="2:3">
      <c r="B814" s="389">
        <v>44866</v>
      </c>
      <c r="C814" s="396">
        <v>1.905</v>
      </c>
    </row>
    <row r="815" spans="2:3">
      <c r="B815" s="389">
        <v>44867</v>
      </c>
      <c r="C815" s="396">
        <v>1.83</v>
      </c>
    </row>
    <row r="816" spans="2:3">
      <c r="B816" s="389">
        <v>44868</v>
      </c>
      <c r="C816" s="396">
        <v>1.81</v>
      </c>
    </row>
    <row r="817" spans="2:3">
      <c r="B817" s="389">
        <v>44869</v>
      </c>
      <c r="C817" s="396">
        <v>1.7749999999999999</v>
      </c>
    </row>
    <row r="818" spans="2:3">
      <c r="B818" s="389">
        <v>44872</v>
      </c>
      <c r="C818" s="396">
        <v>1.85</v>
      </c>
    </row>
    <row r="819" spans="2:3">
      <c r="B819" s="389">
        <v>44873</v>
      </c>
      <c r="C819" s="396">
        <v>1.925</v>
      </c>
    </row>
    <row r="820" spans="2:3">
      <c r="B820" s="389">
        <v>44874</v>
      </c>
      <c r="C820" s="396">
        <v>1.8</v>
      </c>
    </row>
    <row r="821" spans="2:3">
      <c r="B821" s="389">
        <v>44875</v>
      </c>
      <c r="C821" s="396">
        <v>1.7</v>
      </c>
    </row>
    <row r="822" spans="2:3">
      <c r="B822" s="389">
        <v>44876</v>
      </c>
      <c r="C822" s="396">
        <v>1.6850000000000001</v>
      </c>
    </row>
    <row r="823" spans="2:3">
      <c r="B823" s="389">
        <v>44879</v>
      </c>
      <c r="C823" s="396">
        <v>1.7</v>
      </c>
    </row>
    <row r="824" spans="2:3">
      <c r="B824" s="389">
        <v>44880</v>
      </c>
      <c r="C824" s="396">
        <v>1.7350000000000001</v>
      </c>
    </row>
    <row r="825" spans="2:3">
      <c r="B825" s="389">
        <v>44881</v>
      </c>
      <c r="C825" s="396">
        <v>1.67</v>
      </c>
    </row>
    <row r="826" spans="2:3">
      <c r="B826" s="389">
        <v>44882</v>
      </c>
      <c r="C826" s="396">
        <v>1.68</v>
      </c>
    </row>
    <row r="827" spans="2:3">
      <c r="B827" s="389">
        <v>44883</v>
      </c>
      <c r="C827" s="396">
        <v>1.4750000000000001</v>
      </c>
    </row>
    <row r="828" spans="2:3">
      <c r="B828" s="389">
        <v>44886</v>
      </c>
      <c r="C828" s="396">
        <v>1.42</v>
      </c>
    </row>
    <row r="829" spans="2:3">
      <c r="B829" s="389">
        <v>44887</v>
      </c>
      <c r="C829" s="396">
        <v>1.34</v>
      </c>
    </row>
    <row r="830" spans="2:3">
      <c r="B830" s="389">
        <v>44888</v>
      </c>
      <c r="C830" s="396">
        <v>1.34</v>
      </c>
    </row>
    <row r="831" spans="2:3">
      <c r="B831" s="389">
        <v>44889</v>
      </c>
      <c r="C831" s="396">
        <v>1.44</v>
      </c>
    </row>
    <row r="832" spans="2:3">
      <c r="B832" s="389">
        <v>44890</v>
      </c>
      <c r="C832" s="396">
        <v>1.4</v>
      </c>
    </row>
    <row r="833" spans="2:3">
      <c r="B833" s="389">
        <v>44893</v>
      </c>
      <c r="C833" s="396">
        <v>1.385</v>
      </c>
    </row>
    <row r="834" spans="2:3">
      <c r="B834" s="389">
        <v>44894</v>
      </c>
      <c r="C834" s="396">
        <v>1.42</v>
      </c>
    </row>
    <row r="835" spans="2:3">
      <c r="B835" s="389">
        <v>44895</v>
      </c>
      <c r="C835" s="396">
        <v>1.5449999999999999</v>
      </c>
    </row>
    <row r="836" spans="2:3">
      <c r="B836" s="389">
        <v>44896</v>
      </c>
      <c r="C836" s="396">
        <v>1.4650000000000001</v>
      </c>
    </row>
    <row r="837" spans="2:3">
      <c r="B837" s="389">
        <v>44897</v>
      </c>
      <c r="C837" s="396">
        <v>1.46</v>
      </c>
    </row>
    <row r="838" spans="2:3">
      <c r="B838" s="389">
        <v>44900</v>
      </c>
      <c r="C838" s="396">
        <v>1.43</v>
      </c>
    </row>
    <row r="839" spans="2:3">
      <c r="B839" s="389">
        <v>44901</v>
      </c>
      <c r="C839" s="396">
        <v>1.4650000000000001</v>
      </c>
    </row>
    <row r="840" spans="2:3">
      <c r="B840" s="389">
        <v>44902</v>
      </c>
      <c r="C840" s="396">
        <v>1.59</v>
      </c>
    </row>
    <row r="841" spans="2:3">
      <c r="B841" s="389">
        <v>44903</v>
      </c>
      <c r="C841" s="396">
        <v>1.58</v>
      </c>
    </row>
    <row r="842" spans="2:3">
      <c r="B842" s="389">
        <v>44904</v>
      </c>
      <c r="C842" s="396">
        <v>1.585</v>
      </c>
    </row>
    <row r="843" spans="2:3">
      <c r="B843" s="389">
        <v>44907</v>
      </c>
      <c r="C843" s="396">
        <v>1.4950000000000001</v>
      </c>
    </row>
    <row r="844" spans="2:3">
      <c r="B844" s="389">
        <v>44908</v>
      </c>
      <c r="C844" s="396">
        <v>1.415</v>
      </c>
    </row>
    <row r="845" spans="2:3">
      <c r="B845" s="389">
        <v>44909</v>
      </c>
      <c r="C845" s="396">
        <v>1.43</v>
      </c>
    </row>
    <row r="846" spans="2:3">
      <c r="B846" s="389">
        <v>44910</v>
      </c>
      <c r="C846" s="396">
        <v>1.46</v>
      </c>
    </row>
    <row r="847" spans="2:3">
      <c r="B847" s="389">
        <v>44911</v>
      </c>
      <c r="C847" s="396">
        <v>1.39</v>
      </c>
    </row>
    <row r="848" spans="2:3">
      <c r="B848" s="389">
        <v>44914</v>
      </c>
      <c r="C848" s="396">
        <v>1.36</v>
      </c>
    </row>
    <row r="849" spans="2:3">
      <c r="B849" s="389">
        <v>44915</v>
      </c>
      <c r="C849" s="396">
        <v>1.32</v>
      </c>
    </row>
    <row r="850" spans="2:3">
      <c r="B850" s="389">
        <v>44916</v>
      </c>
      <c r="C850" s="396">
        <v>1.3149999999999999</v>
      </c>
    </row>
    <row r="851" spans="2:3">
      <c r="B851" s="389">
        <v>44917</v>
      </c>
      <c r="C851" s="396">
        <v>1.28</v>
      </c>
    </row>
    <row r="852" spans="2:3">
      <c r="B852" s="389">
        <v>44918</v>
      </c>
      <c r="C852" s="396">
        <v>1.3</v>
      </c>
    </row>
    <row r="853" spans="2:3">
      <c r="B853" s="389">
        <v>44923</v>
      </c>
      <c r="C853" s="396">
        <v>1.2050000000000001</v>
      </c>
    </row>
    <row r="854" spans="2:3">
      <c r="B854" s="389">
        <v>44924</v>
      </c>
      <c r="C854" s="396">
        <v>1.17</v>
      </c>
    </row>
    <row r="855" spans="2:3">
      <c r="B855" s="389">
        <v>44925</v>
      </c>
      <c r="C855" s="396">
        <v>1.2749999999999999</v>
      </c>
    </row>
    <row r="856" spans="2:3">
      <c r="B856" s="389">
        <v>44929</v>
      </c>
      <c r="C856" s="396">
        <v>1.2549999999999999</v>
      </c>
    </row>
    <row r="857" spans="2:3">
      <c r="B857" s="389">
        <v>44930</v>
      </c>
      <c r="C857" s="396">
        <v>1.39</v>
      </c>
    </row>
    <row r="858" spans="2:3">
      <c r="B858" s="389">
        <v>44931</v>
      </c>
      <c r="C858" s="396">
        <v>1.37</v>
      </c>
    </row>
    <row r="859" spans="2:3">
      <c r="B859" s="389">
        <v>44932</v>
      </c>
      <c r="C859" s="396">
        <v>1.39</v>
      </c>
    </row>
    <row r="860" spans="2:3">
      <c r="B860" s="389">
        <v>44935</v>
      </c>
      <c r="C860" s="396">
        <v>1.42</v>
      </c>
    </row>
    <row r="861" spans="2:3">
      <c r="B861" s="389">
        <v>44936</v>
      </c>
      <c r="C861" s="396">
        <v>1.415</v>
      </c>
    </row>
    <row r="862" spans="2:3">
      <c r="B862" s="389">
        <v>44937</v>
      </c>
      <c r="C862" s="396">
        <v>1.595</v>
      </c>
    </row>
    <row r="863" spans="2:3">
      <c r="B863" s="389">
        <v>44938</v>
      </c>
      <c r="C863" s="396">
        <v>1.61</v>
      </c>
    </row>
    <row r="864" spans="2:3">
      <c r="B864" s="389">
        <v>44939</v>
      </c>
      <c r="C864" s="396">
        <v>1.68</v>
      </c>
    </row>
    <row r="865" spans="2:3">
      <c r="B865" s="389">
        <v>44942</v>
      </c>
      <c r="C865" s="396">
        <v>1.76</v>
      </c>
    </row>
    <row r="866" spans="2:3">
      <c r="B866" s="389">
        <v>44943</v>
      </c>
      <c r="C866" s="396">
        <v>1.79</v>
      </c>
    </row>
    <row r="867" spans="2:3">
      <c r="B867" s="389">
        <v>44944</v>
      </c>
      <c r="C867" s="396">
        <v>1.885</v>
      </c>
    </row>
    <row r="868" spans="2:3">
      <c r="B868" s="389">
        <v>44945</v>
      </c>
      <c r="C868" s="396">
        <v>1.9550000000000001</v>
      </c>
    </row>
    <row r="869" spans="2:3">
      <c r="B869" s="389">
        <v>44946</v>
      </c>
      <c r="C869" s="396">
        <v>1.655</v>
      </c>
    </row>
    <row r="870" spans="2:3">
      <c r="B870" s="389">
        <v>44949</v>
      </c>
      <c r="C870" s="396">
        <v>1.7350000000000001</v>
      </c>
    </row>
    <row r="871" spans="2:3">
      <c r="B871" s="389">
        <v>44950</v>
      </c>
      <c r="C871" s="396">
        <v>1.92</v>
      </c>
    </row>
    <row r="872" spans="2:3">
      <c r="B872" s="389">
        <v>44951</v>
      </c>
      <c r="C872" s="396">
        <v>1.7549999999999999</v>
      </c>
    </row>
    <row r="873" spans="2:3">
      <c r="B873" s="389">
        <v>44953</v>
      </c>
      <c r="C873" s="396">
        <v>1.77</v>
      </c>
    </row>
    <row r="874" spans="2:3">
      <c r="B874" s="389">
        <v>44956</v>
      </c>
      <c r="C874" s="396">
        <v>1.9</v>
      </c>
    </row>
    <row r="875" spans="2:3">
      <c r="B875" s="389">
        <v>44957</v>
      </c>
      <c r="C875" s="396">
        <v>1.91</v>
      </c>
    </row>
    <row r="876" spans="2:3">
      <c r="B876" s="389">
        <v>44958</v>
      </c>
      <c r="C876" s="396">
        <v>2.0299999999999998</v>
      </c>
    </row>
    <row r="877" spans="2:3">
      <c r="B877" s="389">
        <v>44959</v>
      </c>
      <c r="C877" s="396">
        <v>2.0299999999999998</v>
      </c>
    </row>
    <row r="878" spans="2:3">
      <c r="B878" s="389">
        <v>44960</v>
      </c>
      <c r="C878" s="396">
        <v>2</v>
      </c>
    </row>
    <row r="879" spans="2:3">
      <c r="B879" s="389">
        <v>44963</v>
      </c>
      <c r="C879" s="396">
        <v>1.82</v>
      </c>
    </row>
    <row r="880" spans="2:3">
      <c r="B880" s="389">
        <v>44964</v>
      </c>
      <c r="C880" s="396">
        <v>1.7</v>
      </c>
    </row>
    <row r="881" spans="2:3">
      <c r="B881" s="389">
        <v>44965</v>
      </c>
      <c r="C881" s="396">
        <v>1.7649999999999999</v>
      </c>
    </row>
    <row r="882" spans="2:3">
      <c r="B882" s="389">
        <v>44966</v>
      </c>
      <c r="C882" s="396">
        <v>1.7</v>
      </c>
    </row>
    <row r="883" spans="2:3">
      <c r="B883" s="389">
        <v>44967</v>
      </c>
      <c r="C883" s="396">
        <v>1.7</v>
      </c>
    </row>
    <row r="884" spans="2:3">
      <c r="B884" s="389">
        <v>44970</v>
      </c>
      <c r="C884" s="396">
        <v>1.77</v>
      </c>
    </row>
    <row r="885" spans="2:3">
      <c r="B885" s="389">
        <v>44971</v>
      </c>
      <c r="C885" s="396">
        <v>1.78</v>
      </c>
    </row>
    <row r="886" spans="2:3">
      <c r="B886" s="389">
        <v>44972</v>
      </c>
      <c r="C886" s="396">
        <v>1.585</v>
      </c>
    </row>
    <row r="887" spans="2:3">
      <c r="B887" s="389">
        <v>44973</v>
      </c>
      <c r="C887" s="396">
        <v>1.5649999999999999</v>
      </c>
    </row>
    <row r="888" spans="2:3">
      <c r="B888" s="389">
        <v>44974</v>
      </c>
      <c r="C888" s="396">
        <v>1.5549999999999999</v>
      </c>
    </row>
    <row r="889" spans="2:3">
      <c r="B889" s="389">
        <v>44977</v>
      </c>
      <c r="C889" s="396">
        <v>1.5249999999999999</v>
      </c>
    </row>
    <row r="890" spans="2:3">
      <c r="B890" s="389">
        <v>44978</v>
      </c>
      <c r="C890" s="396">
        <v>1.5549999999999999</v>
      </c>
    </row>
    <row r="891" spans="2:3">
      <c r="B891" s="389">
        <v>44979</v>
      </c>
      <c r="C891" s="396">
        <v>1.55</v>
      </c>
    </row>
    <row r="892" spans="2:3">
      <c r="B892" s="389">
        <v>44980</v>
      </c>
      <c r="C892" s="396">
        <v>1.59</v>
      </c>
    </row>
    <row r="893" spans="2:3">
      <c r="B893" s="389">
        <v>44981</v>
      </c>
      <c r="C893" s="396">
        <v>1.58</v>
      </c>
    </row>
    <row r="894" spans="2:3">
      <c r="B894" s="389">
        <v>44984</v>
      </c>
      <c r="C894" s="396">
        <v>1.58</v>
      </c>
    </row>
    <row r="895" spans="2:3">
      <c r="B895" s="389">
        <v>44985</v>
      </c>
      <c r="C895" s="396">
        <v>1.66</v>
      </c>
    </row>
    <row r="896" spans="2:3">
      <c r="B896" s="389">
        <v>44986</v>
      </c>
      <c r="C896" s="396">
        <v>1.68</v>
      </c>
    </row>
    <row r="897" spans="2:3">
      <c r="B897" s="389">
        <v>44987</v>
      </c>
      <c r="C897" s="396">
        <v>1.6850000000000001</v>
      </c>
    </row>
    <row r="898" spans="2:3">
      <c r="B898" s="389">
        <v>44988</v>
      </c>
      <c r="C898" s="396">
        <v>1.63</v>
      </c>
    </row>
    <row r="899" spans="2:3">
      <c r="B899" s="389">
        <v>44991</v>
      </c>
      <c r="C899" s="396">
        <v>1.64</v>
      </c>
    </row>
    <row r="900" spans="2:3">
      <c r="B900" s="389">
        <v>44992</v>
      </c>
      <c r="C900" s="396">
        <v>1.655</v>
      </c>
    </row>
    <row r="901" spans="2:3">
      <c r="B901" s="389">
        <v>44993</v>
      </c>
      <c r="C901" s="396">
        <v>1.585</v>
      </c>
    </row>
    <row r="902" spans="2:3">
      <c r="B902" s="389">
        <v>44994</v>
      </c>
      <c r="C902" s="396">
        <v>1.57</v>
      </c>
    </row>
    <row r="903" spans="2:3">
      <c r="B903" s="389">
        <v>44995</v>
      </c>
      <c r="C903" s="396">
        <v>1.5149999999999999</v>
      </c>
    </row>
    <row r="904" spans="2:3">
      <c r="B904" s="389">
        <v>44998</v>
      </c>
      <c r="C904" s="396">
        <v>1.56</v>
      </c>
    </row>
    <row r="905" spans="2:3">
      <c r="B905" s="389">
        <v>44999</v>
      </c>
      <c r="C905" s="396">
        <v>1.5149999999999999</v>
      </c>
    </row>
    <row r="906" spans="2:3">
      <c r="B906" s="389">
        <v>45000</v>
      </c>
      <c r="C906" s="396">
        <v>1.595</v>
      </c>
    </row>
    <row r="907" spans="2:3">
      <c r="B907" s="389">
        <v>45001</v>
      </c>
      <c r="C907" s="396">
        <v>1.48</v>
      </c>
    </row>
    <row r="908" spans="2:3">
      <c r="B908" s="389">
        <v>45002</v>
      </c>
      <c r="C908" s="396">
        <v>1.395</v>
      </c>
    </row>
    <row r="909" spans="2:3">
      <c r="B909" s="389">
        <v>45005</v>
      </c>
      <c r="C909" s="396">
        <v>1.2949999999999999</v>
      </c>
    </row>
    <row r="910" spans="2:3">
      <c r="B910" s="389">
        <v>45006</v>
      </c>
      <c r="C910" s="396">
        <v>1.33</v>
      </c>
    </row>
    <row r="911" spans="2:3">
      <c r="B911" s="389">
        <v>45007</v>
      </c>
      <c r="C911" s="396">
        <v>1.345</v>
      </c>
    </row>
    <row r="912" spans="2:3">
      <c r="B912" s="389">
        <v>45008</v>
      </c>
      <c r="C912" s="396">
        <v>1.34</v>
      </c>
    </row>
    <row r="913" spans="2:3">
      <c r="B913" s="389">
        <v>45009</v>
      </c>
      <c r="C913" s="396">
        <v>1.395</v>
      </c>
    </row>
    <row r="914" spans="2:3">
      <c r="B914" s="389">
        <v>45012</v>
      </c>
      <c r="C914" s="396">
        <v>1.2849999999999999</v>
      </c>
    </row>
    <row r="915" spans="2:3">
      <c r="B915" s="389">
        <v>45013</v>
      </c>
      <c r="C915" s="396">
        <v>1.33</v>
      </c>
    </row>
    <row r="916" spans="2:3">
      <c r="B916" s="389">
        <v>45014</v>
      </c>
      <c r="C916" s="396">
        <v>1.34</v>
      </c>
    </row>
    <row r="917" spans="2:3">
      <c r="B917" s="389">
        <v>45015</v>
      </c>
      <c r="C917" s="396">
        <v>1.375</v>
      </c>
    </row>
    <row r="918" spans="2:3">
      <c r="B918" s="389">
        <v>45016</v>
      </c>
      <c r="C918" s="396">
        <v>1.4450000000000001</v>
      </c>
    </row>
    <row r="919" spans="2:3">
      <c r="B919" s="389">
        <v>45019</v>
      </c>
      <c r="C919" s="396">
        <v>1.55</v>
      </c>
    </row>
    <row r="920" spans="2:3">
      <c r="B920" s="389">
        <v>45020</v>
      </c>
      <c r="C920" s="396">
        <v>1.64</v>
      </c>
    </row>
    <row r="921" spans="2:3">
      <c r="B921" s="389">
        <v>45021</v>
      </c>
      <c r="C921" s="396">
        <v>1.655</v>
      </c>
    </row>
    <row r="922" spans="2:3">
      <c r="B922" s="389">
        <v>45022</v>
      </c>
      <c r="C922" s="396">
        <v>1.7</v>
      </c>
    </row>
    <row r="923" spans="2:3">
      <c r="B923" s="389">
        <v>45027</v>
      </c>
      <c r="C923" s="396">
        <v>1.7450000000000001</v>
      </c>
    </row>
    <row r="924" spans="2:3">
      <c r="B924" s="389">
        <v>45028</v>
      </c>
      <c r="C924" s="396">
        <v>1.75</v>
      </c>
    </row>
    <row r="925" spans="2:3">
      <c r="B925" s="389">
        <v>45029</v>
      </c>
      <c r="C925" s="396">
        <v>1.79</v>
      </c>
    </row>
    <row r="926" spans="2:3">
      <c r="B926" s="389">
        <v>45030</v>
      </c>
      <c r="C926" s="396">
        <v>1.81</v>
      </c>
    </row>
    <row r="927" spans="2:3">
      <c r="B927" s="389">
        <v>45033</v>
      </c>
      <c r="C927" s="396">
        <v>1.8149999999999999</v>
      </c>
    </row>
    <row r="928" spans="2:3">
      <c r="B928" s="389">
        <v>45034</v>
      </c>
      <c r="C928" s="396">
        <v>1.75</v>
      </c>
    </row>
    <row r="929" spans="2:3">
      <c r="B929" s="389">
        <v>45035</v>
      </c>
      <c r="C929" s="396">
        <v>1.7450000000000001</v>
      </c>
    </row>
    <row r="930" spans="2:3">
      <c r="B930" s="389">
        <v>45036</v>
      </c>
      <c r="C930" s="396">
        <v>1.8</v>
      </c>
    </row>
    <row r="931" spans="2:3">
      <c r="B931" s="389">
        <v>45037</v>
      </c>
      <c r="C931" s="396">
        <v>1.85</v>
      </c>
    </row>
    <row r="932" spans="2:3">
      <c r="B932" s="389">
        <v>45040</v>
      </c>
      <c r="C932" s="396">
        <v>1.83</v>
      </c>
    </row>
    <row r="933" spans="2:3">
      <c r="B933" s="389">
        <v>45042</v>
      </c>
      <c r="C933" s="396">
        <v>1.97</v>
      </c>
    </row>
    <row r="934" spans="2:3">
      <c r="B934" s="389">
        <v>45043</v>
      </c>
      <c r="C934" s="396">
        <v>1.905</v>
      </c>
    </row>
    <row r="935" spans="2:3">
      <c r="B935" s="389">
        <v>45044</v>
      </c>
      <c r="C935" s="396">
        <v>1.93</v>
      </c>
    </row>
    <row r="936" spans="2:3">
      <c r="B936" s="389">
        <v>45047</v>
      </c>
      <c r="C936" s="396">
        <v>1.7549999999999999</v>
      </c>
    </row>
    <row r="937" spans="2:3">
      <c r="B937" s="389">
        <v>45048</v>
      </c>
      <c r="C937" s="396">
        <v>1.78</v>
      </c>
    </row>
    <row r="938" spans="2:3">
      <c r="B938" s="389">
        <v>45049</v>
      </c>
      <c r="C938" s="396">
        <v>1.81</v>
      </c>
    </row>
    <row r="939" spans="2:3">
      <c r="B939" s="389">
        <v>45050</v>
      </c>
      <c r="C939" s="396">
        <v>1.84</v>
      </c>
    </row>
    <row r="940" spans="2:3">
      <c r="B940" s="389">
        <v>45051</v>
      </c>
      <c r="C940" s="396">
        <v>1.85</v>
      </c>
    </row>
    <row r="941" spans="2:3">
      <c r="B941" s="389">
        <v>45054</v>
      </c>
      <c r="C941" s="396">
        <v>1.84</v>
      </c>
    </row>
    <row r="942" spans="2:3">
      <c r="B942" s="389">
        <v>45055</v>
      </c>
      <c r="C942" s="396">
        <v>1.74</v>
      </c>
    </row>
    <row r="943" spans="2:3">
      <c r="B943" s="389">
        <v>45056</v>
      </c>
      <c r="C943" s="396">
        <v>1.74</v>
      </c>
    </row>
    <row r="944" spans="2:3">
      <c r="B944" s="389">
        <v>45057</v>
      </c>
      <c r="C944" s="396">
        <v>1.7649999999999999</v>
      </c>
    </row>
    <row r="945" spans="2:3">
      <c r="B945" s="389">
        <v>45058</v>
      </c>
      <c r="C945" s="396">
        <v>1.84</v>
      </c>
    </row>
    <row r="946" spans="2:3">
      <c r="B946" s="389">
        <v>45061</v>
      </c>
      <c r="C946" s="396">
        <v>1.865</v>
      </c>
    </row>
    <row r="947" spans="2:3">
      <c r="B947" s="389">
        <v>45062</v>
      </c>
      <c r="C947" s="396">
        <v>1.7849999999999999</v>
      </c>
    </row>
    <row r="948" spans="2:3">
      <c r="B948" s="389">
        <v>45063</v>
      </c>
      <c r="C948" s="396">
        <v>2.02</v>
      </c>
    </row>
    <row r="949" spans="2:3">
      <c r="B949" s="389">
        <v>45064</v>
      </c>
      <c r="C949" s="396">
        <v>2.19</v>
      </c>
    </row>
    <row r="950" spans="2:3">
      <c r="B950" s="389">
        <v>45065</v>
      </c>
      <c r="C950" s="396">
        <v>2.29</v>
      </c>
    </row>
    <row r="951" spans="2:3">
      <c r="B951" s="389">
        <v>45068</v>
      </c>
      <c r="C951" s="396">
        <v>2.17</v>
      </c>
    </row>
    <row r="952" spans="2:3">
      <c r="B952" s="389">
        <v>45069</v>
      </c>
      <c r="C952" s="396">
        <v>2.1800000000000002</v>
      </c>
    </row>
    <row r="953" spans="2:3">
      <c r="B953" s="389">
        <v>45070</v>
      </c>
      <c r="C953" s="396">
        <v>1.96</v>
      </c>
    </row>
    <row r="954" spans="2:3">
      <c r="B954" s="389">
        <v>45071</v>
      </c>
      <c r="C954" s="396">
        <v>1.92</v>
      </c>
    </row>
    <row r="955" spans="2:3">
      <c r="B955" s="389">
        <v>45072</v>
      </c>
      <c r="C955" s="396">
        <v>1.88</v>
      </c>
    </row>
    <row r="956" spans="2:3">
      <c r="B956" s="389">
        <v>45075</v>
      </c>
      <c r="C956" s="396">
        <v>1.91</v>
      </c>
    </row>
    <row r="957" spans="2:3">
      <c r="B957" s="389">
        <v>45076</v>
      </c>
      <c r="C957" s="396">
        <v>1.94</v>
      </c>
    </row>
    <row r="958" spans="2:3">
      <c r="B958" s="389">
        <v>45077</v>
      </c>
      <c r="C958" s="396">
        <v>2.16</v>
      </c>
    </row>
    <row r="959" spans="2:3">
      <c r="B959" s="389">
        <v>45078</v>
      </c>
      <c r="C959" s="396">
        <v>2.09</v>
      </c>
    </row>
    <row r="960" spans="2:3">
      <c r="B960" s="389">
        <v>45079</v>
      </c>
      <c r="C960" s="396">
        <v>2.12</v>
      </c>
    </row>
    <row r="961" spans="2:3">
      <c r="B961" s="389">
        <v>45082</v>
      </c>
      <c r="C961" s="396">
        <v>2.0699999999999998</v>
      </c>
    </row>
    <row r="962" spans="2:3">
      <c r="B962" s="389">
        <v>45083</v>
      </c>
      <c r="C962" s="396">
        <v>2.0499999999999998</v>
      </c>
    </row>
    <row r="963" spans="2:3">
      <c r="B963" s="389">
        <v>45084</v>
      </c>
      <c r="C963" s="396">
        <v>2.0699999999999998</v>
      </c>
    </row>
    <row r="964" spans="2:3">
      <c r="B964" s="389">
        <v>45085</v>
      </c>
      <c r="C964" s="396">
        <v>1.98</v>
      </c>
    </row>
    <row r="965" spans="2:3">
      <c r="B965" s="389">
        <v>45086</v>
      </c>
      <c r="C965" s="396">
        <v>1.95</v>
      </c>
    </row>
    <row r="966" spans="2:3">
      <c r="B966" s="389">
        <v>45090</v>
      </c>
      <c r="C966" s="396">
        <v>1.925</v>
      </c>
    </row>
    <row r="967" spans="2:3">
      <c r="B967" s="389">
        <v>45091</v>
      </c>
      <c r="C967" s="396">
        <v>1.885</v>
      </c>
    </row>
    <row r="968" spans="2:3">
      <c r="B968" s="389">
        <v>45092</v>
      </c>
      <c r="C968" s="396">
        <v>1.91</v>
      </c>
    </row>
    <row r="969" spans="2:3">
      <c r="B969" s="389">
        <v>45093</v>
      </c>
      <c r="C969" s="396">
        <v>2.04</v>
      </c>
    </row>
    <row r="970" spans="2:3">
      <c r="B970" s="389">
        <v>45096</v>
      </c>
      <c r="C970" s="396">
        <v>2.09</v>
      </c>
    </row>
    <row r="971" spans="2:3">
      <c r="B971" s="389">
        <v>45097</v>
      </c>
      <c r="C971" s="396">
        <v>2.2599999999999998</v>
      </c>
    </row>
    <row r="972" spans="2:3">
      <c r="B972" s="389">
        <v>45098</v>
      </c>
      <c r="C972" s="396">
        <v>2.2000000000000002</v>
      </c>
    </row>
    <row r="973" spans="2:3">
      <c r="B973" s="389">
        <v>45099</v>
      </c>
      <c r="C973" s="396">
        <v>2.4</v>
      </c>
    </row>
    <row r="974" spans="2:3">
      <c r="B974" s="389">
        <v>45100</v>
      </c>
      <c r="C974" s="396">
        <v>2.5499999999999998</v>
      </c>
    </row>
    <row r="975" spans="2:3">
      <c r="B975" s="389">
        <v>45103</v>
      </c>
      <c r="C975" s="396">
        <v>2.73</v>
      </c>
    </row>
    <row r="976" spans="2:3">
      <c r="B976" s="389">
        <v>45104</v>
      </c>
      <c r="C976" s="396">
        <v>2.7</v>
      </c>
    </row>
    <row r="977" spans="2:3">
      <c r="B977" s="389">
        <v>45105</v>
      </c>
      <c r="C977" s="396">
        <v>2.94</v>
      </c>
    </row>
    <row r="978" spans="2:3">
      <c r="B978" s="389">
        <v>45106</v>
      </c>
      <c r="C978" s="396">
        <v>2.96</v>
      </c>
    </row>
    <row r="979" spans="2:3">
      <c r="B979" s="389">
        <v>45107</v>
      </c>
      <c r="C979" s="396">
        <v>3.11</v>
      </c>
    </row>
    <row r="980" spans="2:3">
      <c r="B980" s="389">
        <v>45110</v>
      </c>
      <c r="C980" s="396">
        <v>3.18</v>
      </c>
    </row>
    <row r="981" spans="2:3">
      <c r="B981" s="389">
        <v>45111</v>
      </c>
      <c r="C981" s="396">
        <v>3.37</v>
      </c>
    </row>
    <row r="982" spans="2:3">
      <c r="B982" s="389">
        <v>45112</v>
      </c>
      <c r="C982" s="396">
        <v>3.44</v>
      </c>
    </row>
    <row r="983" spans="2:3">
      <c r="B983" s="389">
        <v>45113</v>
      </c>
      <c r="C983" s="396">
        <v>3.54</v>
      </c>
    </row>
    <row r="984" spans="2:3">
      <c r="B984" s="389">
        <v>45114</v>
      </c>
      <c r="C984" s="396">
        <v>3.31</v>
      </c>
    </row>
    <row r="985" spans="2:3">
      <c r="B985" s="389">
        <v>45117</v>
      </c>
      <c r="C985" s="396">
        <v>3.49</v>
      </c>
    </row>
    <row r="986" spans="2:3">
      <c r="B986" s="389">
        <v>45118</v>
      </c>
      <c r="C986" s="396">
        <v>3.46</v>
      </c>
    </row>
    <row r="987" spans="2:3">
      <c r="B987" s="389">
        <v>45119</v>
      </c>
      <c r="C987" s="396">
        <v>3.5</v>
      </c>
    </row>
    <row r="988" spans="2:3">
      <c r="B988" s="389">
        <v>45120</v>
      </c>
      <c r="C988" s="396">
        <v>3.49</v>
      </c>
    </row>
    <row r="989" spans="2:3">
      <c r="B989" s="389">
        <v>45121</v>
      </c>
      <c r="C989" s="396">
        <v>3.48</v>
      </c>
    </row>
    <row r="990" spans="2:3">
      <c r="B990" s="389">
        <v>45124</v>
      </c>
      <c r="C990" s="396">
        <v>3.46</v>
      </c>
    </row>
    <row r="991" spans="2:3">
      <c r="B991" s="389">
        <v>45125</v>
      </c>
      <c r="C991" s="396">
        <v>3.38</v>
      </c>
    </row>
    <row r="992" spans="2:3">
      <c r="B992" s="389">
        <v>45126</v>
      </c>
      <c r="C992" s="396">
        <v>3.4</v>
      </c>
    </row>
    <row r="993" spans="2:3">
      <c r="B993" s="389">
        <v>45127</v>
      </c>
      <c r="C993" s="396">
        <v>3.41</v>
      </c>
    </row>
    <row r="994" spans="2:3">
      <c r="B994" s="389">
        <v>45128</v>
      </c>
      <c r="C994" s="396">
        <v>3.09</v>
      </c>
    </row>
    <row r="995" spans="2:3">
      <c r="B995" s="389">
        <v>45131</v>
      </c>
      <c r="C995" s="396">
        <v>3.1</v>
      </c>
    </row>
    <row r="996" spans="2:3">
      <c r="B996" s="389">
        <v>45132</v>
      </c>
      <c r="C996" s="396">
        <v>3.16</v>
      </c>
    </row>
    <row r="997" spans="2:3">
      <c r="B997" s="389">
        <v>45133</v>
      </c>
      <c r="C997" s="396">
        <v>3.19</v>
      </c>
    </row>
    <row r="998" spans="2:3">
      <c r="B998" s="389">
        <v>45134</v>
      </c>
      <c r="C998" s="396">
        <v>3.06</v>
      </c>
    </row>
    <row r="999" spans="2:3">
      <c r="B999" s="389">
        <v>45135</v>
      </c>
      <c r="C999" s="396">
        <v>3</v>
      </c>
    </row>
    <row r="1000" spans="2:3">
      <c r="B1000" s="389">
        <v>45138</v>
      </c>
      <c r="C1000" s="396">
        <v>2.97</v>
      </c>
    </row>
    <row r="1001" spans="2:3">
      <c r="B1001" s="389">
        <v>45139</v>
      </c>
      <c r="C1001" s="396">
        <v>2.91</v>
      </c>
    </row>
    <row r="1002" spans="2:3">
      <c r="B1002" s="389">
        <v>45140</v>
      </c>
      <c r="C1002" s="396">
        <v>2.87</v>
      </c>
    </row>
    <row r="1003" spans="2:3">
      <c r="B1003" s="389">
        <v>45141</v>
      </c>
      <c r="C1003" s="396">
        <v>2.79</v>
      </c>
    </row>
    <row r="1004" spans="2:3">
      <c r="B1004" s="389">
        <v>45142</v>
      </c>
      <c r="C1004" s="396">
        <v>2.87</v>
      </c>
    </row>
    <row r="1005" spans="2:3">
      <c r="B1005" s="389">
        <v>45145</v>
      </c>
      <c r="C1005" s="396">
        <v>2.86</v>
      </c>
    </row>
    <row r="1006" spans="2:3">
      <c r="B1006" s="389">
        <v>45146</v>
      </c>
      <c r="C1006" s="396">
        <v>2.86</v>
      </c>
    </row>
    <row r="1007" spans="2:3">
      <c r="B1007" s="389">
        <v>45147</v>
      </c>
      <c r="C1007" s="396">
        <v>2.8</v>
      </c>
    </row>
    <row r="1008" spans="2:3">
      <c r="B1008" s="389">
        <v>45148</v>
      </c>
      <c r="C1008" s="396">
        <v>3.14</v>
      </c>
    </row>
    <row r="1009" spans="2:3">
      <c r="B1009" s="389">
        <v>45149</v>
      </c>
      <c r="C1009" s="396">
        <v>3.31</v>
      </c>
    </row>
    <row r="1010" spans="2:3">
      <c r="B1010" s="389">
        <v>45152</v>
      </c>
      <c r="C1010" s="396">
        <v>3.19</v>
      </c>
    </row>
    <row r="1011" spans="2:3">
      <c r="B1011" s="389">
        <v>45153</v>
      </c>
      <c r="C1011" s="396">
        <v>3.2</v>
      </c>
    </row>
    <row r="1012" spans="2:3">
      <c r="B1012" s="389">
        <v>45154</v>
      </c>
      <c r="C1012" s="396">
        <v>3.11</v>
      </c>
    </row>
    <row r="1013" spans="2:3">
      <c r="B1013" s="389">
        <v>45155</v>
      </c>
      <c r="C1013" s="396">
        <v>3.07</v>
      </c>
    </row>
    <row r="1014" spans="2:3">
      <c r="B1014" s="389">
        <v>45156</v>
      </c>
      <c r="C1014" s="396">
        <v>2.99</v>
      </c>
    </row>
    <row r="1015" spans="2:3">
      <c r="B1015" s="389">
        <v>45159</v>
      </c>
      <c r="C1015" s="396">
        <v>2.92</v>
      </c>
    </row>
    <row r="1016" spans="2:3">
      <c r="B1016" s="389">
        <v>45160</v>
      </c>
      <c r="C1016" s="396">
        <v>2.83</v>
      </c>
    </row>
    <row r="1017" spans="2:3">
      <c r="B1017" s="389">
        <v>45161</v>
      </c>
      <c r="C1017" s="396">
        <v>2.9</v>
      </c>
    </row>
    <row r="1018" spans="2:3">
      <c r="B1018" s="389">
        <v>45162</v>
      </c>
      <c r="C1018" s="396">
        <v>2.82</v>
      </c>
    </row>
    <row r="1019" spans="2:3">
      <c r="B1019" s="389">
        <v>45163</v>
      </c>
      <c r="C1019" s="396">
        <v>2.5299999999999998</v>
      </c>
    </row>
    <row r="1020" spans="2:3">
      <c r="B1020" s="389">
        <v>45166</v>
      </c>
      <c r="C1020" s="396">
        <v>2.62</v>
      </c>
    </row>
    <row r="1021" spans="2:3">
      <c r="B1021" s="389">
        <v>45167</v>
      </c>
      <c r="C1021" s="396">
        <v>2.71</v>
      </c>
    </row>
    <row r="1022" spans="2:3">
      <c r="B1022" s="389">
        <v>45168</v>
      </c>
      <c r="C1022" s="396">
        <v>2.79</v>
      </c>
    </row>
    <row r="1023" spans="2:3">
      <c r="B1023" s="389">
        <v>45169</v>
      </c>
      <c r="C1023" s="396">
        <v>2.74</v>
      </c>
    </row>
    <row r="1024" spans="2:3">
      <c r="B1024" s="389">
        <v>45170</v>
      </c>
      <c r="C1024" s="396">
        <v>2.92</v>
      </c>
    </row>
    <row r="1025" spans="2:3">
      <c r="B1025" s="389">
        <v>45173</v>
      </c>
      <c r="C1025" s="396">
        <v>3.2</v>
      </c>
    </row>
    <row r="1026" spans="2:3">
      <c r="B1026" s="389">
        <v>45174</v>
      </c>
      <c r="C1026" s="396">
        <v>3.24</v>
      </c>
    </row>
    <row r="1027" spans="2:3">
      <c r="B1027" s="389">
        <v>45175</v>
      </c>
      <c r="C1027" s="396">
        <v>3.21</v>
      </c>
    </row>
    <row r="1028" spans="2:3">
      <c r="B1028" s="389">
        <v>45176</v>
      </c>
      <c r="C1028" s="396">
        <v>3.19</v>
      </c>
    </row>
    <row r="1029" spans="2:3">
      <c r="B1029" s="389">
        <v>45177</v>
      </c>
      <c r="C1029" s="396">
        <v>3.03</v>
      </c>
    </row>
    <row r="1030" spans="2:3">
      <c r="B1030" s="389">
        <v>45180</v>
      </c>
      <c r="C1030" s="396">
        <v>2.99</v>
      </c>
    </row>
    <row r="1031" spans="2:3">
      <c r="B1031" s="389">
        <v>45181</v>
      </c>
      <c r="C1031" s="396">
        <v>3</v>
      </c>
    </row>
    <row r="1032" spans="2:3">
      <c r="B1032" s="389">
        <v>45182</v>
      </c>
      <c r="C1032" s="396">
        <v>2.81</v>
      </c>
    </row>
    <row r="1033" spans="2:3">
      <c r="B1033" s="389">
        <v>45183</v>
      </c>
      <c r="C1033" s="396">
        <v>2.78</v>
      </c>
    </row>
    <row r="1034" spans="2:3">
      <c r="B1034" s="389">
        <v>45184</v>
      </c>
      <c r="C1034" s="396">
        <v>2.83</v>
      </c>
    </row>
    <row r="1035" spans="2:3">
      <c r="B1035" s="389">
        <v>45187</v>
      </c>
      <c r="C1035" s="396">
        <v>2.98</v>
      </c>
    </row>
    <row r="1036" spans="2:3">
      <c r="B1036" s="389">
        <v>45188</v>
      </c>
      <c r="C1036" s="396">
        <v>2.92</v>
      </c>
    </row>
    <row r="1037" spans="2:3">
      <c r="B1037" s="389">
        <v>45189</v>
      </c>
      <c r="C1037" s="396">
        <v>2.99</v>
      </c>
    </row>
    <row r="1038" spans="2:3">
      <c r="B1038" s="389">
        <v>45190</v>
      </c>
      <c r="C1038" s="396">
        <v>2.99</v>
      </c>
    </row>
    <row r="1039" spans="2:3">
      <c r="B1039" s="389">
        <v>45191</v>
      </c>
      <c r="C1039" s="396">
        <v>2.82</v>
      </c>
    </row>
    <row r="1040" spans="2:3">
      <c r="B1040" s="389">
        <v>45194</v>
      </c>
      <c r="C1040" s="396">
        <v>2.78</v>
      </c>
    </row>
    <row r="1041" spans="2:3">
      <c r="B1041" s="389">
        <v>45195</v>
      </c>
      <c r="C1041" s="396">
        <v>2.79</v>
      </c>
    </row>
    <row r="1042" spans="2:3">
      <c r="B1042" s="389">
        <v>45196</v>
      </c>
      <c r="C1042" s="396">
        <v>2.79</v>
      </c>
    </row>
    <row r="1043" spans="2:3">
      <c r="B1043" s="389">
        <v>45197</v>
      </c>
      <c r="C1043" s="396">
        <v>2.94</v>
      </c>
    </row>
    <row r="1044" spans="2:3">
      <c r="B1044" s="389">
        <v>45198</v>
      </c>
      <c r="C1044" s="396">
        <v>2.88</v>
      </c>
    </row>
    <row r="1045" spans="2:3">
      <c r="B1045" s="389">
        <v>45201</v>
      </c>
      <c r="C1045" s="396">
        <v>2.84</v>
      </c>
    </row>
    <row r="1046" spans="2:3">
      <c r="B1046" s="389">
        <v>45202</v>
      </c>
      <c r="C1046" s="396">
        <v>2.79</v>
      </c>
    </row>
    <row r="1047" spans="2:3">
      <c r="B1047" s="389">
        <v>45203</v>
      </c>
      <c r="C1047" s="396">
        <v>2.91</v>
      </c>
    </row>
    <row r="1048" spans="2:3">
      <c r="B1048" s="389">
        <v>45204</v>
      </c>
      <c r="C1048" s="396">
        <v>2.85</v>
      </c>
    </row>
    <row r="1049" spans="2:3">
      <c r="B1049" s="389">
        <v>45205</v>
      </c>
      <c r="C1049" s="396">
        <v>2.75</v>
      </c>
    </row>
    <row r="1050" spans="2:3">
      <c r="B1050" s="389">
        <v>45208</v>
      </c>
      <c r="C1050" s="396">
        <v>2.83</v>
      </c>
    </row>
    <row r="1051" spans="2:3">
      <c r="B1051" s="389">
        <v>45209</v>
      </c>
      <c r="C1051" s="396">
        <v>2.83</v>
      </c>
    </row>
    <row r="1052" spans="2:3">
      <c r="B1052" s="389">
        <v>45210</v>
      </c>
      <c r="C1052" s="396">
        <v>2.85</v>
      </c>
    </row>
    <row r="1053" spans="2:3">
      <c r="B1053" s="389">
        <v>45211</v>
      </c>
      <c r="C1053" s="396">
        <v>2.9</v>
      </c>
    </row>
    <row r="1054" spans="2:3">
      <c r="B1054" s="389">
        <v>45212</v>
      </c>
      <c r="C1054" s="396">
        <v>2.91</v>
      </c>
    </row>
    <row r="1055" spans="2:3">
      <c r="B1055" s="389">
        <v>45215</v>
      </c>
      <c r="C1055" s="396">
        <v>2.64</v>
      </c>
    </row>
    <row r="1056" spans="2:3">
      <c r="B1056" s="389">
        <v>45216</v>
      </c>
      <c r="C1056" s="396">
        <v>2.63</v>
      </c>
    </row>
    <row r="1057" spans="2:3">
      <c r="B1057" s="389">
        <v>45217</v>
      </c>
      <c r="C1057" s="396">
        <v>2.54</v>
      </c>
    </row>
    <row r="1058" spans="2:3">
      <c r="B1058" s="389">
        <v>45218</v>
      </c>
      <c r="C1058" s="396">
        <v>2.4300000000000002</v>
      </c>
    </row>
    <row r="1059" spans="2:3">
      <c r="B1059" s="389">
        <v>45219</v>
      </c>
      <c r="C1059" s="396">
        <v>2.44</v>
      </c>
    </row>
    <row r="1060" spans="2:3">
      <c r="B1060" s="389">
        <v>45222</v>
      </c>
      <c r="C1060" s="396">
        <v>2.4</v>
      </c>
    </row>
    <row r="1061" spans="2:3">
      <c r="B1061" s="389">
        <v>45223</v>
      </c>
      <c r="C1061" s="396">
        <v>2.54</v>
      </c>
    </row>
    <row r="1062" spans="2:3">
      <c r="B1062" s="389">
        <v>45224</v>
      </c>
      <c r="C1062" s="396">
        <v>2.58</v>
      </c>
    </row>
    <row r="1063" spans="2:3">
      <c r="B1063" s="389">
        <v>45225</v>
      </c>
      <c r="C1063" s="396">
        <v>2.5099999999999998</v>
      </c>
    </row>
    <row r="1064" spans="2:3">
      <c r="B1064" s="389">
        <v>45226</v>
      </c>
      <c r="C1064" s="396">
        <v>2.48</v>
      </c>
    </row>
    <row r="1065" spans="2:3">
      <c r="B1065" s="389">
        <v>45229</v>
      </c>
      <c r="C1065" s="396">
        <v>2.48</v>
      </c>
    </row>
    <row r="1066" spans="2:3">
      <c r="B1066" s="389">
        <v>45230</v>
      </c>
      <c r="C1066" s="396">
        <v>2.56</v>
      </c>
    </row>
    <row r="1067" spans="2:3">
      <c r="B1067" s="389">
        <v>45231</v>
      </c>
      <c r="C1067" s="396">
        <v>2.5299999999999998</v>
      </c>
    </row>
    <row r="1068" spans="2:3">
      <c r="B1068" s="389">
        <v>45232</v>
      </c>
      <c r="C1068" s="396">
        <v>2.6</v>
      </c>
    </row>
    <row r="1069" spans="2:3">
      <c r="B1069" s="389">
        <v>45233</v>
      </c>
      <c r="C1069" s="396">
        <v>2.83</v>
      </c>
    </row>
    <row r="1070" spans="2:3">
      <c r="B1070" s="389">
        <v>45236</v>
      </c>
      <c r="C1070" s="396">
        <v>2.96</v>
      </c>
    </row>
    <row r="1071" spans="2:3">
      <c r="B1071" s="389">
        <v>45237</v>
      </c>
      <c r="C1071" s="396">
        <v>2.92</v>
      </c>
    </row>
    <row r="1072" spans="2:3">
      <c r="B1072" s="389">
        <v>45238</v>
      </c>
      <c r="C1072" s="396">
        <v>2.92</v>
      </c>
    </row>
    <row r="1073" spans="2:3">
      <c r="B1073" s="389">
        <v>45239</v>
      </c>
      <c r="C1073" s="396">
        <v>2.87</v>
      </c>
    </row>
    <row r="1074" spans="2:3">
      <c r="B1074" s="389">
        <v>45240</v>
      </c>
      <c r="C1074" s="396">
        <v>2.77</v>
      </c>
    </row>
    <row r="1075" spans="2:3">
      <c r="B1075" s="389">
        <v>45243</v>
      </c>
      <c r="C1075" s="396">
        <v>2.76</v>
      </c>
    </row>
    <row r="1076" spans="2:3">
      <c r="B1076" s="389">
        <v>45244</v>
      </c>
      <c r="C1076" s="396">
        <v>2.91</v>
      </c>
    </row>
    <row r="1077" spans="2:3">
      <c r="B1077" s="389">
        <v>45245</v>
      </c>
      <c r="C1077" s="396">
        <v>3.11</v>
      </c>
    </row>
    <row r="1078" spans="2:3">
      <c r="B1078" s="389">
        <v>45246</v>
      </c>
      <c r="C1078" s="396">
        <v>3.11</v>
      </c>
    </row>
    <row r="1079" spans="2:3">
      <c r="B1079" s="389">
        <v>45247</v>
      </c>
      <c r="C1079" s="396">
        <v>2.99</v>
      </c>
    </row>
    <row r="1080" spans="2:3">
      <c r="B1080" s="389">
        <v>45250</v>
      </c>
      <c r="C1080" s="396">
        <v>3.13</v>
      </c>
    </row>
    <row r="1081" spans="2:3">
      <c r="B1081" s="389">
        <v>45251</v>
      </c>
      <c r="C1081" s="396">
        <v>3.35</v>
      </c>
    </row>
    <row r="1082" spans="2:3">
      <c r="B1082" s="389">
        <v>45252</v>
      </c>
      <c r="C1082" s="396">
        <v>3.38</v>
      </c>
    </row>
    <row r="1083" spans="2:3">
      <c r="B1083" s="389">
        <v>45253</v>
      </c>
      <c r="C1083" s="396">
        <v>3.37</v>
      </c>
    </row>
    <row r="1084" spans="2:3">
      <c r="B1084" s="389">
        <v>45254</v>
      </c>
      <c r="C1084" s="396">
        <v>3.45</v>
      </c>
    </row>
    <row r="1085" spans="2:3">
      <c r="B1085" s="389">
        <v>45257</v>
      </c>
      <c r="C1085" s="396">
        <v>3.28</v>
      </c>
    </row>
    <row r="1086" spans="2:3">
      <c r="B1086" s="389">
        <v>45258</v>
      </c>
      <c r="C1086" s="396">
        <v>3.38</v>
      </c>
    </row>
    <row r="1087" spans="2:3">
      <c r="B1087" s="389">
        <v>45259</v>
      </c>
      <c r="C1087" s="396">
        <v>3.45</v>
      </c>
    </row>
    <row r="1088" spans="2:3">
      <c r="B1088" s="389">
        <v>45260</v>
      </c>
      <c r="C1088" s="396">
        <v>3.09</v>
      </c>
    </row>
    <row r="1089" spans="2:3">
      <c r="B1089" s="389">
        <v>45261</v>
      </c>
      <c r="C1089" s="396">
        <v>3.25</v>
      </c>
    </row>
    <row r="1090" spans="2:3">
      <c r="B1090" s="389">
        <v>45264</v>
      </c>
      <c r="C1090" s="396">
        <v>3.35</v>
      </c>
    </row>
    <row r="1091" spans="2:3">
      <c r="B1091" s="389">
        <v>45265</v>
      </c>
      <c r="C1091" s="396">
        <v>3.07</v>
      </c>
    </row>
    <row r="1092" spans="2:3">
      <c r="B1092" s="389">
        <v>45266</v>
      </c>
      <c r="C1092" s="396">
        <v>3.14</v>
      </c>
    </row>
    <row r="1093" spans="2:3">
      <c r="B1093" s="389">
        <v>45267</v>
      </c>
      <c r="C1093" s="396">
        <v>3.03</v>
      </c>
    </row>
    <row r="1094" spans="2:3">
      <c r="B1094" s="389">
        <v>45268</v>
      </c>
      <c r="C1094" s="396">
        <v>2.92</v>
      </c>
    </row>
    <row r="1095" spans="2:3">
      <c r="B1095" s="389">
        <v>45271</v>
      </c>
      <c r="C1095" s="396">
        <v>2.87</v>
      </c>
    </row>
    <row r="1096" spans="2:3">
      <c r="B1096" s="389">
        <v>45272</v>
      </c>
      <c r="C1096" s="396">
        <v>2.74</v>
      </c>
    </row>
    <row r="1097" spans="2:3">
      <c r="B1097" s="389">
        <v>45273</v>
      </c>
      <c r="C1097" s="396">
        <v>2.81</v>
      </c>
    </row>
    <row r="1098" spans="2:3">
      <c r="B1098" s="389">
        <v>45274</v>
      </c>
      <c r="C1098" s="396">
        <v>2.92</v>
      </c>
    </row>
    <row r="1099" spans="2:3">
      <c r="B1099" s="389">
        <v>45275</v>
      </c>
      <c r="C1099" s="396">
        <v>2.76</v>
      </c>
    </row>
    <row r="1100" spans="2:3">
      <c r="B1100" s="389">
        <v>45278</v>
      </c>
      <c r="C1100" s="396">
        <v>2.78</v>
      </c>
    </row>
    <row r="1101" spans="2:3">
      <c r="B1101" s="389">
        <v>45279</v>
      </c>
      <c r="C1101" s="396">
        <v>2.88</v>
      </c>
    </row>
    <row r="1102" spans="2:3">
      <c r="B1102" s="389">
        <v>45280</v>
      </c>
      <c r="C1102" s="396">
        <v>2.79</v>
      </c>
    </row>
    <row r="1103" spans="2:3">
      <c r="B1103" s="389">
        <v>45281</v>
      </c>
      <c r="C1103" s="396">
        <v>2.91</v>
      </c>
    </row>
    <row r="1104" spans="2:3">
      <c r="B1104" s="389">
        <v>45282</v>
      </c>
      <c r="C1104" s="396">
        <v>2.96</v>
      </c>
    </row>
    <row r="1105" spans="2:3">
      <c r="B1105" s="389">
        <v>45287</v>
      </c>
      <c r="C1105" s="396">
        <v>2.97</v>
      </c>
    </row>
    <row r="1106" spans="2:3">
      <c r="B1106" s="389">
        <v>45288</v>
      </c>
      <c r="C1106" s="396">
        <v>2.91</v>
      </c>
    </row>
    <row r="1107" spans="2:3">
      <c r="B1107" s="389">
        <v>45289</v>
      </c>
      <c r="C1107" s="396">
        <v>2.9</v>
      </c>
    </row>
    <row r="1108" spans="2:3">
      <c r="B1108" s="389">
        <v>45293</v>
      </c>
      <c r="C1108" s="396">
        <v>2.92</v>
      </c>
    </row>
    <row r="1109" spans="2:3">
      <c r="B1109" s="389">
        <v>45294</v>
      </c>
      <c r="C1109" s="396">
        <v>2.75</v>
      </c>
    </row>
    <row r="1110" spans="2:3">
      <c r="B1110" s="389">
        <v>45295</v>
      </c>
      <c r="C1110" s="396">
        <v>2.75</v>
      </c>
    </row>
    <row r="1111" spans="2:3">
      <c r="B1111" s="389">
        <v>45296</v>
      </c>
      <c r="C1111" s="396">
        <v>2.67</v>
      </c>
    </row>
    <row r="1112" spans="2:3">
      <c r="B1112" s="389">
        <v>45299</v>
      </c>
      <c r="C1112" s="396">
        <v>2.65</v>
      </c>
    </row>
    <row r="1113" spans="2:3">
      <c r="B1113" s="389">
        <v>45300</v>
      </c>
      <c r="C1113" s="396">
        <v>2.72</v>
      </c>
    </row>
    <row r="1114" spans="2:3">
      <c r="B1114" s="389">
        <v>45301</v>
      </c>
      <c r="C1114" s="396">
        <v>2.67</v>
      </c>
    </row>
    <row r="1115" spans="2:3">
      <c r="B1115" s="389">
        <v>45302</v>
      </c>
      <c r="C1115" s="396">
        <v>2.67</v>
      </c>
    </row>
    <row r="1116" spans="2:3">
      <c r="B1116" s="389">
        <v>45303</v>
      </c>
      <c r="C1116" s="396">
        <v>2.59</v>
      </c>
    </row>
    <row r="1117" spans="2:3">
      <c r="B1117" s="389">
        <v>45306</v>
      </c>
      <c r="C1117" s="396">
        <v>2.57</v>
      </c>
    </row>
    <row r="1118" spans="2:3">
      <c r="B1118" s="389">
        <v>45307</v>
      </c>
      <c r="C1118" s="396">
        <v>2.52</v>
      </c>
    </row>
    <row r="1119" spans="2:3">
      <c r="B1119" s="389">
        <v>45308</v>
      </c>
      <c r="C1119" s="396">
        <v>2.59</v>
      </c>
    </row>
    <row r="1120" spans="2:3">
      <c r="B1120" s="389">
        <v>45309</v>
      </c>
      <c r="C1120" s="396">
        <v>2.76</v>
      </c>
    </row>
    <row r="1121" spans="2:3">
      <c r="B1121" s="389">
        <v>45310</v>
      </c>
      <c r="C1121" s="396">
        <v>2.76</v>
      </c>
    </row>
    <row r="1122" spans="2:3">
      <c r="B1122" s="389">
        <v>45313</v>
      </c>
      <c r="C1122" s="396">
        <v>2.81</v>
      </c>
    </row>
    <row r="1123" spans="2:3">
      <c r="B1123" s="389">
        <v>45314</v>
      </c>
      <c r="C1123" s="396">
        <v>3</v>
      </c>
    </row>
    <row r="1124" spans="2:3">
      <c r="B1124" s="389">
        <v>45315</v>
      </c>
      <c r="C1124" s="396">
        <v>3.02</v>
      </c>
    </row>
    <row r="1125" spans="2:3">
      <c r="B1125" s="389">
        <v>45316</v>
      </c>
      <c r="C1125" s="396">
        <v>3</v>
      </c>
    </row>
    <row r="1126" spans="2:3">
      <c r="B1126" s="389">
        <v>45320</v>
      </c>
      <c r="C1126" s="396">
        <v>3.05</v>
      </c>
    </row>
    <row r="1127" spans="2:3">
      <c r="B1127" s="389">
        <v>45321</v>
      </c>
      <c r="C1127" s="396">
        <v>3.15</v>
      </c>
    </row>
    <row r="1128" spans="2:3">
      <c r="B1128" s="389">
        <v>45322</v>
      </c>
      <c r="C1128" s="396">
        <v>3.15</v>
      </c>
    </row>
    <row r="1129" spans="2:3">
      <c r="B1129" s="389">
        <v>45323</v>
      </c>
      <c r="C1129" s="396">
        <v>3.17</v>
      </c>
    </row>
    <row r="1130" spans="2:3">
      <c r="B1130" s="389">
        <v>45324</v>
      </c>
      <c r="C1130" s="396">
        <v>3.25</v>
      </c>
    </row>
    <row r="1131" spans="2:3">
      <c r="B1131" s="389">
        <v>45327</v>
      </c>
      <c r="C1131" s="396">
        <v>3.23</v>
      </c>
    </row>
    <row r="1132" spans="2:3">
      <c r="B1132" s="389">
        <v>45328</v>
      </c>
      <c r="C1132" s="396">
        <v>3.17</v>
      </c>
    </row>
    <row r="1133" spans="2:3">
      <c r="B1133" s="389">
        <v>45329</v>
      </c>
      <c r="C1133" s="396">
        <v>3.97</v>
      </c>
    </row>
    <row r="1134" spans="2:3">
      <c r="B1134" s="389">
        <v>45330</v>
      </c>
      <c r="C1134" s="396">
        <v>4.1900000000000004</v>
      </c>
    </row>
    <row r="1135" spans="2:3">
      <c r="B1135" s="389">
        <v>45331</v>
      </c>
      <c r="C1135" s="396">
        <v>4.18</v>
      </c>
    </row>
    <row r="1136" spans="2:3">
      <c r="B1136" s="389">
        <v>45334</v>
      </c>
      <c r="C1136" s="396">
        <v>4.29</v>
      </c>
    </row>
    <row r="1137" spans="2:3">
      <c r="B1137" s="389">
        <v>45335</v>
      </c>
      <c r="C1137" s="396">
        <v>4.5599999999999996</v>
      </c>
    </row>
    <row r="1138" spans="2:3">
      <c r="B1138" s="389">
        <v>45336</v>
      </c>
      <c r="C1138" s="396">
        <v>4.54</v>
      </c>
    </row>
    <row r="1139" spans="2:3">
      <c r="B1139" s="389">
        <v>45337</v>
      </c>
      <c r="C1139" s="396">
        <v>4.68</v>
      </c>
    </row>
    <row r="1140" spans="2:3">
      <c r="B1140" s="389">
        <v>45338</v>
      </c>
      <c r="C1140" s="396">
        <v>4.66</v>
      </c>
    </row>
    <row r="1141" spans="2:3">
      <c r="B1141" s="389">
        <v>45341</v>
      </c>
      <c r="C1141" s="396">
        <v>4.8600000000000003</v>
      </c>
    </row>
    <row r="1142" spans="2:3">
      <c r="B1142" s="389">
        <v>45342</v>
      </c>
      <c r="C1142" s="396">
        <v>4.63</v>
      </c>
    </row>
    <row r="1143" spans="2:3">
      <c r="B1143" s="389">
        <v>45343</v>
      </c>
      <c r="C1143" s="396">
        <v>4.54</v>
      </c>
    </row>
    <row r="1144" spans="2:3">
      <c r="B1144" s="389">
        <v>45344</v>
      </c>
      <c r="C1144" s="396">
        <v>4.59</v>
      </c>
    </row>
    <row r="1145" spans="2:3">
      <c r="B1145" s="389">
        <v>45345</v>
      </c>
      <c r="C1145" s="396">
        <v>4.66</v>
      </c>
    </row>
    <row r="1146" spans="2:3">
      <c r="B1146" s="389">
        <v>45348</v>
      </c>
      <c r="C1146" s="396">
        <v>4.6900000000000004</v>
      </c>
    </row>
    <row r="1147" spans="2:3">
      <c r="B1147" s="389">
        <v>45349</v>
      </c>
      <c r="C1147" s="396">
        <v>4.6900000000000004</v>
      </c>
    </row>
    <row r="1148" spans="2:3">
      <c r="B1148" s="389">
        <v>45350</v>
      </c>
      <c r="C1148" s="396">
        <v>4.79</v>
      </c>
    </row>
    <row r="1149" spans="2:3">
      <c r="B1149" s="389">
        <v>45351</v>
      </c>
      <c r="C1149" s="396">
        <v>4.79</v>
      </c>
    </row>
    <row r="1150" spans="2:3">
      <c r="B1150" s="389">
        <v>45352</v>
      </c>
      <c r="C1150" s="396">
        <v>4.83</v>
      </c>
    </row>
    <row r="1151" spans="2:3">
      <c r="B1151" s="389">
        <v>45355</v>
      </c>
      <c r="C1151" s="396">
        <v>4.54</v>
      </c>
    </row>
    <row r="1152" spans="2:3">
      <c r="B1152" s="389">
        <v>45356</v>
      </c>
      <c r="C1152" s="396">
        <v>4.66</v>
      </c>
    </row>
    <row r="1153" spans="2:3">
      <c r="B1153" s="389">
        <v>45357</v>
      </c>
      <c r="C1153" s="396">
        <v>3.99</v>
      </c>
    </row>
    <row r="1154" spans="2:3">
      <c r="B1154" s="389">
        <v>45358</v>
      </c>
      <c r="C1154" s="396">
        <v>4.01</v>
      </c>
    </row>
    <row r="1155" spans="2:3">
      <c r="B1155" s="389">
        <v>45359</v>
      </c>
      <c r="C1155" s="396">
        <v>3.9</v>
      </c>
    </row>
    <row r="1156" spans="2:3">
      <c r="B1156" s="389">
        <v>45362</v>
      </c>
      <c r="C1156" s="396">
        <v>3.85</v>
      </c>
    </row>
    <row r="1157" spans="2:3">
      <c r="B1157" s="389">
        <v>45363</v>
      </c>
      <c r="C1157" s="396">
        <v>3.82</v>
      </c>
    </row>
    <row r="1158" spans="2:3">
      <c r="B1158" s="389">
        <v>45364</v>
      </c>
      <c r="C1158" s="396">
        <v>3.98</v>
      </c>
    </row>
    <row r="1159" spans="2:3">
      <c r="B1159" s="389">
        <v>45365</v>
      </c>
      <c r="C1159" s="396">
        <v>3.99</v>
      </c>
    </row>
    <row r="1160" spans="2:3">
      <c r="B1160" s="389">
        <v>45366</v>
      </c>
      <c r="C1160" s="396">
        <v>4.0199999999999996</v>
      </c>
    </row>
    <row r="1161" spans="2:3">
      <c r="B1161" s="389">
        <v>45369</v>
      </c>
      <c r="C1161" s="396">
        <v>4.1500000000000004</v>
      </c>
    </row>
    <row r="1162" spans="2:3">
      <c r="B1162" s="389">
        <v>45370</v>
      </c>
      <c r="C1162" s="396">
        <v>4.1399999999999997</v>
      </c>
    </row>
    <row r="1163" spans="2:3">
      <c r="B1163" s="389">
        <v>45371</v>
      </c>
      <c r="C1163" s="396">
        <v>4.28</v>
      </c>
    </row>
    <row r="1164" spans="2:3">
      <c r="B1164" s="389">
        <v>45372</v>
      </c>
      <c r="C1164" s="396">
        <v>4.33</v>
      </c>
    </row>
    <row r="1165" spans="2:3">
      <c r="B1165" s="389">
        <v>45373</v>
      </c>
      <c r="C1165" s="396">
        <v>4.0599999999999996</v>
      </c>
    </row>
    <row r="1166" spans="2:3">
      <c r="B1166" s="389">
        <v>45376</v>
      </c>
      <c r="C1166" s="396">
        <v>4.0599999999999996</v>
      </c>
    </row>
    <row r="1167" spans="2:3">
      <c r="B1167" s="389">
        <v>45377</v>
      </c>
      <c r="C1167" s="396">
        <v>4.0999999999999996</v>
      </c>
    </row>
    <row r="1168" spans="2:3">
      <c r="B1168" s="389">
        <v>45378</v>
      </c>
      <c r="C1168" s="396">
        <v>4.1500000000000004</v>
      </c>
    </row>
    <row r="1169" spans="2:3">
      <c r="B1169" s="389">
        <v>45379</v>
      </c>
      <c r="C1169" s="396">
        <v>4.05</v>
      </c>
    </row>
    <row r="1170" spans="2:3">
      <c r="B1170" s="389">
        <v>45384</v>
      </c>
      <c r="C1170" s="396">
        <v>3.41</v>
      </c>
    </row>
    <row r="1171" spans="2:3">
      <c r="B1171" s="389">
        <v>45385</v>
      </c>
      <c r="C1171" s="396">
        <v>3.37</v>
      </c>
    </row>
    <row r="1172" spans="2:3">
      <c r="B1172" s="389">
        <v>45386</v>
      </c>
      <c r="C1172" s="396">
        <v>3.28</v>
      </c>
    </row>
    <row r="1173" spans="2:3">
      <c r="B1173" s="389">
        <v>45387</v>
      </c>
      <c r="C1173" s="396">
        <v>3.27</v>
      </c>
    </row>
    <row r="1174" spans="2:3">
      <c r="B1174" s="389">
        <v>45390</v>
      </c>
      <c r="C1174" s="396">
        <v>3.31</v>
      </c>
    </row>
    <row r="1175" spans="2:3">
      <c r="B1175" s="389">
        <v>45391</v>
      </c>
      <c r="C1175" s="396">
        <v>3.38</v>
      </c>
    </row>
    <row r="1176" spans="2:3">
      <c r="B1176" s="389">
        <v>45392</v>
      </c>
      <c r="C1176" s="396">
        <v>3.44</v>
      </c>
    </row>
    <row r="1177" spans="2:3">
      <c r="B1177" s="389">
        <v>45393</v>
      </c>
      <c r="C1177" s="396">
        <v>3.35</v>
      </c>
    </row>
    <row r="1178" spans="2:3">
      <c r="B1178" s="389">
        <v>45394</v>
      </c>
      <c r="C1178" s="396">
        <v>3.12</v>
      </c>
    </row>
    <row r="1179" spans="2:3">
      <c r="B1179" s="389">
        <v>45397</v>
      </c>
      <c r="C1179" s="396">
        <v>3.15</v>
      </c>
    </row>
    <row r="1180" spans="2:3">
      <c r="B1180" s="389">
        <v>45398</v>
      </c>
      <c r="C1180" s="396">
        <v>3.01</v>
      </c>
    </row>
    <row r="1181" spans="2:3">
      <c r="B1181" s="389">
        <v>45399</v>
      </c>
      <c r="C1181" s="396">
        <v>3.06</v>
      </c>
    </row>
    <row r="1182" spans="2:3">
      <c r="B1182" s="389">
        <v>45400</v>
      </c>
      <c r="C1182" s="396">
        <v>3.2</v>
      </c>
    </row>
    <row r="1183" spans="2:3">
      <c r="B1183" s="389">
        <v>45401</v>
      </c>
      <c r="C1183" s="396">
        <v>3.09</v>
      </c>
    </row>
    <row r="1184" spans="2:3">
      <c r="B1184" s="389">
        <v>45404</v>
      </c>
      <c r="C1184" s="396">
        <v>2.9</v>
      </c>
    </row>
    <row r="1185" spans="2:3">
      <c r="B1185" s="389">
        <v>45405</v>
      </c>
      <c r="C1185" s="396">
        <v>3.05</v>
      </c>
    </row>
    <row r="1186" spans="2:3">
      <c r="B1186" s="389">
        <v>45406</v>
      </c>
      <c r="C1186" s="396">
        <v>3.01</v>
      </c>
    </row>
    <row r="1187" spans="2:3">
      <c r="B1187" s="389">
        <v>45408</v>
      </c>
      <c r="C1187" s="396">
        <v>2.89</v>
      </c>
    </row>
    <row r="1188" spans="2:3">
      <c r="B1188" s="389">
        <v>45411</v>
      </c>
      <c r="C1188" s="396">
        <v>3.02</v>
      </c>
    </row>
    <row r="1189" spans="2:3">
      <c r="B1189" s="389">
        <v>45412</v>
      </c>
      <c r="C1189" s="396">
        <v>2.99</v>
      </c>
    </row>
    <row r="1190" spans="2:3">
      <c r="B1190" s="389">
        <v>45413</v>
      </c>
      <c r="C1190" s="396">
        <v>2.94</v>
      </c>
    </row>
    <row r="1191" spans="2:3">
      <c r="B1191" s="389">
        <v>45414</v>
      </c>
      <c r="C1191" s="396">
        <v>2.94</v>
      </c>
    </row>
    <row r="1192" spans="2:3">
      <c r="B1192" s="389">
        <v>45415</v>
      </c>
      <c r="C1192" s="396">
        <v>3.01</v>
      </c>
    </row>
    <row r="1193" spans="2:3">
      <c r="B1193" s="389">
        <v>45418</v>
      </c>
      <c r="C1193" s="396">
        <v>2.97</v>
      </c>
    </row>
    <row r="1194" spans="2:3">
      <c r="B1194" s="389">
        <v>45419</v>
      </c>
      <c r="C1194" s="396">
        <v>3.17</v>
      </c>
    </row>
    <row r="1195" spans="2:3">
      <c r="B1195" s="389">
        <v>45420</v>
      </c>
      <c r="C1195" s="396">
        <v>3.2</v>
      </c>
    </row>
    <row r="1196" spans="2:3">
      <c r="B1196" s="389">
        <v>45421</v>
      </c>
      <c r="C1196" s="396">
        <v>3.19</v>
      </c>
    </row>
    <row r="1197" spans="2:3">
      <c r="B1197" s="389">
        <v>45422</v>
      </c>
      <c r="C1197" s="396">
        <v>3.08</v>
      </c>
    </row>
    <row r="1198" spans="2:3">
      <c r="B1198" s="389">
        <v>45425</v>
      </c>
      <c r="C1198" s="396">
        <v>3.05</v>
      </c>
    </row>
    <row r="1199" spans="2:3">
      <c r="B1199" s="389">
        <v>45426</v>
      </c>
      <c r="C1199" s="396">
        <v>3.03</v>
      </c>
    </row>
    <row r="1200" spans="2:3">
      <c r="B1200" s="389">
        <v>45427</v>
      </c>
      <c r="C1200" s="396">
        <v>2.93</v>
      </c>
    </row>
    <row r="1201" spans="2:3">
      <c r="B1201" s="389">
        <v>45428</v>
      </c>
      <c r="C1201" s="396">
        <v>2.9</v>
      </c>
    </row>
    <row r="1202" spans="2:3">
      <c r="B1202" s="389">
        <v>45429</v>
      </c>
      <c r="C1202" s="396">
        <v>2.7</v>
      </c>
    </row>
    <row r="1203" spans="2:3">
      <c r="B1203" s="389">
        <v>45432</v>
      </c>
      <c r="C1203" s="396">
        <v>2.59</v>
      </c>
    </row>
    <row r="1204" spans="2:3">
      <c r="B1204" s="389">
        <v>45433</v>
      </c>
      <c r="C1204" s="396">
        <v>2.4900000000000002</v>
      </c>
    </row>
    <row r="1205" spans="2:3">
      <c r="B1205" s="389">
        <v>45434</v>
      </c>
      <c r="C1205" s="396">
        <v>2.4</v>
      </c>
    </row>
    <row r="1206" spans="2:3">
      <c r="B1206" s="389">
        <v>45435</v>
      </c>
      <c r="C1206" s="396">
        <v>2.44</v>
      </c>
    </row>
    <row r="1207" spans="2:3">
      <c r="B1207" s="389">
        <v>45436</v>
      </c>
      <c r="C1207" s="396">
        <v>2.38</v>
      </c>
    </row>
    <row r="1208" spans="2:3">
      <c r="B1208" s="389">
        <v>45439</v>
      </c>
      <c r="C1208" s="396">
        <v>2.62</v>
      </c>
    </row>
    <row r="1209" spans="2:3">
      <c r="B1209" s="389">
        <v>45440</v>
      </c>
      <c r="C1209" s="396">
        <v>2.4300000000000002</v>
      </c>
    </row>
    <row r="1210" spans="2:3">
      <c r="B1210" s="389">
        <v>45441</v>
      </c>
      <c r="C1210" s="396">
        <v>2.29</v>
      </c>
    </row>
    <row r="1211" spans="2:3">
      <c r="B1211" s="389">
        <v>45442</v>
      </c>
      <c r="C1211" s="396">
        <v>2.2200000000000002</v>
      </c>
    </row>
    <row r="1212" spans="2:3">
      <c r="B1212" s="389">
        <v>45443</v>
      </c>
      <c r="C1212" s="396">
        <v>2.33</v>
      </c>
    </row>
    <row r="1213" spans="2:3">
      <c r="B1213" s="389">
        <v>45446</v>
      </c>
      <c r="C1213" s="396">
        <v>2.31</v>
      </c>
    </row>
    <row r="1214" spans="2:3">
      <c r="B1214" s="389">
        <v>45447</v>
      </c>
      <c r="C1214" s="396">
        <v>2.23</v>
      </c>
    </row>
    <row r="1215" spans="2:3">
      <c r="B1215" s="389">
        <v>45448</v>
      </c>
      <c r="C1215" s="396">
        <v>2.2999999999999998</v>
      </c>
    </row>
    <row r="1216" spans="2:3">
      <c r="B1216" s="389">
        <v>45449</v>
      </c>
      <c r="C1216" s="396">
        <v>2.2599999999999998</v>
      </c>
    </row>
    <row r="1217" spans="2:3">
      <c r="B1217" s="389">
        <v>45450</v>
      </c>
      <c r="C1217" s="396">
        <v>2.36</v>
      </c>
    </row>
    <row r="1218" spans="2:3">
      <c r="B1218" s="389">
        <v>45454</v>
      </c>
      <c r="C1218" s="396">
        <v>2.3199999999999998</v>
      </c>
    </row>
    <row r="1219" spans="2:3">
      <c r="B1219" s="389">
        <v>45455</v>
      </c>
      <c r="C1219" s="396">
        <v>2.2799999999999998</v>
      </c>
    </row>
    <row r="1220" spans="2:3">
      <c r="B1220" s="389">
        <v>45456</v>
      </c>
      <c r="C1220" s="396">
        <v>2.2999999999999998</v>
      </c>
    </row>
    <row r="1221" spans="2:3">
      <c r="B1221" s="389">
        <v>45457</v>
      </c>
      <c r="C1221" s="396">
        <v>2.2799999999999998</v>
      </c>
    </row>
    <row r="1222" spans="2:3">
      <c r="B1222" s="389">
        <v>45460</v>
      </c>
      <c r="C1222" s="396">
        <v>2.2799999999999998</v>
      </c>
    </row>
    <row r="1223" spans="2:3">
      <c r="B1223" s="389">
        <v>45461</v>
      </c>
      <c r="C1223" s="396">
        <v>2.25</v>
      </c>
    </row>
    <row r="1224" spans="2:3">
      <c r="B1224" s="389">
        <v>45462</v>
      </c>
      <c r="C1224" s="396">
        <v>2.2200000000000002</v>
      </c>
    </row>
    <row r="1225" spans="2:3">
      <c r="B1225" s="389">
        <v>45463</v>
      </c>
      <c r="C1225" s="396">
        <v>2.23</v>
      </c>
    </row>
    <row r="1226" spans="2:3">
      <c r="B1226" s="389">
        <v>45464</v>
      </c>
      <c r="C1226" s="396">
        <v>2.2400000000000002</v>
      </c>
    </row>
    <row r="1227" spans="2:3">
      <c r="B1227" s="389">
        <v>45467</v>
      </c>
      <c r="C1227" s="396">
        <v>1.135</v>
      </c>
    </row>
    <row r="1228" spans="2:3">
      <c r="B1228" s="389">
        <v>45468</v>
      </c>
      <c r="C1228" s="396">
        <v>1.115</v>
      </c>
    </row>
    <row r="1229" spans="2:3">
      <c r="B1229" s="389">
        <v>45469</v>
      </c>
      <c r="C1229" s="396">
        <v>1.0549999999999999</v>
      </c>
    </row>
    <row r="1230" spans="2:3">
      <c r="B1230" s="389">
        <v>45470</v>
      </c>
      <c r="C1230" s="396">
        <v>1.105</v>
      </c>
    </row>
    <row r="1231" spans="2:3">
      <c r="B1231" s="389">
        <v>45471</v>
      </c>
      <c r="C1231" s="396">
        <v>1.17</v>
      </c>
    </row>
    <row r="1232" spans="2:3">
      <c r="B1232" s="389">
        <v>45474</v>
      </c>
      <c r="C1232" s="396">
        <v>1.2649999999999999</v>
      </c>
    </row>
    <row r="1233" spans="2:3">
      <c r="B1233" s="389">
        <v>45475</v>
      </c>
      <c r="C1233" s="396">
        <v>1.2150000000000001</v>
      </c>
    </row>
    <row r="1234" spans="2:3">
      <c r="B1234" s="389">
        <v>45476</v>
      </c>
      <c r="C1234" s="396">
        <v>1.365</v>
      </c>
    </row>
    <row r="1235" spans="2:3">
      <c r="B1235" s="389">
        <v>45477</v>
      </c>
      <c r="C1235" s="396">
        <v>1.3</v>
      </c>
    </row>
    <row r="1236" spans="2:3">
      <c r="B1236" s="389">
        <v>45478</v>
      </c>
      <c r="C1236" s="396">
        <v>1.31</v>
      </c>
    </row>
    <row r="1237" spans="2:3">
      <c r="B1237" s="389">
        <v>45481</v>
      </c>
      <c r="C1237" s="396">
        <v>1.26</v>
      </c>
    </row>
    <row r="1238" spans="2:3">
      <c r="B1238" s="389">
        <v>45482</v>
      </c>
      <c r="C1238" s="396">
        <v>1.24</v>
      </c>
    </row>
    <row r="1239" spans="2:3">
      <c r="B1239" s="389">
        <v>45483</v>
      </c>
      <c r="C1239" s="396">
        <v>1.2050000000000001</v>
      </c>
    </row>
    <row r="1240" spans="2:3">
      <c r="B1240" s="389">
        <v>45484</v>
      </c>
      <c r="C1240" s="396">
        <v>1.42</v>
      </c>
    </row>
    <row r="1241" spans="2:3">
      <c r="B1241" s="389">
        <v>45485</v>
      </c>
      <c r="C1241" s="396">
        <v>1.425</v>
      </c>
    </row>
    <row r="1242" spans="2:3">
      <c r="B1242" s="389">
        <v>45488</v>
      </c>
      <c r="C1242" s="396">
        <v>1.385</v>
      </c>
    </row>
    <row r="1243" spans="2:3">
      <c r="B1243" s="397">
        <v>45489</v>
      </c>
      <c r="C1243" s="398">
        <v>1.5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978B8-1F7B-44A4-BA44-1C378A060DBA}">
  <sheetPr>
    <pageSetUpPr fitToPage="1"/>
  </sheetPr>
  <dimension ref="A1:N10"/>
  <sheetViews>
    <sheetView view="pageBreakPreview" zoomScale="60" zoomScaleNormal="100" workbookViewId="0"/>
  </sheetViews>
  <sheetFormatPr defaultColWidth="8.7265625" defaultRowHeight="14"/>
  <cols>
    <col min="1" max="1" width="10.7265625" style="181" customWidth="1"/>
    <col min="2" max="2" width="8.7265625" style="181"/>
    <col min="3" max="3" width="147" style="181" customWidth="1"/>
    <col min="4" max="11" width="8.7265625" style="181"/>
    <col min="12" max="12" width="10.81640625" style="181" bestFit="1" customWidth="1"/>
    <col min="13" max="16384" width="8.7265625" style="181"/>
  </cols>
  <sheetData>
    <row r="1" spans="1:14" ht="14.5">
      <c r="A1" s="181" t="s">
        <v>529</v>
      </c>
      <c r="C1" s="193">
        <f t="shared" ref="C1" ca="1" si="0">TODAY()</f>
        <v>45797</v>
      </c>
      <c r="D1"/>
      <c r="E1"/>
      <c r="F1"/>
      <c r="G1"/>
      <c r="H1"/>
      <c r="I1"/>
      <c r="J1"/>
      <c r="K1"/>
      <c r="L1"/>
      <c r="M1"/>
      <c r="N1"/>
    </row>
    <row r="2" spans="1:14" ht="14.5">
      <c r="A2" s="194" t="s">
        <v>530</v>
      </c>
      <c r="D2"/>
      <c r="E2"/>
      <c r="F2"/>
      <c r="G2"/>
      <c r="H2"/>
      <c r="I2"/>
      <c r="J2"/>
      <c r="K2"/>
      <c r="L2"/>
      <c r="M2"/>
      <c r="N2"/>
    </row>
    <row r="3" spans="1:14" ht="14.5">
      <c r="A3" s="195"/>
      <c r="B3" s="196"/>
      <c r="C3" s="197"/>
      <c r="D3"/>
      <c r="E3"/>
      <c r="F3"/>
      <c r="G3"/>
      <c r="H3"/>
      <c r="I3"/>
      <c r="J3"/>
      <c r="K3"/>
      <c r="L3"/>
      <c r="M3"/>
      <c r="N3"/>
    </row>
    <row r="4" spans="1:14" ht="14.5">
      <c r="D4"/>
      <c r="E4"/>
      <c r="F4"/>
      <c r="G4"/>
      <c r="H4"/>
      <c r="I4"/>
      <c r="J4"/>
      <c r="K4"/>
      <c r="L4"/>
      <c r="M4"/>
      <c r="N4"/>
    </row>
    <row r="5" spans="1:14" s="194" customFormat="1" ht="14.5" thickBot="1">
      <c r="A5" s="198" t="s">
        <v>432</v>
      </c>
      <c r="B5" s="198" t="s">
        <v>435</v>
      </c>
      <c r="C5" s="198" t="s">
        <v>531</v>
      </c>
    </row>
    <row r="6" spans="1:14" s="194" customFormat="1" ht="98.5" thickBot="1">
      <c r="A6" s="199">
        <v>45148</v>
      </c>
      <c r="B6" s="200" t="s">
        <v>10</v>
      </c>
      <c r="C6" s="201" t="s">
        <v>532</v>
      </c>
    </row>
    <row r="7" spans="1:14" s="194" customFormat="1" ht="42.5" thickBot="1">
      <c r="A7" s="199">
        <v>45061</v>
      </c>
      <c r="B7" s="200" t="s">
        <v>533</v>
      </c>
      <c r="C7" s="201" t="s">
        <v>534</v>
      </c>
    </row>
    <row r="8" spans="1:14" ht="98.5" thickBot="1">
      <c r="A8" s="199">
        <v>44964</v>
      </c>
      <c r="B8" s="200" t="s">
        <v>535</v>
      </c>
      <c r="C8" s="201" t="s">
        <v>536</v>
      </c>
    </row>
    <row r="9" spans="1:14" ht="14.5" thickBot="1">
      <c r="A9" s="199">
        <v>44964</v>
      </c>
      <c r="B9" s="202" t="s">
        <v>533</v>
      </c>
      <c r="C9" s="203" t="s">
        <v>251</v>
      </c>
    </row>
    <row r="10" spans="1:14">
      <c r="A10" s="204"/>
      <c r="B10" s="204"/>
      <c r="C10" s="204"/>
    </row>
  </sheetData>
  <pageMargins left="0.3" right="0.3" top="0.3" bottom="0.3" header="0.3" footer="0.3"/>
  <pageSetup scale="86" fitToHeight="0" orientation="landscape" r:id="rId1"/>
  <headerFooter>
    <oddFoote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1E96B-FFF7-47CF-A387-D485D708E75E}">
  <dimension ref="A1:AU27"/>
  <sheetViews>
    <sheetView workbookViewId="0"/>
  </sheetViews>
  <sheetFormatPr defaultRowHeight="14.5"/>
  <cols>
    <col min="1" max="1" width="35" bestFit="1" customWidth="1"/>
    <col min="2" max="4" width="11.54296875" bestFit="1" customWidth="1"/>
    <col min="5" max="5" width="13.26953125" bestFit="1" customWidth="1"/>
  </cols>
  <sheetData>
    <row r="1" spans="1:47">
      <c r="A1" s="18" t="s">
        <v>0</v>
      </c>
      <c r="B1" s="18"/>
      <c r="C1" s="18"/>
      <c r="D1" s="18"/>
      <c r="E1" s="18"/>
      <c r="F1" s="18"/>
      <c r="G1" s="18"/>
      <c r="H1" s="18"/>
      <c r="I1" s="18"/>
      <c r="AQ1" s="19"/>
      <c r="AR1" s="19"/>
      <c r="AS1" s="19"/>
      <c r="AT1" s="19"/>
      <c r="AU1" s="19"/>
    </row>
    <row r="2" spans="1:47">
      <c r="A2" s="20" t="s">
        <v>4218</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21"/>
      <c r="AF2" s="21"/>
      <c r="AG2" s="21"/>
      <c r="AH2" s="21"/>
      <c r="AI2" s="21"/>
      <c r="AJ2" s="21"/>
      <c r="AK2" s="21"/>
      <c r="AL2" s="21"/>
      <c r="AM2" s="21"/>
      <c r="AN2" s="21"/>
      <c r="AO2" s="21"/>
      <c r="AP2" s="21"/>
      <c r="AQ2" s="21"/>
      <c r="AR2" s="21"/>
      <c r="AS2" s="21"/>
      <c r="AT2" s="21"/>
      <c r="AU2" s="21"/>
    </row>
    <row r="3" spans="1:47">
      <c r="A3" s="22" t="s">
        <v>409</v>
      </c>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row>
    <row r="5" spans="1:47" ht="16">
      <c r="B5" s="16" t="str">
        <f>+'Detailed Disclosure'!AM5</f>
        <v>FY21</v>
      </c>
      <c r="C5" s="16" t="str">
        <f>+'Detailed Disclosure'!AN5</f>
        <v>FY22</v>
      </c>
      <c r="D5" s="16" t="str">
        <f>+'Detailed Disclosure'!AO5</f>
        <v>FY23</v>
      </c>
      <c r="E5" s="16" t="str">
        <f>+'Detailed Disclosure'!AP5</f>
        <v>FY24</v>
      </c>
      <c r="F5" s="177"/>
    </row>
    <row r="6" spans="1:47" ht="16">
      <c r="A6" s="4" t="s">
        <v>4225</v>
      </c>
      <c r="B6" s="16"/>
      <c r="C6" s="16"/>
      <c r="D6" s="16"/>
      <c r="E6" s="16"/>
      <c r="F6" s="177"/>
    </row>
    <row r="7" spans="1:47">
      <c r="A7" t="s">
        <v>4219</v>
      </c>
      <c r="B7" s="160">
        <f>+'Detailed Disclosure'!AM106</f>
        <v>170389</v>
      </c>
      <c r="C7" s="160">
        <f>+'Detailed Disclosure'!AN106</f>
        <v>403420</v>
      </c>
      <c r="D7" s="160">
        <f>+'Detailed Disclosure'!AO106</f>
        <v>709386</v>
      </c>
      <c r="E7" s="160">
        <f>+'Detailed Disclosure'!AP106</f>
        <v>1196172</v>
      </c>
    </row>
    <row r="8" spans="1:47">
      <c r="A8" t="s">
        <v>223</v>
      </c>
      <c r="B8" s="160">
        <f>+'Detailed Disclosure'!AM110</f>
        <v>723</v>
      </c>
      <c r="C8" s="160">
        <f>+'Detailed Disclosure'!AN110</f>
        <v>702</v>
      </c>
      <c r="D8" s="160">
        <f>+'Detailed Disclosure'!AO110</f>
        <v>747</v>
      </c>
      <c r="E8" s="160">
        <f>+'Detailed Disclosure'!AP110</f>
        <v>798</v>
      </c>
    </row>
    <row r="9" spans="1:47">
      <c r="A9" t="s">
        <v>131</v>
      </c>
      <c r="B9" s="160">
        <f>+'Detailed Disclosure'!AM8</f>
        <v>124455</v>
      </c>
      <c r="C9" s="160">
        <f>+'Detailed Disclosure'!AN8</f>
        <v>287800</v>
      </c>
      <c r="D9" s="160">
        <f>+'Detailed Disclosure'!AO8</f>
        <v>539200</v>
      </c>
      <c r="E9" s="160">
        <f>+'Detailed Disclosure'!AP8</f>
        <v>978300</v>
      </c>
    </row>
    <row r="10" spans="1:47">
      <c r="A10" t="s">
        <v>23</v>
      </c>
      <c r="B10" s="160">
        <f>+'Detailed Disclosure'!AM17</f>
        <v>92409</v>
      </c>
      <c r="C10" s="160">
        <f>+'Detailed Disclosure'!AN17</f>
        <v>209883.85500000001</v>
      </c>
      <c r="D10" s="160">
        <f>+'Detailed Disclosure'!AO17</f>
        <v>416227</v>
      </c>
      <c r="E10" s="160">
        <f>+'Detailed Disclosure'!AP17</f>
        <v>742255.13300000003</v>
      </c>
    </row>
    <row r="11" spans="1:47">
      <c r="A11" t="s">
        <v>4220</v>
      </c>
      <c r="B11" s="633">
        <f>1-B10/B9</f>
        <v>0.2574906592744366</v>
      </c>
      <c r="C11" s="633">
        <f>1-C10/C9</f>
        <v>0.27073017720639325</v>
      </c>
      <c r="D11" s="633">
        <f>1-D10/D9</f>
        <v>0.22806565281899105</v>
      </c>
      <c r="E11" s="633">
        <f>1-E10/E9</f>
        <v>0.2412806572625984</v>
      </c>
    </row>
    <row r="13" spans="1:47">
      <c r="A13" s="4" t="s">
        <v>4224</v>
      </c>
    </row>
    <row r="14" spans="1:47">
      <c r="A14" t="str">
        <f>+A7</f>
        <v>Orders (#)</v>
      </c>
      <c r="B14" s="17">
        <f>+B7</f>
        <v>170389</v>
      </c>
      <c r="C14" s="17">
        <f>+C7</f>
        <v>403420</v>
      </c>
      <c r="D14" s="17">
        <f>+D7</f>
        <v>709386</v>
      </c>
      <c r="E14" s="17">
        <f>+E7</f>
        <v>1196172</v>
      </c>
    </row>
    <row r="15" spans="1:47" s="4" customFormat="1">
      <c r="A15" s="219" t="s">
        <v>4221</v>
      </c>
      <c r="B15" s="631">
        <f>+B8</f>
        <v>723</v>
      </c>
      <c r="C15" s="631">
        <f>+C8</f>
        <v>702</v>
      </c>
      <c r="D15" s="631">
        <f>+D8</f>
        <v>747</v>
      </c>
      <c r="E15" s="631">
        <f>+E8</f>
        <v>798</v>
      </c>
    </row>
    <row r="16" spans="1:47">
      <c r="A16" s="5" t="s">
        <v>4222</v>
      </c>
      <c r="B16" s="17">
        <f>+B15*B14/1000</f>
        <v>123191.247</v>
      </c>
      <c r="C16" s="17">
        <f>+C15*C14/1000</f>
        <v>283200.84000000003</v>
      </c>
      <c r="D16" s="17">
        <f>+D15*D14/1000</f>
        <v>529911.34199999995</v>
      </c>
      <c r="E16" s="17">
        <f>+E15*E14/1000</f>
        <v>954545.25600000005</v>
      </c>
    </row>
    <row r="17" spans="1:5" s="4" customFormat="1">
      <c r="A17" s="219" t="s">
        <v>4223</v>
      </c>
      <c r="B17" s="631">
        <f>-B9</f>
        <v>-124455</v>
      </c>
      <c r="C17" s="631">
        <f>-C9</f>
        <v>-287800</v>
      </c>
      <c r="D17" s="631">
        <f>-D9</f>
        <v>-539200</v>
      </c>
      <c r="E17" s="631">
        <f>-E9</f>
        <v>-978300</v>
      </c>
    </row>
    <row r="18" spans="1:5">
      <c r="A18" s="5" t="s">
        <v>4224</v>
      </c>
      <c r="B18" s="17">
        <f>+(B17+B16)*-1</f>
        <v>1263.752999999997</v>
      </c>
      <c r="C18" s="17">
        <f>+(C17+C16)*-1</f>
        <v>4599.1599999999744</v>
      </c>
      <c r="D18" s="17">
        <f>+(D17+D16)*-1</f>
        <v>9288.658000000054</v>
      </c>
      <c r="E18" s="17">
        <f>+(E17+E16)*-1</f>
        <v>23754.743999999948</v>
      </c>
    </row>
    <row r="19" spans="1:5" s="29" customFormat="1">
      <c r="A19" s="116" t="s">
        <v>137</v>
      </c>
      <c r="B19" s="167">
        <f>+B18/B9</f>
        <v>1.0154296733759166E-2</v>
      </c>
      <c r="C19" s="167">
        <f>+C18/C9</f>
        <v>1.5980403057678855E-2</v>
      </c>
      <c r="D19" s="167">
        <f>+D18/D9</f>
        <v>1.7226739614243425E-2</v>
      </c>
      <c r="E19" s="167">
        <f>+E18/E9</f>
        <v>2.4281655933762598E-2</v>
      </c>
    </row>
    <row r="20" spans="1:5">
      <c r="A20" s="219"/>
      <c r="B20" s="633"/>
      <c r="C20" s="633"/>
      <c r="D20" s="633"/>
      <c r="E20" s="633"/>
    </row>
    <row r="21" spans="1:5">
      <c r="A21" s="4" t="s">
        <v>4230</v>
      </c>
      <c r="B21" s="17"/>
      <c r="C21" s="115"/>
      <c r="D21" s="115"/>
      <c r="E21" s="115"/>
    </row>
    <row r="22" spans="1:5">
      <c r="A22" t="str">
        <f>+A14</f>
        <v>Orders (#)</v>
      </c>
      <c r="B22" s="17">
        <f>+B14</f>
        <v>170389</v>
      </c>
      <c r="C22" s="17">
        <f>+C14</f>
        <v>403420</v>
      </c>
      <c r="D22" s="17">
        <f>+D14</f>
        <v>709386</v>
      </c>
      <c r="E22" s="17">
        <f>+E14</f>
        <v>1196172</v>
      </c>
    </row>
    <row r="23" spans="1:5" s="4" customFormat="1">
      <c r="A23" t="s">
        <v>4226</v>
      </c>
      <c r="B23" s="632">
        <f>+B11</f>
        <v>0.2574906592744366</v>
      </c>
      <c r="C23" s="632">
        <f>+C11</f>
        <v>0.27073017720639325</v>
      </c>
      <c r="D23" s="632">
        <f>+D11</f>
        <v>0.22806565281899105</v>
      </c>
      <c r="E23" s="632">
        <f>+E11</f>
        <v>0.2412806572625984</v>
      </c>
    </row>
    <row r="24" spans="1:5">
      <c r="A24" s="5" t="s">
        <v>4227</v>
      </c>
      <c r="B24" s="9">
        <f>+B23*B22</f>
        <v>43873.57594311198</v>
      </c>
      <c r="C24" s="9">
        <f>+C23*C22</f>
        <v>109217.96808860317</v>
      </c>
      <c r="D24" s="9">
        <f>+D23*D22</f>
        <v>161786.5811906528</v>
      </c>
      <c r="E24" s="9">
        <f>+E23*E22</f>
        <v>288613.16635911685</v>
      </c>
    </row>
    <row r="25" spans="1:5" s="4" customFormat="1">
      <c r="A25" s="219" t="s">
        <v>4228</v>
      </c>
      <c r="B25" s="631">
        <f>+B18</f>
        <v>1263.752999999997</v>
      </c>
      <c r="C25" s="631">
        <f>+C18</f>
        <v>4599.1599999999744</v>
      </c>
      <c r="D25" s="631">
        <f>+D18</f>
        <v>9288.658000000054</v>
      </c>
      <c r="E25" s="631">
        <f>+E18</f>
        <v>23754.743999999948</v>
      </c>
    </row>
    <row r="26" spans="1:5">
      <c r="A26" s="5" t="s">
        <v>4229</v>
      </c>
      <c r="B26" s="17">
        <f>+B25/B24*1000</f>
        <v>28.80442208856245</v>
      </c>
      <c r="C26" s="17">
        <f>+C25/C24*1000</f>
        <v>42.10992092682865</v>
      </c>
      <c r="D26" s="17">
        <f>+D25/D24*1000</f>
        <v>57.413030992070347</v>
      </c>
      <c r="E26" s="17">
        <f>+E25/E24*1000</f>
        <v>82.306515325230492</v>
      </c>
    </row>
    <row r="27" spans="1:5" s="29" customFormat="1">
      <c r="A27" s="116" t="s">
        <v>4231</v>
      </c>
      <c r="B27" s="167">
        <f>+B26/B8</f>
        <v>3.984014120133119E-2</v>
      </c>
      <c r="C27" s="167">
        <f>+C26/C8</f>
        <v>5.9985642345909758E-2</v>
      </c>
      <c r="D27" s="167">
        <f>+D26/D8</f>
        <v>7.6858140551633661E-2</v>
      </c>
      <c r="E27" s="167">
        <f>+E26/E8</f>
        <v>0.10314099664815851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BB69D-6254-411E-B5BD-B110F66113B7}">
  <sheetPr>
    <pageSetUpPr fitToPage="1"/>
  </sheetPr>
  <dimension ref="A1:AC94"/>
  <sheetViews>
    <sheetView view="pageBreakPreview" zoomScale="70" zoomScaleNormal="70" zoomScaleSheetLayoutView="70" workbookViewId="0">
      <pane xSplit="2" ySplit="5" topLeftCell="C44" activePane="bottomRight" state="frozen"/>
      <selection pane="topRight" activeCell="B72" sqref="B72"/>
      <selection pane="bottomLeft" activeCell="B72" sqref="B72"/>
      <selection pane="bottomRight" activeCell="D74" sqref="D74"/>
    </sheetView>
  </sheetViews>
  <sheetFormatPr defaultColWidth="3.54296875" defaultRowHeight="12" outlineLevelRow="1"/>
  <cols>
    <col min="1" max="1" width="18.81640625" style="35" customWidth="1"/>
    <col min="2" max="2" width="2.453125" style="35" customWidth="1"/>
    <col min="3" max="19" width="11.7265625" style="35" customWidth="1"/>
    <col min="20" max="20" width="8.26953125" style="35" customWidth="1"/>
    <col min="21" max="21" width="11.81640625" style="35" bestFit="1" customWidth="1"/>
    <col min="22" max="22" width="8.26953125" style="35" customWidth="1"/>
    <col min="23" max="29" width="8.7265625" style="35" customWidth="1"/>
    <col min="30" max="254" width="3.54296875" style="35"/>
    <col min="255" max="255" width="9.26953125" style="35" customWidth="1"/>
    <col min="256" max="256" width="1.7265625" style="35" customWidth="1"/>
    <col min="257" max="272" width="8.26953125" style="35" customWidth="1"/>
    <col min="273" max="274" width="10.81640625" style="35" customWidth="1"/>
    <col min="275" max="275" width="42.1796875" style="35" customWidth="1"/>
    <col min="276" max="278" width="8.26953125" style="35" customWidth="1"/>
    <col min="279" max="285" width="8.7265625" style="35" customWidth="1"/>
    <col min="286" max="510" width="3.54296875" style="35"/>
    <col min="511" max="511" width="9.26953125" style="35" customWidth="1"/>
    <col min="512" max="512" width="1.7265625" style="35" customWidth="1"/>
    <col min="513" max="528" width="8.26953125" style="35" customWidth="1"/>
    <col min="529" max="530" width="10.81640625" style="35" customWidth="1"/>
    <col min="531" max="531" width="42.1796875" style="35" customWidth="1"/>
    <col min="532" max="534" width="8.26953125" style="35" customWidth="1"/>
    <col min="535" max="541" width="8.7265625" style="35" customWidth="1"/>
    <col min="542" max="766" width="3.54296875" style="35"/>
    <col min="767" max="767" width="9.26953125" style="35" customWidth="1"/>
    <col min="768" max="768" width="1.7265625" style="35" customWidth="1"/>
    <col min="769" max="784" width="8.26953125" style="35" customWidth="1"/>
    <col min="785" max="786" width="10.81640625" style="35" customWidth="1"/>
    <col min="787" max="787" width="42.1796875" style="35" customWidth="1"/>
    <col min="788" max="790" width="8.26953125" style="35" customWidth="1"/>
    <col min="791" max="797" width="8.7265625" style="35" customWidth="1"/>
    <col min="798" max="1022" width="3.54296875" style="35"/>
    <col min="1023" max="1023" width="9.26953125" style="35" customWidth="1"/>
    <col min="1024" max="1024" width="1.7265625" style="35" customWidth="1"/>
    <col min="1025" max="1040" width="8.26953125" style="35" customWidth="1"/>
    <col min="1041" max="1042" width="10.81640625" style="35" customWidth="1"/>
    <col min="1043" max="1043" width="42.1796875" style="35" customWidth="1"/>
    <col min="1044" max="1046" width="8.26953125" style="35" customWidth="1"/>
    <col min="1047" max="1053" width="8.7265625" style="35" customWidth="1"/>
    <col min="1054" max="1278" width="3.54296875" style="35"/>
    <col min="1279" max="1279" width="9.26953125" style="35" customWidth="1"/>
    <col min="1280" max="1280" width="1.7265625" style="35" customWidth="1"/>
    <col min="1281" max="1296" width="8.26953125" style="35" customWidth="1"/>
    <col min="1297" max="1298" width="10.81640625" style="35" customWidth="1"/>
    <col min="1299" max="1299" width="42.1796875" style="35" customWidth="1"/>
    <col min="1300" max="1302" width="8.26953125" style="35" customWidth="1"/>
    <col min="1303" max="1309" width="8.7265625" style="35" customWidth="1"/>
    <col min="1310" max="1534" width="3.54296875" style="35"/>
    <col min="1535" max="1535" width="9.26953125" style="35" customWidth="1"/>
    <col min="1536" max="1536" width="1.7265625" style="35" customWidth="1"/>
    <col min="1537" max="1552" width="8.26953125" style="35" customWidth="1"/>
    <col min="1553" max="1554" width="10.81640625" style="35" customWidth="1"/>
    <col min="1555" max="1555" width="42.1796875" style="35" customWidth="1"/>
    <col min="1556" max="1558" width="8.26953125" style="35" customWidth="1"/>
    <col min="1559" max="1565" width="8.7265625" style="35" customWidth="1"/>
    <col min="1566" max="1790" width="3.54296875" style="35"/>
    <col min="1791" max="1791" width="9.26953125" style="35" customWidth="1"/>
    <col min="1792" max="1792" width="1.7265625" style="35" customWidth="1"/>
    <col min="1793" max="1808" width="8.26953125" style="35" customWidth="1"/>
    <col min="1809" max="1810" width="10.81640625" style="35" customWidth="1"/>
    <col min="1811" max="1811" width="42.1796875" style="35" customWidth="1"/>
    <col min="1812" max="1814" width="8.26953125" style="35" customWidth="1"/>
    <col min="1815" max="1821" width="8.7265625" style="35" customWidth="1"/>
    <col min="1822" max="2046" width="3.54296875" style="35"/>
    <col min="2047" max="2047" width="9.26953125" style="35" customWidth="1"/>
    <col min="2048" max="2048" width="1.7265625" style="35" customWidth="1"/>
    <col min="2049" max="2064" width="8.26953125" style="35" customWidth="1"/>
    <col min="2065" max="2066" width="10.81640625" style="35" customWidth="1"/>
    <col min="2067" max="2067" width="42.1796875" style="35" customWidth="1"/>
    <col min="2068" max="2070" width="8.26953125" style="35" customWidth="1"/>
    <col min="2071" max="2077" width="8.7265625" style="35" customWidth="1"/>
    <col min="2078" max="2302" width="3.54296875" style="35"/>
    <col min="2303" max="2303" width="9.26953125" style="35" customWidth="1"/>
    <col min="2304" max="2304" width="1.7265625" style="35" customWidth="1"/>
    <col min="2305" max="2320" width="8.26953125" style="35" customWidth="1"/>
    <col min="2321" max="2322" width="10.81640625" style="35" customWidth="1"/>
    <col min="2323" max="2323" width="42.1796875" style="35" customWidth="1"/>
    <col min="2324" max="2326" width="8.26953125" style="35" customWidth="1"/>
    <col min="2327" max="2333" width="8.7265625" style="35" customWidth="1"/>
    <col min="2334" max="2558" width="3.54296875" style="35"/>
    <col min="2559" max="2559" width="9.26953125" style="35" customWidth="1"/>
    <col min="2560" max="2560" width="1.7265625" style="35" customWidth="1"/>
    <col min="2561" max="2576" width="8.26953125" style="35" customWidth="1"/>
    <col min="2577" max="2578" width="10.81640625" style="35" customWidth="1"/>
    <col min="2579" max="2579" width="42.1796875" style="35" customWidth="1"/>
    <col min="2580" max="2582" width="8.26953125" style="35" customWidth="1"/>
    <col min="2583" max="2589" width="8.7265625" style="35" customWidth="1"/>
    <col min="2590" max="2814" width="3.54296875" style="35"/>
    <col min="2815" max="2815" width="9.26953125" style="35" customWidth="1"/>
    <col min="2816" max="2816" width="1.7265625" style="35" customWidth="1"/>
    <col min="2817" max="2832" width="8.26953125" style="35" customWidth="1"/>
    <col min="2833" max="2834" width="10.81640625" style="35" customWidth="1"/>
    <col min="2835" max="2835" width="42.1796875" style="35" customWidth="1"/>
    <col min="2836" max="2838" width="8.26953125" style="35" customWidth="1"/>
    <col min="2839" max="2845" width="8.7265625" style="35" customWidth="1"/>
    <col min="2846" max="3070" width="3.54296875" style="35"/>
    <col min="3071" max="3071" width="9.26953125" style="35" customWidth="1"/>
    <col min="3072" max="3072" width="1.7265625" style="35" customWidth="1"/>
    <col min="3073" max="3088" width="8.26953125" style="35" customWidth="1"/>
    <col min="3089" max="3090" width="10.81640625" style="35" customWidth="1"/>
    <col min="3091" max="3091" width="42.1796875" style="35" customWidth="1"/>
    <col min="3092" max="3094" width="8.26953125" style="35" customWidth="1"/>
    <col min="3095" max="3101" width="8.7265625" style="35" customWidth="1"/>
    <col min="3102" max="3326" width="3.54296875" style="35"/>
    <col min="3327" max="3327" width="9.26953125" style="35" customWidth="1"/>
    <col min="3328" max="3328" width="1.7265625" style="35" customWidth="1"/>
    <col min="3329" max="3344" width="8.26953125" style="35" customWidth="1"/>
    <col min="3345" max="3346" width="10.81640625" style="35" customWidth="1"/>
    <col min="3347" max="3347" width="42.1796875" style="35" customWidth="1"/>
    <col min="3348" max="3350" width="8.26953125" style="35" customWidth="1"/>
    <col min="3351" max="3357" width="8.7265625" style="35" customWidth="1"/>
    <col min="3358" max="3582" width="3.54296875" style="35"/>
    <col min="3583" max="3583" width="9.26953125" style="35" customWidth="1"/>
    <col min="3584" max="3584" width="1.7265625" style="35" customWidth="1"/>
    <col min="3585" max="3600" width="8.26953125" style="35" customWidth="1"/>
    <col min="3601" max="3602" width="10.81640625" style="35" customWidth="1"/>
    <col min="3603" max="3603" width="42.1796875" style="35" customWidth="1"/>
    <col min="3604" max="3606" width="8.26953125" style="35" customWidth="1"/>
    <col min="3607" max="3613" width="8.7265625" style="35" customWidth="1"/>
    <col min="3614" max="3838" width="3.54296875" style="35"/>
    <col min="3839" max="3839" width="9.26953125" style="35" customWidth="1"/>
    <col min="3840" max="3840" width="1.7265625" style="35" customWidth="1"/>
    <col min="3841" max="3856" width="8.26953125" style="35" customWidth="1"/>
    <col min="3857" max="3858" width="10.81640625" style="35" customWidth="1"/>
    <col min="3859" max="3859" width="42.1796875" style="35" customWidth="1"/>
    <col min="3860" max="3862" width="8.26953125" style="35" customWidth="1"/>
    <col min="3863" max="3869" width="8.7265625" style="35" customWidth="1"/>
    <col min="3870" max="4094" width="3.54296875" style="35"/>
    <col min="4095" max="4095" width="9.26953125" style="35" customWidth="1"/>
    <col min="4096" max="4096" width="1.7265625" style="35" customWidth="1"/>
    <col min="4097" max="4112" width="8.26953125" style="35" customWidth="1"/>
    <col min="4113" max="4114" width="10.81640625" style="35" customWidth="1"/>
    <col min="4115" max="4115" width="42.1796875" style="35" customWidth="1"/>
    <col min="4116" max="4118" width="8.26953125" style="35" customWidth="1"/>
    <col min="4119" max="4125" width="8.7265625" style="35" customWidth="1"/>
    <col min="4126" max="4350" width="3.54296875" style="35"/>
    <col min="4351" max="4351" width="9.26953125" style="35" customWidth="1"/>
    <col min="4352" max="4352" width="1.7265625" style="35" customWidth="1"/>
    <col min="4353" max="4368" width="8.26953125" style="35" customWidth="1"/>
    <col min="4369" max="4370" width="10.81640625" style="35" customWidth="1"/>
    <col min="4371" max="4371" width="42.1796875" style="35" customWidth="1"/>
    <col min="4372" max="4374" width="8.26953125" style="35" customWidth="1"/>
    <col min="4375" max="4381" width="8.7265625" style="35" customWidth="1"/>
    <col min="4382" max="4606" width="3.54296875" style="35"/>
    <col min="4607" max="4607" width="9.26953125" style="35" customWidth="1"/>
    <col min="4608" max="4608" width="1.7265625" style="35" customWidth="1"/>
    <col min="4609" max="4624" width="8.26953125" style="35" customWidth="1"/>
    <col min="4625" max="4626" width="10.81640625" style="35" customWidth="1"/>
    <col min="4627" max="4627" width="42.1796875" style="35" customWidth="1"/>
    <col min="4628" max="4630" width="8.26953125" style="35" customWidth="1"/>
    <col min="4631" max="4637" width="8.7265625" style="35" customWidth="1"/>
    <col min="4638" max="4862" width="3.54296875" style="35"/>
    <col min="4863" max="4863" width="9.26953125" style="35" customWidth="1"/>
    <col min="4864" max="4864" width="1.7265625" style="35" customWidth="1"/>
    <col min="4865" max="4880" width="8.26953125" style="35" customWidth="1"/>
    <col min="4881" max="4882" width="10.81640625" style="35" customWidth="1"/>
    <col min="4883" max="4883" width="42.1796875" style="35" customWidth="1"/>
    <col min="4884" max="4886" width="8.26953125" style="35" customWidth="1"/>
    <col min="4887" max="4893" width="8.7265625" style="35" customWidth="1"/>
    <col min="4894" max="5118" width="3.54296875" style="35"/>
    <col min="5119" max="5119" width="9.26953125" style="35" customWidth="1"/>
    <col min="5120" max="5120" width="1.7265625" style="35" customWidth="1"/>
    <col min="5121" max="5136" width="8.26953125" style="35" customWidth="1"/>
    <col min="5137" max="5138" width="10.81640625" style="35" customWidth="1"/>
    <col min="5139" max="5139" width="42.1796875" style="35" customWidth="1"/>
    <col min="5140" max="5142" width="8.26953125" style="35" customWidth="1"/>
    <col min="5143" max="5149" width="8.7265625" style="35" customWidth="1"/>
    <col min="5150" max="5374" width="3.54296875" style="35"/>
    <col min="5375" max="5375" width="9.26953125" style="35" customWidth="1"/>
    <col min="5376" max="5376" width="1.7265625" style="35" customWidth="1"/>
    <col min="5377" max="5392" width="8.26953125" style="35" customWidth="1"/>
    <col min="5393" max="5394" width="10.81640625" style="35" customWidth="1"/>
    <col min="5395" max="5395" width="42.1796875" style="35" customWidth="1"/>
    <col min="5396" max="5398" width="8.26953125" style="35" customWidth="1"/>
    <col min="5399" max="5405" width="8.7265625" style="35" customWidth="1"/>
    <col min="5406" max="5630" width="3.54296875" style="35"/>
    <col min="5631" max="5631" width="9.26953125" style="35" customWidth="1"/>
    <col min="5632" max="5632" width="1.7265625" style="35" customWidth="1"/>
    <col min="5633" max="5648" width="8.26953125" style="35" customWidth="1"/>
    <col min="5649" max="5650" width="10.81640625" style="35" customWidth="1"/>
    <col min="5651" max="5651" width="42.1796875" style="35" customWidth="1"/>
    <col min="5652" max="5654" width="8.26953125" style="35" customWidth="1"/>
    <col min="5655" max="5661" width="8.7265625" style="35" customWidth="1"/>
    <col min="5662" max="5886" width="3.54296875" style="35"/>
    <col min="5887" max="5887" width="9.26953125" style="35" customWidth="1"/>
    <col min="5888" max="5888" width="1.7265625" style="35" customWidth="1"/>
    <col min="5889" max="5904" width="8.26953125" style="35" customWidth="1"/>
    <col min="5905" max="5906" width="10.81640625" style="35" customWidth="1"/>
    <col min="5907" max="5907" width="42.1796875" style="35" customWidth="1"/>
    <col min="5908" max="5910" width="8.26953125" style="35" customWidth="1"/>
    <col min="5911" max="5917" width="8.7265625" style="35" customWidth="1"/>
    <col min="5918" max="6142" width="3.54296875" style="35"/>
    <col min="6143" max="6143" width="9.26953125" style="35" customWidth="1"/>
    <col min="6144" max="6144" width="1.7265625" style="35" customWidth="1"/>
    <col min="6145" max="6160" width="8.26953125" style="35" customWidth="1"/>
    <col min="6161" max="6162" width="10.81640625" style="35" customWidth="1"/>
    <col min="6163" max="6163" width="42.1796875" style="35" customWidth="1"/>
    <col min="6164" max="6166" width="8.26953125" style="35" customWidth="1"/>
    <col min="6167" max="6173" width="8.7265625" style="35" customWidth="1"/>
    <col min="6174" max="6398" width="3.54296875" style="35"/>
    <col min="6399" max="6399" width="9.26953125" style="35" customWidth="1"/>
    <col min="6400" max="6400" width="1.7265625" style="35" customWidth="1"/>
    <col min="6401" max="6416" width="8.26953125" style="35" customWidth="1"/>
    <col min="6417" max="6418" width="10.81640625" style="35" customWidth="1"/>
    <col min="6419" max="6419" width="42.1796875" style="35" customWidth="1"/>
    <col min="6420" max="6422" width="8.26953125" style="35" customWidth="1"/>
    <col min="6423" max="6429" width="8.7265625" style="35" customWidth="1"/>
    <col min="6430" max="6654" width="3.54296875" style="35"/>
    <col min="6655" max="6655" width="9.26953125" style="35" customWidth="1"/>
    <col min="6656" max="6656" width="1.7265625" style="35" customWidth="1"/>
    <col min="6657" max="6672" width="8.26953125" style="35" customWidth="1"/>
    <col min="6673" max="6674" width="10.81640625" style="35" customWidth="1"/>
    <col min="6675" max="6675" width="42.1796875" style="35" customWidth="1"/>
    <col min="6676" max="6678" width="8.26953125" style="35" customWidth="1"/>
    <col min="6679" max="6685" width="8.7265625" style="35" customWidth="1"/>
    <col min="6686" max="6910" width="3.54296875" style="35"/>
    <col min="6911" max="6911" width="9.26953125" style="35" customWidth="1"/>
    <col min="6912" max="6912" width="1.7265625" style="35" customWidth="1"/>
    <col min="6913" max="6928" width="8.26953125" style="35" customWidth="1"/>
    <col min="6929" max="6930" width="10.81640625" style="35" customWidth="1"/>
    <col min="6931" max="6931" width="42.1796875" style="35" customWidth="1"/>
    <col min="6932" max="6934" width="8.26953125" style="35" customWidth="1"/>
    <col min="6935" max="6941" width="8.7265625" style="35" customWidth="1"/>
    <col min="6942" max="7166" width="3.54296875" style="35"/>
    <col min="7167" max="7167" width="9.26953125" style="35" customWidth="1"/>
    <col min="7168" max="7168" width="1.7265625" style="35" customWidth="1"/>
    <col min="7169" max="7184" width="8.26953125" style="35" customWidth="1"/>
    <col min="7185" max="7186" width="10.81640625" style="35" customWidth="1"/>
    <col min="7187" max="7187" width="42.1796875" style="35" customWidth="1"/>
    <col min="7188" max="7190" width="8.26953125" style="35" customWidth="1"/>
    <col min="7191" max="7197" width="8.7265625" style="35" customWidth="1"/>
    <col min="7198" max="7422" width="3.54296875" style="35"/>
    <col min="7423" max="7423" width="9.26953125" style="35" customWidth="1"/>
    <col min="7424" max="7424" width="1.7265625" style="35" customWidth="1"/>
    <col min="7425" max="7440" width="8.26953125" style="35" customWidth="1"/>
    <col min="7441" max="7442" width="10.81640625" style="35" customWidth="1"/>
    <col min="7443" max="7443" width="42.1796875" style="35" customWidth="1"/>
    <col min="7444" max="7446" width="8.26953125" style="35" customWidth="1"/>
    <col min="7447" max="7453" width="8.7265625" style="35" customWidth="1"/>
    <col min="7454" max="7678" width="3.54296875" style="35"/>
    <col min="7679" max="7679" width="9.26953125" style="35" customWidth="1"/>
    <col min="7680" max="7680" width="1.7265625" style="35" customWidth="1"/>
    <col min="7681" max="7696" width="8.26953125" style="35" customWidth="1"/>
    <col min="7697" max="7698" width="10.81640625" style="35" customWidth="1"/>
    <col min="7699" max="7699" width="42.1796875" style="35" customWidth="1"/>
    <col min="7700" max="7702" width="8.26953125" style="35" customWidth="1"/>
    <col min="7703" max="7709" width="8.7265625" style="35" customWidth="1"/>
    <col min="7710" max="7934" width="3.54296875" style="35"/>
    <col min="7935" max="7935" width="9.26953125" style="35" customWidth="1"/>
    <col min="7936" max="7936" width="1.7265625" style="35" customWidth="1"/>
    <col min="7937" max="7952" width="8.26953125" style="35" customWidth="1"/>
    <col min="7953" max="7954" width="10.81640625" style="35" customWidth="1"/>
    <col min="7955" max="7955" width="42.1796875" style="35" customWidth="1"/>
    <col min="7956" max="7958" width="8.26953125" style="35" customWidth="1"/>
    <col min="7959" max="7965" width="8.7265625" style="35" customWidth="1"/>
    <col min="7966" max="8190" width="3.54296875" style="35"/>
    <col min="8191" max="8191" width="9.26953125" style="35" customWidth="1"/>
    <col min="8192" max="8192" width="1.7265625" style="35" customWidth="1"/>
    <col min="8193" max="8208" width="8.26953125" style="35" customWidth="1"/>
    <col min="8209" max="8210" width="10.81640625" style="35" customWidth="1"/>
    <col min="8211" max="8211" width="42.1796875" style="35" customWidth="1"/>
    <col min="8212" max="8214" width="8.26953125" style="35" customWidth="1"/>
    <col min="8215" max="8221" width="8.7265625" style="35" customWidth="1"/>
    <col min="8222" max="8446" width="3.54296875" style="35"/>
    <col min="8447" max="8447" width="9.26953125" style="35" customWidth="1"/>
    <col min="8448" max="8448" width="1.7265625" style="35" customWidth="1"/>
    <col min="8449" max="8464" width="8.26953125" style="35" customWidth="1"/>
    <col min="8465" max="8466" width="10.81640625" style="35" customWidth="1"/>
    <col min="8467" max="8467" width="42.1796875" style="35" customWidth="1"/>
    <col min="8468" max="8470" width="8.26953125" style="35" customWidth="1"/>
    <col min="8471" max="8477" width="8.7265625" style="35" customWidth="1"/>
    <col min="8478" max="8702" width="3.54296875" style="35"/>
    <col min="8703" max="8703" width="9.26953125" style="35" customWidth="1"/>
    <col min="8704" max="8704" width="1.7265625" style="35" customWidth="1"/>
    <col min="8705" max="8720" width="8.26953125" style="35" customWidth="1"/>
    <col min="8721" max="8722" width="10.81640625" style="35" customWidth="1"/>
    <col min="8723" max="8723" width="42.1796875" style="35" customWidth="1"/>
    <col min="8724" max="8726" width="8.26953125" style="35" customWidth="1"/>
    <col min="8727" max="8733" width="8.7265625" style="35" customWidth="1"/>
    <col min="8734" max="8958" width="3.54296875" style="35"/>
    <col min="8959" max="8959" width="9.26953125" style="35" customWidth="1"/>
    <col min="8960" max="8960" width="1.7265625" style="35" customWidth="1"/>
    <col min="8961" max="8976" width="8.26953125" style="35" customWidth="1"/>
    <col min="8977" max="8978" width="10.81640625" style="35" customWidth="1"/>
    <col min="8979" max="8979" width="42.1796875" style="35" customWidth="1"/>
    <col min="8980" max="8982" width="8.26953125" style="35" customWidth="1"/>
    <col min="8983" max="8989" width="8.7265625" style="35" customWidth="1"/>
    <col min="8990" max="9214" width="3.54296875" style="35"/>
    <col min="9215" max="9215" width="9.26953125" style="35" customWidth="1"/>
    <col min="9216" max="9216" width="1.7265625" style="35" customWidth="1"/>
    <col min="9217" max="9232" width="8.26953125" style="35" customWidth="1"/>
    <col min="9233" max="9234" width="10.81640625" style="35" customWidth="1"/>
    <col min="9235" max="9235" width="42.1796875" style="35" customWidth="1"/>
    <col min="9236" max="9238" width="8.26953125" style="35" customWidth="1"/>
    <col min="9239" max="9245" width="8.7265625" style="35" customWidth="1"/>
    <col min="9246" max="9470" width="3.54296875" style="35"/>
    <col min="9471" max="9471" width="9.26953125" style="35" customWidth="1"/>
    <col min="9472" max="9472" width="1.7265625" style="35" customWidth="1"/>
    <col min="9473" max="9488" width="8.26953125" style="35" customWidth="1"/>
    <col min="9489" max="9490" width="10.81640625" style="35" customWidth="1"/>
    <col min="9491" max="9491" width="42.1796875" style="35" customWidth="1"/>
    <col min="9492" max="9494" width="8.26953125" style="35" customWidth="1"/>
    <col min="9495" max="9501" width="8.7265625" style="35" customWidth="1"/>
    <col min="9502" max="9726" width="3.54296875" style="35"/>
    <col min="9727" max="9727" width="9.26953125" style="35" customWidth="1"/>
    <col min="9728" max="9728" width="1.7265625" style="35" customWidth="1"/>
    <col min="9729" max="9744" width="8.26953125" style="35" customWidth="1"/>
    <col min="9745" max="9746" width="10.81640625" style="35" customWidth="1"/>
    <col min="9747" max="9747" width="42.1796875" style="35" customWidth="1"/>
    <col min="9748" max="9750" width="8.26953125" style="35" customWidth="1"/>
    <col min="9751" max="9757" width="8.7265625" style="35" customWidth="1"/>
    <col min="9758" max="9982" width="3.54296875" style="35"/>
    <col min="9983" max="9983" width="9.26953125" style="35" customWidth="1"/>
    <col min="9984" max="9984" width="1.7265625" style="35" customWidth="1"/>
    <col min="9985" max="10000" width="8.26953125" style="35" customWidth="1"/>
    <col min="10001" max="10002" width="10.81640625" style="35" customWidth="1"/>
    <col min="10003" max="10003" width="42.1796875" style="35" customWidth="1"/>
    <col min="10004" max="10006" width="8.26953125" style="35" customWidth="1"/>
    <col min="10007" max="10013" width="8.7265625" style="35" customWidth="1"/>
    <col min="10014" max="10238" width="3.54296875" style="35"/>
    <col min="10239" max="10239" width="9.26953125" style="35" customWidth="1"/>
    <col min="10240" max="10240" width="1.7265625" style="35" customWidth="1"/>
    <col min="10241" max="10256" width="8.26953125" style="35" customWidth="1"/>
    <col min="10257" max="10258" width="10.81640625" style="35" customWidth="1"/>
    <col min="10259" max="10259" width="42.1796875" style="35" customWidth="1"/>
    <col min="10260" max="10262" width="8.26953125" style="35" customWidth="1"/>
    <col min="10263" max="10269" width="8.7265625" style="35" customWidth="1"/>
    <col min="10270" max="10494" width="3.54296875" style="35"/>
    <col min="10495" max="10495" width="9.26953125" style="35" customWidth="1"/>
    <col min="10496" max="10496" width="1.7265625" style="35" customWidth="1"/>
    <col min="10497" max="10512" width="8.26953125" style="35" customWidth="1"/>
    <col min="10513" max="10514" width="10.81640625" style="35" customWidth="1"/>
    <col min="10515" max="10515" width="42.1796875" style="35" customWidth="1"/>
    <col min="10516" max="10518" width="8.26953125" style="35" customWidth="1"/>
    <col min="10519" max="10525" width="8.7265625" style="35" customWidth="1"/>
    <col min="10526" max="10750" width="3.54296875" style="35"/>
    <col min="10751" max="10751" width="9.26953125" style="35" customWidth="1"/>
    <col min="10752" max="10752" width="1.7265625" style="35" customWidth="1"/>
    <col min="10753" max="10768" width="8.26953125" style="35" customWidth="1"/>
    <col min="10769" max="10770" width="10.81640625" style="35" customWidth="1"/>
    <col min="10771" max="10771" width="42.1796875" style="35" customWidth="1"/>
    <col min="10772" max="10774" width="8.26953125" style="35" customWidth="1"/>
    <col min="10775" max="10781" width="8.7265625" style="35" customWidth="1"/>
    <col min="10782" max="11006" width="3.54296875" style="35"/>
    <col min="11007" max="11007" width="9.26953125" style="35" customWidth="1"/>
    <col min="11008" max="11008" width="1.7265625" style="35" customWidth="1"/>
    <col min="11009" max="11024" width="8.26953125" style="35" customWidth="1"/>
    <col min="11025" max="11026" width="10.81640625" style="35" customWidth="1"/>
    <col min="11027" max="11027" width="42.1796875" style="35" customWidth="1"/>
    <col min="11028" max="11030" width="8.26953125" style="35" customWidth="1"/>
    <col min="11031" max="11037" width="8.7265625" style="35" customWidth="1"/>
    <col min="11038" max="11262" width="3.54296875" style="35"/>
    <col min="11263" max="11263" width="9.26953125" style="35" customWidth="1"/>
    <col min="11264" max="11264" width="1.7265625" style="35" customWidth="1"/>
    <col min="11265" max="11280" width="8.26953125" style="35" customWidth="1"/>
    <col min="11281" max="11282" width="10.81640625" style="35" customWidth="1"/>
    <col min="11283" max="11283" width="42.1796875" style="35" customWidth="1"/>
    <col min="11284" max="11286" width="8.26953125" style="35" customWidth="1"/>
    <col min="11287" max="11293" width="8.7265625" style="35" customWidth="1"/>
    <col min="11294" max="11518" width="3.54296875" style="35"/>
    <col min="11519" max="11519" width="9.26953125" style="35" customWidth="1"/>
    <col min="11520" max="11520" width="1.7265625" style="35" customWidth="1"/>
    <col min="11521" max="11536" width="8.26953125" style="35" customWidth="1"/>
    <col min="11537" max="11538" width="10.81640625" style="35" customWidth="1"/>
    <col min="11539" max="11539" width="42.1796875" style="35" customWidth="1"/>
    <col min="11540" max="11542" width="8.26953125" style="35" customWidth="1"/>
    <col min="11543" max="11549" width="8.7265625" style="35" customWidth="1"/>
    <col min="11550" max="11774" width="3.54296875" style="35"/>
    <col min="11775" max="11775" width="9.26953125" style="35" customWidth="1"/>
    <col min="11776" max="11776" width="1.7265625" style="35" customWidth="1"/>
    <col min="11777" max="11792" width="8.26953125" style="35" customWidth="1"/>
    <col min="11793" max="11794" width="10.81640625" style="35" customWidth="1"/>
    <col min="11795" max="11795" width="42.1796875" style="35" customWidth="1"/>
    <col min="11796" max="11798" width="8.26953125" style="35" customWidth="1"/>
    <col min="11799" max="11805" width="8.7265625" style="35" customWidth="1"/>
    <col min="11806" max="12030" width="3.54296875" style="35"/>
    <col min="12031" max="12031" width="9.26953125" style="35" customWidth="1"/>
    <col min="12032" max="12032" width="1.7265625" style="35" customWidth="1"/>
    <col min="12033" max="12048" width="8.26953125" style="35" customWidth="1"/>
    <col min="12049" max="12050" width="10.81640625" style="35" customWidth="1"/>
    <col min="12051" max="12051" width="42.1796875" style="35" customWidth="1"/>
    <col min="12052" max="12054" width="8.26953125" style="35" customWidth="1"/>
    <col min="12055" max="12061" width="8.7265625" style="35" customWidth="1"/>
    <col min="12062" max="12286" width="3.54296875" style="35"/>
    <col min="12287" max="12287" width="9.26953125" style="35" customWidth="1"/>
    <col min="12288" max="12288" width="1.7265625" style="35" customWidth="1"/>
    <col min="12289" max="12304" width="8.26953125" style="35" customWidth="1"/>
    <col min="12305" max="12306" width="10.81640625" style="35" customWidth="1"/>
    <col min="12307" max="12307" width="42.1796875" style="35" customWidth="1"/>
    <col min="12308" max="12310" width="8.26953125" style="35" customWidth="1"/>
    <col min="12311" max="12317" width="8.7265625" style="35" customWidth="1"/>
    <col min="12318" max="12542" width="3.54296875" style="35"/>
    <col min="12543" max="12543" width="9.26953125" style="35" customWidth="1"/>
    <col min="12544" max="12544" width="1.7265625" style="35" customWidth="1"/>
    <col min="12545" max="12560" width="8.26953125" style="35" customWidth="1"/>
    <col min="12561" max="12562" width="10.81640625" style="35" customWidth="1"/>
    <col min="12563" max="12563" width="42.1796875" style="35" customWidth="1"/>
    <col min="12564" max="12566" width="8.26953125" style="35" customWidth="1"/>
    <col min="12567" max="12573" width="8.7265625" style="35" customWidth="1"/>
    <col min="12574" max="12798" width="3.54296875" style="35"/>
    <col min="12799" max="12799" width="9.26953125" style="35" customWidth="1"/>
    <col min="12800" max="12800" width="1.7265625" style="35" customWidth="1"/>
    <col min="12801" max="12816" width="8.26953125" style="35" customWidth="1"/>
    <col min="12817" max="12818" width="10.81640625" style="35" customWidth="1"/>
    <col min="12819" max="12819" width="42.1796875" style="35" customWidth="1"/>
    <col min="12820" max="12822" width="8.26953125" style="35" customWidth="1"/>
    <col min="12823" max="12829" width="8.7265625" style="35" customWidth="1"/>
    <col min="12830" max="13054" width="3.54296875" style="35"/>
    <col min="13055" max="13055" width="9.26953125" style="35" customWidth="1"/>
    <col min="13056" max="13056" width="1.7265625" style="35" customWidth="1"/>
    <col min="13057" max="13072" width="8.26953125" style="35" customWidth="1"/>
    <col min="13073" max="13074" width="10.81640625" style="35" customWidth="1"/>
    <col min="13075" max="13075" width="42.1796875" style="35" customWidth="1"/>
    <col min="13076" max="13078" width="8.26953125" style="35" customWidth="1"/>
    <col min="13079" max="13085" width="8.7265625" style="35" customWidth="1"/>
    <col min="13086" max="13310" width="3.54296875" style="35"/>
    <col min="13311" max="13311" width="9.26953125" style="35" customWidth="1"/>
    <col min="13312" max="13312" width="1.7265625" style="35" customWidth="1"/>
    <col min="13313" max="13328" width="8.26953125" style="35" customWidth="1"/>
    <col min="13329" max="13330" width="10.81640625" style="35" customWidth="1"/>
    <col min="13331" max="13331" width="42.1796875" style="35" customWidth="1"/>
    <col min="13332" max="13334" width="8.26953125" style="35" customWidth="1"/>
    <col min="13335" max="13341" width="8.7265625" style="35" customWidth="1"/>
    <col min="13342" max="13566" width="3.54296875" style="35"/>
    <col min="13567" max="13567" width="9.26953125" style="35" customWidth="1"/>
    <col min="13568" max="13568" width="1.7265625" style="35" customWidth="1"/>
    <col min="13569" max="13584" width="8.26953125" style="35" customWidth="1"/>
    <col min="13585" max="13586" width="10.81640625" style="35" customWidth="1"/>
    <col min="13587" max="13587" width="42.1796875" style="35" customWidth="1"/>
    <col min="13588" max="13590" width="8.26953125" style="35" customWidth="1"/>
    <col min="13591" max="13597" width="8.7265625" style="35" customWidth="1"/>
    <col min="13598" max="13822" width="3.54296875" style="35"/>
    <col min="13823" max="13823" width="9.26953125" style="35" customWidth="1"/>
    <col min="13824" max="13824" width="1.7265625" style="35" customWidth="1"/>
    <col min="13825" max="13840" width="8.26953125" style="35" customWidth="1"/>
    <col min="13841" max="13842" width="10.81640625" style="35" customWidth="1"/>
    <col min="13843" max="13843" width="42.1796875" style="35" customWidth="1"/>
    <col min="13844" max="13846" width="8.26953125" style="35" customWidth="1"/>
    <col min="13847" max="13853" width="8.7265625" style="35" customWidth="1"/>
    <col min="13854" max="14078" width="3.54296875" style="35"/>
    <col min="14079" max="14079" width="9.26953125" style="35" customWidth="1"/>
    <col min="14080" max="14080" width="1.7265625" style="35" customWidth="1"/>
    <col min="14081" max="14096" width="8.26953125" style="35" customWidth="1"/>
    <col min="14097" max="14098" width="10.81640625" style="35" customWidth="1"/>
    <col min="14099" max="14099" width="42.1796875" style="35" customWidth="1"/>
    <col min="14100" max="14102" width="8.26953125" style="35" customWidth="1"/>
    <col min="14103" max="14109" width="8.7265625" style="35" customWidth="1"/>
    <col min="14110" max="14334" width="3.54296875" style="35"/>
    <col min="14335" max="14335" width="9.26953125" style="35" customWidth="1"/>
    <col min="14336" max="14336" width="1.7265625" style="35" customWidth="1"/>
    <col min="14337" max="14352" width="8.26953125" style="35" customWidth="1"/>
    <col min="14353" max="14354" width="10.81640625" style="35" customWidth="1"/>
    <col min="14355" max="14355" width="42.1796875" style="35" customWidth="1"/>
    <col min="14356" max="14358" width="8.26953125" style="35" customWidth="1"/>
    <col min="14359" max="14365" width="8.7265625" style="35" customWidth="1"/>
    <col min="14366" max="14590" width="3.54296875" style="35"/>
    <col min="14591" max="14591" width="9.26953125" style="35" customWidth="1"/>
    <col min="14592" max="14592" width="1.7265625" style="35" customWidth="1"/>
    <col min="14593" max="14608" width="8.26953125" style="35" customWidth="1"/>
    <col min="14609" max="14610" width="10.81640625" style="35" customWidth="1"/>
    <col min="14611" max="14611" width="42.1796875" style="35" customWidth="1"/>
    <col min="14612" max="14614" width="8.26953125" style="35" customWidth="1"/>
    <col min="14615" max="14621" width="8.7265625" style="35" customWidth="1"/>
    <col min="14622" max="14846" width="3.54296875" style="35"/>
    <col min="14847" max="14847" width="9.26953125" style="35" customWidth="1"/>
    <col min="14848" max="14848" width="1.7265625" style="35" customWidth="1"/>
    <col min="14849" max="14864" width="8.26953125" style="35" customWidth="1"/>
    <col min="14865" max="14866" width="10.81640625" style="35" customWidth="1"/>
    <col min="14867" max="14867" width="42.1796875" style="35" customWidth="1"/>
    <col min="14868" max="14870" width="8.26953125" style="35" customWidth="1"/>
    <col min="14871" max="14877" width="8.7265625" style="35" customWidth="1"/>
    <col min="14878" max="15102" width="3.54296875" style="35"/>
    <col min="15103" max="15103" width="9.26953125" style="35" customWidth="1"/>
    <col min="15104" max="15104" width="1.7265625" style="35" customWidth="1"/>
    <col min="15105" max="15120" width="8.26953125" style="35" customWidth="1"/>
    <col min="15121" max="15122" width="10.81640625" style="35" customWidth="1"/>
    <col min="15123" max="15123" width="42.1796875" style="35" customWidth="1"/>
    <col min="15124" max="15126" width="8.26953125" style="35" customWidth="1"/>
    <col min="15127" max="15133" width="8.7265625" style="35" customWidth="1"/>
    <col min="15134" max="15358" width="3.54296875" style="35"/>
    <col min="15359" max="15359" width="9.26953125" style="35" customWidth="1"/>
    <col min="15360" max="15360" width="1.7265625" style="35" customWidth="1"/>
    <col min="15361" max="15376" width="8.26953125" style="35" customWidth="1"/>
    <col min="15377" max="15378" width="10.81640625" style="35" customWidth="1"/>
    <col min="15379" max="15379" width="42.1796875" style="35" customWidth="1"/>
    <col min="15380" max="15382" width="8.26953125" style="35" customWidth="1"/>
    <col min="15383" max="15389" width="8.7265625" style="35" customWidth="1"/>
    <col min="15390" max="15614" width="3.54296875" style="35"/>
    <col min="15615" max="15615" width="9.26953125" style="35" customWidth="1"/>
    <col min="15616" max="15616" width="1.7265625" style="35" customWidth="1"/>
    <col min="15617" max="15632" width="8.26953125" style="35" customWidth="1"/>
    <col min="15633" max="15634" width="10.81640625" style="35" customWidth="1"/>
    <col min="15635" max="15635" width="42.1796875" style="35" customWidth="1"/>
    <col min="15636" max="15638" width="8.26953125" style="35" customWidth="1"/>
    <col min="15639" max="15645" width="8.7265625" style="35" customWidth="1"/>
    <col min="15646" max="15870" width="3.54296875" style="35"/>
    <col min="15871" max="15871" width="9.26953125" style="35" customWidth="1"/>
    <col min="15872" max="15872" width="1.7265625" style="35" customWidth="1"/>
    <col min="15873" max="15888" width="8.26953125" style="35" customWidth="1"/>
    <col min="15889" max="15890" width="10.81640625" style="35" customWidth="1"/>
    <col min="15891" max="15891" width="42.1796875" style="35" customWidth="1"/>
    <col min="15892" max="15894" width="8.26953125" style="35" customWidth="1"/>
    <col min="15895" max="15901" width="8.7265625" style="35" customWidth="1"/>
    <col min="15902" max="16126" width="3.54296875" style="35"/>
    <col min="16127" max="16127" width="9.26953125" style="35" customWidth="1"/>
    <col min="16128" max="16128" width="1.7265625" style="35" customWidth="1"/>
    <col min="16129" max="16144" width="8.26953125" style="35" customWidth="1"/>
    <col min="16145" max="16146" width="10.81640625" style="35" customWidth="1"/>
    <col min="16147" max="16147" width="42.1796875" style="35" customWidth="1"/>
    <col min="16148" max="16150" width="8.26953125" style="35" customWidth="1"/>
    <col min="16151" max="16157" width="8.7265625" style="35" customWidth="1"/>
    <col min="16158" max="16384" width="3.54296875" style="35"/>
  </cols>
  <sheetData>
    <row r="1" spans="1:29">
      <c r="A1" s="34" t="s">
        <v>0</v>
      </c>
      <c r="N1" s="36"/>
      <c r="O1" s="36"/>
      <c r="P1" s="37"/>
      <c r="Q1" s="37"/>
      <c r="R1" s="37"/>
      <c r="S1" s="37">
        <f>+'Simple - 5%'!U1</f>
        <v>45565</v>
      </c>
    </row>
    <row r="2" spans="1:29">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row>
    <row r="3" spans="1:29">
      <c r="A3" s="40" t="s">
        <v>400</v>
      </c>
      <c r="C3" s="41"/>
      <c r="D3" s="41"/>
      <c r="E3" s="41"/>
      <c r="F3" s="41"/>
      <c r="G3" s="41">
        <f ca="1">TODAY()</f>
        <v>45797</v>
      </c>
      <c r="H3" s="41">
        <v>45107</v>
      </c>
      <c r="I3" s="41">
        <v>45473</v>
      </c>
      <c r="J3" s="41">
        <v>45838</v>
      </c>
      <c r="K3" s="41">
        <v>46203</v>
      </c>
      <c r="L3" s="41">
        <v>46568</v>
      </c>
      <c r="M3" s="41">
        <v>46934</v>
      </c>
      <c r="N3" s="41">
        <v>47299</v>
      </c>
      <c r="O3" s="41">
        <v>47664</v>
      </c>
      <c r="P3" s="41">
        <v>48029</v>
      </c>
      <c r="Q3" s="41">
        <v>48395</v>
      </c>
      <c r="R3" s="41">
        <v>48760</v>
      </c>
      <c r="S3" s="41">
        <v>49125</v>
      </c>
    </row>
    <row r="4" spans="1:29" ht="13.5">
      <c r="A4" s="42"/>
      <c r="C4" s="43" t="str">
        <f>+Historical!C4</f>
        <v>FYE June 30th</v>
      </c>
      <c r="D4" s="44"/>
      <c r="E4" s="44"/>
      <c r="F4" s="44"/>
      <c r="G4" s="44"/>
      <c r="H4" s="44"/>
      <c r="I4" s="44"/>
      <c r="J4" s="44"/>
      <c r="K4" s="44"/>
      <c r="L4" s="44"/>
      <c r="M4" s="44"/>
      <c r="N4" s="44"/>
      <c r="O4" s="44"/>
      <c r="P4" s="44"/>
      <c r="Q4" s="44"/>
      <c r="R4" s="44"/>
      <c r="S4" s="44"/>
    </row>
    <row r="5" spans="1:29" ht="13.5">
      <c r="C5" s="45" t="s">
        <v>4</v>
      </c>
      <c r="D5" s="45" t="s">
        <v>5</v>
      </c>
      <c r="E5" s="45" t="s">
        <v>6</v>
      </c>
      <c r="F5" s="45" t="s">
        <v>7</v>
      </c>
      <c r="G5" s="45" t="s">
        <v>8</v>
      </c>
      <c r="H5" s="45" t="s">
        <v>533</v>
      </c>
      <c r="I5" s="45" t="s">
        <v>10</v>
      </c>
      <c r="J5" s="45" t="s">
        <v>11</v>
      </c>
      <c r="K5" s="45" t="s">
        <v>12</v>
      </c>
      <c r="L5" s="45" t="s">
        <v>13</v>
      </c>
      <c r="M5" s="45" t="s">
        <v>14</v>
      </c>
      <c r="N5" s="45" t="s">
        <v>15</v>
      </c>
      <c r="O5" s="45" t="s">
        <v>16</v>
      </c>
      <c r="P5" s="45" t="s">
        <v>17</v>
      </c>
      <c r="Q5" s="45" t="s">
        <v>18</v>
      </c>
      <c r="R5" s="45" t="s">
        <v>19</v>
      </c>
      <c r="S5" s="45" t="s">
        <v>20</v>
      </c>
    </row>
    <row r="6" spans="1:29" ht="13.5">
      <c r="C6" s="45"/>
      <c r="D6" s="45"/>
      <c r="E6" s="45"/>
      <c r="F6" s="93"/>
      <c r="G6" s="45"/>
      <c r="H6" s="45"/>
      <c r="I6" s="45"/>
      <c r="J6" s="45"/>
      <c r="K6" s="45"/>
      <c r="L6" s="45"/>
      <c r="M6" s="45"/>
      <c r="N6" s="45"/>
      <c r="O6" s="45"/>
      <c r="P6" s="45"/>
      <c r="Q6" s="45"/>
      <c r="R6" s="45"/>
      <c r="S6" s="45"/>
      <c r="T6" s="35" t="s">
        <v>22</v>
      </c>
      <c r="V6" s="54">
        <f>+AVERAGE(P7:Q7)/0.85</f>
        <v>3886.3146554912582</v>
      </c>
      <c r="W6" s="34" t="s">
        <v>537</v>
      </c>
    </row>
    <row r="7" spans="1:29" s="34" customFormat="1">
      <c r="A7" s="50" t="s">
        <v>272</v>
      </c>
      <c r="B7" s="54"/>
      <c r="C7" s="53">
        <f>+Historical!Q33</f>
        <v>0.54400000000000004</v>
      </c>
      <c r="D7" s="53">
        <f>+Historical!R33</f>
        <v>5.71</v>
      </c>
      <c r="E7" s="53">
        <f>+Historical!S33</f>
        <v>22.856000000000002</v>
      </c>
      <c r="F7" s="53">
        <f>+Historical!T33</f>
        <v>92.409000000000006</v>
      </c>
      <c r="G7" s="53">
        <f>+Historical!U33</f>
        <v>209.88385500000001</v>
      </c>
      <c r="H7" s="53">
        <f>+Historical!V33</f>
        <v>416.22699999999998</v>
      </c>
      <c r="I7" s="55">
        <f>'Simple - 5%'!I7/'Simple - 5%'!O83</f>
        <v>702.27126929674193</v>
      </c>
      <c r="J7" s="55">
        <f t="shared" ref="J7:O7" si="0">+I7*(1+J8)</f>
        <v>948.06621355060167</v>
      </c>
      <c r="K7" s="55">
        <f t="shared" si="0"/>
        <v>1232.4860776157823</v>
      </c>
      <c r="L7" s="55">
        <f t="shared" si="0"/>
        <v>1540.6075970197278</v>
      </c>
      <c r="M7" s="55">
        <f t="shared" si="0"/>
        <v>1879.5412683640679</v>
      </c>
      <c r="N7" s="55">
        <f t="shared" si="0"/>
        <v>2255.4495220368813</v>
      </c>
      <c r="O7" s="55">
        <f t="shared" si="0"/>
        <v>2661.4304360035198</v>
      </c>
      <c r="P7" s="55">
        <f t="shared" ref="P7" si="1">+O7*(1+P8)</f>
        <v>3087.2593057640829</v>
      </c>
      <c r="Q7" s="55">
        <f t="shared" ref="Q7" si="2">+P7*(1+Q8)</f>
        <v>3519.4756085710551</v>
      </c>
      <c r="R7" s="55">
        <f t="shared" ref="R7" si="3">+Q7*(1+R8)</f>
        <v>3941.812681599582</v>
      </c>
      <c r="S7" s="55">
        <f t="shared" ref="S7" si="4">+R7*(1+S8)</f>
        <v>4335.9939497595406</v>
      </c>
      <c r="V7" s="58"/>
      <c r="W7" s="98">
        <f>+O73</f>
        <v>0.69278464789220273</v>
      </c>
    </row>
    <row r="8" spans="1:29">
      <c r="A8" s="51" t="s">
        <v>25</v>
      </c>
      <c r="C8" s="52"/>
      <c r="D8" s="52">
        <f t="shared" ref="D8:F8" si="5">D7/C7-1</f>
        <v>9.4963235294117645</v>
      </c>
      <c r="E8" s="52">
        <f t="shared" si="5"/>
        <v>3.0028021015761821</v>
      </c>
      <c r="F8" s="56">
        <f t="shared" si="5"/>
        <v>3.0430959047952397</v>
      </c>
      <c r="G8" s="56">
        <f t="shared" ref="G8:I8" si="6">G7/F7-1</f>
        <v>1.2712490666493523</v>
      </c>
      <c r="H8" s="56">
        <f t="shared" si="6"/>
        <v>0.98313014595620007</v>
      </c>
      <c r="I8" s="52">
        <f t="shared" si="6"/>
        <v>0.68723141289907175</v>
      </c>
      <c r="J8" s="52">
        <f>+Down!J8</f>
        <v>0.35</v>
      </c>
      <c r="K8" s="52">
        <f>+Down!K8</f>
        <v>0.3</v>
      </c>
      <c r="L8" s="52">
        <f>+Down!L8</f>
        <v>0.25</v>
      </c>
      <c r="M8" s="52">
        <f>+Down!M8</f>
        <v>0.22</v>
      </c>
      <c r="N8" s="52">
        <f>+Down!N8</f>
        <v>0.2</v>
      </c>
      <c r="O8" s="52">
        <f>+Down!O8</f>
        <v>0.18</v>
      </c>
      <c r="P8" s="52">
        <f>+Down!P8</f>
        <v>0.16</v>
      </c>
      <c r="Q8" s="52">
        <f>+Down!Q8</f>
        <v>0.14000000000000001</v>
      </c>
      <c r="R8" s="52">
        <f>+Down!R8</f>
        <v>0.12</v>
      </c>
      <c r="S8" s="52">
        <f>+Down!S8</f>
        <v>0.1</v>
      </c>
      <c r="V8" s="58">
        <f>+V6/W7</f>
        <v>5609.7008894688561</v>
      </c>
      <c r="W8" s="35" t="s">
        <v>538</v>
      </c>
    </row>
    <row r="9" spans="1:29">
      <c r="A9" s="51"/>
      <c r="C9" s="52"/>
      <c r="D9" s="52"/>
      <c r="E9" s="52"/>
      <c r="F9" s="52"/>
      <c r="G9" s="52"/>
      <c r="H9" s="52"/>
      <c r="I9" s="52"/>
      <c r="J9" s="52"/>
      <c r="K9" s="52"/>
      <c r="L9" s="52"/>
      <c r="M9" s="52"/>
      <c r="N9" s="52"/>
      <c r="O9" s="52"/>
      <c r="P9" s="52"/>
      <c r="Q9" s="52"/>
      <c r="R9" s="52"/>
      <c r="S9" s="52"/>
    </row>
    <row r="10" spans="1:29">
      <c r="A10" s="50" t="s">
        <v>26</v>
      </c>
      <c r="C10" s="53">
        <f>+Historical!Q40</f>
        <v>0.28100000000000003</v>
      </c>
      <c r="D10" s="53">
        <f>+Historical!R40</f>
        <v>1.4630000000000001</v>
      </c>
      <c r="E10" s="53">
        <f>+Historical!S40</f>
        <v>6.4139999999999997</v>
      </c>
      <c r="F10" s="53">
        <f>+Historical!T40</f>
        <v>21.975520999999993</v>
      </c>
      <c r="G10" s="53">
        <f>+Historical!U40</f>
        <v>37.358752000000003</v>
      </c>
      <c r="H10" s="53">
        <f>+Historical!V40</f>
        <v>95.623767999999984</v>
      </c>
      <c r="I10" s="52"/>
      <c r="J10" s="52"/>
      <c r="K10" s="52"/>
      <c r="L10" s="52"/>
      <c r="M10" s="52"/>
      <c r="N10" s="52"/>
      <c r="O10" s="52"/>
      <c r="P10" s="52"/>
      <c r="Q10" s="52"/>
      <c r="R10" s="52"/>
      <c r="S10" s="52"/>
    </row>
    <row r="11" spans="1:29">
      <c r="A11" s="51" t="s">
        <v>25</v>
      </c>
      <c r="C11" s="52"/>
      <c r="D11" s="52">
        <f t="shared" ref="D11" si="7">D10/C10-1</f>
        <v>4.2064056939501775</v>
      </c>
      <c r="E11" s="52">
        <f t="shared" ref="E11" si="8">E10/D10-1</f>
        <v>3.3841421736158575</v>
      </c>
      <c r="F11" s="56">
        <f t="shared" ref="F11" si="9">F10/E10-1</f>
        <v>2.4261803866541931</v>
      </c>
      <c r="G11" s="56">
        <f t="shared" ref="G11" si="10">G10/F10-1</f>
        <v>0.70001666854678968</v>
      </c>
      <c r="H11" s="56">
        <f t="shared" ref="H11" si="11">H10/G10-1</f>
        <v>1.5596082010448309</v>
      </c>
      <c r="I11" s="52"/>
      <c r="J11" s="52"/>
      <c r="K11" s="52"/>
      <c r="L11" s="52"/>
      <c r="M11" s="52"/>
      <c r="N11" s="52"/>
      <c r="O11" s="52"/>
      <c r="P11" s="52"/>
      <c r="Q11" s="52"/>
      <c r="R11" s="52"/>
      <c r="S11" s="52"/>
    </row>
    <row r="12" spans="1:29">
      <c r="A12" s="51" t="s">
        <v>27</v>
      </c>
      <c r="C12" s="52">
        <f>+C10/C$7</f>
        <v>0.51654411764705888</v>
      </c>
      <c r="D12" s="52">
        <f t="shared" ref="D12:H12" si="12">+D10/D$7</f>
        <v>0.25621716287215412</v>
      </c>
      <c r="E12" s="52">
        <f t="shared" si="12"/>
        <v>0.28062653132656629</v>
      </c>
      <c r="F12" s="52">
        <f t="shared" si="12"/>
        <v>0.23780715081864312</v>
      </c>
      <c r="G12" s="52">
        <f t="shared" si="12"/>
        <v>0.17799726424883897</v>
      </c>
      <c r="H12" s="52">
        <f t="shared" si="12"/>
        <v>0.22973946428271108</v>
      </c>
      <c r="I12" s="52"/>
      <c r="J12" s="52"/>
      <c r="K12" s="52"/>
      <c r="L12" s="52"/>
      <c r="M12" s="52"/>
      <c r="N12" s="52"/>
      <c r="O12" s="52"/>
      <c r="P12" s="52"/>
      <c r="Q12" s="52"/>
      <c r="R12" s="52"/>
      <c r="S12" s="52"/>
    </row>
    <row r="13" spans="1:29">
      <c r="A13" s="51"/>
      <c r="C13" s="52"/>
      <c r="D13" s="52"/>
      <c r="E13" s="52"/>
      <c r="F13" s="52"/>
      <c r="G13" s="52"/>
      <c r="H13" s="52"/>
      <c r="I13" s="52"/>
      <c r="J13" s="52"/>
      <c r="K13" s="52"/>
      <c r="L13" s="52"/>
      <c r="M13" s="52"/>
      <c r="N13" s="52"/>
      <c r="O13" s="52"/>
      <c r="P13" s="52"/>
      <c r="Q13" s="52"/>
      <c r="R13" s="52"/>
      <c r="S13" s="52"/>
    </row>
    <row r="14" spans="1:29" s="34" customFormat="1">
      <c r="A14" s="50" t="s">
        <v>93</v>
      </c>
      <c r="B14" s="54"/>
      <c r="C14" s="53">
        <f>+Historical!Q114</f>
        <v>0.16900000000000001</v>
      </c>
      <c r="D14" s="53">
        <f>+Historical!R114</f>
        <v>0.60599999999999998</v>
      </c>
      <c r="E14" s="53">
        <f>+Historical!S114</f>
        <v>2.7549999999999999</v>
      </c>
      <c r="F14" s="53">
        <f>+Historical!T114</f>
        <v>2.2850000000000001</v>
      </c>
      <c r="G14" s="53">
        <f>+Historical!U114</f>
        <v>-21.888000000000002</v>
      </c>
      <c r="H14" s="53">
        <f>+Historical!V114</f>
        <v>28.879141999999987</v>
      </c>
      <c r="I14" s="55">
        <f t="shared" ref="I14:S14" si="13">+I16*I7</f>
        <v>28.815274790359812</v>
      </c>
      <c r="J14" s="55">
        <f t="shared" si="13"/>
        <v>39.67359275885341</v>
      </c>
      <c r="K14" s="55">
        <f t="shared" si="13"/>
        <v>52.580533915937401</v>
      </c>
      <c r="L14" s="55">
        <f t="shared" si="13"/>
        <v>66.98174655670671</v>
      </c>
      <c r="M14" s="55">
        <f t="shared" si="13"/>
        <v>83.250147376559838</v>
      </c>
      <c r="N14" s="55">
        <f t="shared" si="13"/>
        <v>101.73907674472495</v>
      </c>
      <c r="O14" s="55">
        <f t="shared" si="13"/>
        <v>122.2220124323422</v>
      </c>
      <c r="P14" s="55">
        <f t="shared" si="13"/>
        <v>144.29462059485436</v>
      </c>
      <c r="Q14" s="55">
        <f t="shared" si="13"/>
        <v>167.36534571573867</v>
      </c>
      <c r="R14" s="55">
        <f t="shared" si="13"/>
        <v>190.66300282774455</v>
      </c>
      <c r="S14" s="55">
        <f t="shared" si="13"/>
        <v>213.26450029924797</v>
      </c>
    </row>
    <row r="15" spans="1:29">
      <c r="A15" s="51" t="s">
        <v>25</v>
      </c>
      <c r="C15" s="52"/>
      <c r="D15" s="52">
        <f t="shared" ref="D15:E15" si="14">+D14/C14-1</f>
        <v>2.585798816568047</v>
      </c>
      <c r="E15" s="52">
        <f t="shared" si="14"/>
        <v>3.5462046204620465</v>
      </c>
      <c r="F15" s="56">
        <f t="shared" ref="F15" si="15">+IFERROR(F14/E14-1,"-")</f>
        <v>-0.17059891107078029</v>
      </c>
      <c r="G15" s="56">
        <f t="shared" ref="G15" si="16">+IFERROR(G14/F14-1,"-")</f>
        <v>-10.578993435448577</v>
      </c>
      <c r="H15" s="56">
        <f t="shared" ref="H15" si="17">+IFERROR(H14/G14-1,"-")</f>
        <v>-2.3194052448830402</v>
      </c>
      <c r="I15" s="56">
        <f t="shared" ref="I15" si="18">+IFERROR(I14/H14-1,"-")</f>
        <v>-2.2115341806268063E-3</v>
      </c>
      <c r="J15" s="56">
        <f t="shared" ref="J15" si="19">+IFERROR(J14/I14-1,"-")</f>
        <v>0.37682507099069085</v>
      </c>
      <c r="K15" s="56">
        <f t="shared" ref="K15" si="20">+IFERROR(K14/J14-1,"-")</f>
        <v>0.32532826647527968</v>
      </c>
      <c r="L15" s="56">
        <f t="shared" ref="L15" si="21">+IFERROR(L14/K14-1,"-")</f>
        <v>0.27388867263678041</v>
      </c>
      <c r="M15" s="56">
        <f t="shared" ref="M15" si="22">+IFERROR(M14/L14-1,"-")</f>
        <v>0.24287812211764748</v>
      </c>
      <c r="N15" s="56">
        <f t="shared" ref="N15" si="23">+IFERROR(N14/M14-1,"-")</f>
        <v>0.22208884849819399</v>
      </c>
      <c r="O15" s="56">
        <f t="shared" ref="O15" si="24">+IFERROR(O14/N14-1,"-")</f>
        <v>0.2013281065938044</v>
      </c>
      <c r="P15" s="56">
        <f t="shared" ref="P15" si="25">+IFERROR(P14/O14-1,"-")</f>
        <v>0.18059437676769385</v>
      </c>
      <c r="Q15" s="56">
        <f t="shared" ref="Q15" si="26">+IFERROR(Q14/P14-1,"-")</f>
        <v>0.15988624541771057</v>
      </c>
      <c r="R15" s="56">
        <f t="shared" ref="R15" si="27">+IFERROR(R14/Q14-1,"-")</f>
        <v>0.13920239588651606</v>
      </c>
      <c r="S15" s="56">
        <f t="shared" ref="S15" si="28">+IFERROR(S14/R14-1,"-")</f>
        <v>0.1185416002910793</v>
      </c>
    </row>
    <row r="16" spans="1:29">
      <c r="A16" s="51" t="s">
        <v>27</v>
      </c>
      <c r="C16" s="52">
        <f>+C14/C7</f>
        <v>0.31066176470588236</v>
      </c>
      <c r="D16" s="52">
        <f>+D14/D7</f>
        <v>0.10612959719789843</v>
      </c>
      <c r="E16" s="52">
        <f>+E14/E7</f>
        <v>0.12053727686384318</v>
      </c>
      <c r="F16" s="52">
        <f>+F14/F7</f>
        <v>2.4727028752610677E-2</v>
      </c>
      <c r="G16" s="52">
        <f>+G14/G7</f>
        <v>-0.10428624917338211</v>
      </c>
      <c r="H16" s="52">
        <f>+Down!H17</f>
        <v>6.9525741644843361E-2</v>
      </c>
      <c r="I16" s="52">
        <f>+Down!I17</f>
        <v>4.103154443327231E-2</v>
      </c>
      <c r="J16" s="52">
        <f>+Down!J17</f>
        <v>4.1846858575702098E-2</v>
      </c>
      <c r="K16" s="52">
        <f>+Down!K17</f>
        <v>4.2662172718131885E-2</v>
      </c>
      <c r="L16" s="52">
        <f>+Down!L17</f>
        <v>4.3477486860561673E-2</v>
      </c>
      <c r="M16" s="52">
        <f>+Down!M17</f>
        <v>4.4292801002991461E-2</v>
      </c>
      <c r="N16" s="52">
        <f>+Down!N17</f>
        <v>4.5108115145421249E-2</v>
      </c>
      <c r="O16" s="52">
        <f>+Down!O17</f>
        <v>4.5923429287851036E-2</v>
      </c>
      <c r="P16" s="52">
        <f>+Down!P17</f>
        <v>4.6738743430280824E-2</v>
      </c>
      <c r="Q16" s="52">
        <f>+Down!Q17</f>
        <v>4.7554057572710612E-2</v>
      </c>
      <c r="R16" s="52">
        <f>+Down!R17</f>
        <v>4.83693717151404E-2</v>
      </c>
      <c r="S16" s="52">
        <f>+Down!S17</f>
        <v>4.9184685857570187E-2</v>
      </c>
    </row>
    <row r="17" spans="1:19" hidden="1" outlineLevel="1">
      <c r="A17" s="51" t="s">
        <v>29</v>
      </c>
      <c r="C17" s="52"/>
      <c r="D17" s="52">
        <f t="shared" ref="D17:S17" si="29">(D14-C14)/(D7-C7)</f>
        <v>8.4591560201316279E-2</v>
      </c>
      <c r="E17" s="52">
        <f t="shared" si="29"/>
        <v>0.12533535518488276</v>
      </c>
      <c r="F17" s="52">
        <f t="shared" si="29"/>
        <v>-6.757436774833577E-3</v>
      </c>
      <c r="G17" s="52">
        <f t="shared" si="29"/>
        <v>-0.20577169471713755</v>
      </c>
      <c r="H17" s="52">
        <f t="shared" si="29"/>
        <v>0.24603260748012734</v>
      </c>
      <c r="I17" s="52">
        <f t="shared" si="29"/>
        <v>-2.2327736121823785E-4</v>
      </c>
      <c r="J17" s="52">
        <f t="shared" si="29"/>
        <v>4.4176327554072907E-2</v>
      </c>
      <c r="K17" s="52">
        <f t="shared" si="29"/>
        <v>4.5379886526231178E-2</v>
      </c>
      <c r="L17" s="52">
        <f t="shared" si="29"/>
        <v>4.6738743430280838E-2</v>
      </c>
      <c r="M17" s="52">
        <f t="shared" si="29"/>
        <v>4.7998774377672325E-2</v>
      </c>
      <c r="N17" s="52">
        <f t="shared" si="29"/>
        <v>4.918468585757016E-2</v>
      </c>
      <c r="O17" s="52">
        <f t="shared" si="29"/>
        <v>5.0452952301349871E-2</v>
      </c>
      <c r="P17" s="52">
        <f t="shared" si="29"/>
        <v>5.1834456820466987E-2</v>
      </c>
      <c r="Q17" s="52">
        <f t="shared" si="29"/>
        <v>5.3377730018637659E-2</v>
      </c>
      <c r="R17" s="52">
        <f t="shared" si="29"/>
        <v>5.5163656235388624E-2</v>
      </c>
      <c r="S17" s="52">
        <f t="shared" si="29"/>
        <v>5.7337827281868058E-2</v>
      </c>
    </row>
    <row r="18" spans="1:19" collapsed="1">
      <c r="A18" s="51" t="s">
        <v>30</v>
      </c>
      <c r="C18" s="52">
        <f>+C14/C$10</f>
        <v>0.60142348754448394</v>
      </c>
      <c r="D18" s="52">
        <f t="shared" ref="D18:H18" si="30">+D14/D$10</f>
        <v>0.4142173615857826</v>
      </c>
      <c r="E18" s="52">
        <f t="shared" si="30"/>
        <v>0.42952915497349548</v>
      </c>
      <c r="F18" s="52">
        <f t="shared" si="30"/>
        <v>0.10397933227612674</v>
      </c>
      <c r="G18" s="52">
        <f t="shared" si="30"/>
        <v>-0.58588680906685531</v>
      </c>
      <c r="H18" s="52">
        <f t="shared" si="30"/>
        <v>0.3020079903147091</v>
      </c>
      <c r="I18" s="52"/>
      <c r="J18" s="52"/>
      <c r="K18" s="52"/>
      <c r="L18" s="52"/>
      <c r="M18" s="52"/>
      <c r="N18" s="52"/>
      <c r="O18" s="52"/>
      <c r="P18" s="52"/>
      <c r="Q18" s="52"/>
      <c r="R18" s="52"/>
      <c r="S18" s="52"/>
    </row>
    <row r="19" spans="1:19">
      <c r="C19" s="34"/>
      <c r="D19" s="34"/>
      <c r="E19" s="34"/>
      <c r="F19" s="34"/>
      <c r="G19" s="34"/>
      <c r="H19" s="34"/>
      <c r="I19" s="34"/>
      <c r="J19" s="34"/>
      <c r="K19" s="34"/>
      <c r="L19" s="34"/>
      <c r="M19" s="34"/>
      <c r="N19" s="34"/>
      <c r="O19" s="34"/>
      <c r="P19" s="34"/>
      <c r="Q19" s="34"/>
      <c r="R19" s="34"/>
      <c r="S19" s="34"/>
    </row>
    <row r="20" spans="1:19">
      <c r="A20" s="35" t="s">
        <v>31</v>
      </c>
      <c r="B20" s="58"/>
      <c r="C20" s="53">
        <f>+Historical!Q120</f>
        <v>0.56499999999999995</v>
      </c>
      <c r="D20" s="53">
        <f>+Historical!R120</f>
        <v>1.1279999999999999</v>
      </c>
      <c r="E20" s="53">
        <f>+Historical!S120</f>
        <v>1.325</v>
      </c>
      <c r="F20" s="53">
        <f>+Historical!T120</f>
        <v>2.7069999999999999</v>
      </c>
      <c r="G20" s="53">
        <f>+Historical!U120</f>
        <v>8.375178</v>
      </c>
      <c r="H20" s="55">
        <f t="shared" ref="H20:S20" si="31">+H21*H7</f>
        <v>12.070245018652713</v>
      </c>
      <c r="I20" s="55">
        <f t="shared" si="31"/>
        <v>13.50640063880874</v>
      </c>
      <c r="J20" s="55">
        <f t="shared" si="31"/>
        <v>18.961324271012035</v>
      </c>
      <c r="K20" s="55">
        <f t="shared" si="31"/>
        <v>24.649721552315647</v>
      </c>
      <c r="L20" s="55">
        <f t="shared" si="31"/>
        <v>30.812151940394557</v>
      </c>
      <c r="M20" s="55">
        <f t="shared" si="31"/>
        <v>37.590825367281361</v>
      </c>
      <c r="N20" s="55">
        <f t="shared" si="31"/>
        <v>45.108990440737628</v>
      </c>
      <c r="O20" s="55">
        <f t="shared" si="31"/>
        <v>53.228608720070397</v>
      </c>
      <c r="P20" s="55">
        <f t="shared" si="31"/>
        <v>61.745186115281662</v>
      </c>
      <c r="Q20" s="55">
        <f t="shared" si="31"/>
        <v>70.389512171421103</v>
      </c>
      <c r="R20" s="55">
        <f t="shared" si="31"/>
        <v>78.836253631991639</v>
      </c>
      <c r="S20" s="55">
        <f t="shared" si="31"/>
        <v>86.719878995190811</v>
      </c>
    </row>
    <row r="21" spans="1:19">
      <c r="A21" s="51" t="s">
        <v>32</v>
      </c>
      <c r="C21" s="52">
        <f>+C20/C7</f>
        <v>1.0386029411764703</v>
      </c>
      <c r="D21" s="52">
        <f>+D20/D7</f>
        <v>0.19754816112084062</v>
      </c>
      <c r="E21" s="52">
        <f>+E20/E7</f>
        <v>5.7971648582429113E-2</v>
      </c>
      <c r="F21" s="52">
        <f>+F20/F7</f>
        <v>2.9293683515674875E-2</v>
      </c>
      <c r="G21" s="52">
        <f>+G20/G7</f>
        <v>3.9903869690215095E-2</v>
      </c>
      <c r="H21" s="52">
        <f>+Down!H22</f>
        <v>2.8999187987931378E-2</v>
      </c>
      <c r="I21" s="52">
        <f>+Down!I22</f>
        <v>1.9232455077272517E-2</v>
      </c>
      <c r="J21" s="52">
        <f>+Down!J22</f>
        <v>0.02</v>
      </c>
      <c r="K21" s="52">
        <f>+Down!K22</f>
        <v>0.02</v>
      </c>
      <c r="L21" s="52">
        <f>+Down!L22</f>
        <v>0.02</v>
      </c>
      <c r="M21" s="52">
        <f>+Down!M22</f>
        <v>0.02</v>
      </c>
      <c r="N21" s="52">
        <f>+Down!N22</f>
        <v>0.02</v>
      </c>
      <c r="O21" s="52">
        <f>+Down!O22</f>
        <v>0.02</v>
      </c>
      <c r="P21" s="52">
        <f>+Down!P22</f>
        <v>0.02</v>
      </c>
      <c r="Q21" s="52">
        <f>+Down!Q22</f>
        <v>0.02</v>
      </c>
      <c r="R21" s="52">
        <f>+Down!R22</f>
        <v>0.02</v>
      </c>
      <c r="S21" s="52">
        <f>+Down!S22</f>
        <v>0.02</v>
      </c>
    </row>
    <row r="22" spans="1:19">
      <c r="A22" s="51" t="s">
        <v>30</v>
      </c>
      <c r="C22" s="52">
        <f>+C20/C$10</f>
        <v>2.0106761565836293</v>
      </c>
      <c r="D22" s="52">
        <f t="shared" ref="D22:H22" si="32">+D20/D$10</f>
        <v>0.77101845522898138</v>
      </c>
      <c r="E22" s="52">
        <f t="shared" si="32"/>
        <v>0.20657935765512941</v>
      </c>
      <c r="F22" s="52">
        <f t="shared" si="32"/>
        <v>0.12318251749298689</v>
      </c>
      <c r="G22" s="52">
        <f t="shared" si="32"/>
        <v>0.22418248875123023</v>
      </c>
      <c r="H22" s="52">
        <f t="shared" si="32"/>
        <v>0.12622641076696239</v>
      </c>
      <c r="I22" s="52"/>
      <c r="J22" s="52"/>
      <c r="K22" s="52"/>
      <c r="L22" s="52"/>
      <c r="M22" s="52"/>
      <c r="N22" s="52"/>
      <c r="O22" s="52"/>
      <c r="P22" s="52"/>
      <c r="Q22" s="52"/>
      <c r="R22" s="52"/>
      <c r="S22" s="52"/>
    </row>
    <row r="23" spans="1:19">
      <c r="C23" s="34"/>
      <c r="D23" s="34"/>
      <c r="E23" s="34"/>
      <c r="F23" s="34"/>
      <c r="G23" s="34"/>
      <c r="H23" s="34"/>
      <c r="I23" s="34"/>
      <c r="J23" s="34"/>
      <c r="K23" s="34"/>
      <c r="L23" s="34"/>
      <c r="M23" s="34"/>
      <c r="N23" s="34"/>
      <c r="O23" s="34"/>
      <c r="P23" s="34"/>
      <c r="Q23" s="34"/>
      <c r="R23" s="34"/>
      <c r="S23" s="34"/>
    </row>
    <row r="24" spans="1:19">
      <c r="A24" s="35" t="s">
        <v>539</v>
      </c>
      <c r="B24" s="58"/>
      <c r="C24" s="55">
        <f t="shared" ref="C24:O24" si="33">+C14-C20</f>
        <v>-0.39599999999999991</v>
      </c>
      <c r="D24" s="55">
        <f t="shared" si="33"/>
        <v>-0.52199999999999991</v>
      </c>
      <c r="E24" s="55">
        <f t="shared" si="33"/>
        <v>1.43</v>
      </c>
      <c r="F24" s="55">
        <f t="shared" si="33"/>
        <v>-0.42199999999999971</v>
      </c>
      <c r="G24" s="55">
        <f t="shared" ref="G24" si="34">+G14-G20</f>
        <v>-30.263178000000003</v>
      </c>
      <c r="H24" s="55">
        <f t="shared" si="33"/>
        <v>16.808896981347274</v>
      </c>
      <c r="I24" s="55">
        <f t="shared" si="33"/>
        <v>15.308874151551072</v>
      </c>
      <c r="J24" s="55">
        <f t="shared" si="33"/>
        <v>20.712268487841374</v>
      </c>
      <c r="K24" s="55">
        <f t="shared" si="33"/>
        <v>27.930812363621754</v>
      </c>
      <c r="L24" s="55">
        <f t="shared" si="33"/>
        <v>36.169594616312153</v>
      </c>
      <c r="M24" s="55">
        <f t="shared" si="33"/>
        <v>45.659322009278476</v>
      </c>
      <c r="N24" s="55">
        <f t="shared" si="33"/>
        <v>56.630086303987326</v>
      </c>
      <c r="O24" s="55">
        <f t="shared" si="33"/>
        <v>68.9934037122718</v>
      </c>
      <c r="P24" s="55">
        <f t="shared" ref="P24:Q24" si="35">+P14-P20</f>
        <v>82.54943447957271</v>
      </c>
      <c r="Q24" s="55">
        <f t="shared" si="35"/>
        <v>96.975833544317567</v>
      </c>
      <c r="R24" s="55">
        <f t="shared" ref="R24:S24" si="36">+R14-R20</f>
        <v>111.82674919575291</v>
      </c>
      <c r="S24" s="55">
        <f t="shared" si="36"/>
        <v>126.54462130405716</v>
      </c>
    </row>
    <row r="25" spans="1:19">
      <c r="A25" s="51" t="s">
        <v>25</v>
      </c>
      <c r="C25" s="56"/>
      <c r="D25" s="56">
        <f t="shared" ref="D25:E25" si="37">+D24/C24-1</f>
        <v>0.31818181818181834</v>
      </c>
      <c r="E25" s="56">
        <f t="shared" si="37"/>
        <v>-3.7394636015325675</v>
      </c>
      <c r="F25" s="56">
        <f t="shared" ref="F25:H25" si="38">+IFERROR(F24/E24-1,"-")</f>
        <v>-1.2951048951048949</v>
      </c>
      <c r="G25" s="56">
        <f t="shared" ref="G25" si="39">+IFERROR(G24/F24-1,"-")</f>
        <v>70.713691943128026</v>
      </c>
      <c r="H25" s="56">
        <f t="shared" si="38"/>
        <v>-1.5554240529975825</v>
      </c>
      <c r="I25" s="56">
        <f>+IFERROR(I24/H24-1,"-")</f>
        <v>-8.9239813383398592E-2</v>
      </c>
      <c r="J25" s="56">
        <f t="shared" ref="J25:O25" si="40">+IFERROR(J24/I24-1,"-")</f>
        <v>0.35295830920021243</v>
      </c>
      <c r="K25" s="56">
        <f t="shared" si="40"/>
        <v>0.34851536807848205</v>
      </c>
      <c r="L25" s="56">
        <f t="shared" si="40"/>
        <v>0.29497109305066016</v>
      </c>
      <c r="M25" s="56">
        <f t="shared" si="40"/>
        <v>0.26236753531892076</v>
      </c>
      <c r="N25" s="56">
        <f t="shared" si="40"/>
        <v>0.24027435826750709</v>
      </c>
      <c r="O25" s="56">
        <f t="shared" si="40"/>
        <v>0.21831712107798729</v>
      </c>
      <c r="P25" s="56">
        <f t="shared" ref="P25" si="41">+IFERROR(P24/O24-1,"-")</f>
        <v>0.19648299747370945</v>
      </c>
      <c r="Q25" s="56">
        <f t="shared" ref="Q25" si="42">+IFERROR(Q24/P24-1,"-")</f>
        <v>0.17476072556638456</v>
      </c>
      <c r="R25" s="56">
        <f t="shared" ref="R25" si="43">+IFERROR(R24/Q24-1,"-")</f>
        <v>0.15314037640778344</v>
      </c>
      <c r="S25" s="56">
        <f t="shared" ref="S25" si="44">+IFERROR(S24/R24-1,"-")</f>
        <v>0.13161316245132548</v>
      </c>
    </row>
    <row r="26" spans="1:19">
      <c r="A26" s="51" t="s">
        <v>27</v>
      </c>
      <c r="C26" s="56">
        <f t="shared" ref="C26:S26" si="45">+C24/C7</f>
        <v>-0.72794117647058798</v>
      </c>
      <c r="D26" s="56">
        <f t="shared" si="45"/>
        <v>-9.1418563922942189E-2</v>
      </c>
      <c r="E26" s="56">
        <f t="shared" si="45"/>
        <v>6.2565628281414057E-2</v>
      </c>
      <c r="F26" s="56">
        <f t="shared" si="45"/>
        <v>-4.5666547630642002E-3</v>
      </c>
      <c r="G26" s="56">
        <f t="shared" si="45"/>
        <v>-0.1441901188635972</v>
      </c>
      <c r="H26" s="56">
        <f t="shared" si="45"/>
        <v>4.0383965916068097E-2</v>
      </c>
      <c r="I26" s="56">
        <f t="shared" si="45"/>
        <v>2.1799089355999793E-2</v>
      </c>
      <c r="J26" s="56">
        <f t="shared" si="45"/>
        <v>2.1846858575702094E-2</v>
      </c>
      <c r="K26" s="56">
        <f t="shared" si="45"/>
        <v>2.2662172718131882E-2</v>
      </c>
      <c r="L26" s="56">
        <f t="shared" si="45"/>
        <v>2.3477486860561673E-2</v>
      </c>
      <c r="M26" s="56">
        <f t="shared" si="45"/>
        <v>2.4292801002991464E-2</v>
      </c>
      <c r="N26" s="56">
        <f t="shared" si="45"/>
        <v>2.5108115145421245E-2</v>
      </c>
      <c r="O26" s="56">
        <f t="shared" si="45"/>
        <v>2.5923429287851036E-2</v>
      </c>
      <c r="P26" s="56">
        <f t="shared" si="45"/>
        <v>2.6738743430280824E-2</v>
      </c>
      <c r="Q26" s="56">
        <f t="shared" si="45"/>
        <v>2.7554057572710611E-2</v>
      </c>
      <c r="R26" s="56">
        <f t="shared" si="45"/>
        <v>2.8369371715140399E-2</v>
      </c>
      <c r="S26" s="59">
        <f t="shared" si="45"/>
        <v>2.9184685857570187E-2</v>
      </c>
    </row>
    <row r="27" spans="1:19" hidden="1" outlineLevel="1">
      <c r="A27" s="51" t="s">
        <v>29</v>
      </c>
      <c r="C27" s="52"/>
      <c r="D27" s="52">
        <f t="shared" ref="D27:S27" si="46">(D24-C24)/(D7-C7)</f>
        <v>-2.4390243902439022E-2</v>
      </c>
      <c r="E27" s="52">
        <f t="shared" si="46"/>
        <v>0.11384579493759477</v>
      </c>
      <c r="F27" s="52">
        <f t="shared" si="46"/>
        <v>-2.662717639785487E-2</v>
      </c>
      <c r="G27" s="52">
        <f t="shared" si="46"/>
        <v>-0.25402183301269027</v>
      </c>
      <c r="H27" s="52">
        <f t="shared" si="46"/>
        <v>0.22812521822010268</v>
      </c>
      <c r="I27" s="52">
        <f t="shared" si="46"/>
        <v>-5.2440233586364248E-3</v>
      </c>
      <c r="J27" s="52">
        <f t="shared" si="46"/>
        <v>2.1983342060565809E-2</v>
      </c>
      <c r="K27" s="52">
        <f t="shared" si="46"/>
        <v>2.5379886526231177E-2</v>
      </c>
      <c r="L27" s="52">
        <f t="shared" si="46"/>
        <v>2.6738743430280841E-2</v>
      </c>
      <c r="M27" s="52">
        <f t="shared" si="46"/>
        <v>2.7998774377672321E-2</v>
      </c>
      <c r="N27" s="52">
        <f t="shared" si="46"/>
        <v>2.9184685857570159E-2</v>
      </c>
      <c r="O27" s="52">
        <f t="shared" si="46"/>
        <v>3.0452952301349877E-2</v>
      </c>
      <c r="P27" s="52">
        <f t="shared" si="46"/>
        <v>3.1834456820466997E-2</v>
      </c>
      <c r="Q27" s="52">
        <f t="shared" si="46"/>
        <v>3.3377730018637655E-2</v>
      </c>
      <c r="R27" s="52">
        <f t="shared" si="46"/>
        <v>3.5163656235388634E-2</v>
      </c>
      <c r="S27" s="52">
        <f t="shared" si="46"/>
        <v>3.7337827281868054E-2</v>
      </c>
    </row>
    <row r="28" spans="1:19" collapsed="1">
      <c r="A28" s="51" t="s">
        <v>30</v>
      </c>
      <c r="C28" s="52">
        <f>+C24/C$10</f>
        <v>-1.4092526690391454</v>
      </c>
      <c r="D28" s="52">
        <f t="shared" ref="D28:H28" si="47">+D24/D$10</f>
        <v>-0.35680109364319884</v>
      </c>
      <c r="E28" s="52">
        <f t="shared" si="47"/>
        <v>0.22294979731836609</v>
      </c>
      <c r="F28" s="52">
        <f t="shared" si="47"/>
        <v>-1.9203185216860152E-2</v>
      </c>
      <c r="G28" s="52">
        <f t="shared" si="47"/>
        <v>-0.81006929781808557</v>
      </c>
      <c r="H28" s="52">
        <f t="shared" si="47"/>
        <v>0.17578157954774673</v>
      </c>
      <c r="I28" s="34"/>
      <c r="J28" s="34"/>
      <c r="K28" s="34"/>
      <c r="L28" s="34"/>
      <c r="M28" s="34"/>
      <c r="N28" s="34"/>
      <c r="O28" s="34"/>
      <c r="P28" s="34"/>
      <c r="Q28" s="34"/>
      <c r="R28" s="34"/>
      <c r="S28" s="34"/>
    </row>
    <row r="29" spans="1:19">
      <c r="C29" s="34"/>
      <c r="D29" s="34"/>
      <c r="E29" s="34"/>
      <c r="F29" s="34"/>
      <c r="G29" s="34"/>
      <c r="H29" s="34"/>
      <c r="I29" s="34"/>
      <c r="J29" s="34"/>
      <c r="K29" s="34"/>
      <c r="L29" s="34"/>
      <c r="M29" s="34"/>
      <c r="N29" s="34"/>
      <c r="O29" s="34"/>
      <c r="P29" s="34"/>
      <c r="Q29" s="34"/>
      <c r="R29" s="34"/>
      <c r="S29" s="34"/>
    </row>
    <row r="30" spans="1:19">
      <c r="A30" s="35" t="s">
        <v>34</v>
      </c>
      <c r="B30" s="58"/>
      <c r="C30" s="53">
        <f>+Historical!Q130</f>
        <v>0</v>
      </c>
      <c r="D30" s="53">
        <f>+Historical!R130</f>
        <v>0.23899999999999999</v>
      </c>
      <c r="E30" s="53">
        <f>+Historical!S130</f>
        <v>0.36599999999999999</v>
      </c>
      <c r="F30" s="53">
        <f>+Historical!T130</f>
        <v>0.66341499999999998</v>
      </c>
      <c r="G30" s="53">
        <f>+Historical!U130</f>
        <v>1.7775000000000001</v>
      </c>
      <c r="H30" s="55">
        <f>+H31*H7</f>
        <v>4.0826505899093544</v>
      </c>
      <c r="I30" s="55">
        <f t="shared" ref="I30:S30" si="48">+I31*I7</f>
        <v>6.1459636629908116</v>
      </c>
      <c r="J30" s="55">
        <f t="shared" si="48"/>
        <v>9.2665303383079998</v>
      </c>
      <c r="K30" s="55">
        <f t="shared" si="48"/>
        <v>13.306812651051924</v>
      </c>
      <c r="L30" s="55">
        <f t="shared" si="48"/>
        <v>18.20891982787931</v>
      </c>
      <c r="M30" s="55">
        <f t="shared" si="48"/>
        <v>24.136875087171333</v>
      </c>
      <c r="N30" s="55">
        <f t="shared" si="48"/>
        <v>31.270641581195886</v>
      </c>
      <c r="O30" s="55">
        <f t="shared" si="48"/>
        <v>39.620899008187685</v>
      </c>
      <c r="P30" s="55">
        <f t="shared" si="48"/>
        <v>49.117231502654498</v>
      </c>
      <c r="Q30" s="55">
        <f t="shared" si="48"/>
        <v>59.592610977624886</v>
      </c>
      <c r="R30" s="55">
        <f t="shared" si="48"/>
        <v>70.774567407290462</v>
      </c>
      <c r="S30" s="55">
        <f t="shared" si="48"/>
        <v>82.285951571605167</v>
      </c>
    </row>
    <row r="31" spans="1:19">
      <c r="A31" s="51" t="s">
        <v>32</v>
      </c>
      <c r="C31" s="56">
        <f>+C30/C7</f>
        <v>0</v>
      </c>
      <c r="D31" s="56">
        <f>+D30/D7</f>
        <v>4.1856392294220661E-2</v>
      </c>
      <c r="E31" s="56">
        <f>+E30/E7</f>
        <v>1.6013300665033252E-2</v>
      </c>
      <c r="F31" s="56">
        <f>+F30/F7</f>
        <v>7.1791167526972476E-3</v>
      </c>
      <c r="G31" s="56">
        <f>+G30/G7</f>
        <v>8.4689696594337852E-3</v>
      </c>
      <c r="H31" s="52">
        <f>+Down!H32</f>
        <v>9.8087115682292461E-3</v>
      </c>
      <c r="I31" s="52">
        <f>+Down!I32</f>
        <v>8.7515521874409179E-3</v>
      </c>
      <c r="J31" s="52">
        <f>+Down!J32</f>
        <v>9.774138352219016E-3</v>
      </c>
      <c r="K31" s="52">
        <f>+Down!K32</f>
        <v>1.0796724516997114E-2</v>
      </c>
      <c r="L31" s="52">
        <f>+Down!L32</f>
        <v>1.1819310681775212E-2</v>
      </c>
      <c r="M31" s="52">
        <f>+Down!M32</f>
        <v>1.284189684655331E-2</v>
      </c>
      <c r="N31" s="52">
        <f>+Down!N32</f>
        <v>1.3864483011331408E-2</v>
      </c>
      <c r="O31" s="52">
        <f>+Down!O32</f>
        <v>1.4887069176109506E-2</v>
      </c>
      <c r="P31" s="52">
        <f>+Down!P32</f>
        <v>1.5909655340887605E-2</v>
      </c>
      <c r="Q31" s="52">
        <f>+Down!Q32</f>
        <v>1.6932241505665704E-2</v>
      </c>
      <c r="R31" s="52">
        <f>+Down!R32</f>
        <v>1.7954827670443804E-2</v>
      </c>
      <c r="S31" s="52">
        <f>+Down!S32</f>
        <v>1.8977413835221904E-2</v>
      </c>
    </row>
    <row r="32" spans="1:19">
      <c r="A32" s="51" t="s">
        <v>30</v>
      </c>
      <c r="C32" s="52">
        <f>+C30/C$10</f>
        <v>0</v>
      </c>
      <c r="D32" s="52">
        <f t="shared" ref="D32:H32" si="49">+D30/D$10</f>
        <v>0.16336295283663704</v>
      </c>
      <c r="E32" s="52">
        <f t="shared" si="49"/>
        <v>5.7062675397567819E-2</v>
      </c>
      <c r="F32" s="52">
        <f t="shared" si="49"/>
        <v>3.0188817821429587E-2</v>
      </c>
      <c r="G32" s="52">
        <f t="shared" si="49"/>
        <v>4.7579212496177602E-2</v>
      </c>
      <c r="H32" s="52">
        <f t="shared" si="49"/>
        <v>4.2694935320990016E-2</v>
      </c>
      <c r="I32" s="52"/>
      <c r="J32" s="52"/>
      <c r="K32" s="52"/>
      <c r="L32" s="52"/>
      <c r="M32" s="52"/>
      <c r="N32" s="52"/>
      <c r="O32" s="52"/>
      <c r="P32" s="52"/>
      <c r="Q32" s="52"/>
      <c r="R32" s="52"/>
      <c r="S32" s="52"/>
    </row>
    <row r="33" spans="1:29">
      <c r="C33" s="34"/>
      <c r="D33" s="34"/>
      <c r="E33" s="34"/>
      <c r="F33" s="34"/>
      <c r="G33" s="34"/>
      <c r="H33" s="191"/>
      <c r="I33" s="34"/>
      <c r="J33" s="34"/>
      <c r="K33" s="34"/>
      <c r="L33" s="34"/>
      <c r="M33" s="34"/>
      <c r="N33" s="34"/>
      <c r="O33" s="34"/>
      <c r="P33" s="34"/>
      <c r="Q33" s="34"/>
      <c r="R33" s="34"/>
      <c r="S33" s="34"/>
    </row>
    <row r="34" spans="1:29">
      <c r="A34" s="35" t="s">
        <v>36</v>
      </c>
      <c r="B34" s="58"/>
      <c r="C34" s="53">
        <f>+Historical!Q132</f>
        <v>0</v>
      </c>
      <c r="D34" s="53">
        <f>+Historical!R132</f>
        <v>0</v>
      </c>
      <c r="E34" s="53">
        <f>+Historical!S132</f>
        <v>0</v>
      </c>
      <c r="F34" s="53">
        <f>+Historical!T132</f>
        <v>-9.2300000000000004E-3</v>
      </c>
      <c r="G34" s="55">
        <v>0</v>
      </c>
      <c r="H34" s="55">
        <v>0</v>
      </c>
      <c r="I34" s="55">
        <v>0</v>
      </c>
      <c r="J34" s="55">
        <v>0</v>
      </c>
      <c r="K34" s="55">
        <v>0</v>
      </c>
      <c r="L34" s="55">
        <v>0</v>
      </c>
      <c r="M34" s="55">
        <v>0</v>
      </c>
      <c r="N34" s="55">
        <v>0</v>
      </c>
      <c r="O34" s="55">
        <v>0</v>
      </c>
      <c r="P34" s="55">
        <v>0</v>
      </c>
      <c r="Q34" s="55">
        <v>0</v>
      </c>
      <c r="R34" s="55">
        <v>0</v>
      </c>
      <c r="S34" s="55">
        <v>0</v>
      </c>
    </row>
    <row r="35" spans="1:29" hidden="1" outlineLevel="1">
      <c r="A35" s="51" t="s">
        <v>37</v>
      </c>
      <c r="C35" s="57"/>
      <c r="D35" s="57"/>
      <c r="E35" s="57"/>
      <c r="F35" s="57"/>
      <c r="G35" s="57">
        <v>0.05</v>
      </c>
      <c r="H35" s="57">
        <f t="shared" ref="H35:N35" si="50">G35</f>
        <v>0.05</v>
      </c>
      <c r="I35" s="57">
        <f t="shared" si="50"/>
        <v>0.05</v>
      </c>
      <c r="J35" s="57">
        <f t="shared" si="50"/>
        <v>0.05</v>
      </c>
      <c r="K35" s="57">
        <f t="shared" si="50"/>
        <v>0.05</v>
      </c>
      <c r="L35" s="57">
        <f t="shared" si="50"/>
        <v>0.05</v>
      </c>
      <c r="M35" s="57">
        <f t="shared" si="50"/>
        <v>0.05</v>
      </c>
      <c r="N35" s="57">
        <f t="shared" si="50"/>
        <v>0.05</v>
      </c>
      <c r="O35" s="57">
        <f>N35</f>
        <v>0.05</v>
      </c>
      <c r="P35" s="57">
        <f t="shared" ref="P35" si="51">O35</f>
        <v>0.05</v>
      </c>
      <c r="Q35" s="57"/>
      <c r="R35" s="57"/>
      <c r="S35" s="57"/>
    </row>
    <row r="36" spans="1:29" collapsed="1">
      <c r="C36" s="34"/>
      <c r="D36" s="34"/>
      <c r="E36" s="34"/>
      <c r="F36" s="34"/>
      <c r="G36" s="34"/>
      <c r="H36" s="34"/>
      <c r="I36" s="34"/>
      <c r="J36" s="34"/>
      <c r="K36" s="34"/>
      <c r="L36" s="34"/>
      <c r="M36" s="34"/>
      <c r="N36" s="34"/>
      <c r="O36" s="34"/>
      <c r="P36" s="34"/>
      <c r="Q36" s="34"/>
      <c r="R36" s="34"/>
      <c r="S36" s="34"/>
    </row>
    <row r="37" spans="1:29">
      <c r="A37" s="34" t="s">
        <v>38</v>
      </c>
      <c r="B37" s="54"/>
      <c r="C37" s="55">
        <f t="shared" ref="C37:N37" si="52">+MAX((C14-C30-C34)*C38,0)</f>
        <v>5.0700000000000002E-2</v>
      </c>
      <c r="D37" s="55">
        <f t="shared" si="52"/>
        <v>0.11009999999999999</v>
      </c>
      <c r="E37" s="55">
        <f t="shared" si="52"/>
        <v>0.71669999999999989</v>
      </c>
      <c r="F37" s="55">
        <f t="shared" si="52"/>
        <v>0.48924450000000003</v>
      </c>
      <c r="G37" s="55">
        <f t="shared" si="52"/>
        <v>0</v>
      </c>
      <c r="H37" s="55">
        <f>+MAX((H14-H30-H34)*H38,0)</f>
        <v>7.438947423027189</v>
      </c>
      <c r="I37" s="55">
        <f t="shared" si="52"/>
        <v>6.8007933382107</v>
      </c>
      <c r="J37" s="55">
        <f t="shared" si="52"/>
        <v>9.1221187261636221</v>
      </c>
      <c r="K37" s="55">
        <f t="shared" si="52"/>
        <v>11.782116379465643</v>
      </c>
      <c r="L37" s="55">
        <f t="shared" si="52"/>
        <v>14.631848018648219</v>
      </c>
      <c r="M37" s="55">
        <f t="shared" si="52"/>
        <v>17.733981686816552</v>
      </c>
      <c r="N37" s="55">
        <f t="shared" si="52"/>
        <v>21.14053054905872</v>
      </c>
      <c r="O37" s="55">
        <f>+MAX((O14-O30-O34)*O38,0)</f>
        <v>24.780334027246351</v>
      </c>
      <c r="P37" s="55">
        <f t="shared" ref="P37:Q37" si="53">+MAX((P14-P30-P34)*P38,0)</f>
        <v>28.553216727659958</v>
      </c>
      <c r="Q37" s="55">
        <f t="shared" si="53"/>
        <v>32.331820421434131</v>
      </c>
      <c r="R37" s="55">
        <f t="shared" ref="R37:S37" si="54">+MAX((R14-R30-R34)*R38,0)</f>
        <v>35.966530626136226</v>
      </c>
      <c r="S37" s="55">
        <f t="shared" si="54"/>
        <v>39.293564618292841</v>
      </c>
      <c r="T37" s="34"/>
      <c r="U37" s="34"/>
      <c r="V37" s="34"/>
      <c r="W37" s="34"/>
      <c r="X37" s="34"/>
      <c r="Y37" s="34"/>
      <c r="Z37" s="34"/>
      <c r="AA37" s="34"/>
      <c r="AB37" s="34"/>
      <c r="AC37" s="34"/>
    </row>
    <row r="38" spans="1:29">
      <c r="A38" s="51" t="s">
        <v>37</v>
      </c>
      <c r="C38" s="52">
        <v>0.3</v>
      </c>
      <c r="D38" s="52">
        <f t="shared" ref="D38:G38" si="55">C38</f>
        <v>0.3</v>
      </c>
      <c r="E38" s="52">
        <f t="shared" si="55"/>
        <v>0.3</v>
      </c>
      <c r="F38" s="52">
        <f>E38</f>
        <v>0.3</v>
      </c>
      <c r="G38" s="52">
        <f t="shared" si="55"/>
        <v>0.3</v>
      </c>
      <c r="H38" s="52">
        <f>+Down!H44</f>
        <v>0.3</v>
      </c>
      <c r="I38" s="52">
        <f>+Down!I44</f>
        <v>0.3</v>
      </c>
      <c r="J38" s="52">
        <f>+Down!J44</f>
        <v>0.3</v>
      </c>
      <c r="K38" s="52">
        <f>+Down!K44</f>
        <v>0.3</v>
      </c>
      <c r="L38" s="52">
        <f>+Down!L44</f>
        <v>0.3</v>
      </c>
      <c r="M38" s="52">
        <f>+Down!M44</f>
        <v>0.3</v>
      </c>
      <c r="N38" s="52">
        <f>+Down!N44</f>
        <v>0.3</v>
      </c>
      <c r="O38" s="52">
        <f>+Down!O44</f>
        <v>0.3</v>
      </c>
      <c r="P38" s="52">
        <f>+Down!P44</f>
        <v>0.3</v>
      </c>
      <c r="Q38" s="52">
        <f>+Down!Q44</f>
        <v>0.3</v>
      </c>
      <c r="R38" s="52">
        <f>+Down!R44</f>
        <v>0.3</v>
      </c>
      <c r="S38" s="52">
        <f>+Down!S44</f>
        <v>0.3</v>
      </c>
    </row>
    <row r="39" spans="1:29">
      <c r="C39" s="34"/>
      <c r="D39" s="60"/>
      <c r="E39" s="60"/>
      <c r="F39" s="34"/>
      <c r="G39" s="34"/>
      <c r="H39" s="34"/>
      <c r="I39" s="34"/>
      <c r="J39" s="34"/>
      <c r="K39" s="34"/>
      <c r="L39" s="34"/>
      <c r="M39" s="34"/>
      <c r="N39" s="34"/>
      <c r="O39" s="34"/>
      <c r="P39" s="34"/>
      <c r="Q39" s="34"/>
      <c r="R39" s="34"/>
      <c r="S39" s="34"/>
    </row>
    <row r="40" spans="1:29">
      <c r="A40" s="35" t="s">
        <v>39</v>
      </c>
      <c r="B40" s="58"/>
      <c r="C40" s="55">
        <f t="shared" ref="C40:N40" si="56">+C24-C34-C37</f>
        <v>-0.44669999999999993</v>
      </c>
      <c r="D40" s="55">
        <f t="shared" si="56"/>
        <v>-0.63209999999999988</v>
      </c>
      <c r="E40" s="55">
        <f t="shared" si="56"/>
        <v>0.71330000000000005</v>
      </c>
      <c r="F40" s="55">
        <f t="shared" si="56"/>
        <v>-0.90201449999999972</v>
      </c>
      <c r="G40" s="55">
        <f t="shared" si="56"/>
        <v>-30.263178000000003</v>
      </c>
      <c r="H40" s="55">
        <f t="shared" si="56"/>
        <v>9.3699495583200854</v>
      </c>
      <c r="I40" s="55">
        <f t="shared" si="56"/>
        <v>8.5080808133403707</v>
      </c>
      <c r="J40" s="55">
        <f t="shared" si="56"/>
        <v>11.590149761677752</v>
      </c>
      <c r="K40" s="55">
        <f t="shared" si="56"/>
        <v>16.148695984156113</v>
      </c>
      <c r="L40" s="55">
        <f t="shared" si="56"/>
        <v>21.537746597663933</v>
      </c>
      <c r="M40" s="55">
        <f t="shared" si="56"/>
        <v>27.925340322461924</v>
      </c>
      <c r="N40" s="55">
        <f t="shared" si="56"/>
        <v>35.489555754928602</v>
      </c>
      <c r="O40" s="55">
        <f>+O24-O34-O37</f>
        <v>44.213069685025445</v>
      </c>
      <c r="P40" s="55">
        <f t="shared" ref="P40:Q40" si="57">+P24-P34-P37</f>
        <v>53.996217751912752</v>
      </c>
      <c r="Q40" s="55">
        <f t="shared" si="57"/>
        <v>64.644013122883436</v>
      </c>
      <c r="R40" s="55">
        <f t="shared" ref="R40:S40" si="58">+R24-R34-R37</f>
        <v>75.860218569616677</v>
      </c>
      <c r="S40" s="55">
        <f t="shared" si="58"/>
        <v>87.251056685764325</v>
      </c>
    </row>
    <row r="41" spans="1:29">
      <c r="A41" s="51" t="s">
        <v>25</v>
      </c>
      <c r="C41" s="56"/>
      <c r="D41" s="56">
        <f t="shared" ref="D41:E41" si="59">+D40/C40-1</f>
        <v>0.41504365345869698</v>
      </c>
      <c r="E41" s="56">
        <f t="shared" si="59"/>
        <v>-2.1284606866002216</v>
      </c>
      <c r="F41" s="56">
        <f t="shared" ref="F41:Q41" si="60">+IFERROR(F40/E40-1,"-")</f>
        <v>-2.2645654002523479</v>
      </c>
      <c r="G41" s="56">
        <f t="shared" si="60"/>
        <v>32.550655782140986</v>
      </c>
      <c r="H41" s="56">
        <f t="shared" si="60"/>
        <v>-1.3096155188433971</v>
      </c>
      <c r="I41" s="56">
        <f t="shared" si="60"/>
        <v>-9.1982218219564982E-2</v>
      </c>
      <c r="J41" s="56">
        <f t="shared" si="60"/>
        <v>0.36225195974923108</v>
      </c>
      <c r="K41" s="56">
        <f t="shared" si="60"/>
        <v>0.39331210693678575</v>
      </c>
      <c r="L41" s="56">
        <f t="shared" si="60"/>
        <v>0.33371428992131325</v>
      </c>
      <c r="M41" s="56">
        <f t="shared" si="60"/>
        <v>0.29657669598038705</v>
      </c>
      <c r="N41" s="56">
        <f t="shared" si="60"/>
        <v>0.2708728110426053</v>
      </c>
      <c r="O41" s="56">
        <f t="shared" si="60"/>
        <v>0.24580510362926611</v>
      </c>
      <c r="P41" s="56">
        <f t="shared" si="60"/>
        <v>0.22127276247911754</v>
      </c>
      <c r="Q41" s="56">
        <f t="shared" si="60"/>
        <v>0.19719520763273279</v>
      </c>
      <c r="R41" s="56">
        <f t="shared" ref="R41" si="61">+IFERROR(R40/Q40-1,"-")</f>
        <v>0.17350725774731957</v>
      </c>
      <c r="S41" s="56">
        <f t="shared" ref="S41" si="62">+IFERROR(S40/R40-1,"-")</f>
        <v>0.15015561951873768</v>
      </c>
    </row>
    <row r="42" spans="1:29">
      <c r="A42" s="34"/>
      <c r="B42" s="58"/>
      <c r="C42" s="55"/>
      <c r="D42" s="55"/>
      <c r="E42" s="55"/>
      <c r="F42" s="55"/>
      <c r="G42" s="55"/>
      <c r="H42" s="55"/>
      <c r="I42" s="55"/>
      <c r="J42" s="55"/>
      <c r="K42" s="55"/>
      <c r="L42" s="55"/>
      <c r="M42" s="55"/>
      <c r="N42" s="55"/>
      <c r="O42" s="55"/>
      <c r="P42" s="55"/>
      <c r="Q42" s="55"/>
      <c r="R42" s="55"/>
      <c r="S42" s="55"/>
      <c r="T42" s="58"/>
      <c r="U42" s="58"/>
      <c r="V42" s="58"/>
      <c r="W42" s="58"/>
      <c r="X42" s="58"/>
      <c r="Y42" s="58"/>
      <c r="Z42" s="58"/>
      <c r="AA42" s="58"/>
      <c r="AB42" s="58"/>
      <c r="AC42" s="58"/>
    </row>
    <row r="43" spans="1:29" ht="13.5">
      <c r="A43" s="34" t="s">
        <v>41</v>
      </c>
      <c r="C43" s="61">
        <f>C44-C40-SUM(C42:C42)</f>
        <v>-0.61330000000000018</v>
      </c>
      <c r="D43" s="61">
        <f t="shared" ref="D43:F43" si="63">D44-D40-SUM(D42:D42)</f>
        <v>0.2601</v>
      </c>
      <c r="E43" s="61">
        <f t="shared" si="63"/>
        <v>3.4806309999999998</v>
      </c>
      <c r="F43" s="61">
        <f t="shared" si="63"/>
        <v>10.934014499999998</v>
      </c>
      <c r="G43" s="61">
        <f t="shared" ref="G43" si="64">G44-G40-SUM(G42:G42)</f>
        <v>7.2139309999999988</v>
      </c>
      <c r="H43" s="121">
        <f t="shared" ref="H43:S43" si="65">+G43/(G7-F7)*(H7-G7)</f>
        <v>12.671181508187384</v>
      </c>
      <c r="I43" s="121">
        <f t="shared" si="65"/>
        <v>17.565491965511381</v>
      </c>
      <c r="J43" s="121">
        <f t="shared" si="65"/>
        <v>15.093849385863811</v>
      </c>
      <c r="K43" s="121">
        <f t="shared" si="65"/>
        <v>17.465740003642413</v>
      </c>
      <c r="L43" s="121">
        <f t="shared" si="65"/>
        <v>18.921218337279271</v>
      </c>
      <c r="M43" s="121">
        <f t="shared" si="65"/>
        <v>20.813340171007205</v>
      </c>
      <c r="N43" s="121">
        <f t="shared" si="65"/>
        <v>23.083886371480702</v>
      </c>
      <c r="O43" s="121">
        <f t="shared" si="65"/>
        <v>24.930597281199173</v>
      </c>
      <c r="P43" s="121">
        <f t="shared" si="65"/>
        <v>26.14942648161335</v>
      </c>
      <c r="Q43" s="121">
        <f t="shared" si="65"/>
        <v>26.54166787883759</v>
      </c>
      <c r="R43" s="121">
        <f t="shared" si="65"/>
        <v>25.935001184464149</v>
      </c>
      <c r="S43" s="121">
        <f t="shared" si="65"/>
        <v>24.20600110549988</v>
      </c>
    </row>
    <row r="44" spans="1:29">
      <c r="A44" s="62" t="s">
        <v>42</v>
      </c>
      <c r="B44" s="53"/>
      <c r="C44" s="53">
        <f>+Historical!Q148</f>
        <v>-1.06</v>
      </c>
      <c r="D44" s="53">
        <f>+Historical!R148</f>
        <v>-0.37199999999999989</v>
      </c>
      <c r="E44" s="53">
        <f>+Historical!S148</f>
        <v>4.1939310000000001</v>
      </c>
      <c r="F44" s="53">
        <f>+Historical!T148</f>
        <v>10.031999999999998</v>
      </c>
      <c r="G44" s="53">
        <f>+Historical!U148</f>
        <v>-23.049247000000005</v>
      </c>
      <c r="H44" s="55">
        <f t="shared" ref="H44:P44" si="66">+H40+H43+H42</f>
        <v>22.041131066507468</v>
      </c>
      <c r="I44" s="55">
        <f t="shared" si="66"/>
        <v>26.073572778851752</v>
      </c>
      <c r="J44" s="55">
        <f t="shared" si="66"/>
        <v>26.683999147541563</v>
      </c>
      <c r="K44" s="55">
        <f t="shared" si="66"/>
        <v>33.614435987798529</v>
      </c>
      <c r="L44" s="55">
        <f t="shared" si="66"/>
        <v>40.458964934943204</v>
      </c>
      <c r="M44" s="55">
        <f t="shared" si="66"/>
        <v>48.738680493469133</v>
      </c>
      <c r="N44" s="55">
        <f t="shared" si="66"/>
        <v>58.573442126409304</v>
      </c>
      <c r="O44" s="55">
        <f t="shared" si="66"/>
        <v>69.143666966224615</v>
      </c>
      <c r="P44" s="55">
        <f t="shared" si="66"/>
        <v>80.145644233526099</v>
      </c>
      <c r="Q44" s="55">
        <f t="shared" ref="Q44:R44" si="67">+Q40+Q43+Q42</f>
        <v>91.185681001721022</v>
      </c>
      <c r="R44" s="55">
        <f t="shared" si="67"/>
        <v>101.79521975408082</v>
      </c>
      <c r="S44" s="55">
        <f t="shared" ref="S44" si="68">+S40+S43+S42</f>
        <v>111.45705779126421</v>
      </c>
      <c r="T44" s="63"/>
      <c r="U44" s="63"/>
      <c r="V44" s="63"/>
      <c r="W44" s="63"/>
      <c r="X44" s="63"/>
      <c r="Y44" s="63"/>
      <c r="Z44" s="63"/>
      <c r="AA44" s="63"/>
      <c r="AB44" s="63"/>
      <c r="AC44" s="63"/>
    </row>
    <row r="45" spans="1:29">
      <c r="C45" s="34"/>
      <c r="D45" s="34"/>
      <c r="E45" s="34"/>
      <c r="F45" s="34"/>
      <c r="G45" s="34"/>
      <c r="H45" s="34"/>
      <c r="I45" s="34"/>
      <c r="J45" s="34"/>
      <c r="K45" s="34"/>
      <c r="L45" s="34"/>
      <c r="M45" s="34"/>
      <c r="N45" s="34"/>
      <c r="O45" s="34"/>
      <c r="P45" s="34"/>
      <c r="Q45" s="34"/>
      <c r="R45" s="34"/>
      <c r="S45" s="34"/>
    </row>
    <row r="46" spans="1:29">
      <c r="A46" s="35" t="s">
        <v>43</v>
      </c>
      <c r="B46" s="58"/>
      <c r="C46" s="53">
        <f>+Historical!Q157</f>
        <v>-0.316</v>
      </c>
      <c r="D46" s="53">
        <f>+Historical!R157</f>
        <v>-0.81599999999999995</v>
      </c>
      <c r="E46" s="53">
        <f>+Historical!S157</f>
        <v>-4.6689999999999996</v>
      </c>
      <c r="F46" s="53">
        <f>+Historical!T157</f>
        <v>-47.131</v>
      </c>
      <c r="G46" s="53">
        <f>+Historical!U157</f>
        <v>-22.673442999999999</v>
      </c>
      <c r="H46" s="55">
        <f>MIN(G46-H44,0)</f>
        <v>-44.714574066507467</v>
      </c>
      <c r="I46" s="55">
        <f t="shared" ref="I46:J46" si="69">MIN(H46-I44,0)</f>
        <v>-70.788146845359222</v>
      </c>
      <c r="J46" s="55">
        <f t="shared" si="69"/>
        <v>-97.472145992900778</v>
      </c>
      <c r="K46" s="55">
        <v>0</v>
      </c>
      <c r="L46" s="55">
        <f>+K46</f>
        <v>0</v>
      </c>
      <c r="M46" s="55">
        <f t="shared" ref="M46:S46" si="70">+L46</f>
        <v>0</v>
      </c>
      <c r="N46" s="55">
        <f t="shared" si="70"/>
        <v>0</v>
      </c>
      <c r="O46" s="55">
        <f t="shared" si="70"/>
        <v>0</v>
      </c>
      <c r="P46" s="55">
        <f t="shared" si="70"/>
        <v>0</v>
      </c>
      <c r="Q46" s="55">
        <f t="shared" si="70"/>
        <v>0</v>
      </c>
      <c r="R46" s="55">
        <f t="shared" si="70"/>
        <v>0</v>
      </c>
      <c r="S46" s="55">
        <f t="shared" si="70"/>
        <v>0</v>
      </c>
    </row>
    <row r="47" spans="1:29" outlineLevel="1">
      <c r="A47" s="51" t="s">
        <v>44</v>
      </c>
      <c r="B47" s="42"/>
      <c r="C47" s="64">
        <f>+C46/C14</f>
        <v>-1.8698224852071006</v>
      </c>
      <c r="D47" s="64">
        <f>+D46/D14</f>
        <v>-1.3465346534653464</v>
      </c>
      <c r="E47" s="64">
        <f t="shared" ref="E47:F47" si="71">+E46/E14</f>
        <v>-1.6947368421052631</v>
      </c>
      <c r="F47" s="64">
        <f t="shared" si="71"/>
        <v>-20.626258205689275</v>
      </c>
      <c r="G47" s="64">
        <f t="shared" ref="G47:H47" si="72">+G46/G14</f>
        <v>1.0358846399853801</v>
      </c>
      <c r="H47" s="64">
        <f t="shared" si="72"/>
        <v>-1.5483345754007334</v>
      </c>
      <c r="I47" s="64">
        <f t="shared" ref="I47:L47" si="73">+I46/I14</f>
        <v>-2.4566188370704518</v>
      </c>
      <c r="J47" s="64">
        <f t="shared" si="73"/>
        <v>-2.4568520069599509</v>
      </c>
      <c r="K47" s="64">
        <f t="shared" si="73"/>
        <v>0</v>
      </c>
      <c r="L47" s="64">
        <f t="shared" si="73"/>
        <v>0</v>
      </c>
      <c r="M47" s="64">
        <f t="shared" ref="M47:S47" si="74">+M46/M14</f>
        <v>0</v>
      </c>
      <c r="N47" s="64">
        <f t="shared" si="74"/>
        <v>0</v>
      </c>
      <c r="O47" s="64">
        <f t="shared" si="74"/>
        <v>0</v>
      </c>
      <c r="P47" s="64">
        <f t="shared" si="74"/>
        <v>0</v>
      </c>
      <c r="Q47" s="64">
        <f t="shared" si="74"/>
        <v>0</v>
      </c>
      <c r="R47" s="64">
        <f t="shared" si="74"/>
        <v>0</v>
      </c>
      <c r="S47" s="64">
        <f t="shared" si="74"/>
        <v>0</v>
      </c>
    </row>
    <row r="48" spans="1:29">
      <c r="C48" s="34"/>
      <c r="D48" s="34"/>
      <c r="E48" s="34"/>
      <c r="F48" s="34"/>
      <c r="G48" s="34"/>
      <c r="H48" s="34"/>
      <c r="I48" s="34"/>
      <c r="J48" s="34"/>
      <c r="K48" s="34"/>
      <c r="L48" s="34"/>
      <c r="M48" s="34"/>
      <c r="N48" s="34"/>
      <c r="O48" s="34"/>
      <c r="P48" s="34"/>
      <c r="Q48" s="34"/>
      <c r="R48" s="34"/>
      <c r="S48" s="34"/>
    </row>
    <row r="49" spans="1:22">
      <c r="A49" s="65" t="s">
        <v>45</v>
      </c>
      <c r="B49" s="58"/>
      <c r="C49" s="55"/>
      <c r="D49" s="55"/>
      <c r="E49" s="55"/>
      <c r="F49" s="55"/>
      <c r="G49" s="55"/>
      <c r="H49" s="55">
        <f t="shared" ref="H49:N49" si="75">+H44+(H46-G46)</f>
        <v>0</v>
      </c>
      <c r="I49" s="55">
        <f t="shared" si="75"/>
        <v>0</v>
      </c>
      <c r="J49" s="55">
        <f t="shared" si="75"/>
        <v>0</v>
      </c>
      <c r="K49" s="55">
        <f t="shared" si="75"/>
        <v>131.08658198069929</v>
      </c>
      <c r="L49" s="55">
        <f t="shared" si="75"/>
        <v>40.458964934943204</v>
      </c>
      <c r="M49" s="55">
        <f t="shared" si="75"/>
        <v>48.738680493469133</v>
      </c>
      <c r="N49" s="55">
        <f t="shared" si="75"/>
        <v>58.573442126409304</v>
      </c>
      <c r="O49" s="55">
        <f>+O44+(O46-N46)</f>
        <v>69.143666966224615</v>
      </c>
      <c r="P49" s="55">
        <f t="shared" ref="P49" si="76">+P44+(P46-O46)</f>
        <v>80.145644233526099</v>
      </c>
      <c r="Q49" s="55">
        <f t="shared" ref="Q49" si="77">+Q44+(Q46-P46)</f>
        <v>91.185681001721022</v>
      </c>
      <c r="R49" s="55">
        <f t="shared" ref="R49" si="78">+R44+(R46-Q46)</f>
        <v>101.79521975408082</v>
      </c>
      <c r="S49" s="55">
        <f t="shared" ref="S49" si="79">+S44+(S46-R46)</f>
        <v>111.45705779126421</v>
      </c>
    </row>
    <row r="50" spans="1:22">
      <c r="A50" s="66" t="s">
        <v>46</v>
      </c>
      <c r="C50" s="56"/>
      <c r="D50" s="56"/>
      <c r="E50" s="56"/>
      <c r="F50" s="56"/>
      <c r="G50" s="56"/>
      <c r="H50" s="56">
        <f t="shared" ref="H50:R50" si="80">+H49/$C$76</f>
        <v>0</v>
      </c>
      <c r="I50" s="56">
        <f t="shared" si="80"/>
        <v>0</v>
      </c>
      <c r="J50" s="56">
        <f t="shared" si="80"/>
        <v>0</v>
      </c>
      <c r="K50" s="56">
        <f t="shared" si="80"/>
        <v>0.18436690717368587</v>
      </c>
      <c r="L50" s="56">
        <f t="shared" si="80"/>
        <v>5.6903568006696249E-2</v>
      </c>
      <c r="M50" s="56">
        <f t="shared" si="80"/>
        <v>6.8548585572476006E-2</v>
      </c>
      <c r="N50" s="56">
        <f t="shared" si="80"/>
        <v>8.2380699871730356E-2</v>
      </c>
      <c r="O50" s="56">
        <f t="shared" si="80"/>
        <v>9.7247207430331217E-2</v>
      </c>
      <c r="P50" s="56">
        <f t="shared" si="80"/>
        <v>0.11272095379642558</v>
      </c>
      <c r="Q50" s="56">
        <f t="shared" si="80"/>
        <v>0.12824822900095839</v>
      </c>
      <c r="R50" s="56">
        <f t="shared" si="80"/>
        <v>0.14317002966702461</v>
      </c>
      <c r="S50" s="56">
        <f t="shared" ref="S50" si="81">+S49/$C$76</f>
        <v>0.1567589353323722</v>
      </c>
    </row>
    <row r="51" spans="1:22">
      <c r="C51" s="34"/>
      <c r="D51" s="34"/>
      <c r="E51" s="34"/>
      <c r="F51" s="34"/>
      <c r="G51" s="34"/>
      <c r="H51" s="34"/>
      <c r="I51" s="34"/>
      <c r="J51" s="34"/>
      <c r="K51" s="34"/>
      <c r="L51" s="34"/>
      <c r="M51" s="34"/>
      <c r="N51" s="34"/>
      <c r="O51" s="34"/>
      <c r="P51" s="34"/>
      <c r="Q51" s="34"/>
      <c r="R51" s="34"/>
      <c r="S51" s="34"/>
    </row>
    <row r="52" spans="1:22">
      <c r="A52" s="65" t="s">
        <v>47</v>
      </c>
      <c r="B52" s="58"/>
      <c r="C52" s="55"/>
      <c r="D52" s="55"/>
      <c r="E52" s="55"/>
      <c r="F52" s="55"/>
      <c r="G52" s="55"/>
      <c r="H52" s="55">
        <f t="shared" ref="H52:N52" si="82">H49+G52</f>
        <v>0</v>
      </c>
      <c r="I52" s="55">
        <f t="shared" si="82"/>
        <v>0</v>
      </c>
      <c r="J52" s="55">
        <f t="shared" si="82"/>
        <v>0</v>
      </c>
      <c r="K52" s="55">
        <f t="shared" si="82"/>
        <v>131.08658198069929</v>
      </c>
      <c r="L52" s="55">
        <f t="shared" si="82"/>
        <v>171.54554691564249</v>
      </c>
      <c r="M52" s="55">
        <f t="shared" si="82"/>
        <v>220.28422740911162</v>
      </c>
      <c r="N52" s="55">
        <f t="shared" si="82"/>
        <v>278.85766953552093</v>
      </c>
      <c r="O52" s="55">
        <f>O49+N52</f>
        <v>348.00133650174553</v>
      </c>
      <c r="P52" s="55">
        <f t="shared" ref="P52" si="83">P49+O52</f>
        <v>428.14698073527165</v>
      </c>
      <c r="Q52" s="55">
        <f t="shared" ref="Q52" si="84">Q49+P52</f>
        <v>519.33266173699269</v>
      </c>
      <c r="R52" s="55">
        <f t="shared" ref="R52" si="85">R49+Q52</f>
        <v>621.12788149107348</v>
      </c>
      <c r="S52" s="55">
        <f t="shared" ref="S52" si="86">S49+R52</f>
        <v>732.5849392823377</v>
      </c>
    </row>
    <row r="53" spans="1:22">
      <c r="A53" s="66" t="s">
        <v>46</v>
      </c>
      <c r="C53" s="56"/>
      <c r="D53" s="56"/>
      <c r="E53" s="56"/>
      <c r="F53" s="56"/>
      <c r="G53" s="56"/>
      <c r="H53" s="56">
        <f t="shared" ref="H53:R53" si="87">H52/$C$76</f>
        <v>0</v>
      </c>
      <c r="I53" s="56">
        <f t="shared" si="87"/>
        <v>0</v>
      </c>
      <c r="J53" s="56">
        <f t="shared" si="87"/>
        <v>0</v>
      </c>
      <c r="K53" s="56">
        <f t="shared" si="87"/>
        <v>0.18436690717368587</v>
      </c>
      <c r="L53" s="67">
        <f t="shared" si="87"/>
        <v>0.24127047518038211</v>
      </c>
      <c r="M53" s="56">
        <f t="shared" si="87"/>
        <v>0.30981906075285809</v>
      </c>
      <c r="N53" s="56">
        <f t="shared" si="87"/>
        <v>0.39219976062458844</v>
      </c>
      <c r="O53" s="56">
        <f t="shared" si="87"/>
        <v>0.48944696805491966</v>
      </c>
      <c r="P53" s="56">
        <f t="shared" si="87"/>
        <v>0.60216792185134527</v>
      </c>
      <c r="Q53" s="56">
        <f t="shared" si="87"/>
        <v>0.73041615085230371</v>
      </c>
      <c r="R53" s="56">
        <f t="shared" si="87"/>
        <v>0.87358618051932824</v>
      </c>
      <c r="S53" s="56">
        <f t="shared" ref="S53" si="88">S52/$C$76</f>
        <v>1.0303451158517005</v>
      </c>
    </row>
    <row r="54" spans="1:22">
      <c r="C54" s="34"/>
      <c r="D54" s="34"/>
      <c r="E54" s="34"/>
      <c r="F54" s="34"/>
      <c r="G54" s="34"/>
      <c r="H54" s="34"/>
      <c r="I54" s="34"/>
      <c r="J54" s="34"/>
      <c r="K54" s="34"/>
      <c r="L54" s="34"/>
      <c r="M54" s="34"/>
      <c r="N54" s="34"/>
      <c r="O54" s="34"/>
      <c r="P54" s="34"/>
      <c r="Q54" s="34"/>
      <c r="R54" s="34"/>
      <c r="S54" s="34"/>
    </row>
    <row r="55" spans="1:22">
      <c r="A55" s="94" t="s">
        <v>48</v>
      </c>
      <c r="B55" s="95"/>
      <c r="C55" s="96"/>
      <c r="D55" s="96"/>
      <c r="E55" s="96"/>
      <c r="F55" s="185"/>
      <c r="G55" s="97">
        <f>+C76/SUM(Historical!H148:I148)</f>
        <v>-646.53782178704034</v>
      </c>
      <c r="H55" s="34"/>
      <c r="I55" s="34"/>
      <c r="J55" s="34"/>
      <c r="K55" s="34"/>
      <c r="L55" s="34"/>
      <c r="M55" s="34"/>
      <c r="N55" s="34"/>
      <c r="O55" s="34"/>
      <c r="P55" s="34"/>
      <c r="Q55" s="34"/>
      <c r="R55" s="34"/>
      <c r="S55" s="34"/>
      <c r="V55" s="98"/>
    </row>
    <row r="56" spans="1:22">
      <c r="C56" s="34"/>
      <c r="D56" s="34"/>
      <c r="E56" s="34"/>
      <c r="F56" s="34"/>
      <c r="G56" s="34"/>
      <c r="H56" s="34"/>
      <c r="I56" s="34"/>
      <c r="J56" s="34"/>
      <c r="K56" s="34"/>
      <c r="L56" s="34"/>
      <c r="M56" s="34"/>
      <c r="N56" s="34"/>
      <c r="O56" s="34"/>
      <c r="P56" s="34"/>
      <c r="Q56" s="34"/>
      <c r="R56" s="34"/>
      <c r="S56" s="34"/>
    </row>
    <row r="57" spans="1:22">
      <c r="A57" s="34" t="s">
        <v>51</v>
      </c>
      <c r="B57" s="34"/>
      <c r="C57" s="68">
        <f>($C$76-C52)/C40</f>
        <v>-1591.6930385045894</v>
      </c>
      <c r="D57" s="68">
        <f>($C$76-D52)/D40</f>
        <v>-1124.836703527923</v>
      </c>
      <c r="E57" s="68">
        <f>($C$76-E52)/E40</f>
        <v>996.78856063367436</v>
      </c>
      <c r="F57" s="68">
        <f>($C$76-F52)/F40</f>
        <v>-788.2459542501814</v>
      </c>
      <c r="G57" s="68">
        <f t="shared" ref="G57:R57" si="89">IFERROR(($C$76-G52)/G40,"-")</f>
        <v>-23.494204088546152</v>
      </c>
      <c r="H57" s="68">
        <f t="shared" si="89"/>
        <v>75.881868506822045</v>
      </c>
      <c r="I57" s="68">
        <f t="shared" si="89"/>
        <v>83.568703200980707</v>
      </c>
      <c r="J57" s="68">
        <f t="shared" si="89"/>
        <v>61.345995946568046</v>
      </c>
      <c r="K57" s="68">
        <f t="shared" si="89"/>
        <v>35.911425844432102</v>
      </c>
      <c r="L57" s="68">
        <f t="shared" si="89"/>
        <v>25.047361892672182</v>
      </c>
      <c r="M57" s="68">
        <f t="shared" si="89"/>
        <v>17.572751029149341</v>
      </c>
      <c r="N57" s="68">
        <f t="shared" si="89"/>
        <v>12.176867294386016</v>
      </c>
      <c r="O57" s="68">
        <f t="shared" si="89"/>
        <v>8.2104216328865736</v>
      </c>
      <c r="P57" s="68">
        <f t="shared" si="89"/>
        <v>5.2385576498033197</v>
      </c>
      <c r="Q57" s="68">
        <f t="shared" si="89"/>
        <v>2.9651101363191112</v>
      </c>
      <c r="R57" s="68">
        <f t="shared" si="89"/>
        <v>1.1848291568846807</v>
      </c>
      <c r="S57" s="68">
        <f t="shared" ref="S57" si="90">IFERROR(($C$76-S52)/S40,"-")</f>
        <v>-0.24728249492774262</v>
      </c>
    </row>
    <row r="58" spans="1:22">
      <c r="A58" s="34"/>
      <c r="B58" s="34"/>
      <c r="C58" s="68"/>
      <c r="D58" s="68"/>
      <c r="E58" s="68"/>
      <c r="F58" s="68"/>
      <c r="G58" s="68"/>
      <c r="H58" s="68"/>
      <c r="I58" s="68"/>
      <c r="J58" s="68"/>
      <c r="K58" s="68"/>
      <c r="L58" s="68"/>
      <c r="M58" s="68"/>
      <c r="N58" s="68"/>
      <c r="O58" s="68"/>
      <c r="P58" s="68"/>
      <c r="Q58" s="68"/>
      <c r="R58" s="68"/>
      <c r="S58" s="68"/>
    </row>
    <row r="59" spans="1:22">
      <c r="A59" s="34" t="s">
        <v>49</v>
      </c>
      <c r="B59" s="34"/>
      <c r="C59" s="68"/>
      <c r="D59" s="68"/>
      <c r="E59" s="68"/>
      <c r="F59" s="68"/>
      <c r="G59" s="68">
        <f t="shared" ref="G59:S59" si="91">+$C$78/(G7)</f>
        <v>3.0114366028773389</v>
      </c>
      <c r="H59" s="68">
        <f t="shared" si="91"/>
        <v>1.5185269655740739</v>
      </c>
      <c r="I59" s="68">
        <f t="shared" si="91"/>
        <v>0.90001107966860161</v>
      </c>
      <c r="J59" s="68">
        <f t="shared" si="91"/>
        <v>0.66667487382859381</v>
      </c>
      <c r="K59" s="68">
        <f t="shared" si="91"/>
        <v>0.51282682602199514</v>
      </c>
      <c r="L59" s="68">
        <f t="shared" si="91"/>
        <v>0.41026146081759612</v>
      </c>
      <c r="M59" s="68">
        <f t="shared" si="91"/>
        <v>0.33627988591606239</v>
      </c>
      <c r="N59" s="68">
        <f t="shared" si="91"/>
        <v>0.28023323826338536</v>
      </c>
      <c r="O59" s="68">
        <f t="shared" si="91"/>
        <v>0.23748579513846219</v>
      </c>
      <c r="P59" s="68">
        <f t="shared" si="91"/>
        <v>0.20472913374005361</v>
      </c>
      <c r="Q59" s="68">
        <f t="shared" si="91"/>
        <v>0.17958695942109962</v>
      </c>
      <c r="R59" s="68">
        <f t="shared" si="91"/>
        <v>0.16034549948312465</v>
      </c>
      <c r="S59" s="68">
        <f t="shared" si="91"/>
        <v>0.14576863589374967</v>
      </c>
    </row>
    <row r="60" spans="1:22">
      <c r="A60" s="34" t="s">
        <v>540</v>
      </c>
      <c r="B60" s="34"/>
      <c r="C60" s="68"/>
      <c r="D60" s="68"/>
      <c r="E60" s="68"/>
      <c r="F60" s="68"/>
      <c r="G60" s="68">
        <f t="shared" ref="G60:S60" si="92">+$C$78/(G7*0.2)</f>
        <v>15.057183014386693</v>
      </c>
      <c r="H60" s="68">
        <f t="shared" si="92"/>
        <v>7.5926348278703681</v>
      </c>
      <c r="I60" s="68">
        <f t="shared" si="92"/>
        <v>4.5000553983430081</v>
      </c>
      <c r="J60" s="68">
        <f t="shared" si="92"/>
        <v>3.3333743691429687</v>
      </c>
      <c r="K60" s="68">
        <f t="shared" si="92"/>
        <v>2.5641341301099758</v>
      </c>
      <c r="L60" s="68">
        <f t="shared" si="92"/>
        <v>2.0513073040879806</v>
      </c>
      <c r="M60" s="68">
        <f t="shared" si="92"/>
        <v>1.6813994295803119</v>
      </c>
      <c r="N60" s="68">
        <f t="shared" si="92"/>
        <v>1.4011661913169269</v>
      </c>
      <c r="O60" s="68">
        <f t="shared" si="92"/>
        <v>1.1874289756923109</v>
      </c>
      <c r="P60" s="68">
        <f t="shared" si="92"/>
        <v>1.023645668700268</v>
      </c>
      <c r="Q60" s="68">
        <f t="shared" si="92"/>
        <v>0.89793479710549806</v>
      </c>
      <c r="R60" s="68">
        <f t="shared" si="92"/>
        <v>0.80172749741562321</v>
      </c>
      <c r="S60" s="68">
        <f t="shared" si="92"/>
        <v>0.72884317946874844</v>
      </c>
    </row>
    <row r="61" spans="1:22">
      <c r="A61" s="34"/>
      <c r="B61" s="34"/>
      <c r="C61" s="68"/>
      <c r="D61" s="68"/>
      <c r="E61" s="68"/>
      <c r="F61" s="68"/>
      <c r="G61" s="68"/>
      <c r="H61" s="68"/>
      <c r="I61" s="68"/>
      <c r="J61" s="68"/>
      <c r="K61" s="68"/>
      <c r="L61" s="68"/>
      <c r="M61" s="68"/>
      <c r="N61" s="68"/>
      <c r="O61" s="68"/>
      <c r="P61" s="68"/>
      <c r="Q61" s="68"/>
      <c r="R61" s="68"/>
      <c r="S61" s="68"/>
    </row>
    <row r="62" spans="1:22">
      <c r="A62" s="34" t="s">
        <v>53</v>
      </c>
      <c r="B62" s="34"/>
      <c r="C62" s="68"/>
      <c r="D62" s="68"/>
      <c r="E62" s="68"/>
      <c r="F62" s="68"/>
      <c r="G62" s="68">
        <f t="shared" ref="G62:S62" si="93">($C$76-G52)/(G$7*0.03*0.7)</f>
        <v>161.31581333967057</v>
      </c>
      <c r="H62" s="68">
        <f t="shared" si="93"/>
        <v>81.344037691429151</v>
      </c>
      <c r="I62" s="68">
        <f t="shared" si="93"/>
        <v>48.211547668888173</v>
      </c>
      <c r="J62" s="68">
        <f t="shared" si="93"/>
        <v>35.71225753250976</v>
      </c>
      <c r="K62" s="68">
        <f t="shared" si="93"/>
        <v>22.406230048500589</v>
      </c>
      <c r="L62" s="68">
        <f t="shared" si="93"/>
        <v>16.674427192539657</v>
      </c>
      <c r="M62" s="68">
        <f t="shared" si="93"/>
        <v>12.432746252924792</v>
      </c>
      <c r="N62" s="68">
        <f t="shared" si="93"/>
        <v>9.1239674976442942</v>
      </c>
      <c r="O62" s="68">
        <f t="shared" si="93"/>
        <v>6.4950382801584459</v>
      </c>
      <c r="P62" s="68">
        <f t="shared" si="93"/>
        <v>4.3629743985085954</v>
      </c>
      <c r="Q62" s="68">
        <f t="shared" si="93"/>
        <v>2.5934142019855391</v>
      </c>
      <c r="R62" s="68">
        <f t="shared" si="93"/>
        <v>1.0858117713021405</v>
      </c>
      <c r="S62" s="68">
        <f t="shared" si="93"/>
        <v>-0.23694966930229416</v>
      </c>
    </row>
    <row r="63" spans="1:22">
      <c r="A63" s="34" t="s">
        <v>54</v>
      </c>
      <c r="B63" s="34"/>
      <c r="C63" s="68"/>
      <c r="D63" s="68"/>
      <c r="E63" s="68"/>
      <c r="F63" s="68"/>
      <c r="G63" s="68">
        <f t="shared" ref="G63:S63" si="94">($C$76-G52)/(G$7*0.05*0.7)</f>
        <v>96.789488003802305</v>
      </c>
      <c r="H63" s="68">
        <f t="shared" si="94"/>
        <v>48.806422614857482</v>
      </c>
      <c r="I63" s="68">
        <f t="shared" si="94"/>
        <v>28.926928601332904</v>
      </c>
      <c r="J63" s="68">
        <f t="shared" si="94"/>
        <v>21.427354519505851</v>
      </c>
      <c r="K63" s="68">
        <f t="shared" si="94"/>
        <v>13.443738029100352</v>
      </c>
      <c r="L63" s="68">
        <f t="shared" si="94"/>
        <v>10.004656315523794</v>
      </c>
      <c r="M63" s="68">
        <f t="shared" si="94"/>
        <v>7.4596477517548756</v>
      </c>
      <c r="N63" s="68">
        <f t="shared" si="94"/>
        <v>5.4743804985865765</v>
      </c>
      <c r="O63" s="68">
        <f t="shared" si="94"/>
        <v>3.8970229680950674</v>
      </c>
      <c r="P63" s="68">
        <f t="shared" si="94"/>
        <v>2.6177846391051567</v>
      </c>
      <c r="Q63" s="68">
        <f t="shared" si="94"/>
        <v>1.5560485211913233</v>
      </c>
      <c r="R63" s="68">
        <f t="shared" si="94"/>
        <v>0.65148706278128421</v>
      </c>
      <c r="S63" s="68">
        <f t="shared" si="94"/>
        <v>-0.14216980158137649</v>
      </c>
    </row>
    <row r="64" spans="1:22" hidden="1" outlineLevel="1">
      <c r="A64" s="34" t="s">
        <v>55</v>
      </c>
      <c r="B64" s="34"/>
      <c r="C64" s="68"/>
      <c r="D64" s="68"/>
      <c r="E64" s="68"/>
      <c r="F64" s="68"/>
      <c r="G64" s="68">
        <f t="shared" ref="G64:R64" si="95">($C$76-G52)/(G$7*0.15*0.7)</f>
        <v>32.263162667934111</v>
      </c>
      <c r="H64" s="68">
        <f t="shared" si="95"/>
        <v>16.268807538285831</v>
      </c>
      <c r="I64" s="68">
        <f t="shared" si="95"/>
        <v>9.6423095337776363</v>
      </c>
      <c r="J64" s="68">
        <f t="shared" si="95"/>
        <v>7.1424515065019518</v>
      </c>
      <c r="K64" s="68">
        <f t="shared" si="95"/>
        <v>4.4812460097001168</v>
      </c>
      <c r="L64" s="68">
        <f t="shared" si="95"/>
        <v>3.3348854385079316</v>
      </c>
      <c r="M64" s="68">
        <f t="shared" si="95"/>
        <v>2.4865492505849587</v>
      </c>
      <c r="N64" s="68">
        <f t="shared" si="95"/>
        <v>1.8247934995288588</v>
      </c>
      <c r="O64" s="68">
        <f t="shared" si="95"/>
        <v>1.299007656031689</v>
      </c>
      <c r="P64" s="68">
        <f t="shared" si="95"/>
        <v>0.87259487970171901</v>
      </c>
      <c r="Q64" s="68">
        <f t="shared" si="95"/>
        <v>0.51868284039710788</v>
      </c>
      <c r="R64" s="68">
        <f t="shared" si="95"/>
        <v>0.21716235426042807</v>
      </c>
      <c r="S64" s="68"/>
    </row>
    <row r="65" spans="1:22" collapsed="1">
      <c r="C65" s="34"/>
      <c r="D65" s="34"/>
      <c r="E65" s="34"/>
      <c r="F65" s="34"/>
      <c r="G65" s="34"/>
      <c r="H65" s="34"/>
      <c r="I65" s="34"/>
      <c r="J65" s="34"/>
    </row>
    <row r="66" spans="1:22">
      <c r="A66" s="46" t="s">
        <v>56</v>
      </c>
      <c r="B66" s="69"/>
      <c r="C66" s="34"/>
      <c r="E66" s="34"/>
      <c r="F66" s="92"/>
      <c r="G66" s="34"/>
      <c r="H66" s="34"/>
      <c r="I66" s="34"/>
      <c r="J66" s="34"/>
    </row>
    <row r="67" spans="1:22">
      <c r="C67" s="34"/>
      <c r="D67" s="34"/>
      <c r="E67" s="34"/>
      <c r="F67" s="92"/>
      <c r="G67" s="34"/>
      <c r="H67" s="34"/>
      <c r="I67" s="34"/>
      <c r="J67" s="34"/>
    </row>
    <row r="68" spans="1:22">
      <c r="A68" s="47" t="s">
        <v>57</v>
      </c>
      <c r="C68" s="34"/>
      <c r="D68" s="34"/>
      <c r="E68" s="34"/>
      <c r="F68" s="92"/>
      <c r="G68" s="34"/>
      <c r="H68" s="34"/>
      <c r="I68" s="34"/>
      <c r="J68" s="34"/>
      <c r="K68" s="34"/>
    </row>
    <row r="69" spans="1:22" ht="13.5">
      <c r="A69" s="35" t="s">
        <v>58</v>
      </c>
      <c r="C69" s="34"/>
      <c r="D69" s="34"/>
      <c r="E69" s="34"/>
      <c r="F69" s="34"/>
      <c r="G69" s="34"/>
      <c r="H69" s="92"/>
      <c r="I69" s="34"/>
      <c r="J69" s="34"/>
      <c r="K69" s="34"/>
      <c r="L69" s="34"/>
      <c r="M69" s="34"/>
      <c r="N69" s="34"/>
      <c r="O69" s="34"/>
      <c r="P69" s="34"/>
      <c r="Q69" s="34"/>
      <c r="R69" s="122">
        <v>15</v>
      </c>
      <c r="S69" s="70"/>
    </row>
    <row r="70" spans="1:22">
      <c r="A70" s="65" t="s">
        <v>59</v>
      </c>
      <c r="C70" s="55"/>
      <c r="D70" s="55"/>
      <c r="E70" s="55"/>
      <c r="F70" s="55"/>
      <c r="G70" s="55"/>
      <c r="H70" s="92"/>
      <c r="I70" s="55"/>
      <c r="J70" s="55"/>
      <c r="K70" s="55"/>
      <c r="L70" s="55"/>
      <c r="M70" s="55"/>
      <c r="N70" s="55"/>
      <c r="O70" s="55"/>
      <c r="P70" s="55"/>
      <c r="Q70" s="55"/>
      <c r="R70" s="55">
        <f>+R69*S40</f>
        <v>1308.7658502864649</v>
      </c>
      <c r="S70" s="55"/>
    </row>
    <row r="71" spans="1:22">
      <c r="A71" s="65" t="s">
        <v>60</v>
      </c>
      <c r="C71" s="55"/>
      <c r="D71" s="55"/>
      <c r="E71" s="55"/>
      <c r="F71" s="55"/>
      <c r="G71" s="55"/>
      <c r="H71" s="55">
        <f>-$C$76+H52</f>
        <v>-711.0092803</v>
      </c>
      <c r="I71" s="55">
        <f t="shared" ref="I71:R71" si="96">+I49+I70</f>
        <v>0</v>
      </c>
      <c r="J71" s="55">
        <f t="shared" si="96"/>
        <v>0</v>
      </c>
      <c r="K71" s="55">
        <f t="shared" si="96"/>
        <v>131.08658198069929</v>
      </c>
      <c r="L71" s="55">
        <f t="shared" si="96"/>
        <v>40.458964934943204</v>
      </c>
      <c r="M71" s="55">
        <f t="shared" si="96"/>
        <v>48.738680493469133</v>
      </c>
      <c r="N71" s="55">
        <f t="shared" si="96"/>
        <v>58.573442126409304</v>
      </c>
      <c r="O71" s="55">
        <f t="shared" si="96"/>
        <v>69.143666966224615</v>
      </c>
      <c r="P71" s="55">
        <f t="shared" si="96"/>
        <v>80.145644233526099</v>
      </c>
      <c r="Q71" s="55">
        <f t="shared" si="96"/>
        <v>91.185681001721022</v>
      </c>
      <c r="R71" s="55">
        <f t="shared" si="96"/>
        <v>1410.5610700405457</v>
      </c>
      <c r="S71" s="55"/>
    </row>
    <row r="72" spans="1:22">
      <c r="A72" s="71" t="s">
        <v>61</v>
      </c>
      <c r="B72" s="72"/>
      <c r="C72" s="72"/>
      <c r="D72" s="72"/>
      <c r="E72" s="72"/>
      <c r="F72" s="72"/>
      <c r="G72" s="72"/>
      <c r="H72" s="73">
        <f>XIRR(H71:R71,H3:R3)</f>
        <v>0.12291792035102844</v>
      </c>
      <c r="I72" s="74"/>
      <c r="J72" s="50"/>
      <c r="K72" s="50"/>
      <c r="L72" s="50"/>
      <c r="M72" s="50"/>
      <c r="N72" s="50"/>
      <c r="O72" s="50"/>
      <c r="P72" s="50"/>
      <c r="Q72" s="50"/>
      <c r="R72" s="50"/>
      <c r="S72" s="50"/>
    </row>
    <row r="73" spans="1:22">
      <c r="N73" s="99" t="s">
        <v>541</v>
      </c>
      <c r="O73" s="98">
        <f>1/(_xll.ciqfunctions.udf.CIQAVG("$"&amp;$U75&amp;$V75,"iq_lastsaleprice",U74,V74))</f>
        <v>0.69278464789220273</v>
      </c>
      <c r="P73" s="100"/>
      <c r="T73" s="42"/>
      <c r="U73" s="42"/>
      <c r="V73" s="42"/>
    </row>
    <row r="74" spans="1:22">
      <c r="A74" s="75" t="s">
        <v>62</v>
      </c>
      <c r="B74" s="76"/>
      <c r="C74" s="77"/>
      <c r="D74" s="78"/>
      <c r="E74" s="34"/>
      <c r="F74" s="34"/>
      <c r="G74" s="34"/>
      <c r="H74" s="34"/>
      <c r="I74" s="34"/>
      <c r="J74" s="34"/>
      <c r="N74" s="101"/>
      <c r="O74" s="102" t="s">
        <v>542</v>
      </c>
      <c r="P74" s="78"/>
      <c r="T74" s="42"/>
      <c r="U74" s="103">
        <f>+V74-1</f>
        <v>45564</v>
      </c>
      <c r="V74" s="103">
        <f>+S1</f>
        <v>45565</v>
      </c>
    </row>
    <row r="75" spans="1:22">
      <c r="C75" s="79" t="s">
        <v>64</v>
      </c>
      <c r="D75" s="79" t="s">
        <v>66</v>
      </c>
      <c r="E75" s="34"/>
      <c r="F75" s="34"/>
      <c r="G75" s="34"/>
      <c r="H75" s="34"/>
      <c r="I75" s="34"/>
      <c r="J75" s="34"/>
      <c r="O75" s="79" t="s">
        <v>64</v>
      </c>
      <c r="P75" s="79" t="s">
        <v>543</v>
      </c>
      <c r="T75" s="42"/>
      <c r="U75" s="104" t="s">
        <v>67</v>
      </c>
      <c r="V75" s="104" t="s">
        <v>68</v>
      </c>
    </row>
    <row r="76" spans="1:22">
      <c r="A76" s="35" t="s">
        <v>69</v>
      </c>
      <c r="C76" s="54">
        <f>+D76*D79</f>
        <v>711.0092803</v>
      </c>
      <c r="D76" s="140">
        <f>_xll.SNL.Clients.Office.Excel.Functions.SPG($A$1, "SP_PRICE_CLOSE",$S$1)</f>
        <v>1.865</v>
      </c>
      <c r="E76" s="138"/>
      <c r="F76" s="92"/>
      <c r="G76" s="34"/>
      <c r="H76" s="80"/>
      <c r="I76" s="34"/>
      <c r="J76" s="34"/>
      <c r="N76" s="35" t="s">
        <v>70</v>
      </c>
      <c r="O76" s="54">
        <f>+P76*P79</f>
        <v>492.57631390072396</v>
      </c>
      <c r="P76" s="89">
        <f>+O73*D76</f>
        <v>1.2920433683189581</v>
      </c>
      <c r="T76" s="42"/>
      <c r="U76" s="42"/>
      <c r="V76" s="42"/>
    </row>
    <row r="77" spans="1:22" ht="13.5">
      <c r="A77" s="35" t="s">
        <v>43</v>
      </c>
      <c r="C77" s="82">
        <f>+'Detailed Disclosure'!U214/1000</f>
        <v>-78.957357000000002</v>
      </c>
      <c r="D77" s="83">
        <f>+C77/D79</f>
        <v>-0.20710766354957799</v>
      </c>
      <c r="E77" s="40"/>
      <c r="F77" s="34"/>
      <c r="G77" s="34"/>
      <c r="H77" s="34"/>
      <c r="I77" s="34"/>
      <c r="J77" s="34"/>
      <c r="N77" s="35" t="s">
        <v>71</v>
      </c>
      <c r="O77" s="82">
        <f>+O73*C77</f>
        <v>-54.700444767743953</v>
      </c>
      <c r="P77" s="105">
        <f>+O77/P79</f>
        <v>-0.14348100976797121</v>
      </c>
      <c r="T77" s="42"/>
      <c r="U77" s="42"/>
      <c r="V77" s="42"/>
    </row>
    <row r="78" spans="1:22">
      <c r="A78" s="48" t="s">
        <v>72</v>
      </c>
      <c r="B78" s="49"/>
      <c r="C78" s="54">
        <f>+C77+C76</f>
        <v>632.0519233</v>
      </c>
      <c r="D78" s="89">
        <f>+C78/D79</f>
        <v>1.6578923364504219</v>
      </c>
      <c r="E78" s="34"/>
      <c r="F78" s="34"/>
      <c r="G78" s="34"/>
      <c r="H78" s="34"/>
      <c r="I78" s="34"/>
      <c r="J78" s="34"/>
      <c r="N78" s="48" t="s">
        <v>73</v>
      </c>
      <c r="O78" s="106">
        <f>+O77+O76</f>
        <v>437.87586913298003</v>
      </c>
      <c r="P78" s="107">
        <f>+O78/P79</f>
        <v>1.1485623585509868</v>
      </c>
      <c r="T78" s="42"/>
      <c r="U78" s="42"/>
      <c r="V78" s="42"/>
    </row>
    <row r="79" spans="1:22">
      <c r="A79" s="51" t="s">
        <v>74</v>
      </c>
      <c r="C79" s="191"/>
      <c r="D79" s="84">
        <v>381.23822000000001</v>
      </c>
      <c r="E79" s="40"/>
      <c r="F79" s="34"/>
      <c r="G79" s="34"/>
      <c r="H79" s="34"/>
      <c r="I79" s="34"/>
      <c r="J79" s="34"/>
      <c r="N79" s="108" t="s">
        <v>74</v>
      </c>
      <c r="O79" s="40"/>
      <c r="P79" s="109">
        <f>+D79</f>
        <v>381.23822000000001</v>
      </c>
      <c r="T79" s="42"/>
      <c r="U79" s="42"/>
      <c r="V79" s="42"/>
    </row>
    <row r="80" spans="1:22">
      <c r="U80" s="81"/>
    </row>
    <row r="81" spans="3:10">
      <c r="C81" s="85"/>
      <c r="D81" s="85"/>
      <c r="E81" s="85"/>
      <c r="F81" s="85"/>
      <c r="G81" s="85"/>
      <c r="H81" s="85">
        <f>H72</f>
        <v>0.12291792035102844</v>
      </c>
    </row>
    <row r="82" spans="3:10">
      <c r="J82" s="110"/>
    </row>
    <row r="84" spans="3:10">
      <c r="C84" s="86">
        <f t="shared" ref="C84:H84" si="97">+$D$76/C57</f>
        <v>-1.1717083350142594E-3</v>
      </c>
      <c r="D84" s="86">
        <f t="shared" si="97"/>
        <v>-1.6580184431665846E-3</v>
      </c>
      <c r="E84" s="86">
        <f t="shared" si="97"/>
        <v>1.8710086307715949E-3</v>
      </c>
      <c r="F84" s="86">
        <f t="shared" si="97"/>
        <v>-2.3660127780472788E-3</v>
      </c>
      <c r="G84" s="86">
        <f t="shared" si="97"/>
        <v>-7.9381280292411399E-2</v>
      </c>
      <c r="H84" s="86">
        <f t="shared" si="97"/>
        <v>2.45776762841881E-2</v>
      </c>
    </row>
    <row r="85" spans="3:10">
      <c r="C85" s="86"/>
      <c r="D85" s="86"/>
      <c r="E85" s="86"/>
      <c r="F85" s="86"/>
      <c r="G85" s="86"/>
      <c r="H85" s="86"/>
    </row>
    <row r="86" spans="3:10" ht="13.5">
      <c r="C86" s="86"/>
      <c r="D86" s="87"/>
      <c r="E86" s="86"/>
      <c r="F86" s="86"/>
      <c r="G86" s="86"/>
      <c r="H86" s="86"/>
    </row>
    <row r="88" spans="3:10">
      <c r="C88" s="35" t="s">
        <v>544</v>
      </c>
    </row>
    <row r="92" spans="3:10">
      <c r="C92" s="88"/>
    </row>
    <row r="93" spans="3:10">
      <c r="C93" s="88"/>
    </row>
    <row r="94" spans="3:10">
      <c r="C94" s="88"/>
    </row>
  </sheetData>
  <printOptions horizontalCentered="1"/>
  <pageMargins left="0.3" right="0.3" top="0.3" bottom="0.3" header="0.3" footer="0.3"/>
  <pageSetup scale="60" fitToHeight="0" orientation="landscape" r:id="rId1"/>
  <headerFooter>
    <oddFooter>Page &amp;P of &amp;N</oddFooter>
  </headerFooter>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DF3E9-60D1-470D-937E-285F0ABF55A9}">
  <dimension ref="A1:AC35"/>
  <sheetViews>
    <sheetView zoomScale="85" zoomScaleNormal="85" workbookViewId="0">
      <selection activeCell="M22" sqref="M22"/>
    </sheetView>
  </sheetViews>
  <sheetFormatPr defaultRowHeight="14.5"/>
  <cols>
    <col min="3" max="3" width="11.81640625" style="217" bestFit="1" customWidth="1"/>
    <col min="4" max="4" width="4" style="217" customWidth="1"/>
    <col min="5" max="5" width="11.81640625" style="217" bestFit="1" customWidth="1"/>
    <col min="6" max="6" width="9.81640625" bestFit="1" customWidth="1"/>
    <col min="8" max="8" width="12.26953125" customWidth="1"/>
    <col min="9" max="14" width="10.26953125" bestFit="1" customWidth="1"/>
  </cols>
  <sheetData>
    <row r="1" spans="1:29">
      <c r="A1" t="s">
        <v>529</v>
      </c>
      <c r="F1" s="155">
        <f ca="1">TODAY()</f>
        <v>45797</v>
      </c>
      <c r="H1" t="s">
        <v>529</v>
      </c>
    </row>
    <row r="2" spans="1:29" s="127" customFormat="1">
      <c r="A2" s="126" t="s">
        <v>4248</v>
      </c>
      <c r="C2" s="634"/>
      <c r="D2" s="634"/>
      <c r="E2" s="634"/>
      <c r="H2" s="126" t="s">
        <v>4247</v>
      </c>
    </row>
    <row r="3" spans="1:29">
      <c r="A3" s="29" t="str">
        <f>+H3</f>
        <v>(EUR in mm)</v>
      </c>
      <c r="C3" s="642">
        <v>44651</v>
      </c>
      <c r="D3" s="643"/>
      <c r="E3" s="642">
        <v>45473</v>
      </c>
      <c r="F3" s="644">
        <f>(E3-C3)/365</f>
        <v>2.2520547945205478</v>
      </c>
      <c r="H3" s="29" t="s">
        <v>4249</v>
      </c>
    </row>
    <row r="4" spans="1:29" ht="15.5">
      <c r="C4" s="217" t="s">
        <v>4239</v>
      </c>
      <c r="E4" s="217" t="s">
        <v>4238</v>
      </c>
      <c r="I4" s="43" t="s">
        <v>4251</v>
      </c>
      <c r="J4" s="44"/>
      <c r="K4" s="44"/>
      <c r="L4" s="44"/>
      <c r="M4" s="44"/>
      <c r="N4" s="44"/>
      <c r="Q4" s="2" t="s">
        <v>4235</v>
      </c>
      <c r="AC4" s="2" t="s">
        <v>4236</v>
      </c>
    </row>
    <row r="5" spans="1:29">
      <c r="C5" s="635" t="s">
        <v>220</v>
      </c>
      <c r="D5" s="635"/>
      <c r="E5" s="635" t="s">
        <v>455</v>
      </c>
      <c r="F5" s="635" t="s">
        <v>4244</v>
      </c>
      <c r="I5" s="635" t="s">
        <v>548</v>
      </c>
      <c r="J5" s="635" t="s">
        <v>549</v>
      </c>
      <c r="K5" s="635" t="s">
        <v>219</v>
      </c>
      <c r="L5" s="635" t="s">
        <v>220</v>
      </c>
      <c r="M5" s="635" t="s">
        <v>221</v>
      </c>
      <c r="N5" s="635" t="s">
        <v>455</v>
      </c>
    </row>
    <row r="6" spans="1:29">
      <c r="A6" s="3" t="s">
        <v>653</v>
      </c>
      <c r="C6" s="635"/>
      <c r="D6" s="635"/>
      <c r="E6" s="635"/>
      <c r="F6" s="3"/>
      <c r="H6" t="s">
        <v>413</v>
      </c>
      <c r="I6" s="9">
        <v>2105</v>
      </c>
      <c r="J6" s="9">
        <v>2427</v>
      </c>
      <c r="K6" s="9">
        <v>2197</v>
      </c>
      <c r="L6" s="9">
        <v>2433</v>
      </c>
      <c r="M6" s="9">
        <v>2529</v>
      </c>
      <c r="N6" s="9">
        <v>2170</v>
      </c>
    </row>
    <row r="7" spans="1:29">
      <c r="A7" t="s">
        <v>4240</v>
      </c>
      <c r="C7" s="636">
        <f>+C27/$C$20</f>
        <v>0.20216822429906542</v>
      </c>
      <c r="D7" s="636"/>
      <c r="E7" s="636">
        <f>+E10*0.12</f>
        <v>0.14399999999999999</v>
      </c>
      <c r="F7" s="167">
        <f>+(E7/C7)^(1/$F$3)-1</f>
        <v>-0.13985695084512728</v>
      </c>
      <c r="H7" s="91" t="s">
        <v>237</v>
      </c>
      <c r="I7" s="167"/>
      <c r="J7" s="167">
        <f>+J6/I6-1</f>
        <v>0.15296912114014249</v>
      </c>
      <c r="K7" s="167">
        <f t="shared" ref="K7:N7" si="0">+K6/J6-1</f>
        <v>-9.4767202307375342E-2</v>
      </c>
      <c r="L7" s="167">
        <f t="shared" si="0"/>
        <v>0.10741920801092397</v>
      </c>
      <c r="M7" s="167">
        <f t="shared" si="0"/>
        <v>3.9457459926017346E-2</v>
      </c>
      <c r="N7" s="167">
        <f t="shared" si="0"/>
        <v>-0.14195334124159742</v>
      </c>
    </row>
    <row r="8" spans="1:29">
      <c r="A8" t="s">
        <v>4243</v>
      </c>
      <c r="C8" s="636">
        <f t="shared" ref="C8:C15" si="1">+C28/$C$20</f>
        <v>0.6191401869158879</v>
      </c>
      <c r="D8" s="636"/>
      <c r="E8" s="636">
        <f>+E10-E7-E9</f>
        <v>0.504</v>
      </c>
      <c r="F8" s="167">
        <f t="shared" ref="F8:F15" si="2">+(E8/C8)^(1/$F$3)-1</f>
        <v>-8.7314047488819768E-2</v>
      </c>
    </row>
    <row r="9" spans="1:29" ht="16">
      <c r="A9" t="s">
        <v>4242</v>
      </c>
      <c r="B9" s="4"/>
      <c r="C9" s="637">
        <f t="shared" si="1"/>
        <v>0.44224299065420558</v>
      </c>
      <c r="D9" s="637"/>
      <c r="E9" s="637">
        <f>0.46*E10</f>
        <v>0.55200000000000005</v>
      </c>
      <c r="F9" s="640">
        <f t="shared" si="2"/>
        <v>0.10344637706486925</v>
      </c>
      <c r="H9" t="s">
        <v>4250</v>
      </c>
      <c r="I9" s="13">
        <f>+I10-I6</f>
        <v>-2204</v>
      </c>
      <c r="J9" s="13">
        <f>+J10-J6</f>
        <v>-2668</v>
      </c>
      <c r="K9" s="13">
        <f>+K10-K6</f>
        <v>-2420</v>
      </c>
      <c r="L9" s="13">
        <f>+L10-L6</f>
        <v>-2796</v>
      </c>
      <c r="M9" s="13">
        <v>-2724</v>
      </c>
      <c r="N9" s="13">
        <v>-2342</v>
      </c>
    </row>
    <row r="10" spans="1:29">
      <c r="A10" s="5" t="s">
        <v>4241</v>
      </c>
      <c r="C10" s="636">
        <f t="shared" si="1"/>
        <v>1.2635514018691589</v>
      </c>
      <c r="D10" s="636"/>
      <c r="E10" s="636">
        <f>+E23</f>
        <v>1.2</v>
      </c>
      <c r="F10" s="167">
        <f t="shared" si="2"/>
        <v>-2.2653983950526313E-2</v>
      </c>
      <c r="H10" s="5" t="s">
        <v>151</v>
      </c>
      <c r="I10" s="9">
        <v>-99</v>
      </c>
      <c r="J10" s="9">
        <v>-241</v>
      </c>
      <c r="K10" s="9">
        <v>-223</v>
      </c>
      <c r="L10" s="9">
        <v>-363</v>
      </c>
      <c r="M10" s="9">
        <f>+M6+M9</f>
        <v>-195</v>
      </c>
      <c r="N10" s="9">
        <f>+N6+N9</f>
        <v>-172</v>
      </c>
    </row>
    <row r="11" spans="1:29">
      <c r="A11" t="s">
        <v>4240</v>
      </c>
      <c r="C11" s="636">
        <f t="shared" si="1"/>
        <v>0.11663551401869159</v>
      </c>
      <c r="D11" s="636"/>
      <c r="E11" s="636">
        <f>0.16*E14</f>
        <v>0.14400000000000002</v>
      </c>
      <c r="F11" s="167">
        <f t="shared" si="2"/>
        <v>9.8104398587145258E-2</v>
      </c>
      <c r="H11" s="116" t="s">
        <v>239</v>
      </c>
      <c r="I11" s="167">
        <f t="shared" ref="I11:N11" si="3">+I10/I6</f>
        <v>-4.7030878859857482E-2</v>
      </c>
      <c r="J11" s="167">
        <f t="shared" si="3"/>
        <v>-9.9299546765554178E-2</v>
      </c>
      <c r="K11" s="167">
        <f t="shared" si="3"/>
        <v>-0.10150204824761037</v>
      </c>
      <c r="L11" s="167">
        <f t="shared" si="3"/>
        <v>-0.14919852034525277</v>
      </c>
      <c r="M11" s="167">
        <f t="shared" si="3"/>
        <v>-7.7105575326215897E-2</v>
      </c>
      <c r="N11" s="167">
        <f t="shared" si="3"/>
        <v>-7.9262672811059906E-2</v>
      </c>
    </row>
    <row r="12" spans="1:29">
      <c r="A12" t="s">
        <v>4243</v>
      </c>
      <c r="C12" s="636">
        <f t="shared" si="1"/>
        <v>0.87476635514018686</v>
      </c>
      <c r="D12" s="636"/>
      <c r="E12" s="636">
        <f>+E14-E11-E13</f>
        <v>0.52200000000000002</v>
      </c>
      <c r="F12" s="167">
        <f t="shared" si="2"/>
        <v>-0.20487227866557023</v>
      </c>
    </row>
    <row r="13" spans="1:29" ht="16">
      <c r="A13" t="s">
        <v>4242</v>
      </c>
      <c r="B13" s="4"/>
      <c r="C13" s="637">
        <f t="shared" si="1"/>
        <v>0.1749532710280374</v>
      </c>
      <c r="D13" s="637"/>
      <c r="E13" s="637">
        <f>0.26*E14</f>
        <v>0.23400000000000001</v>
      </c>
      <c r="F13" s="640">
        <f t="shared" si="2"/>
        <v>0.13783518602868861</v>
      </c>
    </row>
    <row r="14" spans="1:29" ht="16">
      <c r="A14" s="5" t="s">
        <v>4233</v>
      </c>
      <c r="C14" s="638">
        <f t="shared" si="1"/>
        <v>1.1663551401869159</v>
      </c>
      <c r="D14" s="638"/>
      <c r="E14" s="638">
        <f>+E24</f>
        <v>0.9</v>
      </c>
      <c r="F14" s="640">
        <f t="shared" si="2"/>
        <v>-0.10873590197284977</v>
      </c>
    </row>
    <row r="15" spans="1:29" s="2" customFormat="1">
      <c r="A15" s="2" t="s">
        <v>249</v>
      </c>
      <c r="C15" s="639">
        <f t="shared" si="1"/>
        <v>2.4299065420560746</v>
      </c>
      <c r="D15" s="639"/>
      <c r="E15" s="639">
        <f>+E25</f>
        <v>2.1</v>
      </c>
      <c r="F15" s="145">
        <f t="shared" si="2"/>
        <v>-6.2737738487944394E-2</v>
      </c>
    </row>
    <row r="17" spans="1:5">
      <c r="A17" s="4" t="s">
        <v>4245</v>
      </c>
    </row>
    <row r="18" spans="1:5">
      <c r="A18" t="s">
        <v>4246</v>
      </c>
    </row>
    <row r="19" spans="1:5">
      <c r="A19" s="4"/>
    </row>
    <row r="20" spans="1:5">
      <c r="A20" t="s">
        <v>4237</v>
      </c>
      <c r="C20" s="641">
        <v>1.07</v>
      </c>
      <c r="E20" s="641">
        <v>1.0980000000000001</v>
      </c>
    </row>
    <row r="22" spans="1:5">
      <c r="A22" s="4" t="s">
        <v>4234</v>
      </c>
    </row>
    <row r="23" spans="1:5">
      <c r="A23" t="s">
        <v>4232</v>
      </c>
      <c r="E23" s="636">
        <v>1.2</v>
      </c>
    </row>
    <row r="24" spans="1:5">
      <c r="A24" t="s">
        <v>4233</v>
      </c>
      <c r="B24" s="4"/>
      <c r="C24" s="637"/>
      <c r="D24" s="637"/>
      <c r="E24" s="637">
        <v>0.9</v>
      </c>
    </row>
    <row r="25" spans="1:5">
      <c r="A25" s="5" t="s">
        <v>1637</v>
      </c>
      <c r="C25" s="636"/>
      <c r="D25" s="636"/>
      <c r="E25" s="636">
        <f>+E24+E23</f>
        <v>2.1</v>
      </c>
    </row>
    <row r="27" spans="1:5">
      <c r="A27" t="s">
        <v>4240</v>
      </c>
      <c r="C27" s="636">
        <f>0.16*C30</f>
        <v>0.21632000000000001</v>
      </c>
    </row>
    <row r="28" spans="1:5">
      <c r="A28" t="s">
        <v>4243</v>
      </c>
      <c r="C28" s="636">
        <f>0.49*C30</f>
        <v>0.66248000000000007</v>
      </c>
    </row>
    <row r="29" spans="1:5">
      <c r="A29" t="s">
        <v>4242</v>
      </c>
      <c r="B29" s="4"/>
      <c r="C29" s="637">
        <f>+C30-C28-C27</f>
        <v>0.47320000000000001</v>
      </c>
    </row>
    <row r="30" spans="1:5">
      <c r="A30" s="5" t="s">
        <v>4241</v>
      </c>
      <c r="C30" s="636">
        <f>+C35-C34</f>
        <v>1.3520000000000001</v>
      </c>
    </row>
    <row r="31" spans="1:5">
      <c r="A31" t="s">
        <v>4240</v>
      </c>
      <c r="C31" s="636">
        <f>0.1*C34</f>
        <v>0.12480000000000001</v>
      </c>
    </row>
    <row r="32" spans="1:5">
      <c r="A32" t="s">
        <v>4243</v>
      </c>
      <c r="C32" s="636">
        <f>0.75*C34</f>
        <v>0.93599999999999994</v>
      </c>
    </row>
    <row r="33" spans="1:3">
      <c r="A33" t="s">
        <v>4242</v>
      </c>
      <c r="B33" s="4"/>
      <c r="C33" s="637">
        <f>+C34-C32-C31</f>
        <v>0.18720000000000003</v>
      </c>
    </row>
    <row r="34" spans="1:3" ht="16">
      <c r="A34" s="5" t="s">
        <v>4233</v>
      </c>
      <c r="C34" s="638">
        <f>+C35*0.48</f>
        <v>1.248</v>
      </c>
    </row>
    <row r="35" spans="1:3">
      <c r="A35" s="2" t="s">
        <v>249</v>
      </c>
      <c r="B35" s="2"/>
      <c r="C35" s="639">
        <v>2.6</v>
      </c>
    </row>
  </sheetData>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7AA6-6B1C-4310-9459-7176A29F1083}">
  <sheetPr>
    <pageSetUpPr fitToPage="1"/>
  </sheetPr>
  <dimension ref="A1:AC31"/>
  <sheetViews>
    <sheetView view="pageBreakPreview" zoomScale="85" zoomScaleNormal="100" zoomScaleSheetLayoutView="85" workbookViewId="0">
      <pane xSplit="1" ySplit="6" topLeftCell="B7" activePane="bottomRight" state="frozen"/>
      <selection pane="topRight" activeCell="B1" sqref="B1"/>
      <selection pane="bottomLeft" activeCell="A7" sqref="A7"/>
      <selection pane="bottomRight" activeCell="I9" sqref="I9"/>
    </sheetView>
  </sheetViews>
  <sheetFormatPr defaultRowHeight="14.5"/>
  <cols>
    <col min="1" max="1" width="29.1796875" customWidth="1"/>
    <col min="2" max="2" width="9.26953125" bestFit="1" customWidth="1"/>
    <col min="3" max="3" width="10.26953125" bestFit="1" customWidth="1"/>
    <col min="4" max="4" width="11.26953125" bestFit="1" customWidth="1"/>
    <col min="6" max="7" width="10.26953125" bestFit="1" customWidth="1"/>
    <col min="8" max="8" width="11.26953125" bestFit="1" customWidth="1"/>
  </cols>
  <sheetData>
    <row r="1" spans="1:29" s="35" customFormat="1" ht="12">
      <c r="A1" s="34" t="s">
        <v>0</v>
      </c>
      <c r="L1" s="206">
        <f ca="1">TODAY()</f>
        <v>45797</v>
      </c>
      <c r="N1" s="36"/>
      <c r="O1" s="36"/>
      <c r="P1" s="37"/>
      <c r="Q1" s="37"/>
      <c r="R1" s="37"/>
      <c r="S1" s="37"/>
    </row>
    <row r="2" spans="1:29" s="35" customFormat="1" ht="12">
      <c r="A2" s="38" t="s">
        <v>2</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row>
    <row r="3" spans="1:29" s="35" customFormat="1" ht="12">
      <c r="A3" s="40" t="s">
        <v>409</v>
      </c>
      <c r="C3" s="41"/>
      <c r="D3" s="41"/>
      <c r="E3" s="41"/>
      <c r="F3" s="41"/>
      <c r="G3" s="41">
        <f ca="1">TODAY()</f>
        <v>45797</v>
      </c>
      <c r="H3" s="41">
        <v>45107</v>
      </c>
      <c r="I3" s="41">
        <v>45473</v>
      </c>
      <c r="J3" s="41">
        <v>45838</v>
      </c>
      <c r="K3" s="41">
        <v>46203</v>
      </c>
      <c r="L3" s="41">
        <v>46568</v>
      </c>
      <c r="M3" s="41"/>
      <c r="N3" s="41"/>
      <c r="O3" s="41"/>
      <c r="P3" s="41"/>
      <c r="Q3" s="41"/>
      <c r="R3" s="41"/>
      <c r="S3" s="41"/>
    </row>
    <row r="4" spans="1:29" ht="15.5">
      <c r="B4" s="43" t="s">
        <v>545</v>
      </c>
      <c r="C4" s="44"/>
      <c r="D4" s="44"/>
      <c r="F4" s="43" t="s">
        <v>546</v>
      </c>
      <c r="G4" s="44"/>
      <c r="H4" s="44"/>
      <c r="J4" s="43" t="s">
        <v>547</v>
      </c>
      <c r="K4" s="44"/>
      <c r="L4" s="44"/>
    </row>
    <row r="5" spans="1:29" ht="15.5">
      <c r="B5" s="43" t="str">
        <f>+Simple!C4</f>
        <v>FYE June 30th</v>
      </c>
      <c r="C5" s="44"/>
      <c r="D5" s="44"/>
      <c r="F5" s="43" t="str">
        <f>+B5</f>
        <v>FYE June 30th</v>
      </c>
      <c r="G5" s="44"/>
      <c r="H5" s="44"/>
      <c r="J5" s="43" t="str">
        <f>+F5</f>
        <v>FYE June 30th</v>
      </c>
      <c r="K5" s="44"/>
      <c r="L5" s="44"/>
    </row>
    <row r="6" spans="1:29" s="45" customFormat="1" ht="13.5">
      <c r="B6" s="45" t="s">
        <v>261</v>
      </c>
      <c r="C6" s="45" t="s">
        <v>548</v>
      </c>
      <c r="D6" s="45" t="s">
        <v>549</v>
      </c>
      <c r="F6" s="45" t="s">
        <v>261</v>
      </c>
      <c r="G6" s="45" t="s">
        <v>548</v>
      </c>
      <c r="H6" s="45" t="s">
        <v>549</v>
      </c>
      <c r="J6" s="45" t="s">
        <v>261</v>
      </c>
      <c r="K6" s="45" t="s">
        <v>548</v>
      </c>
      <c r="L6" s="45" t="s">
        <v>549</v>
      </c>
    </row>
    <row r="7" spans="1:29">
      <c r="A7" t="s">
        <v>550</v>
      </c>
      <c r="B7" s="9">
        <v>544</v>
      </c>
      <c r="C7" s="9">
        <v>5710</v>
      </c>
      <c r="D7" s="9">
        <v>22856</v>
      </c>
      <c r="E7" s="9"/>
      <c r="F7" s="9">
        <f>+'Detailed Disclosure'!AJ37</f>
        <v>544</v>
      </c>
      <c r="G7" s="9">
        <f>+'Detailed Disclosure'!AK37</f>
        <v>5710</v>
      </c>
      <c r="H7" s="9">
        <f>+'Detailed Disclosure'!AL37</f>
        <v>22856</v>
      </c>
      <c r="I7" s="9"/>
      <c r="J7" s="9">
        <f>+F7-B7</f>
        <v>0</v>
      </c>
      <c r="K7" s="9">
        <f t="shared" ref="K7:K17" si="0">+G7-C7</f>
        <v>0</v>
      </c>
      <c r="L7" s="9">
        <f t="shared" ref="L7:L17" si="1">+H7-D7</f>
        <v>0</v>
      </c>
      <c r="M7" s="9"/>
      <c r="N7" s="9"/>
    </row>
    <row r="8" spans="1:29" s="4" customFormat="1">
      <c r="A8" t="s">
        <v>551</v>
      </c>
      <c r="B8" s="10">
        <f>+'Detailed Disclosure'!AJ38</f>
        <v>-263</v>
      </c>
      <c r="C8" s="10">
        <f>+'Detailed Disclosure'!AK38</f>
        <v>-4247</v>
      </c>
      <c r="D8" s="10">
        <f>+'Detailed Disclosure'!AL38</f>
        <v>-16442</v>
      </c>
      <c r="E8" s="10"/>
      <c r="F8" s="10">
        <f>+'Detailed Disclosure'!AJ38</f>
        <v>-263</v>
      </c>
      <c r="G8" s="10">
        <f>+'Detailed Disclosure'!AK38</f>
        <v>-4247</v>
      </c>
      <c r="H8" s="10">
        <f>+'Detailed Disclosure'!AL38</f>
        <v>-16442</v>
      </c>
      <c r="I8" s="10"/>
      <c r="J8" s="10">
        <f t="shared" ref="J8:J17" si="2">+F8-B8</f>
        <v>0</v>
      </c>
      <c r="K8" s="10">
        <f t="shared" si="0"/>
        <v>0</v>
      </c>
      <c r="L8" s="10">
        <f t="shared" si="1"/>
        <v>0</v>
      </c>
      <c r="M8" s="10"/>
      <c r="N8" s="10"/>
    </row>
    <row r="9" spans="1:29">
      <c r="A9" s="5" t="s">
        <v>552</v>
      </c>
      <c r="B9" s="9">
        <f>+B8+B7</f>
        <v>281</v>
      </c>
      <c r="C9" s="9">
        <f t="shared" ref="C9:H9" si="3">+C8+C7</f>
        <v>1463</v>
      </c>
      <c r="D9" s="9">
        <f t="shared" si="3"/>
        <v>6414</v>
      </c>
      <c r="E9" s="9"/>
      <c r="F9" s="9">
        <f t="shared" si="3"/>
        <v>281</v>
      </c>
      <c r="G9" s="9">
        <f t="shared" si="3"/>
        <v>1463</v>
      </c>
      <c r="H9" s="9">
        <f t="shared" si="3"/>
        <v>6414</v>
      </c>
      <c r="I9" s="9"/>
      <c r="J9" s="9">
        <f t="shared" si="2"/>
        <v>0</v>
      </c>
      <c r="K9" s="9">
        <f t="shared" si="0"/>
        <v>0</v>
      </c>
      <c r="L9" s="9">
        <f t="shared" si="1"/>
        <v>0</v>
      </c>
      <c r="M9" s="9"/>
      <c r="N9" s="9"/>
    </row>
    <row r="10" spans="1:29">
      <c r="B10" s="9"/>
      <c r="C10" s="9"/>
      <c r="D10" s="9"/>
      <c r="E10" s="9"/>
      <c r="F10" s="9"/>
      <c r="G10" s="9"/>
      <c r="H10" s="9"/>
      <c r="I10" s="9"/>
      <c r="J10" s="9"/>
      <c r="K10" s="9"/>
      <c r="L10" s="9"/>
      <c r="M10" s="9"/>
      <c r="N10" s="9"/>
    </row>
    <row r="11" spans="1:29">
      <c r="A11" t="s">
        <v>553</v>
      </c>
      <c r="B11" s="9">
        <v>9</v>
      </c>
      <c r="C11" s="9">
        <v>139</v>
      </c>
      <c r="D11" s="9">
        <v>486</v>
      </c>
      <c r="E11" s="9"/>
      <c r="F11" s="9">
        <f>+'Detailed Disclosure'!AJ42</f>
        <v>9</v>
      </c>
      <c r="G11" s="9">
        <f>+'Detailed Disclosure'!AK42</f>
        <v>139</v>
      </c>
      <c r="H11" s="9">
        <f>+'Detailed Disclosure'!AL42</f>
        <v>486</v>
      </c>
      <c r="I11" s="9"/>
      <c r="J11" s="9">
        <f t="shared" si="2"/>
        <v>0</v>
      </c>
      <c r="K11" s="9">
        <f t="shared" si="0"/>
        <v>0</v>
      </c>
      <c r="L11" s="9">
        <f t="shared" si="1"/>
        <v>0</v>
      </c>
      <c r="M11" s="9"/>
      <c r="N11" s="9"/>
    </row>
    <row r="12" spans="1:29">
      <c r="A12" t="s">
        <v>554</v>
      </c>
      <c r="B12" s="9">
        <v>-41</v>
      </c>
      <c r="C12" s="9">
        <v>-411</v>
      </c>
      <c r="D12" s="9">
        <v>-1935</v>
      </c>
      <c r="E12" s="9"/>
      <c r="F12" s="9">
        <f>+'Detailed Disclosure'!AJ45</f>
        <v>-41</v>
      </c>
      <c r="G12" s="9">
        <f>+'Detailed Disclosure'!AK45</f>
        <v>-411</v>
      </c>
      <c r="H12" s="9">
        <f>+'Detailed Disclosure'!AL45</f>
        <v>-1935</v>
      </c>
      <c r="I12" s="9"/>
      <c r="J12" s="9">
        <f t="shared" si="2"/>
        <v>0</v>
      </c>
      <c r="K12" s="9">
        <f t="shared" si="0"/>
        <v>0</v>
      </c>
      <c r="L12" s="9">
        <f t="shared" si="1"/>
        <v>0</v>
      </c>
      <c r="M12" s="9"/>
      <c r="N12" s="9"/>
    </row>
    <row r="13" spans="1:29">
      <c r="A13" t="s">
        <v>555</v>
      </c>
      <c r="B13" s="9">
        <v>-32</v>
      </c>
      <c r="C13" s="9">
        <v>-180</v>
      </c>
      <c r="D13" s="9">
        <v>-1201</v>
      </c>
      <c r="E13" s="9"/>
      <c r="F13" s="9">
        <f>+'Detailed Disclosure'!AJ48</f>
        <v>-32</v>
      </c>
      <c r="G13" s="9">
        <f>+'Detailed Disclosure'!AK48</f>
        <v>-180</v>
      </c>
      <c r="H13" s="9">
        <f>+'Detailed Disclosure'!AL48</f>
        <v>-1201</v>
      </c>
      <c r="I13" s="9"/>
      <c r="J13" s="9">
        <f t="shared" si="2"/>
        <v>0</v>
      </c>
      <c r="K13" s="9">
        <f t="shared" si="0"/>
        <v>0</v>
      </c>
      <c r="L13" s="9">
        <f t="shared" si="1"/>
        <v>0</v>
      </c>
      <c r="M13" s="9"/>
      <c r="N13" s="9"/>
    </row>
    <row r="14" spans="1:29">
      <c r="A14" t="s">
        <v>556</v>
      </c>
      <c r="B14" s="9">
        <v>-15</v>
      </c>
      <c r="C14" s="9">
        <v>-252</v>
      </c>
      <c r="D14" s="9">
        <v>-860.5</v>
      </c>
      <c r="E14" s="9"/>
      <c r="F14" s="9">
        <f>+'Detailed Disclosure'!AJ46+0.4</f>
        <v>-14.6</v>
      </c>
      <c r="G14" s="9">
        <f>+'Detailed Disclosure'!AK46</f>
        <v>-252</v>
      </c>
      <c r="H14" s="9">
        <f>+'Detailed Disclosure'!AL46+0.4</f>
        <v>-860.1</v>
      </c>
      <c r="I14" s="9"/>
      <c r="J14" s="9">
        <f t="shared" si="2"/>
        <v>0.40000000000000036</v>
      </c>
      <c r="K14" s="9">
        <f t="shared" si="0"/>
        <v>0</v>
      </c>
      <c r="L14" s="9">
        <f t="shared" si="1"/>
        <v>0.39999999999997726</v>
      </c>
      <c r="M14" s="9"/>
      <c r="N14" s="9"/>
    </row>
    <row r="15" spans="1:29">
      <c r="A15" t="s">
        <v>557</v>
      </c>
      <c r="B15" s="9">
        <v>-11</v>
      </c>
      <c r="C15" s="9">
        <v>-153</v>
      </c>
      <c r="D15" s="9">
        <v>-350.5</v>
      </c>
      <c r="E15" s="9"/>
      <c r="F15" s="9">
        <f>+'Detailed Disclosure'!AJ47+0.4</f>
        <v>-10.6</v>
      </c>
      <c r="G15" s="9">
        <f>+'Detailed Disclosure'!AK47</f>
        <v>-153</v>
      </c>
      <c r="H15" s="9">
        <f>+'Detailed Disclosure'!AL47+0.4</f>
        <v>-350.1</v>
      </c>
      <c r="I15" s="9"/>
      <c r="J15" s="9">
        <f t="shared" si="2"/>
        <v>0.40000000000000036</v>
      </c>
      <c r="K15" s="9">
        <f t="shared" si="0"/>
        <v>0</v>
      </c>
      <c r="L15" s="9">
        <f t="shared" si="1"/>
        <v>0.39999999999997726</v>
      </c>
      <c r="M15" s="9"/>
      <c r="N15" s="9"/>
    </row>
    <row r="16" spans="1:29" s="4" customFormat="1">
      <c r="A16" t="s">
        <v>558</v>
      </c>
      <c r="B16" s="10">
        <v>-22.5</v>
      </c>
      <c r="C16" s="10">
        <v>0</v>
      </c>
      <c r="D16" s="10">
        <v>0</v>
      </c>
      <c r="E16" s="10"/>
      <c r="F16" s="10">
        <v>0</v>
      </c>
      <c r="G16" s="10">
        <v>0</v>
      </c>
      <c r="H16" s="10">
        <v>0</v>
      </c>
      <c r="I16" s="10"/>
      <c r="J16" s="10">
        <f t="shared" si="2"/>
        <v>22.5</v>
      </c>
      <c r="K16" s="10">
        <f t="shared" si="0"/>
        <v>0</v>
      </c>
      <c r="L16" s="10">
        <f t="shared" si="1"/>
        <v>0</v>
      </c>
      <c r="M16" s="10"/>
      <c r="N16" s="10"/>
    </row>
    <row r="17" spans="1:14" s="2" customFormat="1">
      <c r="A17" s="6" t="s">
        <v>93</v>
      </c>
      <c r="B17" s="11">
        <f>+SUM(B9:B16)</f>
        <v>168.5</v>
      </c>
      <c r="C17" s="11">
        <f>+SUM(C9:C16)</f>
        <v>606</v>
      </c>
      <c r="D17" s="11">
        <f>+SUM(D9:D16)</f>
        <v>2553</v>
      </c>
      <c r="E17" s="11"/>
      <c r="F17" s="11">
        <f t="shared" ref="F17" si="4">+SUM(F9:F16)</f>
        <v>191.8</v>
      </c>
      <c r="G17" s="11">
        <f t="shared" ref="G17" si="5">+SUM(G9:G16)</f>
        <v>606</v>
      </c>
      <c r="H17" s="11">
        <f t="shared" ref="H17" si="6">+SUM(H9:H16)</f>
        <v>2553.8000000000002</v>
      </c>
      <c r="I17" s="11"/>
      <c r="J17" s="11">
        <f t="shared" si="2"/>
        <v>23.300000000000011</v>
      </c>
      <c r="K17" s="11">
        <f t="shared" si="0"/>
        <v>0</v>
      </c>
      <c r="L17" s="11">
        <f t="shared" si="1"/>
        <v>0.8000000000001819</v>
      </c>
      <c r="M17" s="11"/>
      <c r="N17" s="11"/>
    </row>
    <row r="18" spans="1:14" s="119" customFormat="1">
      <c r="A18" s="112" t="s">
        <v>239</v>
      </c>
      <c r="B18" s="25">
        <f>+B17/B7</f>
        <v>0.30974264705882354</v>
      </c>
      <c r="C18" s="25">
        <f>+C17/C7</f>
        <v>0.10612959719789843</v>
      </c>
      <c r="D18" s="25">
        <f>+D17/D7</f>
        <v>0.11169933496674833</v>
      </c>
      <c r="E18" s="25"/>
      <c r="F18" s="25">
        <f>+F17/F7</f>
        <v>0.35257352941176473</v>
      </c>
      <c r="G18" s="25">
        <f>+G17/G7</f>
        <v>0.10612959719789843</v>
      </c>
      <c r="H18" s="25">
        <f>+H17/H7</f>
        <v>0.11173433671683584</v>
      </c>
      <c r="I18" s="25"/>
      <c r="J18" s="164"/>
      <c r="K18" s="164"/>
      <c r="L18" s="164"/>
    </row>
    <row r="20" spans="1:14" s="29" customFormat="1">
      <c r="A20" s="29" t="s">
        <v>559</v>
      </c>
      <c r="C20" s="117">
        <v>0.1</v>
      </c>
      <c r="D20" s="117">
        <v>0.12</v>
      </c>
      <c r="G20" s="117"/>
      <c r="H20" s="117"/>
    </row>
    <row r="22" spans="1:14">
      <c r="A22" s="3" t="s">
        <v>560</v>
      </c>
    </row>
    <row r="23" spans="1:14">
      <c r="A23" t="s">
        <v>561</v>
      </c>
      <c r="J23" s="9">
        <v>-430</v>
      </c>
      <c r="K23" s="9">
        <v>-430</v>
      </c>
      <c r="L23" s="9">
        <v>-430</v>
      </c>
    </row>
    <row r="24" spans="1:14">
      <c r="A24" t="s">
        <v>562</v>
      </c>
      <c r="J24" s="9">
        <v>-370</v>
      </c>
      <c r="K24" s="9">
        <v>-370</v>
      </c>
      <c r="L24" s="9">
        <v>-370</v>
      </c>
    </row>
    <row r="25" spans="1:14">
      <c r="A25" t="s">
        <v>563</v>
      </c>
      <c r="J25" s="9">
        <v>-100</v>
      </c>
      <c r="K25" s="9">
        <v>-100</v>
      </c>
      <c r="L25" s="9">
        <v>-1</v>
      </c>
    </row>
    <row r="26" spans="1:14">
      <c r="A26" t="s">
        <v>564</v>
      </c>
      <c r="J26" s="9">
        <v>-175</v>
      </c>
      <c r="K26" s="9">
        <v>-175</v>
      </c>
      <c r="L26" s="9">
        <v>-175</v>
      </c>
    </row>
    <row r="27" spans="1:14">
      <c r="A27" t="s">
        <v>565</v>
      </c>
      <c r="J27" s="9">
        <v>-175</v>
      </c>
      <c r="K27" s="9">
        <v>-175</v>
      </c>
      <c r="L27" s="9">
        <v>-175</v>
      </c>
    </row>
    <row r="28" spans="1:14">
      <c r="A28" t="s">
        <v>566</v>
      </c>
      <c r="B28" s="9"/>
      <c r="C28" s="9"/>
      <c r="D28" s="9"/>
      <c r="E28" s="9"/>
      <c r="F28" s="9"/>
      <c r="G28" s="9"/>
      <c r="H28" s="9"/>
      <c r="I28" s="9"/>
      <c r="J28" s="9">
        <v>-138</v>
      </c>
      <c r="K28" s="9">
        <v>-138</v>
      </c>
      <c r="L28" s="9">
        <v>-138</v>
      </c>
      <c r="M28" s="9"/>
      <c r="N28" s="9"/>
    </row>
    <row r="29" spans="1:14" s="4" customFormat="1">
      <c r="A29" t="s">
        <v>567</v>
      </c>
      <c r="B29" s="10"/>
      <c r="C29" s="10"/>
      <c r="D29" s="10"/>
      <c r="E29" s="10"/>
      <c r="F29" s="10"/>
      <c r="G29" s="10"/>
      <c r="H29" s="10"/>
      <c r="I29" s="10"/>
      <c r="J29" s="10">
        <v>-150</v>
      </c>
      <c r="K29" s="10">
        <v>-150</v>
      </c>
      <c r="L29" s="10">
        <v>-150</v>
      </c>
      <c r="M29" s="10"/>
      <c r="N29" s="10"/>
    </row>
    <row r="30" spans="1:14" s="2" customFormat="1">
      <c r="A30" s="6" t="s">
        <v>568</v>
      </c>
      <c r="B30" s="11"/>
      <c r="C30" s="11"/>
      <c r="D30" s="11"/>
      <c r="E30" s="11"/>
      <c r="F30" s="11"/>
      <c r="G30" s="11"/>
      <c r="H30" s="11"/>
      <c r="I30" s="11"/>
      <c r="J30" s="11">
        <f>+SUM(J23:J29)</f>
        <v>-1538</v>
      </c>
      <c r="K30" s="11">
        <f t="shared" ref="K30:L30" si="7">+SUM(K23:K29)</f>
        <v>-1538</v>
      </c>
      <c r="L30" s="11">
        <f t="shared" si="7"/>
        <v>-1439</v>
      </c>
      <c r="M30" s="11"/>
      <c r="N30" s="11"/>
    </row>
    <row r="31" spans="1:14" s="2" customFormat="1">
      <c r="A31" s="6"/>
      <c r="B31" s="11"/>
      <c r="C31" s="11"/>
      <c r="D31" s="11"/>
      <c r="E31" s="11"/>
      <c r="F31" s="11"/>
      <c r="G31" s="11"/>
      <c r="H31" s="11"/>
      <c r="I31" s="11"/>
      <c r="J31" s="11"/>
      <c r="K31" s="11"/>
      <c r="L31" s="11"/>
      <c r="M31" s="11"/>
      <c r="N31" s="11"/>
    </row>
  </sheetData>
  <pageMargins left="0.3" right="0.3" top="0.3" bottom="0.3" header="0.3" footer="0.3"/>
  <pageSetup scale="98" fitToHeight="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ADA-CFCB-46D6-8E54-03EF30A10676}">
  <sheetPr>
    <pageSetUpPr fitToPage="1"/>
  </sheetPr>
  <dimension ref="A1:AC86"/>
  <sheetViews>
    <sheetView view="pageBreakPreview" zoomScale="85" zoomScaleNormal="70" zoomScaleSheetLayoutView="85" workbookViewId="0">
      <pane xSplit="1" ySplit="5" topLeftCell="B69" activePane="bottomRight" state="frozen"/>
      <selection pane="topRight" activeCell="AC74" sqref="AC73:AC74"/>
      <selection pane="bottomLeft" activeCell="AC74" sqref="AC73:AC74"/>
      <selection pane="bottomRight" activeCell="R84" sqref="R84"/>
    </sheetView>
  </sheetViews>
  <sheetFormatPr defaultColWidth="8.7265625" defaultRowHeight="12.5" outlineLevelCol="1"/>
  <cols>
    <col min="1" max="1" width="40.26953125" style="282" customWidth="1"/>
    <col min="2" max="2" width="2.54296875" style="282" customWidth="1"/>
    <col min="3" max="6" width="11" style="282" hidden="1" customWidth="1" outlineLevel="1"/>
    <col min="7" max="7" width="12.54296875" style="282" customWidth="1" collapsed="1"/>
    <col min="8" max="18" width="12.54296875" style="282" customWidth="1"/>
    <col min="19" max="19" width="27.453125" style="282" customWidth="1"/>
    <col min="20" max="16384" width="8.7265625" style="282"/>
  </cols>
  <sheetData>
    <row r="1" spans="1:29" ht="13">
      <c r="A1" s="237" t="s">
        <v>0</v>
      </c>
      <c r="L1" s="283"/>
      <c r="N1" s="284"/>
      <c r="Q1" s="283"/>
      <c r="R1" s="283"/>
      <c r="S1" s="283">
        <f t="shared" ref="S1" ca="1" si="0">TODAY()</f>
        <v>45797</v>
      </c>
    </row>
    <row r="2" spans="1:29" ht="13">
      <c r="A2" s="286" t="s">
        <v>569</v>
      </c>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row>
    <row r="3" spans="1:29" ht="13">
      <c r="A3" s="288"/>
      <c r="C3" s="289"/>
      <c r="D3" s="289"/>
      <c r="E3" s="289"/>
      <c r="F3" s="289"/>
      <c r="G3" s="289">
        <f ca="1">TODAY()</f>
        <v>45797</v>
      </c>
      <c r="H3" s="289">
        <v>45107</v>
      </c>
      <c r="I3" s="289">
        <v>45473</v>
      </c>
      <c r="J3" s="289">
        <v>45838</v>
      </c>
      <c r="K3" s="289">
        <v>46203</v>
      </c>
      <c r="L3" s="289">
        <v>46568</v>
      </c>
      <c r="M3" s="289"/>
      <c r="N3" s="289"/>
      <c r="O3" s="289"/>
      <c r="P3" s="289"/>
      <c r="Q3" s="289"/>
      <c r="R3" s="289"/>
      <c r="S3" s="289"/>
    </row>
    <row r="4" spans="1:29" ht="16">
      <c r="A4" s="288"/>
      <c r="C4" s="255" t="s">
        <v>570</v>
      </c>
      <c r="D4" s="44"/>
      <c r="E4" s="44"/>
      <c r="F4" s="44"/>
      <c r="G4" s="44"/>
      <c r="H4" s="44"/>
      <c r="I4" s="44"/>
      <c r="J4" s="44"/>
      <c r="K4" s="44"/>
      <c r="L4" s="44"/>
      <c r="M4" s="44"/>
      <c r="N4" s="44"/>
      <c r="O4" s="44"/>
      <c r="P4" s="44"/>
      <c r="Q4" s="44"/>
      <c r="R4" s="44"/>
      <c r="S4" s="289"/>
    </row>
    <row r="5" spans="1:29" ht="16">
      <c r="C5" s="16" t="s">
        <v>197</v>
      </c>
      <c r="D5" s="16" t="s">
        <v>198</v>
      </c>
      <c r="E5" s="16" t="s">
        <v>199</v>
      </c>
      <c r="F5" s="16" t="s">
        <v>200</v>
      </c>
      <c r="G5" s="16" t="s">
        <v>201</v>
      </c>
      <c r="H5" s="16" t="s">
        <v>202</v>
      </c>
      <c r="I5" s="16" t="s">
        <v>203</v>
      </c>
      <c r="J5" s="16" t="s">
        <v>204</v>
      </c>
      <c r="K5" s="16" t="s">
        <v>205</v>
      </c>
      <c r="L5" s="16" t="s">
        <v>206</v>
      </c>
      <c r="M5" s="16" t="s">
        <v>207</v>
      </c>
      <c r="N5" s="16" t="s">
        <v>208</v>
      </c>
      <c r="O5" s="16" t="s">
        <v>209</v>
      </c>
      <c r="P5" s="16" t="s">
        <v>210</v>
      </c>
      <c r="Q5" s="16" t="s">
        <v>259</v>
      </c>
      <c r="R5" s="16" t="s">
        <v>260</v>
      </c>
      <c r="S5" s="16" t="s">
        <v>571</v>
      </c>
    </row>
    <row r="6" spans="1:29" ht="13">
      <c r="A6" s="290" t="s">
        <v>572</v>
      </c>
      <c r="C6" s="292"/>
      <c r="D6" s="292"/>
      <c r="E6" s="292"/>
      <c r="F6" s="292"/>
      <c r="G6" s="292"/>
      <c r="H6" s="292"/>
      <c r="I6" s="292"/>
      <c r="J6" s="292"/>
      <c r="K6" s="292"/>
      <c r="L6" s="292"/>
      <c r="M6" s="292"/>
      <c r="N6" s="292"/>
      <c r="O6" s="292"/>
      <c r="P6" s="308"/>
      <c r="Q6" s="308"/>
      <c r="R6" s="308"/>
    </row>
    <row r="7" spans="1:29">
      <c r="A7" s="282" t="s">
        <v>573</v>
      </c>
      <c r="C7" s="292">
        <f>+'Detailed Disclosures - USD'!D8/1000</f>
        <v>3.5568086029861181</v>
      </c>
      <c r="D7" s="292">
        <f>+'Detailed Disclosures - USD'!E8/1000</f>
        <v>9.283520651200206</v>
      </c>
      <c r="E7" s="292">
        <f>+'Detailed Disclosures - USD'!F8/1000</f>
        <v>13.149585074972403</v>
      </c>
      <c r="F7" s="292">
        <f>+'Detailed Disclosures - USD'!G8/1000</f>
        <v>24.966086101433792</v>
      </c>
      <c r="G7" s="292">
        <f>+'Detailed Disclosures - USD'!H8/1000</f>
        <v>19.541625722512382</v>
      </c>
      <c r="H7" s="292">
        <f>+'Detailed Disclosures - USD'!I8/1000</f>
        <v>35.729859250945402</v>
      </c>
      <c r="I7" s="292">
        <f>+'Detailed Disclosures - USD'!J8/1000</f>
        <v>38.279819957385186</v>
      </c>
      <c r="J7" s="292">
        <f>+'Detailed Disclosures - USD'!K8/1000</f>
        <v>74.44389792481951</v>
      </c>
      <c r="K7" s="292">
        <f>+'Detailed Disclosures - USD'!L8/1000</f>
        <v>51.26897141022669</v>
      </c>
      <c r="L7" s="292">
        <f>+'Detailed Disclosures - USD'!M8/1000</f>
        <v>44.872719361685625</v>
      </c>
      <c r="M7" s="292">
        <f>+'Detailed Disclosures - USD'!N8/1000</f>
        <v>57.687424152767491</v>
      </c>
      <c r="N7" s="292">
        <f>+'Detailed Disclosures - USD'!O8/1000</f>
        <v>103.96718483098266</v>
      </c>
      <c r="O7" s="292">
        <f>+'Detailed Disclosures - USD'!P8/1000</f>
        <v>90.048850476548367</v>
      </c>
      <c r="P7" s="308">
        <f>+'Detailed Disclosures - USD'!Q8/1000</f>
        <v>110.03526618446327</v>
      </c>
      <c r="Q7" s="308">
        <f>+'Q4 FY21e analysis'!X52/1000</f>
        <v>109.58299787142562</v>
      </c>
      <c r="R7" s="308">
        <f>+'Q4 FY21e analysis'!Y52/1000</f>
        <v>190.87042355011459</v>
      </c>
    </row>
    <row r="8" spans="1:29">
      <c r="A8" s="282" t="s">
        <v>574</v>
      </c>
      <c r="C8" s="292">
        <f>+'Detailed Disclosures - USD'!D17/1000</f>
        <v>2.8180669942590137</v>
      </c>
      <c r="D8" s="292">
        <f>+'Detailed Disclosures - USD'!E17/1000</f>
        <v>7.5860184433036126</v>
      </c>
      <c r="E8" s="292">
        <f>+'Detailed Disclosures - USD'!F17/1000</f>
        <v>10.433909896445495</v>
      </c>
      <c r="F8" s="292">
        <f>+'Detailed Disclosures - USD'!G17/1000</f>
        <v>16.320612554405223</v>
      </c>
      <c r="G8" s="292">
        <f>+'Detailed Disclosures - USD'!H17/1000</f>
        <v>14.289331061916167</v>
      </c>
      <c r="H8" s="292">
        <f>+'Detailed Disclosures - USD'!I17/1000</f>
        <v>25.692908306317189</v>
      </c>
      <c r="I8" s="292">
        <f>+'Detailed Disclosures - USD'!J17/1000</f>
        <v>28.360864690116475</v>
      </c>
      <c r="J8" s="292">
        <f>+'Detailed Disclosures - USD'!K17/1000</f>
        <v>54.814952235218236</v>
      </c>
      <c r="K8" s="292">
        <f>+'Detailed Disclosures - USD'!L17/1000</f>
        <v>35.337935096314439</v>
      </c>
      <c r="L8" s="292">
        <f>+'Detailed Disclosures - USD'!M17/1000</f>
        <v>33.821943231292174</v>
      </c>
      <c r="M8" s="292">
        <f>+'Detailed Disclosures - USD'!N17/1000</f>
        <v>45.37787569430273</v>
      </c>
      <c r="N8" s="292">
        <f>+'Detailed Disclosures - USD'!O17/1000</f>
        <v>79.696312663890339</v>
      </c>
      <c r="O8" s="292">
        <f>+'Detailed Disclosures - USD'!P17/1000</f>
        <v>69.347179995217445</v>
      </c>
      <c r="P8" s="308">
        <f>+'Detailed Disclosures - USD'!Q17/1000</f>
        <v>84.842091890245626</v>
      </c>
      <c r="Q8" s="308">
        <f>+'Q4 FY21e analysis'!X54/1000</f>
        <v>83.201905791267592</v>
      </c>
      <c r="R8" s="308">
        <f>+'Q4 FY21e analysis'!Y54/1000</f>
        <v>147.92775226172566</v>
      </c>
    </row>
    <row r="9" spans="1:29">
      <c r="A9" s="282" t="s">
        <v>575</v>
      </c>
      <c r="C9" s="292">
        <f>+'Google Trends Raw'!G6</f>
        <v>69</v>
      </c>
      <c r="D9" s="292">
        <f>+'Google Trends Raw'!H6</f>
        <v>129</v>
      </c>
      <c r="E9" s="292">
        <f>+'Google Trends Raw'!I6</f>
        <v>146</v>
      </c>
      <c r="F9" s="292">
        <f>+'Google Trends Raw'!J6</f>
        <v>247</v>
      </c>
      <c r="G9" s="292">
        <f>+'Google Trends Raw'!K6</f>
        <v>200</v>
      </c>
      <c r="H9" s="292">
        <f>+'Google Trends Raw'!L6</f>
        <v>309</v>
      </c>
      <c r="I9" s="292">
        <f>+'Google Trends Raw'!M6</f>
        <v>382</v>
      </c>
      <c r="J9" s="292">
        <f>+'Google Trends Raw'!N6</f>
        <v>888</v>
      </c>
      <c r="K9" s="292">
        <f>+'Google Trends Raw'!O6</f>
        <v>754</v>
      </c>
      <c r="L9" s="292">
        <f>+'Google Trends Raw'!P6</f>
        <v>527</v>
      </c>
      <c r="M9" s="292">
        <f>+'Google Trends Raw'!Q6</f>
        <v>591</v>
      </c>
      <c r="N9" s="292">
        <f>+'Google Trends Raw'!R6</f>
        <v>900</v>
      </c>
      <c r="O9" s="292">
        <f>+'Google Trends Raw'!S6</f>
        <v>863</v>
      </c>
      <c r="P9" s="308">
        <f>+'Google Trends Raw'!T6</f>
        <v>962</v>
      </c>
      <c r="Q9" s="308">
        <f>+'Google Trends Raw'!U6</f>
        <v>1011</v>
      </c>
      <c r="R9" s="308">
        <f>N9*(1+R25)</f>
        <v>1320.9677419354837</v>
      </c>
    </row>
    <row r="10" spans="1:29">
      <c r="A10" s="282" t="s">
        <v>576</v>
      </c>
      <c r="C10" s="292">
        <f>+'Google Trends Raw'!G7</f>
        <v>57</v>
      </c>
      <c r="D10" s="292">
        <f>+'Google Trends Raw'!H7</f>
        <v>124</v>
      </c>
      <c r="E10" s="292">
        <f>+'Google Trends Raw'!I7</f>
        <v>131</v>
      </c>
      <c r="F10" s="292">
        <f>+'Google Trends Raw'!J7</f>
        <v>178</v>
      </c>
      <c r="G10" s="292">
        <f>+'Google Trends Raw'!K7</f>
        <v>165</v>
      </c>
      <c r="H10" s="292">
        <f>+'Google Trends Raw'!L7</f>
        <v>267</v>
      </c>
      <c r="I10" s="292">
        <f>+'Google Trends Raw'!M7</f>
        <v>307</v>
      </c>
      <c r="J10" s="292">
        <f>+'Google Trends Raw'!N7</f>
        <v>552</v>
      </c>
      <c r="K10" s="292">
        <f>+'Google Trends Raw'!O7</f>
        <v>512</v>
      </c>
      <c r="L10" s="292">
        <f>+'Google Trends Raw'!P7</f>
        <v>340</v>
      </c>
      <c r="M10" s="292">
        <f>+'Google Trends Raw'!Q7</f>
        <v>470</v>
      </c>
      <c r="N10" s="292">
        <f>+'Google Trends Raw'!R7</f>
        <v>863</v>
      </c>
      <c r="O10" s="292">
        <f>+'Google Trends Raw'!S7</f>
        <v>797</v>
      </c>
      <c r="P10" s="308">
        <f>+'Google Trends Raw'!T7</f>
        <v>825</v>
      </c>
      <c r="Q10" s="308">
        <f>+'Google Trends Raw'!U7</f>
        <v>879</v>
      </c>
      <c r="R10" s="308">
        <f>N10*(1+R26)</f>
        <v>1090.4573643410854</v>
      </c>
    </row>
    <row r="11" spans="1:29">
      <c r="A11" s="282" t="s">
        <v>577</v>
      </c>
      <c r="C11" s="292">
        <f>+'SEM Rush Raw'!L7</f>
        <v>650288</v>
      </c>
      <c r="D11" s="292">
        <f>+'SEM Rush Raw'!M7</f>
        <v>837122</v>
      </c>
      <c r="E11" s="292">
        <f>+'SEM Rush Raw'!N7</f>
        <v>1213023</v>
      </c>
      <c r="F11" s="292">
        <f>+'SEM Rush Raw'!O7</f>
        <v>1929554</v>
      </c>
      <c r="G11" s="292">
        <f>+'SEM Rush Raw'!P7</f>
        <v>1883565</v>
      </c>
      <c r="H11" s="292">
        <f>+'SEM Rush Raw'!Q7</f>
        <v>3825237</v>
      </c>
      <c r="I11" s="292">
        <f>+'SEM Rush Raw'!R7</f>
        <v>3839490</v>
      </c>
      <c r="J11" s="292">
        <f>+'SEM Rush Raw'!S7</f>
        <v>7811754</v>
      </c>
      <c r="K11" s="292">
        <f>+'SEM Rush Raw'!T7</f>
        <v>4133013</v>
      </c>
      <c r="L11" s="292">
        <f>+'SEM Rush Raw'!U7</f>
        <v>2976177</v>
      </c>
      <c r="M11" s="292">
        <f>+'SEM Rush Raw'!V7</f>
        <v>3436199</v>
      </c>
      <c r="N11" s="292">
        <f>+'SEM Rush Raw'!W7</f>
        <v>4686097</v>
      </c>
      <c r="O11" s="292">
        <f>+'SEM Rush Raw'!X7</f>
        <v>4627876</v>
      </c>
      <c r="P11" s="308">
        <f>+'SEM Rush Raw'!Y7</f>
        <v>5295699</v>
      </c>
      <c r="Q11" s="308">
        <v>4064490</v>
      </c>
      <c r="R11" s="308">
        <f t="shared" ref="R11:R13" si="1">N11*(1+R27)</f>
        <v>5845066</v>
      </c>
    </row>
    <row r="12" spans="1:29">
      <c r="A12" s="282" t="s">
        <v>578</v>
      </c>
      <c r="C12" s="292">
        <f>+'SEM Rush Raw'!L8</f>
        <v>419328</v>
      </c>
      <c r="D12" s="292">
        <f>+'SEM Rush Raw'!M8</f>
        <v>472991</v>
      </c>
      <c r="E12" s="292">
        <f>+'SEM Rush Raw'!N8</f>
        <v>617421</v>
      </c>
      <c r="F12" s="292">
        <f>+'SEM Rush Raw'!O8</f>
        <v>956050</v>
      </c>
      <c r="G12" s="292">
        <f>+'SEM Rush Raw'!P8</f>
        <v>905684</v>
      </c>
      <c r="H12" s="292">
        <f>+'SEM Rush Raw'!Q8</f>
        <v>1650217</v>
      </c>
      <c r="I12" s="292">
        <f>+'SEM Rush Raw'!R8</f>
        <v>1926598</v>
      </c>
      <c r="J12" s="292">
        <f>+'SEM Rush Raw'!S8</f>
        <v>4627888</v>
      </c>
      <c r="K12" s="292">
        <f>+'SEM Rush Raw'!T8</f>
        <v>2512671</v>
      </c>
      <c r="L12" s="292">
        <f>+'SEM Rush Raw'!U8</f>
        <v>1879334</v>
      </c>
      <c r="M12" s="292">
        <f>+'SEM Rush Raw'!V8</f>
        <v>1792063</v>
      </c>
      <c r="N12" s="292">
        <f>+'SEM Rush Raw'!W8</f>
        <v>2444775</v>
      </c>
      <c r="O12" s="292">
        <f>+'SEM Rush Raw'!X8</f>
        <v>2348125</v>
      </c>
      <c r="P12" s="308">
        <f>+'SEM Rush Raw'!Y8</f>
        <v>2230166</v>
      </c>
      <c r="Q12" s="308">
        <v>1960107</v>
      </c>
      <c r="R12" s="308">
        <f t="shared" si="1"/>
        <v>2852396</v>
      </c>
    </row>
    <row r="13" spans="1:29">
      <c r="A13" s="282" t="s">
        <v>579</v>
      </c>
      <c r="C13" s="306">
        <v>0.28726400000000002</v>
      </c>
      <c r="D13" s="306">
        <v>0.49269400000000002</v>
      </c>
      <c r="E13" s="306">
        <v>0.83055500000000004</v>
      </c>
      <c r="F13" s="306">
        <v>1.2695369999999999</v>
      </c>
      <c r="G13" s="306">
        <v>1.0424629999999999</v>
      </c>
      <c r="H13" s="306">
        <v>1.4699930000000001</v>
      </c>
      <c r="I13" s="306">
        <v>1.695195</v>
      </c>
      <c r="J13" s="306">
        <v>2.9735290000000001</v>
      </c>
      <c r="K13" s="306">
        <v>2.238397</v>
      </c>
      <c r="L13" s="306">
        <v>1.7476389999999999</v>
      </c>
      <c r="M13" s="306">
        <v>2.4399250000000001</v>
      </c>
      <c r="N13" s="306">
        <v>4.341952</v>
      </c>
      <c r="O13" s="306">
        <v>3.5435020000000002</v>
      </c>
      <c r="P13" s="309">
        <v>3.4866799999999998</v>
      </c>
      <c r="Q13" s="309">
        <v>3.9659300000000002</v>
      </c>
      <c r="R13" s="309">
        <f t="shared" si="1"/>
        <v>6.607808335104</v>
      </c>
    </row>
    <row r="14" spans="1:29" s="294" customFormat="1">
      <c r="A14" s="294" t="s">
        <v>580</v>
      </c>
      <c r="C14" s="296">
        <v>494.899</v>
      </c>
      <c r="D14" s="296">
        <v>651.03599999999994</v>
      </c>
      <c r="E14" s="296">
        <v>674.09699999999998</v>
      </c>
      <c r="F14" s="296">
        <v>939.44399999999996</v>
      </c>
      <c r="G14" s="296">
        <v>790.01400000000001</v>
      </c>
      <c r="H14" s="296">
        <v>913.35</v>
      </c>
      <c r="I14" s="296">
        <v>828.471</v>
      </c>
      <c r="J14" s="296">
        <v>1146.153</v>
      </c>
      <c r="K14" s="296">
        <v>809.50900000000001</v>
      </c>
      <c r="L14" s="296">
        <v>883.13</v>
      </c>
      <c r="M14" s="296">
        <v>787.37599999999998</v>
      </c>
      <c r="N14" s="296">
        <v>1012.5</v>
      </c>
      <c r="O14" s="296">
        <v>799.654</v>
      </c>
      <c r="P14" s="310">
        <v>944.298</v>
      </c>
      <c r="Q14" s="310"/>
      <c r="R14" s="310"/>
    </row>
    <row r="15" spans="1:29" s="294" customFormat="1">
      <c r="A15" s="294" t="s">
        <v>581</v>
      </c>
      <c r="C15" s="296">
        <v>398.63799999999998</v>
      </c>
      <c r="D15" s="296">
        <v>508.49099999999999</v>
      </c>
      <c r="E15" s="296">
        <v>517.31399999999996</v>
      </c>
      <c r="F15" s="296">
        <v>726.21699999999998</v>
      </c>
      <c r="G15" s="296">
        <v>608.98199999999997</v>
      </c>
      <c r="H15" s="296">
        <v>688.99099999999999</v>
      </c>
      <c r="I15" s="296">
        <v>616.82899999999995</v>
      </c>
      <c r="J15" s="296">
        <v>890.94500000000005</v>
      </c>
      <c r="K15" s="296">
        <v>609.00199999999995</v>
      </c>
      <c r="L15" s="296">
        <v>650.50800000000004</v>
      </c>
      <c r="M15" s="296">
        <v>569.62900000000002</v>
      </c>
      <c r="N15" s="296">
        <v>749.226</v>
      </c>
      <c r="O15" s="296">
        <v>563.50800000000004</v>
      </c>
      <c r="P15" s="310">
        <v>678.548</v>
      </c>
      <c r="Q15" s="310"/>
      <c r="R15" s="310"/>
    </row>
    <row r="16" spans="1:29" s="294" customFormat="1">
      <c r="A16" s="294" t="s">
        <v>582</v>
      </c>
      <c r="C16" s="295">
        <v>0.20100000000000001</v>
      </c>
      <c r="D16" s="295">
        <v>0.39200000000000002</v>
      </c>
      <c r="E16" s="295">
        <v>0.61</v>
      </c>
      <c r="F16" s="295">
        <v>0.48799999999999999</v>
      </c>
      <c r="G16" s="295">
        <v>0.54300000000000004</v>
      </c>
      <c r="H16" s="295">
        <v>0.33300000000000002</v>
      </c>
      <c r="I16" s="295">
        <v>0.20799999999999999</v>
      </c>
      <c r="J16" s="295">
        <v>0.22500000000000001</v>
      </c>
      <c r="K16" s="295">
        <v>-7.0000000000000001E-3</v>
      </c>
      <c r="L16" s="295">
        <v>-7.0000000000000001E-3</v>
      </c>
      <c r="M16" s="295">
        <v>2.5999999999999999E-2</v>
      </c>
      <c r="N16" s="295">
        <v>-0.06</v>
      </c>
      <c r="O16" s="295">
        <v>0.02</v>
      </c>
      <c r="P16" s="295">
        <v>0.01</v>
      </c>
      <c r="Q16" s="295"/>
      <c r="R16" s="295"/>
    </row>
    <row r="17" spans="1:18" s="294" customFormat="1">
      <c r="A17" s="294" t="s">
        <v>583</v>
      </c>
      <c r="C17" s="307">
        <v>9.6381329999999998</v>
      </c>
      <c r="D17" s="307">
        <v>11.191485</v>
      </c>
      <c r="E17" s="307">
        <v>14.251609</v>
      </c>
      <c r="F17" s="307">
        <v>16.119971</v>
      </c>
      <c r="G17" s="307">
        <v>14.502642</v>
      </c>
      <c r="H17" s="307">
        <v>19.850505999999999</v>
      </c>
      <c r="I17" s="307">
        <v>19.171216000000001</v>
      </c>
      <c r="J17" s="307">
        <v>20.300899000000001</v>
      </c>
      <c r="K17" s="307">
        <v>16.691030999999999</v>
      </c>
      <c r="L17" s="307">
        <v>18.046994000000002</v>
      </c>
      <c r="M17" s="307">
        <v>15.434388</v>
      </c>
      <c r="N17" s="307">
        <v>17.144676</v>
      </c>
      <c r="O17" s="307">
        <v>12.82061</v>
      </c>
      <c r="P17" s="311">
        <v>14.623427</v>
      </c>
      <c r="Q17" s="311">
        <v>14.031681000000001</v>
      </c>
      <c r="R17" s="311">
        <v>14.452961867999999</v>
      </c>
    </row>
    <row r="18" spans="1:18" s="294" customFormat="1">
      <c r="A18" s="294" t="s">
        <v>584</v>
      </c>
      <c r="C18" s="296">
        <v>111.7</v>
      </c>
      <c r="D18" s="296">
        <v>119.3</v>
      </c>
      <c r="E18" s="296">
        <v>126.4</v>
      </c>
      <c r="F18" s="296">
        <v>158.6</v>
      </c>
      <c r="G18" s="296">
        <v>164.8</v>
      </c>
      <c r="H18" s="296">
        <v>162.4</v>
      </c>
      <c r="I18" s="296">
        <v>157.80000000000001</v>
      </c>
      <c r="J18" s="296">
        <v>187.6</v>
      </c>
      <c r="K18" s="296">
        <v>169.5</v>
      </c>
      <c r="L18" s="296">
        <v>174.8</v>
      </c>
      <c r="M18" s="296">
        <v>175.9</v>
      </c>
      <c r="N18" s="296">
        <v>190.1</v>
      </c>
      <c r="O18" s="296">
        <v>198.9</v>
      </c>
      <c r="P18" s="310">
        <v>203.8</v>
      </c>
      <c r="Q18" s="310">
        <v>187.779</v>
      </c>
      <c r="R18" s="310"/>
    </row>
    <row r="19" spans="1:18" s="294" customFormat="1">
      <c r="A19" s="294" t="s">
        <v>585</v>
      </c>
      <c r="C19" s="307">
        <v>1.639133</v>
      </c>
      <c r="D19" s="307">
        <v>1.2747820000000001</v>
      </c>
      <c r="E19" s="307">
        <v>1.9644790000000001</v>
      </c>
      <c r="F19" s="307">
        <v>2.5108609999999998</v>
      </c>
      <c r="G19" s="307">
        <v>3.0562049999999998</v>
      </c>
      <c r="H19" s="307">
        <v>3.6996329999999999</v>
      </c>
      <c r="I19" s="307">
        <v>3.7797079999999998</v>
      </c>
      <c r="J19" s="307">
        <v>4.2827169999999999</v>
      </c>
      <c r="K19" s="307">
        <v>4.3554950000000003</v>
      </c>
      <c r="L19" s="307">
        <v>4.2013999999999996</v>
      </c>
      <c r="M19" s="307">
        <v>3.4900139999999999</v>
      </c>
      <c r="N19" s="307">
        <v>4.1244899999999998</v>
      </c>
      <c r="O19" s="307">
        <v>4.3708340000000003</v>
      </c>
      <c r="P19" s="311">
        <v>5.57111</v>
      </c>
      <c r="Q19" s="311">
        <v>4.534923</v>
      </c>
      <c r="R19" s="311">
        <v>4.7596614599999993</v>
      </c>
    </row>
    <row r="22" spans="1:18" ht="13">
      <c r="A22" s="290" t="s">
        <v>586</v>
      </c>
    </row>
    <row r="23" spans="1:18">
      <c r="A23" s="282" t="s">
        <v>573</v>
      </c>
      <c r="C23" s="293"/>
      <c r="D23" s="293"/>
      <c r="E23" s="293"/>
      <c r="F23" s="293"/>
      <c r="G23" s="293">
        <f t="shared" ref="G23:Q28" si="2">+G7/C7-1</f>
        <v>4.4941459897803364</v>
      </c>
      <c r="H23" s="293">
        <f t="shared" si="2"/>
        <v>2.8487402132644712</v>
      </c>
      <c r="I23" s="293">
        <f t="shared" si="2"/>
        <v>1.9111047792863931</v>
      </c>
      <c r="J23" s="293">
        <f t="shared" si="2"/>
        <v>1.9818008967190188</v>
      </c>
      <c r="K23" s="293">
        <f t="shared" si="2"/>
        <v>1.6235775947322391</v>
      </c>
      <c r="L23" s="293">
        <f t="shared" si="2"/>
        <v>0.25588850061026491</v>
      </c>
      <c r="M23" s="293">
        <f t="shared" si="2"/>
        <v>0.50699308975297486</v>
      </c>
      <c r="N23" s="293">
        <f t="shared" si="2"/>
        <v>0.39658437735190266</v>
      </c>
      <c r="O23" s="293">
        <f t="shared" si="2"/>
        <v>0.75640056743143869</v>
      </c>
      <c r="P23" s="293">
        <f t="shared" si="2"/>
        <v>1.4521639818070931</v>
      </c>
      <c r="Q23" s="293">
        <f t="shared" si="2"/>
        <v>0.89959942709919893</v>
      </c>
      <c r="R23" s="293">
        <f t="shared" ref="R23:R24" si="3">+R7/N7-1</f>
        <v>0.8358718076324636</v>
      </c>
    </row>
    <row r="24" spans="1:18">
      <c r="A24" s="282" t="s">
        <v>574</v>
      </c>
      <c r="C24" s="293"/>
      <c r="D24" s="293"/>
      <c r="E24" s="293"/>
      <c r="F24" s="293"/>
      <c r="G24" s="293">
        <f t="shared" si="2"/>
        <v>4.070614393137741</v>
      </c>
      <c r="H24" s="293">
        <f t="shared" si="2"/>
        <v>2.386876593873434</v>
      </c>
      <c r="I24" s="293">
        <f t="shared" si="2"/>
        <v>1.7181435311970761</v>
      </c>
      <c r="J24" s="293">
        <f t="shared" si="2"/>
        <v>2.3586332652951012</v>
      </c>
      <c r="K24" s="293">
        <f t="shared" si="2"/>
        <v>1.4730293491832431</v>
      </c>
      <c r="L24" s="293">
        <f t="shared" si="2"/>
        <v>0.31639216658770675</v>
      </c>
      <c r="M24" s="293">
        <f t="shared" si="2"/>
        <v>0.6000173545525409</v>
      </c>
      <c r="N24" s="293">
        <f t="shared" si="2"/>
        <v>0.45391557255952497</v>
      </c>
      <c r="O24" s="293">
        <f t="shared" si="2"/>
        <v>0.96240045736147128</v>
      </c>
      <c r="P24" s="293">
        <f t="shared" si="2"/>
        <v>1.5084925283580231</v>
      </c>
      <c r="Q24" s="293">
        <f t="shared" si="2"/>
        <v>0.83353461391128403</v>
      </c>
      <c r="R24" s="293">
        <f t="shared" si="3"/>
        <v>0.85614299228112656</v>
      </c>
    </row>
    <row r="25" spans="1:18">
      <c r="A25" s="282" t="s">
        <v>575</v>
      </c>
      <c r="C25" s="293"/>
      <c r="D25" s="293"/>
      <c r="E25" s="293"/>
      <c r="F25" s="293"/>
      <c r="G25" s="293">
        <f t="shared" si="2"/>
        <v>1.8985507246376812</v>
      </c>
      <c r="H25" s="293">
        <f t="shared" si="2"/>
        <v>1.3953488372093021</v>
      </c>
      <c r="I25" s="293">
        <f t="shared" si="2"/>
        <v>1.6164383561643834</v>
      </c>
      <c r="J25" s="293">
        <f t="shared" si="2"/>
        <v>2.5951417004048585</v>
      </c>
      <c r="K25" s="293">
        <f t="shared" si="2"/>
        <v>2.77</v>
      </c>
      <c r="L25" s="293">
        <f t="shared" si="2"/>
        <v>0.7055016181229774</v>
      </c>
      <c r="M25" s="293">
        <f t="shared" si="2"/>
        <v>0.54712041884816753</v>
      </c>
      <c r="N25" s="293">
        <f t="shared" si="2"/>
        <v>1.3513513513513598E-2</v>
      </c>
      <c r="O25" s="293">
        <f t="shared" si="2"/>
        <v>0.14456233421750664</v>
      </c>
      <c r="P25" s="293">
        <f t="shared" si="2"/>
        <v>0.82542694497153701</v>
      </c>
      <c r="Q25" s="293">
        <f t="shared" si="2"/>
        <v>0.71065989847715727</v>
      </c>
      <c r="R25" s="293">
        <v>0.46774193548387077</v>
      </c>
    </row>
    <row r="26" spans="1:18">
      <c r="A26" s="282" t="s">
        <v>576</v>
      </c>
      <c r="C26" s="293"/>
      <c r="D26" s="293"/>
      <c r="E26" s="293"/>
      <c r="F26" s="293"/>
      <c r="G26" s="293">
        <f t="shared" si="2"/>
        <v>1.8947368421052633</v>
      </c>
      <c r="H26" s="293">
        <f t="shared" si="2"/>
        <v>1.153225806451613</v>
      </c>
      <c r="I26" s="293">
        <f t="shared" si="2"/>
        <v>1.3435114503816794</v>
      </c>
      <c r="J26" s="293">
        <f t="shared" si="2"/>
        <v>2.101123595505618</v>
      </c>
      <c r="K26" s="293">
        <f t="shared" si="2"/>
        <v>2.103030303030303</v>
      </c>
      <c r="L26" s="293">
        <f t="shared" si="2"/>
        <v>0.27340823970037453</v>
      </c>
      <c r="M26" s="293">
        <f t="shared" si="2"/>
        <v>0.53094462540716614</v>
      </c>
      <c r="N26" s="293">
        <f t="shared" si="2"/>
        <v>0.56340579710144922</v>
      </c>
      <c r="O26" s="293">
        <f t="shared" si="2"/>
        <v>0.556640625</v>
      </c>
      <c r="P26" s="293">
        <f t="shared" si="2"/>
        <v>1.4264705882352939</v>
      </c>
      <c r="Q26" s="293">
        <f t="shared" si="2"/>
        <v>0.87021276595744679</v>
      </c>
      <c r="R26" s="293">
        <v>0.26356589147286824</v>
      </c>
    </row>
    <row r="27" spans="1:18">
      <c r="A27" s="282" t="s">
        <v>587</v>
      </c>
      <c r="C27" s="293"/>
      <c r="D27" s="293"/>
      <c r="E27" s="293"/>
      <c r="F27" s="293"/>
      <c r="G27" s="293">
        <f t="shared" ref="G27:P31" si="4">+G11/C11-1</f>
        <v>1.8965089314273063</v>
      </c>
      <c r="H27" s="293">
        <f t="shared" si="4"/>
        <v>3.5695095816380409</v>
      </c>
      <c r="I27" s="293">
        <f t="shared" si="4"/>
        <v>2.1652244021753915</v>
      </c>
      <c r="J27" s="293">
        <f t="shared" si="4"/>
        <v>3.0484764873126124</v>
      </c>
      <c r="K27" s="293">
        <f t="shared" si="4"/>
        <v>1.1942502647904374</v>
      </c>
      <c r="L27" s="293">
        <f t="shared" si="4"/>
        <v>-0.22196271760416408</v>
      </c>
      <c r="M27" s="293">
        <f t="shared" si="4"/>
        <v>-0.10503764822932216</v>
      </c>
      <c r="N27" s="293">
        <f t="shared" si="4"/>
        <v>-0.40012230287845729</v>
      </c>
      <c r="O27" s="293">
        <f t="shared" si="4"/>
        <v>0.11973419875524227</v>
      </c>
      <c r="P27" s="293">
        <f t="shared" si="4"/>
        <v>0.77936292095530613</v>
      </c>
      <c r="Q27" s="293">
        <f t="shared" si="2"/>
        <v>0.18284476539338956</v>
      </c>
      <c r="R27" s="293">
        <v>0.24732074474770793</v>
      </c>
    </row>
    <row r="28" spans="1:18">
      <c r="A28" s="282" t="s">
        <v>588</v>
      </c>
      <c r="C28" s="293"/>
      <c r="D28" s="293"/>
      <c r="E28" s="293"/>
      <c r="F28" s="293"/>
      <c r="G28" s="293">
        <f t="shared" si="4"/>
        <v>1.1598462301587302</v>
      </c>
      <c r="H28" s="293">
        <f t="shared" si="4"/>
        <v>2.4888972517447479</v>
      </c>
      <c r="I28" s="293">
        <f t="shared" si="4"/>
        <v>2.1203959696868102</v>
      </c>
      <c r="J28" s="293">
        <f t="shared" si="4"/>
        <v>3.8406338580618167</v>
      </c>
      <c r="K28" s="293">
        <f t="shared" si="4"/>
        <v>1.7743351985902369</v>
      </c>
      <c r="L28" s="293">
        <f t="shared" si="4"/>
        <v>0.13884052824567927</v>
      </c>
      <c r="M28" s="293">
        <f t="shared" si="4"/>
        <v>-6.9830343434385322E-2</v>
      </c>
      <c r="N28" s="293">
        <f t="shared" si="4"/>
        <v>-0.47172986900287994</v>
      </c>
      <c r="O28" s="293">
        <f t="shared" si="4"/>
        <v>-6.5486488282787469E-2</v>
      </c>
      <c r="P28" s="293">
        <f t="shared" si="4"/>
        <v>0.18667889795001846</v>
      </c>
      <c r="Q28" s="293">
        <f t="shared" si="2"/>
        <v>9.3771256925677227E-2</v>
      </c>
      <c r="R28" s="293">
        <v>0.16673149880868388</v>
      </c>
    </row>
    <row r="29" spans="1:18">
      <c r="A29" s="282" t="s">
        <v>589</v>
      </c>
      <c r="C29" s="293"/>
      <c r="D29" s="293"/>
      <c r="E29" s="293"/>
      <c r="F29" s="293"/>
      <c r="G29" s="293">
        <f t="shared" si="4"/>
        <v>2.6289371449259211</v>
      </c>
      <c r="H29" s="293">
        <f t="shared" si="4"/>
        <v>1.983582101669596</v>
      </c>
      <c r="I29" s="293">
        <f t="shared" si="4"/>
        <v>1.04103882343734</v>
      </c>
      <c r="J29" s="293">
        <f t="shared" si="4"/>
        <v>1.3422153115663429</v>
      </c>
      <c r="K29" s="293">
        <f t="shared" si="4"/>
        <v>1.1472196135498334</v>
      </c>
      <c r="L29" s="293">
        <f t="shared" si="4"/>
        <v>0.18887572934020769</v>
      </c>
      <c r="M29" s="293">
        <f t="shared" si="4"/>
        <v>0.43931819053265264</v>
      </c>
      <c r="N29" s="293">
        <f t="shared" si="4"/>
        <v>0.46020166610112079</v>
      </c>
      <c r="O29" s="293">
        <f t="shared" si="4"/>
        <v>0.58305340830960728</v>
      </c>
      <c r="P29" s="293">
        <f t="shared" si="4"/>
        <v>0.99508021965634774</v>
      </c>
      <c r="Q29" s="293">
        <f>+Q13/M13-1</f>
        <v>0.62543110956279402</v>
      </c>
      <c r="R29" s="293">
        <v>0.52185199999999998</v>
      </c>
    </row>
    <row r="30" spans="1:18" s="294" customFormat="1">
      <c r="A30" s="294" t="s">
        <v>580</v>
      </c>
      <c r="C30" s="295"/>
      <c r="D30" s="295"/>
      <c r="E30" s="295"/>
      <c r="F30" s="295"/>
      <c r="G30" s="295">
        <f t="shared" si="4"/>
        <v>0.5963135912580142</v>
      </c>
      <c r="H30" s="295">
        <f t="shared" si="4"/>
        <v>0.40291781099662716</v>
      </c>
      <c r="I30" s="295">
        <f t="shared" si="4"/>
        <v>0.22900858481791198</v>
      </c>
      <c r="J30" s="295">
        <f t="shared" si="4"/>
        <v>0.22003333886852228</v>
      </c>
      <c r="K30" s="295">
        <f t="shared" si="4"/>
        <v>2.4676777879885758E-2</v>
      </c>
      <c r="L30" s="295">
        <f t="shared" si="4"/>
        <v>-3.3086987463732398E-2</v>
      </c>
      <c r="M30" s="295">
        <f t="shared" si="4"/>
        <v>-4.9603426070435774E-2</v>
      </c>
      <c r="N30" s="295">
        <f t="shared" si="4"/>
        <v>-0.11661008608798307</v>
      </c>
      <c r="O30" s="295">
        <f t="shared" si="4"/>
        <v>-1.2174046242846015E-2</v>
      </c>
      <c r="P30" s="295">
        <f t="shared" si="4"/>
        <v>6.9262735950539556E-2</v>
      </c>
      <c r="Q30" s="295"/>
      <c r="R30" s="295"/>
    </row>
    <row r="31" spans="1:18" s="294" customFormat="1">
      <c r="A31" s="294" t="s">
        <v>581</v>
      </c>
      <c r="C31" s="295"/>
      <c r="D31" s="295"/>
      <c r="E31" s="295"/>
      <c r="F31" s="295"/>
      <c r="G31" s="295">
        <f t="shared" si="4"/>
        <v>0.52765667096463464</v>
      </c>
      <c r="H31" s="295">
        <f t="shared" si="4"/>
        <v>0.35497186774200529</v>
      </c>
      <c r="I31" s="295">
        <f t="shared" si="4"/>
        <v>0.19236865810706849</v>
      </c>
      <c r="J31" s="295">
        <f t="shared" si="4"/>
        <v>0.22683027249430965</v>
      </c>
      <c r="K31" s="295">
        <f t="shared" si="4"/>
        <v>3.284169318629182E-5</v>
      </c>
      <c r="L31" s="295">
        <f t="shared" si="4"/>
        <v>-5.5854140329844593E-2</v>
      </c>
      <c r="M31" s="295">
        <f t="shared" si="4"/>
        <v>-7.6520397063043255E-2</v>
      </c>
      <c r="N31" s="295">
        <f t="shared" si="4"/>
        <v>-0.15906593560769744</v>
      </c>
      <c r="O31" s="295">
        <f t="shared" si="4"/>
        <v>-7.470254613285332E-2</v>
      </c>
      <c r="P31" s="295">
        <f t="shared" si="4"/>
        <v>4.3104773500095339E-2</v>
      </c>
      <c r="Q31" s="295"/>
      <c r="R31" s="295"/>
    </row>
    <row r="32" spans="1:18" s="294" customFormat="1">
      <c r="A32" s="294" t="s">
        <v>582</v>
      </c>
      <c r="C32" s="295"/>
      <c r="D32" s="295"/>
      <c r="E32" s="295"/>
      <c r="F32" s="295"/>
      <c r="G32" s="295">
        <f t="shared" ref="G32:P32" si="5">+G16</f>
        <v>0.54300000000000004</v>
      </c>
      <c r="H32" s="295">
        <f t="shared" si="5"/>
        <v>0.33300000000000002</v>
      </c>
      <c r="I32" s="295">
        <f t="shared" si="5"/>
        <v>0.20799999999999999</v>
      </c>
      <c r="J32" s="295">
        <f t="shared" si="5"/>
        <v>0.22500000000000001</v>
      </c>
      <c r="K32" s="295">
        <f t="shared" si="5"/>
        <v>-7.0000000000000001E-3</v>
      </c>
      <c r="L32" s="295">
        <f t="shared" si="5"/>
        <v>-7.0000000000000001E-3</v>
      </c>
      <c r="M32" s="295">
        <f t="shared" si="5"/>
        <v>2.5999999999999999E-2</v>
      </c>
      <c r="N32" s="295">
        <f t="shared" si="5"/>
        <v>-0.06</v>
      </c>
      <c r="O32" s="295">
        <f t="shared" si="5"/>
        <v>0.02</v>
      </c>
      <c r="P32" s="295">
        <f t="shared" si="5"/>
        <v>0.01</v>
      </c>
      <c r="Q32" s="295"/>
      <c r="R32" s="295"/>
    </row>
    <row r="33" spans="1:18" s="294" customFormat="1">
      <c r="A33" s="294" t="str">
        <f>+A17</f>
        <v>CE - FTCH US Spend</v>
      </c>
      <c r="C33" s="295"/>
      <c r="D33" s="295"/>
      <c r="E33" s="295"/>
      <c r="F33" s="295"/>
      <c r="G33" s="295">
        <f t="shared" ref="G33:Q34" si="6">+G17/C17-1</f>
        <v>0.50471486542051247</v>
      </c>
      <c r="H33" s="295">
        <f t="shared" si="6"/>
        <v>0.77371510572546898</v>
      </c>
      <c r="I33" s="295">
        <f t="shared" si="6"/>
        <v>0.34519660201174474</v>
      </c>
      <c r="J33" s="295">
        <f t="shared" si="6"/>
        <v>0.2593632457527375</v>
      </c>
      <c r="K33" s="295">
        <f t="shared" si="6"/>
        <v>0.1508958850394293</v>
      </c>
      <c r="L33" s="295">
        <f t="shared" si="6"/>
        <v>-9.0854711713645897E-2</v>
      </c>
      <c r="M33" s="295">
        <f t="shared" si="6"/>
        <v>-0.19491867391197304</v>
      </c>
      <c r="N33" s="295">
        <f t="shared" si="6"/>
        <v>-0.15547208032511273</v>
      </c>
      <c r="O33" s="295">
        <f t="shared" si="6"/>
        <v>-0.23188627473042256</v>
      </c>
      <c r="P33" s="295">
        <f t="shared" si="6"/>
        <v>-0.18970289456515599</v>
      </c>
      <c r="Q33" s="295">
        <f t="shared" si="6"/>
        <v>-9.0881931956096951E-2</v>
      </c>
      <c r="R33" s="295">
        <v>-0.16217000000000001</v>
      </c>
    </row>
    <row r="34" spans="1:18" s="294" customFormat="1">
      <c r="A34" s="294" t="s">
        <v>584</v>
      </c>
      <c r="C34" s="295"/>
      <c r="D34" s="295"/>
      <c r="E34" s="295"/>
      <c r="F34" s="295"/>
      <c r="G34" s="295">
        <f t="shared" ref="G34:P35" si="7">+G18/C18-1</f>
        <v>0.47538048343777972</v>
      </c>
      <c r="H34" s="295">
        <f t="shared" si="7"/>
        <v>0.36127409891031026</v>
      </c>
      <c r="I34" s="295">
        <f t="shared" si="7"/>
        <v>0.24841772151898733</v>
      </c>
      <c r="J34" s="295">
        <f t="shared" si="7"/>
        <v>0.18284993694829765</v>
      </c>
      <c r="K34" s="295">
        <f t="shared" si="7"/>
        <v>2.851941747572817E-2</v>
      </c>
      <c r="L34" s="295">
        <f t="shared" si="7"/>
        <v>7.6354679802955738E-2</v>
      </c>
      <c r="M34" s="295">
        <f t="shared" si="7"/>
        <v>0.11470215462610889</v>
      </c>
      <c r="N34" s="295">
        <f t="shared" si="7"/>
        <v>1.3326226012793096E-2</v>
      </c>
      <c r="O34" s="295">
        <f t="shared" si="7"/>
        <v>0.17345132743362845</v>
      </c>
      <c r="P34" s="295">
        <f t="shared" si="7"/>
        <v>0.16590389016018303</v>
      </c>
      <c r="Q34" s="295">
        <f t="shared" si="6"/>
        <v>6.7532689027856696E-2</v>
      </c>
      <c r="R34" s="295"/>
    </row>
    <row r="35" spans="1:18" s="294" customFormat="1">
      <c r="A35" s="294" t="str">
        <f>+A19</f>
        <v>CE - MYTE US Spend</v>
      </c>
      <c r="C35" s="295"/>
      <c r="D35" s="295"/>
      <c r="E35" s="295"/>
      <c r="F35" s="295"/>
      <c r="G35" s="295">
        <f t="shared" si="7"/>
        <v>0.86452533137945475</v>
      </c>
      <c r="H35" s="295">
        <f t="shared" si="7"/>
        <v>1.9021691551967312</v>
      </c>
      <c r="I35" s="295">
        <f t="shared" si="7"/>
        <v>0.92402565769346467</v>
      </c>
      <c r="J35" s="295">
        <f t="shared" si="7"/>
        <v>0.70567665832557047</v>
      </c>
      <c r="K35" s="295">
        <f t="shared" si="7"/>
        <v>0.42513182198183719</v>
      </c>
      <c r="L35" s="295">
        <f t="shared" si="7"/>
        <v>0.13562615535108469</v>
      </c>
      <c r="M35" s="295">
        <f t="shared" si="7"/>
        <v>-7.6644545028346056E-2</v>
      </c>
      <c r="N35" s="295">
        <f t="shared" si="7"/>
        <v>-3.6945471764769922E-2</v>
      </c>
      <c r="O35" s="295">
        <f t="shared" si="7"/>
        <v>3.5217581468927062E-3</v>
      </c>
      <c r="P35" s="295">
        <f t="shared" si="7"/>
        <v>0.32601275765221138</v>
      </c>
      <c r="Q35" s="295">
        <f>+Q19/M19-1</f>
        <v>0.29939965856870487</v>
      </c>
      <c r="R35" s="295">
        <v>0.244422</v>
      </c>
    </row>
    <row r="38" spans="1:18" ht="13">
      <c r="A38" s="290" t="s">
        <v>590</v>
      </c>
    </row>
    <row r="39" spans="1:18">
      <c r="A39" s="282" t="s">
        <v>573</v>
      </c>
      <c r="D39" s="293">
        <f t="shared" ref="D39:P39" si="8">+D7/C7-1</f>
        <v>1.6100703432302281</v>
      </c>
      <c r="E39" s="293">
        <f t="shared" si="8"/>
        <v>0.41644377914669461</v>
      </c>
      <c r="F39" s="293">
        <f t="shared" si="8"/>
        <v>0.89862158836872563</v>
      </c>
      <c r="G39" s="293">
        <f t="shared" si="8"/>
        <v>-0.21727315835099537</v>
      </c>
      <c r="H39" s="293">
        <f t="shared" si="8"/>
        <v>0.82839748126911572</v>
      </c>
      <c r="I39" s="293">
        <f t="shared" si="8"/>
        <v>7.1367779215987692E-2</v>
      </c>
      <c r="J39" s="293">
        <f t="shared" si="8"/>
        <v>0.94472957311956529</v>
      </c>
      <c r="K39" s="293">
        <f t="shared" si="8"/>
        <v>-0.31130726843450696</v>
      </c>
      <c r="L39" s="293">
        <f t="shared" si="8"/>
        <v>-0.1247587355978278</v>
      </c>
      <c r="M39" s="293">
        <f t="shared" si="8"/>
        <v>0.28557896586993214</v>
      </c>
      <c r="N39" s="293">
        <f t="shared" si="8"/>
        <v>0.80225042733156848</v>
      </c>
      <c r="O39" s="293">
        <f t="shared" si="8"/>
        <v>-0.13387237883819825</v>
      </c>
      <c r="P39" s="293">
        <f t="shared" si="8"/>
        <v>0.22195081449840393</v>
      </c>
      <c r="Q39" s="293">
        <f t="shared" ref="Q39:Q45" si="9">+Q7/P7-1</f>
        <v>-4.1102123775432764E-3</v>
      </c>
      <c r="R39" s="293">
        <f t="shared" ref="R39:R45" si="10">+R7/Q7-1</f>
        <v>0.7417886648261256</v>
      </c>
    </row>
    <row r="40" spans="1:18">
      <c r="A40" s="282" t="s">
        <v>574</v>
      </c>
      <c r="D40" s="293">
        <f t="shared" ref="D40:P40" si="11">+D8/C8-1</f>
        <v>1.6919226756347183</v>
      </c>
      <c r="E40" s="293">
        <f t="shared" si="11"/>
        <v>0.37541319921991434</v>
      </c>
      <c r="F40" s="293">
        <f t="shared" si="11"/>
        <v>0.5641895240024204</v>
      </c>
      <c r="G40" s="293">
        <f t="shared" si="11"/>
        <v>-0.12446110620650552</v>
      </c>
      <c r="H40" s="293">
        <f t="shared" si="11"/>
        <v>0.79804836174548166</v>
      </c>
      <c r="I40" s="293">
        <f t="shared" si="11"/>
        <v>0.10384018624872082</v>
      </c>
      <c r="J40" s="293">
        <f t="shared" si="11"/>
        <v>0.93276731277945801</v>
      </c>
      <c r="K40" s="293">
        <f t="shared" si="11"/>
        <v>-0.35532307052508827</v>
      </c>
      <c r="L40" s="293">
        <f t="shared" si="11"/>
        <v>-4.2899842927731635E-2</v>
      </c>
      <c r="M40" s="293">
        <f t="shared" si="11"/>
        <v>0.3416696782909554</v>
      </c>
      <c r="N40" s="293">
        <f t="shared" si="11"/>
        <v>0.75628125919293199</v>
      </c>
      <c r="O40" s="293">
        <f t="shared" si="11"/>
        <v>-0.12985710784787652</v>
      </c>
      <c r="P40" s="293">
        <f t="shared" si="11"/>
        <v>0.22343968271091619</v>
      </c>
      <c r="Q40" s="293">
        <f t="shared" si="9"/>
        <v>-1.9332221335370048E-2</v>
      </c>
      <c r="R40" s="293">
        <f t="shared" si="10"/>
        <v>0.77793706592296985</v>
      </c>
    </row>
    <row r="41" spans="1:18">
      <c r="A41" s="282" t="s">
        <v>575</v>
      </c>
      <c r="D41" s="293">
        <f t="shared" ref="D41:P41" si="12">+D9/C9-1</f>
        <v>0.86956521739130443</v>
      </c>
      <c r="E41" s="293">
        <f t="shared" si="12"/>
        <v>0.13178294573643412</v>
      </c>
      <c r="F41" s="293">
        <f t="shared" si="12"/>
        <v>0.69178082191780832</v>
      </c>
      <c r="G41" s="293">
        <f t="shared" si="12"/>
        <v>-0.19028340080971662</v>
      </c>
      <c r="H41" s="293">
        <f t="shared" si="12"/>
        <v>0.54499999999999993</v>
      </c>
      <c r="I41" s="293">
        <f t="shared" si="12"/>
        <v>0.2362459546925566</v>
      </c>
      <c r="J41" s="293">
        <f t="shared" si="12"/>
        <v>1.3246073298429319</v>
      </c>
      <c r="K41" s="293">
        <f t="shared" si="12"/>
        <v>-0.15090090090090091</v>
      </c>
      <c r="L41" s="293">
        <f t="shared" si="12"/>
        <v>-0.30106100795755963</v>
      </c>
      <c r="M41" s="293">
        <f t="shared" si="12"/>
        <v>0.12144212523719156</v>
      </c>
      <c r="N41" s="293">
        <f t="shared" si="12"/>
        <v>0.52284263959390853</v>
      </c>
      <c r="O41" s="293">
        <f t="shared" si="12"/>
        <v>-4.1111111111111098E-2</v>
      </c>
      <c r="P41" s="293">
        <f t="shared" si="12"/>
        <v>0.11471610660486675</v>
      </c>
      <c r="Q41" s="293">
        <f t="shared" si="9"/>
        <v>5.0935550935550911E-2</v>
      </c>
      <c r="R41" s="293">
        <f t="shared" si="10"/>
        <v>0.3065951947927632</v>
      </c>
    </row>
    <row r="42" spans="1:18">
      <c r="A42" s="282" t="s">
        <v>576</v>
      </c>
      <c r="D42" s="293">
        <f t="shared" ref="D42:P42" si="13">+D10/C10-1</f>
        <v>1.1754385964912282</v>
      </c>
      <c r="E42" s="293">
        <f t="shared" si="13"/>
        <v>5.6451612903225756E-2</v>
      </c>
      <c r="F42" s="293">
        <f t="shared" si="13"/>
        <v>0.35877862595419852</v>
      </c>
      <c r="G42" s="293">
        <f t="shared" si="13"/>
        <v>-7.3033707865168496E-2</v>
      </c>
      <c r="H42" s="293">
        <f t="shared" si="13"/>
        <v>0.61818181818181817</v>
      </c>
      <c r="I42" s="293">
        <f t="shared" si="13"/>
        <v>0.14981273408239693</v>
      </c>
      <c r="J42" s="293">
        <f t="shared" si="13"/>
        <v>0.7980456026058631</v>
      </c>
      <c r="K42" s="293">
        <f t="shared" si="13"/>
        <v>-7.2463768115942018E-2</v>
      </c>
      <c r="L42" s="293">
        <f t="shared" si="13"/>
        <v>-0.3359375</v>
      </c>
      <c r="M42" s="293">
        <f t="shared" si="13"/>
        <v>0.38235294117647056</v>
      </c>
      <c r="N42" s="293">
        <f t="shared" si="13"/>
        <v>0.83617021276595738</v>
      </c>
      <c r="O42" s="293">
        <f t="shared" si="13"/>
        <v>-7.6477404403244464E-2</v>
      </c>
      <c r="P42" s="293">
        <f t="shared" si="13"/>
        <v>3.5131744040150625E-2</v>
      </c>
      <c r="Q42" s="293">
        <f t="shared" si="9"/>
        <v>6.5454545454545432E-2</v>
      </c>
      <c r="R42" s="293">
        <f t="shared" si="10"/>
        <v>0.24056582973957386</v>
      </c>
    </row>
    <row r="43" spans="1:18">
      <c r="A43" s="282" t="s">
        <v>587</v>
      </c>
      <c r="D43" s="293">
        <f t="shared" ref="D43:P43" si="14">+D11/C11-1</f>
        <v>0.28730962281327654</v>
      </c>
      <c r="E43" s="293">
        <f t="shared" si="14"/>
        <v>0.4490396859716983</v>
      </c>
      <c r="F43" s="293">
        <f t="shared" si="14"/>
        <v>0.59069861000162405</v>
      </c>
      <c r="G43" s="293">
        <f t="shared" si="14"/>
        <v>-2.3834005163887562E-2</v>
      </c>
      <c r="H43" s="293">
        <f t="shared" si="14"/>
        <v>1.0308494795772911</v>
      </c>
      <c r="I43" s="293">
        <f t="shared" si="14"/>
        <v>3.7260436412174247E-3</v>
      </c>
      <c r="J43" s="293">
        <f t="shared" si="14"/>
        <v>1.0345811553096897</v>
      </c>
      <c r="K43" s="293">
        <f t="shared" si="14"/>
        <v>-0.47092381557330143</v>
      </c>
      <c r="L43" s="293">
        <f t="shared" si="14"/>
        <v>-0.27990136977551239</v>
      </c>
      <c r="M43" s="293">
        <f t="shared" si="14"/>
        <v>0.15456809188431997</v>
      </c>
      <c r="N43" s="293">
        <f t="shared" si="14"/>
        <v>0.36374435822837969</v>
      </c>
      <c r="O43" s="293">
        <f t="shared" si="14"/>
        <v>-1.2424198645482609E-2</v>
      </c>
      <c r="P43" s="293">
        <f t="shared" si="14"/>
        <v>0.14430442820853462</v>
      </c>
      <c r="Q43" s="293">
        <f t="shared" si="9"/>
        <v>-0.23249225456356182</v>
      </c>
      <c r="R43" s="293">
        <f t="shared" si="10"/>
        <v>0.43808103845746937</v>
      </c>
    </row>
    <row r="44" spans="1:18">
      <c r="A44" s="282" t="s">
        <v>588</v>
      </c>
      <c r="D44" s="293">
        <f t="shared" ref="D44:P44" si="15">+D12/C12-1</f>
        <v>0.12797380570818073</v>
      </c>
      <c r="E44" s="293">
        <f t="shared" si="15"/>
        <v>0.30535464734001283</v>
      </c>
      <c r="F44" s="293">
        <f t="shared" si="15"/>
        <v>0.54845721152989624</v>
      </c>
      <c r="G44" s="293">
        <f t="shared" si="15"/>
        <v>-5.2681345117933209E-2</v>
      </c>
      <c r="H44" s="293">
        <f t="shared" si="15"/>
        <v>0.82206707858370032</v>
      </c>
      <c r="I44" s="293">
        <f t="shared" si="15"/>
        <v>0.16748160999432193</v>
      </c>
      <c r="J44" s="293">
        <f t="shared" si="15"/>
        <v>1.4021036043845161</v>
      </c>
      <c r="K44" s="293">
        <f t="shared" si="15"/>
        <v>-0.45705881386930713</v>
      </c>
      <c r="L44" s="293">
        <f t="shared" si="15"/>
        <v>-0.25205727291794267</v>
      </c>
      <c r="M44" s="293">
        <f t="shared" si="15"/>
        <v>-4.6437195304294021E-2</v>
      </c>
      <c r="N44" s="293">
        <f t="shared" si="15"/>
        <v>0.36422380239980412</v>
      </c>
      <c r="O44" s="293">
        <f t="shared" si="15"/>
        <v>-3.9533290384595743E-2</v>
      </c>
      <c r="P44" s="293">
        <f t="shared" si="15"/>
        <v>-5.0235400585573631E-2</v>
      </c>
      <c r="Q44" s="293">
        <f t="shared" si="9"/>
        <v>-0.12109367643484836</v>
      </c>
      <c r="R44" s="293">
        <f t="shared" si="10"/>
        <v>0.45522463824678949</v>
      </c>
    </row>
    <row r="45" spans="1:18">
      <c r="A45" s="282" t="s">
        <v>589</v>
      </c>
      <c r="D45" s="293">
        <f t="shared" ref="D45:P45" si="16">+D13/C13-1</f>
        <v>0.71512615573131333</v>
      </c>
      <c r="E45" s="293">
        <f t="shared" si="16"/>
        <v>0.68574206302492025</v>
      </c>
      <c r="F45" s="293">
        <f t="shared" si="16"/>
        <v>0.52854055420772839</v>
      </c>
      <c r="G45" s="293">
        <f t="shared" si="16"/>
        <v>-0.17886363296225316</v>
      </c>
      <c r="H45" s="293">
        <f t="shared" si="16"/>
        <v>0.41011527507451118</v>
      </c>
      <c r="I45" s="293">
        <f t="shared" si="16"/>
        <v>0.15319936897658692</v>
      </c>
      <c r="J45" s="293">
        <f t="shared" si="16"/>
        <v>0.75409259701686238</v>
      </c>
      <c r="K45" s="293">
        <f t="shared" si="16"/>
        <v>-0.24722543482844794</v>
      </c>
      <c r="L45" s="293">
        <f t="shared" si="16"/>
        <v>-0.21924529026799089</v>
      </c>
      <c r="M45" s="293">
        <f t="shared" si="16"/>
        <v>0.39612643114510493</v>
      </c>
      <c r="N45" s="293">
        <f t="shared" si="16"/>
        <v>0.77954322366466178</v>
      </c>
      <c r="O45" s="293">
        <f t="shared" si="16"/>
        <v>-0.18389194537387787</v>
      </c>
      <c r="P45" s="293">
        <f t="shared" si="16"/>
        <v>-1.6035549013377226E-2</v>
      </c>
      <c r="Q45" s="293">
        <f t="shared" si="9"/>
        <v>0.1374516732249591</v>
      </c>
      <c r="R45" s="293">
        <f t="shared" si="10"/>
        <v>0.66614346070253383</v>
      </c>
    </row>
    <row r="46" spans="1:18" s="294" customFormat="1">
      <c r="A46" s="294" t="s">
        <v>580</v>
      </c>
      <c r="D46" s="295">
        <f t="shared" ref="D46:P46" si="17">+D14/C14-1</f>
        <v>0.31549265607730059</v>
      </c>
      <c r="E46" s="295">
        <f t="shared" si="17"/>
        <v>3.5422004313125699E-2</v>
      </c>
      <c r="F46" s="295">
        <f t="shared" si="17"/>
        <v>0.39363326049515135</v>
      </c>
      <c r="G46" s="295">
        <f t="shared" si="17"/>
        <v>-0.15906216868701062</v>
      </c>
      <c r="H46" s="295">
        <f t="shared" si="17"/>
        <v>0.15611875232590822</v>
      </c>
      <c r="I46" s="295">
        <f t="shared" si="17"/>
        <v>-9.293151584825099E-2</v>
      </c>
      <c r="J46" s="295">
        <f t="shared" si="17"/>
        <v>0.38345578783083534</v>
      </c>
      <c r="K46" s="295">
        <f t="shared" si="17"/>
        <v>-0.29371645844839211</v>
      </c>
      <c r="L46" s="295">
        <f t="shared" si="17"/>
        <v>9.0945251998433507E-2</v>
      </c>
      <c r="M46" s="295">
        <f t="shared" si="17"/>
        <v>-0.10842571308867321</v>
      </c>
      <c r="N46" s="295">
        <f t="shared" si="17"/>
        <v>0.2859167665765785</v>
      </c>
      <c r="O46" s="295">
        <f t="shared" si="17"/>
        <v>-0.21021827160493822</v>
      </c>
      <c r="P46" s="295">
        <f t="shared" si="17"/>
        <v>0.18088323199783907</v>
      </c>
      <c r="Q46" s="295"/>
      <c r="R46" s="295"/>
    </row>
    <row r="47" spans="1:18" s="294" customFormat="1">
      <c r="A47" s="294" t="s">
        <v>581</v>
      </c>
      <c r="D47" s="295">
        <f t="shared" ref="D47:P47" si="18">+D15/C15-1</f>
        <v>0.27557081863746058</v>
      </c>
      <c r="E47" s="295">
        <f t="shared" si="18"/>
        <v>1.7351339551732403E-2</v>
      </c>
      <c r="F47" s="295">
        <f t="shared" si="18"/>
        <v>0.40382243666322593</v>
      </c>
      <c r="G47" s="295">
        <f t="shared" si="18"/>
        <v>-0.16143246440113634</v>
      </c>
      <c r="H47" s="295">
        <f t="shared" si="18"/>
        <v>0.1313815515072696</v>
      </c>
      <c r="I47" s="295">
        <f t="shared" si="18"/>
        <v>-0.10473576577923371</v>
      </c>
      <c r="J47" s="295">
        <f t="shared" si="18"/>
        <v>0.44439544833333078</v>
      </c>
      <c r="K47" s="295">
        <f t="shared" si="18"/>
        <v>-0.31645387762432031</v>
      </c>
      <c r="L47" s="295">
        <f t="shared" si="18"/>
        <v>6.8154127572651824E-2</v>
      </c>
      <c r="M47" s="295">
        <f t="shared" si="18"/>
        <v>-0.12433206048196177</v>
      </c>
      <c r="N47" s="295">
        <f t="shared" si="18"/>
        <v>0.31528766969378319</v>
      </c>
      <c r="O47" s="295">
        <f t="shared" si="18"/>
        <v>-0.24787981196594877</v>
      </c>
      <c r="P47" s="295">
        <f t="shared" si="18"/>
        <v>0.20414971925864389</v>
      </c>
      <c r="Q47" s="295"/>
      <c r="R47" s="295"/>
    </row>
    <row r="48" spans="1:18" s="294" customFormat="1">
      <c r="A48" s="294" t="s">
        <v>582</v>
      </c>
      <c r="D48" s="295" t="s">
        <v>251</v>
      </c>
      <c r="E48" s="295" t="s">
        <v>251</v>
      </c>
      <c r="F48" s="295" t="s">
        <v>251</v>
      </c>
      <c r="G48" s="295" t="s">
        <v>251</v>
      </c>
      <c r="H48" s="295" t="s">
        <v>251</v>
      </c>
      <c r="I48" s="295" t="s">
        <v>251</v>
      </c>
      <c r="J48" s="295" t="s">
        <v>251</v>
      </c>
      <c r="K48" s="295" t="s">
        <v>251</v>
      </c>
      <c r="L48" s="295" t="s">
        <v>251</v>
      </c>
      <c r="M48" s="295" t="s">
        <v>251</v>
      </c>
      <c r="N48" s="295" t="s">
        <v>251</v>
      </c>
      <c r="O48" s="295" t="s">
        <v>251</v>
      </c>
      <c r="P48" s="295" t="s">
        <v>251</v>
      </c>
      <c r="Q48" s="295"/>
      <c r="R48" s="295"/>
    </row>
    <row r="49" spans="1:18" s="294" customFormat="1">
      <c r="A49" s="294" t="str">
        <f>+A33</f>
        <v>CE - FTCH US Spend</v>
      </c>
      <c r="D49" s="295">
        <f t="shared" ref="D49:R51" si="19">+D17/C17-1</f>
        <v>0.16116731321304667</v>
      </c>
      <c r="E49" s="295">
        <f t="shared" si="19"/>
        <v>0.27343323964603439</v>
      </c>
      <c r="F49" s="295">
        <f t="shared" si="19"/>
        <v>0.13109832019668799</v>
      </c>
      <c r="G49" s="295">
        <f t="shared" si="19"/>
        <v>-0.1003307636223415</v>
      </c>
      <c r="H49" s="295">
        <f t="shared" si="19"/>
        <v>0.36875101791797649</v>
      </c>
      <c r="I49" s="295">
        <f t="shared" si="19"/>
        <v>-3.4220286374563869E-2</v>
      </c>
      <c r="J49" s="295">
        <f t="shared" si="19"/>
        <v>5.8925996139212122E-2</v>
      </c>
      <c r="K49" s="295">
        <f t="shared" si="19"/>
        <v>-0.17781813504909327</v>
      </c>
      <c r="L49" s="295">
        <f t="shared" si="19"/>
        <v>8.1239019926330647E-2</v>
      </c>
      <c r="M49" s="295">
        <f t="shared" si="19"/>
        <v>-0.14476682377131622</v>
      </c>
      <c r="N49" s="295">
        <f t="shared" si="19"/>
        <v>0.11081022454534639</v>
      </c>
      <c r="O49" s="295">
        <f t="shared" si="19"/>
        <v>-0.25221042380736736</v>
      </c>
      <c r="P49" s="295">
        <f t="shared" si="19"/>
        <v>0.14061866011055635</v>
      </c>
      <c r="Q49" s="295">
        <f t="shared" si="19"/>
        <v>-4.0465617259210052E-2</v>
      </c>
      <c r="R49" s="295">
        <f t="shared" si="19"/>
        <v>3.0023549423622065E-2</v>
      </c>
    </row>
    <row r="50" spans="1:18" s="294" customFormat="1">
      <c r="A50" s="294" t="s">
        <v>584</v>
      </c>
      <c r="D50" s="295">
        <f t="shared" ref="D50:P50" si="20">+D18/C18-1</f>
        <v>6.8039391226499601E-2</v>
      </c>
      <c r="E50" s="295">
        <f t="shared" si="20"/>
        <v>5.9513830678960655E-2</v>
      </c>
      <c r="F50" s="295">
        <f t="shared" si="20"/>
        <v>0.25474683544303778</v>
      </c>
      <c r="G50" s="295">
        <f t="shared" si="20"/>
        <v>3.9092055485498323E-2</v>
      </c>
      <c r="H50" s="295">
        <f t="shared" si="20"/>
        <v>-1.4563106796116498E-2</v>
      </c>
      <c r="I50" s="295">
        <f t="shared" si="20"/>
        <v>-2.8325123152709297E-2</v>
      </c>
      <c r="J50" s="295">
        <f t="shared" si="20"/>
        <v>0.18884664131812401</v>
      </c>
      <c r="K50" s="295">
        <f t="shared" si="20"/>
        <v>-9.6481876332622618E-2</v>
      </c>
      <c r="L50" s="295">
        <f t="shared" si="20"/>
        <v>3.1268436578171244E-2</v>
      </c>
      <c r="M50" s="295">
        <f t="shared" si="20"/>
        <v>6.2929061784897655E-3</v>
      </c>
      <c r="N50" s="295">
        <f t="shared" si="20"/>
        <v>8.0727686185332548E-2</v>
      </c>
      <c r="O50" s="295">
        <f t="shared" si="20"/>
        <v>4.6291425565491817E-2</v>
      </c>
      <c r="P50" s="295">
        <f t="shared" si="20"/>
        <v>2.4635495223730652E-2</v>
      </c>
      <c r="Q50" s="295">
        <f t="shared" si="19"/>
        <v>-7.8611383709519256E-2</v>
      </c>
      <c r="R50" s="295"/>
    </row>
    <row r="51" spans="1:18" s="294" customFormat="1">
      <c r="A51" s="294" t="str">
        <f>+A35</f>
        <v>CE - MYTE US Spend</v>
      </c>
      <c r="D51" s="295">
        <f t="shared" ref="D51:P51" si="21">+D19/C19-1</f>
        <v>-0.22228275557871136</v>
      </c>
      <c r="E51" s="295">
        <f t="shared" si="21"/>
        <v>0.54103132927826092</v>
      </c>
      <c r="F51" s="295">
        <f t="shared" si="21"/>
        <v>0.27813074102599189</v>
      </c>
      <c r="G51" s="295">
        <f t="shared" si="21"/>
        <v>0.21719402228956519</v>
      </c>
      <c r="H51" s="295">
        <f t="shared" si="21"/>
        <v>0.21053168881014206</v>
      </c>
      <c r="I51" s="295">
        <f t="shared" si="21"/>
        <v>2.1644038746545968E-2</v>
      </c>
      <c r="J51" s="295">
        <f t="shared" si="21"/>
        <v>0.13308144438670921</v>
      </c>
      <c r="K51" s="295">
        <f t="shared" si="21"/>
        <v>1.6993417963409696E-2</v>
      </c>
      <c r="L51" s="295">
        <f t="shared" si="21"/>
        <v>-3.5379445964236145E-2</v>
      </c>
      <c r="M51" s="295">
        <f t="shared" si="21"/>
        <v>-0.16932117865473406</v>
      </c>
      <c r="N51" s="295">
        <f t="shared" si="21"/>
        <v>0.18179755152844645</v>
      </c>
      <c r="O51" s="295">
        <f t="shared" si="21"/>
        <v>5.9727142022407698E-2</v>
      </c>
      <c r="P51" s="295">
        <f t="shared" si="21"/>
        <v>0.27461029176582774</v>
      </c>
      <c r="Q51" s="295">
        <f>+Q19/P19-1</f>
        <v>-0.18599291703089693</v>
      </c>
      <c r="R51" s="295">
        <f t="shared" si="19"/>
        <v>4.9557282449999462E-2</v>
      </c>
    </row>
    <row r="70" spans="1:18" ht="16">
      <c r="G70" s="255" t="s">
        <v>570</v>
      </c>
      <c r="H70" s="44"/>
      <c r="I70" s="44"/>
      <c r="J70" s="44"/>
      <c r="K70" s="44"/>
      <c r="L70" s="44"/>
      <c r="M70" s="44"/>
      <c r="N70" s="44"/>
      <c r="O70" s="44"/>
      <c r="P70" s="44"/>
      <c r="Q70" s="44"/>
      <c r="R70" s="44"/>
    </row>
    <row r="71" spans="1:18" ht="16">
      <c r="G71" s="16" t="s">
        <v>591</v>
      </c>
      <c r="H71" s="16" t="s">
        <v>592</v>
      </c>
      <c r="I71" s="16" t="s">
        <v>593</v>
      </c>
      <c r="J71" s="16" t="s">
        <v>594</v>
      </c>
      <c r="K71" s="16" t="s">
        <v>595</v>
      </c>
      <c r="L71" s="16" t="s">
        <v>596</v>
      </c>
      <c r="M71" s="16" t="s">
        <v>597</v>
      </c>
      <c r="N71" s="16" t="s">
        <v>598</v>
      </c>
      <c r="O71" s="16" t="s">
        <v>599</v>
      </c>
      <c r="P71" s="16" t="s">
        <v>600</v>
      </c>
      <c r="Q71" s="16" t="s">
        <v>601</v>
      </c>
      <c r="R71" s="16" t="s">
        <v>602</v>
      </c>
    </row>
    <row r="72" spans="1:18" ht="13">
      <c r="A72" s="290" t="s">
        <v>572</v>
      </c>
      <c r="K72" s="292"/>
      <c r="L72" s="292"/>
      <c r="M72" s="292"/>
      <c r="N72" s="292"/>
      <c r="O72" s="292"/>
      <c r="P72" s="292"/>
      <c r="Q72" s="292"/>
      <c r="R72" s="308"/>
    </row>
    <row r="73" spans="1:18">
      <c r="A73" s="282" t="s">
        <v>603</v>
      </c>
      <c r="G73" s="292"/>
      <c r="H73" s="292"/>
      <c r="J73" s="292">
        <f>+'Detailed Disclosures - USD'!X14/1000</f>
        <v>2.7397258871312187</v>
      </c>
      <c r="K73" s="292">
        <f>+'Detailed Disclosures - USD'!Y14/1000</f>
        <v>7.2711898154374417</v>
      </c>
      <c r="L73" s="292">
        <f>+'Detailed Disclosures - USD'!Z14/1000</f>
        <v>19.299483002005179</v>
      </c>
      <c r="M73" s="292">
        <f>+'Detailed Disclosures - USD'!AA14/1000</f>
        <v>27.465933984857301</v>
      </c>
      <c r="N73" s="292">
        <f>+'Detailed Disclosures - USD'!AB14/1000</f>
        <v>49.969626805237858</v>
      </c>
      <c r="O73" s="292">
        <f>+'Detailed Disclosures - USD'!AC14/1000</f>
        <v>38.300565069860582</v>
      </c>
      <c r="P73" s="292">
        <f>+'Detailed Disclosures - USD'!AD14/1000</f>
        <v>77.428035592404171</v>
      </c>
      <c r="Q73" s="292">
        <f>+'Detailed Disclosures - USD'!AE14/1000</f>
        <v>88.944352219211922</v>
      </c>
      <c r="R73" s="292">
        <f>+'Detailed Disclosures - USD'!AF14/1000</f>
        <v>125.48583174881288</v>
      </c>
    </row>
    <row r="74" spans="1:18">
      <c r="A74" s="282" t="s">
        <v>579</v>
      </c>
      <c r="G74" s="306"/>
      <c r="H74" s="306"/>
      <c r="K74" s="306">
        <f>+SUM(C13:D13)</f>
        <v>0.77995800000000004</v>
      </c>
      <c r="L74" s="306">
        <f>+SUM(E13:F13)</f>
        <v>2.1000920000000001</v>
      </c>
      <c r="M74" s="306">
        <f>+SUM(G13:H13)</f>
        <v>2.5124560000000002</v>
      </c>
      <c r="N74" s="306">
        <f>+SUM(I13:J13)</f>
        <v>4.6687240000000001</v>
      </c>
      <c r="O74" s="306">
        <f>+SUM(K13:L13)</f>
        <v>3.9860359999999999</v>
      </c>
      <c r="P74" s="306">
        <f>+SUM(M13:N13)</f>
        <v>6.7818769999999997</v>
      </c>
      <c r="Q74" s="306">
        <f>+SUM(O13:P13)</f>
        <v>7.0301819999999999</v>
      </c>
      <c r="R74" s="306">
        <f>+SUM(Q13:R13)</f>
        <v>10.573738335104</v>
      </c>
    </row>
    <row r="77" spans="1:18" ht="13">
      <c r="A77" s="290" t="s">
        <v>586</v>
      </c>
    </row>
    <row r="78" spans="1:18">
      <c r="A78" s="282" t="s">
        <v>603</v>
      </c>
      <c r="G78" s="293"/>
      <c r="H78" s="293"/>
      <c r="I78" s="293"/>
      <c r="J78" s="293"/>
      <c r="K78" s="293"/>
      <c r="L78" s="293">
        <f>+L73/J73-1</f>
        <v>6.0443116563802546</v>
      </c>
      <c r="M78" s="293">
        <f>+M73/K73-1</f>
        <v>2.7773644591899469</v>
      </c>
      <c r="N78" s="293">
        <f t="shared" ref="N78:R78" si="22">+N73/L73-1</f>
        <v>1.5891691917366964</v>
      </c>
      <c r="O78" s="293">
        <f t="shared" si="22"/>
        <v>0.39447524671750478</v>
      </c>
      <c r="P78" s="293">
        <f t="shared" si="22"/>
        <v>0.54950197835554171</v>
      </c>
      <c r="Q78" s="293">
        <f t="shared" si="22"/>
        <v>1.3222725841505629</v>
      </c>
      <c r="R78" s="293">
        <f t="shared" si="22"/>
        <v>0.62067693941499491</v>
      </c>
    </row>
    <row r="79" spans="1:18" s="313" customFormat="1" ht="14">
      <c r="A79" s="282" t="s">
        <v>589</v>
      </c>
      <c r="G79" s="314"/>
      <c r="H79" s="314"/>
      <c r="I79" s="314"/>
      <c r="J79" s="314"/>
      <c r="K79" s="314"/>
      <c r="L79" s="314"/>
      <c r="M79" s="314">
        <f t="shared" ref="M79:R79" si="23">+M74/K74-1</f>
        <v>2.2212708889453023</v>
      </c>
      <c r="N79" s="314">
        <f t="shared" si="23"/>
        <v>1.2231045116118722</v>
      </c>
      <c r="O79" s="314">
        <f t="shared" si="23"/>
        <v>0.58650977370349944</v>
      </c>
      <c r="P79" s="314">
        <f t="shared" si="23"/>
        <v>0.45261895969862409</v>
      </c>
      <c r="Q79" s="314">
        <f t="shared" si="23"/>
        <v>0.76370258572677208</v>
      </c>
      <c r="R79" s="314">
        <f t="shared" si="23"/>
        <v>0.55911679540988435</v>
      </c>
    </row>
    <row r="80" spans="1:18" s="316" customFormat="1" ht="13">
      <c r="A80" s="315" t="s">
        <v>547</v>
      </c>
      <c r="G80" s="317"/>
      <c r="H80" s="317"/>
      <c r="I80" s="317"/>
      <c r="J80" s="317"/>
      <c r="K80" s="317"/>
      <c r="L80" s="317"/>
      <c r="M80" s="317">
        <f>+M78-M79</f>
        <v>0.55609357024464456</v>
      </c>
      <c r="N80" s="317">
        <f t="shared" ref="N80:R80" si="24">+N78-N79</f>
        <v>0.36606468012482418</v>
      </c>
      <c r="O80" s="317">
        <f t="shared" si="24"/>
        <v>-0.19203452698599466</v>
      </c>
      <c r="P80" s="317">
        <f t="shared" si="24"/>
        <v>9.6883018656917619E-2</v>
      </c>
      <c r="Q80" s="317">
        <f t="shared" si="24"/>
        <v>0.55856999842379085</v>
      </c>
      <c r="R80" s="317">
        <f t="shared" si="24"/>
        <v>6.1560144005110562E-2</v>
      </c>
    </row>
    <row r="83" spans="1:18" ht="13">
      <c r="A83" s="290" t="s">
        <v>604</v>
      </c>
    </row>
    <row r="84" spans="1:18">
      <c r="A84" s="282" t="s">
        <v>603</v>
      </c>
      <c r="G84" s="293"/>
      <c r="H84" s="293"/>
      <c r="I84" s="293"/>
      <c r="J84" s="293"/>
      <c r="K84" s="293">
        <f>+K73/J73-1</f>
        <v>1.6539844185109858</v>
      </c>
      <c r="L84" s="293">
        <f>+L73/K73-1</f>
        <v>1.6542400201175469</v>
      </c>
      <c r="M84" s="293">
        <f t="shared" ref="M84:R84" si="25">+M73/L73-1</f>
        <v>0.42314351021753516</v>
      </c>
      <c r="N84" s="293">
        <f t="shared" si="25"/>
        <v>0.81933106053438554</v>
      </c>
      <c r="O84" s="293">
        <f t="shared" si="25"/>
        <v>-0.23352309155437034</v>
      </c>
      <c r="P84" s="293">
        <f t="shared" si="25"/>
        <v>1.0215899021639685</v>
      </c>
      <c r="Q84" s="293">
        <f t="shared" si="25"/>
        <v>0.14873574589224781</v>
      </c>
      <c r="R84" s="293">
        <f t="shared" si="25"/>
        <v>0.4108352989017332</v>
      </c>
    </row>
    <row r="85" spans="1:18" s="313" customFormat="1" ht="14">
      <c r="A85" s="282" t="s">
        <v>589</v>
      </c>
      <c r="G85" s="314"/>
      <c r="H85" s="314"/>
      <c r="I85" s="314"/>
      <c r="J85" s="314"/>
      <c r="K85" s="314"/>
      <c r="L85" s="314">
        <f t="shared" ref="L85:R85" si="26">+L74/K74-1</f>
        <v>1.6925706255977886</v>
      </c>
      <c r="M85" s="314">
        <f t="shared" si="26"/>
        <v>0.19635520729568046</v>
      </c>
      <c r="N85" s="314">
        <f t="shared" si="26"/>
        <v>0.85823114912261134</v>
      </c>
      <c r="O85" s="314">
        <f t="shared" si="26"/>
        <v>-0.14622582101662041</v>
      </c>
      <c r="P85" s="314">
        <f t="shared" si="26"/>
        <v>0.70140886835944283</v>
      </c>
      <c r="Q85" s="314">
        <f t="shared" si="26"/>
        <v>3.6613020259730567E-2</v>
      </c>
      <c r="R85" s="314">
        <f t="shared" si="26"/>
        <v>0.50404901823366743</v>
      </c>
    </row>
    <row r="86" spans="1:18" s="316" customFormat="1" ht="13">
      <c r="A86" s="315" t="s">
        <v>547</v>
      </c>
      <c r="G86" s="317"/>
      <c r="H86" s="317"/>
      <c r="I86" s="317"/>
      <c r="J86" s="317"/>
      <c r="K86" s="317"/>
      <c r="L86" s="317">
        <f>+L84-L85</f>
        <v>-3.8330605480241697E-2</v>
      </c>
      <c r="M86" s="317">
        <f>+M84-M85</f>
        <v>0.2267883029218547</v>
      </c>
      <c r="N86" s="317">
        <f t="shared" ref="N86" si="27">+N84-N85</f>
        <v>-3.8900088588225801E-2</v>
      </c>
      <c r="O86" s="317">
        <f t="shared" ref="O86" si="28">+O84-O85</f>
        <v>-8.7297270537749938E-2</v>
      </c>
      <c r="P86" s="317">
        <f t="shared" ref="P86" si="29">+P84-P85</f>
        <v>0.32018103380452567</v>
      </c>
      <c r="Q86" s="317">
        <f t="shared" ref="Q86" si="30">+Q84-Q85</f>
        <v>0.11212272563251724</v>
      </c>
      <c r="R86" s="317">
        <f t="shared" ref="R86" si="31">+R84-R85</f>
        <v>-9.3213719331934231E-2</v>
      </c>
    </row>
  </sheetData>
  <hyperlinks>
    <hyperlink ref="C18" r:id="rId1" tooltip="Revenue_x000a_ FY: 2020, FQ: 3_x000a_ Period End Date: Mar-31-2020_x000a_ Filing Date: May-18-2021_x000a_ Period Type: Quarterly_x000a_ Value: 111.7, Currency: EUR, Millions" display="javascript:void(0);" xr:uid="{2A98A8D0-1672-4FF5-BC9E-F55FCFB755B3}"/>
    <hyperlink ref="D18" r:id="rId2" tooltip="Revenue_x000a_ FY: 2020, FQ: 4_x000a_ Period End Date: Jun-30-2020_x000a_ Filing Date: Oct-15-2021_x000a_ Period Type: Quarterly_x000a_ Value: 119.3, Currency: EUR, Millions" display="javascript:void(0);" xr:uid="{CFBBD07B-DF6C-40BB-997C-9749EF01A9D1}"/>
    <hyperlink ref="E18" r:id="rId3" tooltip="Revenue_x000a_ FY: 2021, FQ: 1_x000a_ Period End Date: Sep-30-2020_x000a_ Filing Date: Nov-12-2021_x000a_ Period Type: Quarterly_x000a_ Value: 126.4, Currency: EUR, Millions" display="javascript:void(0);" xr:uid="{54EE6896-7D22-4698-A632-7C667FCC34F8}"/>
    <hyperlink ref="F18" r:id="rId4" tooltip="Revenue_x000a_ FY: 2021, FQ: 2_x000a_ Period End Date: Dec-31-2020_x000a_ Filing Date: Feb-16-2022_x000a_ Period Type: Quarterly_x000a_ Value: 158.6, Currency: EUR, Millions" display="javascript:void(0);" xr:uid="{5ED80EC0-01BD-4EBC-8DF6-4202183A225C}"/>
    <hyperlink ref="G18" r:id="rId5" tooltip="Revenue_x000a_ FY: 2021, FQ: 3_x000a_ Period End Date: Mar-31-2021_x000a_ Filing Date: May-10-2022_x000a_ Period Type: Quarterly_x000a_ Value: 164.8, Currency: EUR, Millions" display="javascript:void(0);" xr:uid="{926E653A-EB34-444C-BA98-CBE5BD5EDF11}"/>
    <hyperlink ref="H18" r:id="rId6" tooltip="Revenue_x000a_ FY: 2021, FQ: 4_x000a_ Period End Date: Jun-30-2021_x000a_ Filing Date: Sep-15-2022_x000a_ Period Type: Quarterly_x000a_ Value: 162.4, Currency: EUR, Millions" display="javascript:void(0);" xr:uid="{50268EED-ACEA-4944-AEE4-EFB5B2368BE5}"/>
    <hyperlink ref="I18" r:id="rId7" tooltip="Revenue_x000a_ FY: 2022, FQ: 1_x000a_ Period End Date: Sep-30-2021_x000a_ Filing Date: Nov-08-2022_x000a_ Period Type: Quarterly_x000a_ Value: 157.8, Currency: EUR, Millions" display="javascript:void(0);" xr:uid="{359925D1-EB57-4C02-9521-A9D2CA5F9E14}"/>
    <hyperlink ref="J18" r:id="rId8" tooltip="Revenue_x000a_ FY: 2022, FQ: 2_x000a_ Period End Date: Dec-31-2021_x000a_ Filing Date: Feb-23-2023_x000a_ Period Type: Quarterly_x000a_ Value: 187.6, Currency: EUR, Millions" display="javascript:void(0);" xr:uid="{D9EBC440-E5F1-47D2-B3AC-CBF7274A4B05}"/>
    <hyperlink ref="K18" r:id="rId9" tooltip="Revenue_x000a_ FY: 2022, FQ: 3_x000a_ Period End Date: Mar-31-2022_x000a_ Filing Date: May-10-2023_x000a_ Period Type: Quarterly_x000a_ Value: 169.5, Currency: EUR, Millions" display="javascript:void(0);" xr:uid="{107A3DD7-FD00-4896-B858-9500A5B8D079}"/>
    <hyperlink ref="L18" r:id="rId10" tooltip="Revenue_x000a_ FY: 2022, FQ: 4_x000a_ Period End Date: Jun-30-2022_x000a_ Filing Date: Sep-14-2023_x000a_ Period Type: Quarterly_x000a_ Value: 174.8, Currency: EUR, Millions" display="javascript:void(0);" xr:uid="{68CE816D-7FAB-4B3E-84BA-536DAD878FC9}"/>
    <hyperlink ref="M18" r:id="rId11" tooltip="Revenue_x000a_ FY: 2023, FQ: 1_x000a_ Period End Date: Sep-30-2022_x000a_ Filing Date: Nov-08-2022_x000a_ Period Type: Quarterly_x000a_ Value: 175.9, Currency: EUR, Millions" display="javascript:void(0);" xr:uid="{DFB9BDDD-1EDD-490A-A06F-2012D45B590C}"/>
    <hyperlink ref="N18" r:id="rId12" tooltip="Revenue_x000a_ FY: 2023, FQ: 2_x000a_ Period End Date: Dec-31-2022_x000a_ Filing Date: Feb-23-2023_x000a_ Period Type: Quarterly_x000a_ Value: 190.1, Currency: EUR, Millions" display="javascript:void(0);" xr:uid="{584582E7-ECD9-4BD4-9529-2CEC8DB1B08B}"/>
    <hyperlink ref="O18" r:id="rId13" tooltip="Revenue_x000a_ FY: 2023, FQ: 3_x000a_ Period End Date: Mar-31-2023_x000a_ Filing Date: May-10-2023_x000a_ Period Type: Quarterly_x000a_ Value: 198.9, Currency: EUR, Millions" display="javascript:void(0);" xr:uid="{7259A104-118E-4F62-97F5-27A9CE7B3A2C}"/>
    <hyperlink ref="P18" r:id="rId14" tooltip="Revenue_x000a_ FY: 2023, FQ: 4_x000a_ Period End Date: Jun-30-2023_x000a_ Filing Date: Sep-14-2023_x000a_ Period Type: Quarterly_x000a_ Value: 203.8, Currency: EUR, Millions" display="javascript:void(0);" xr:uid="{8D55806F-D2C3-4D2C-A1C5-A24D0F162787}"/>
  </hyperlinks>
  <pageMargins left="0.3" right="0.3" top="0.3" bottom="0.3" header="0.3" footer="0.3"/>
  <pageSetup scale="69" fitToHeight="0" orientation="landscape" r:id="rId15"/>
  <headerFooter>
    <oddFooter>Page &amp;P of &amp;N</oddFooter>
  </headerFooter>
  <rowBreaks count="1" manualBreakCount="1">
    <brk id="68" max="17" man="1"/>
  </rowBreaks>
  <drawing r:id="rId1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11006-CF5C-4AAE-A74D-CC8C938024FA}">
  <sheetPr>
    <pageSetUpPr fitToPage="1"/>
  </sheetPr>
  <dimension ref="A1:AV89"/>
  <sheetViews>
    <sheetView view="pageBreakPreview" zoomScale="55" zoomScaleNormal="70" zoomScaleSheetLayoutView="55" workbookViewId="0">
      <pane xSplit="1" ySplit="5" topLeftCell="B51" activePane="bottomRight" state="frozen"/>
      <selection pane="topRight" activeCell="W50" sqref="W50"/>
      <selection pane="bottomLeft" activeCell="W50" sqref="W50"/>
      <selection pane="bottomRight" activeCell="Y64" sqref="Y64"/>
    </sheetView>
  </sheetViews>
  <sheetFormatPr defaultColWidth="8.7265625" defaultRowHeight="12.5" outlineLevelCol="1"/>
  <cols>
    <col min="1" max="1" width="28.1796875" style="282" bestFit="1" customWidth="1"/>
    <col min="2" max="2" width="2.54296875" style="282" customWidth="1"/>
    <col min="3" max="3" width="3.26953125" style="282" customWidth="1"/>
    <col min="4" max="15" width="11" style="282" hidden="1" customWidth="1" outlineLevel="1"/>
    <col min="16" max="16" width="11" style="282" customWidth="1" collapsed="1"/>
    <col min="17" max="21" width="11" style="282" customWidth="1"/>
    <col min="22" max="23" width="12.81640625" style="282" bestFit="1" customWidth="1"/>
    <col min="24" max="24" width="12.7265625" style="282" bestFit="1" customWidth="1"/>
    <col min="25" max="25" width="12.81640625" style="282" bestFit="1" customWidth="1"/>
    <col min="26" max="26" width="12.7265625" style="282" bestFit="1" customWidth="1"/>
    <col min="27" max="27" width="12.81640625" style="282" bestFit="1" customWidth="1"/>
    <col min="28" max="29" width="10.54296875" style="282" bestFit="1" customWidth="1"/>
    <col min="30" max="31" width="9" style="282" bestFit="1" customWidth="1"/>
    <col min="32" max="48" width="10.54296875" style="282" bestFit="1" customWidth="1"/>
    <col min="49" max="16384" width="8.7265625" style="282"/>
  </cols>
  <sheetData>
    <row r="1" spans="1:48" ht="13">
      <c r="A1" s="237" t="s">
        <v>0</v>
      </c>
      <c r="L1" s="283"/>
      <c r="M1" s="283"/>
      <c r="N1" s="283"/>
      <c r="O1" s="283"/>
      <c r="P1" s="283"/>
      <c r="Q1" s="283"/>
      <c r="R1" s="283"/>
      <c r="T1" s="284"/>
      <c r="V1" s="285"/>
      <c r="W1" s="285"/>
      <c r="AA1" s="283">
        <f ca="1">TODAY()</f>
        <v>45797</v>
      </c>
      <c r="AJ1" s="283"/>
      <c r="AV1" s="283"/>
    </row>
    <row r="2" spans="1:48" s="287" customFormat="1" ht="13">
      <c r="A2" s="286" t="s">
        <v>605</v>
      </c>
    </row>
    <row r="3" spans="1:48" ht="13">
      <c r="A3" s="288"/>
      <c r="C3" s="289"/>
      <c r="D3" s="289"/>
      <c r="E3" s="289"/>
      <c r="F3" s="289"/>
      <c r="G3" s="289">
        <f ca="1">TODAY()</f>
        <v>45797</v>
      </c>
      <c r="H3" s="289">
        <v>45107</v>
      </c>
      <c r="I3" s="289">
        <v>45473</v>
      </c>
      <c r="J3" s="289">
        <v>45838</v>
      </c>
      <c r="K3" s="289">
        <v>46203</v>
      </c>
      <c r="L3" s="289">
        <v>46568</v>
      </c>
      <c r="M3" s="289"/>
      <c r="N3" s="289"/>
      <c r="O3" s="289"/>
      <c r="P3" s="289"/>
      <c r="Q3" s="289"/>
      <c r="R3" s="289"/>
      <c r="S3" s="289"/>
      <c r="T3" s="289"/>
      <c r="U3" s="289"/>
      <c r="V3" s="289"/>
      <c r="W3" s="289"/>
    </row>
    <row r="4" spans="1:48" ht="13">
      <c r="A4" s="288"/>
      <c r="C4" s="289"/>
      <c r="D4" s="289"/>
      <c r="E4" s="289"/>
      <c r="F4" s="289"/>
      <c r="G4" s="289"/>
      <c r="H4" s="289"/>
      <c r="I4" s="289"/>
      <c r="J4" s="289"/>
      <c r="K4" s="289"/>
      <c r="L4" s="289"/>
      <c r="M4" s="289"/>
      <c r="N4" s="289"/>
      <c r="O4" s="289"/>
      <c r="P4" s="289"/>
      <c r="Q4" s="289"/>
      <c r="R4" s="289"/>
      <c r="S4" s="289"/>
      <c r="T4" s="289"/>
      <c r="U4" s="289"/>
      <c r="V4" s="289"/>
      <c r="W4" s="289"/>
    </row>
    <row r="5" spans="1:48" ht="16">
      <c r="C5"/>
      <c r="D5" s="152">
        <v>43831</v>
      </c>
      <c r="E5" s="152">
        <f>+D5+31</f>
        <v>43862</v>
      </c>
      <c r="F5" s="152">
        <f t="shared" ref="F5:AA5" si="0">+E5+31</f>
        <v>43893</v>
      </c>
      <c r="G5" s="152">
        <f t="shared" si="0"/>
        <v>43924</v>
      </c>
      <c r="H5" s="152">
        <f t="shared" si="0"/>
        <v>43955</v>
      </c>
      <c r="I5" s="152">
        <f t="shared" si="0"/>
        <v>43986</v>
      </c>
      <c r="J5" s="152">
        <f t="shared" si="0"/>
        <v>44017</v>
      </c>
      <c r="K5" s="152">
        <f t="shared" si="0"/>
        <v>44048</v>
      </c>
      <c r="L5" s="152">
        <f t="shared" si="0"/>
        <v>44079</v>
      </c>
      <c r="M5" s="152">
        <f t="shared" si="0"/>
        <v>44110</v>
      </c>
      <c r="N5" s="152">
        <f t="shared" si="0"/>
        <v>44141</v>
      </c>
      <c r="O5" s="152">
        <f t="shared" si="0"/>
        <v>44172</v>
      </c>
      <c r="P5" s="152">
        <f t="shared" si="0"/>
        <v>44203</v>
      </c>
      <c r="Q5" s="152">
        <f t="shared" si="0"/>
        <v>44234</v>
      </c>
      <c r="R5" s="152">
        <f t="shared" si="0"/>
        <v>44265</v>
      </c>
      <c r="S5" s="152">
        <f t="shared" si="0"/>
        <v>44296</v>
      </c>
      <c r="T5" s="152">
        <f t="shared" si="0"/>
        <v>44327</v>
      </c>
      <c r="U5" s="152">
        <f t="shared" si="0"/>
        <v>44358</v>
      </c>
      <c r="V5" s="152">
        <f t="shared" si="0"/>
        <v>44389</v>
      </c>
      <c r="W5" s="152">
        <f t="shared" si="0"/>
        <v>44420</v>
      </c>
      <c r="X5" s="152">
        <f t="shared" si="0"/>
        <v>44451</v>
      </c>
      <c r="Y5" s="152">
        <f t="shared" si="0"/>
        <v>44482</v>
      </c>
      <c r="Z5" s="152">
        <f t="shared" si="0"/>
        <v>44513</v>
      </c>
      <c r="AA5" s="152">
        <f t="shared" si="0"/>
        <v>44544</v>
      </c>
    </row>
    <row r="6" spans="1:48" ht="13">
      <c r="A6" s="290" t="s">
        <v>572</v>
      </c>
      <c r="C6" s="292"/>
      <c r="D6" s="292"/>
      <c r="E6" s="292"/>
      <c r="F6" s="292"/>
      <c r="G6" s="292"/>
      <c r="H6" s="292"/>
      <c r="I6" s="292"/>
      <c r="J6" s="292"/>
      <c r="K6" s="292"/>
      <c r="L6" s="292"/>
      <c r="M6" s="292"/>
      <c r="N6" s="292"/>
      <c r="O6" s="292"/>
      <c r="P6" s="292"/>
      <c r="Q6" s="292"/>
      <c r="R6" s="292"/>
      <c r="S6" s="292"/>
      <c r="T6" s="292"/>
      <c r="U6" s="292"/>
    </row>
    <row r="7" spans="1:48">
      <c r="A7" s="282" t="s">
        <v>575</v>
      </c>
      <c r="C7" s="292"/>
      <c r="D7" s="292">
        <f>+'Google Trends Raw'!G12</f>
        <v>20</v>
      </c>
      <c r="E7" s="292">
        <f>+'Google Trends Raw'!H12</f>
        <v>24</v>
      </c>
      <c r="F7" s="292">
        <f>+'Google Trends Raw'!I12</f>
        <v>18</v>
      </c>
      <c r="G7" s="292">
        <f>+'Google Trends Raw'!J12</f>
        <v>39</v>
      </c>
      <c r="H7" s="292">
        <f>+'Google Trends Raw'!K12</f>
        <v>46</v>
      </c>
      <c r="I7" s="292">
        <f>+'Google Trends Raw'!L12</f>
        <v>36</v>
      </c>
      <c r="J7" s="292">
        <f>+'Google Trends Raw'!M12</f>
        <v>44</v>
      </c>
      <c r="K7" s="292">
        <f>+'Google Trends Raw'!N12</f>
        <v>42</v>
      </c>
      <c r="L7" s="292">
        <f>+'Google Trends Raw'!O12</f>
        <v>48</v>
      </c>
      <c r="M7" s="292">
        <f>+'Google Trends Raw'!P12</f>
        <v>60</v>
      </c>
      <c r="N7" s="292">
        <f>+'Google Trends Raw'!Q12</f>
        <v>91</v>
      </c>
      <c r="O7" s="292">
        <f>+'Google Trends Raw'!R12</f>
        <v>70</v>
      </c>
      <c r="P7" s="292">
        <f>+'Google Trends Raw'!S12</f>
        <v>59</v>
      </c>
      <c r="Q7" s="292">
        <f>+'Google Trends Raw'!T12</f>
        <v>57</v>
      </c>
      <c r="R7" s="292">
        <f>+'Google Trends Raw'!U12</f>
        <v>69</v>
      </c>
      <c r="S7" s="292">
        <f>+'Google Trends Raw'!V12</f>
        <v>83</v>
      </c>
      <c r="T7" s="292">
        <f>+'Google Trends Raw'!W12</f>
        <v>103</v>
      </c>
      <c r="U7" s="292">
        <f>+'Google Trends Raw'!X12</f>
        <v>96</v>
      </c>
      <c r="V7" s="292">
        <f>+'Google Trends Raw'!Y12</f>
        <v>103</v>
      </c>
      <c r="W7" s="292">
        <f>+'Google Trends Raw'!Z12</f>
        <v>111</v>
      </c>
      <c r="X7" s="292">
        <f>+'Google Trends Raw'!AA12</f>
        <v>141</v>
      </c>
      <c r="Y7" s="292">
        <f>+'Google Trends Raw'!AB12</f>
        <v>198</v>
      </c>
      <c r="Z7" s="292">
        <f>+'Google Trends Raw'!AC12</f>
        <v>332</v>
      </c>
      <c r="AA7" s="292">
        <f>+'Google Trends Raw'!AD12</f>
        <v>295</v>
      </c>
      <c r="AB7" s="292"/>
      <c r="AC7" s="292"/>
    </row>
    <row r="8" spans="1:48">
      <c r="A8" s="282" t="s">
        <v>576</v>
      </c>
      <c r="C8" s="292"/>
      <c r="D8" s="292">
        <f>+'Google Trends Raw'!G13</f>
        <v>16</v>
      </c>
      <c r="E8" s="292">
        <f>+'Google Trends Raw'!H13</f>
        <v>21</v>
      </c>
      <c r="F8" s="292">
        <f>+'Google Trends Raw'!I13</f>
        <v>11</v>
      </c>
      <c r="G8" s="292">
        <f>+'Google Trends Raw'!J13</f>
        <v>36</v>
      </c>
      <c r="H8" s="292">
        <f>+'Google Trends Raw'!K13</f>
        <v>41</v>
      </c>
      <c r="I8" s="292">
        <f>+'Google Trends Raw'!L13</f>
        <v>38</v>
      </c>
      <c r="J8" s="292">
        <f>+'Google Trends Raw'!M13</f>
        <v>45</v>
      </c>
      <c r="K8" s="292">
        <f>+'Google Trends Raw'!N13</f>
        <v>32</v>
      </c>
      <c r="L8" s="292">
        <f>+'Google Trends Raw'!O13</f>
        <v>43</v>
      </c>
      <c r="M8" s="292">
        <f>+'Google Trends Raw'!P13</f>
        <v>47</v>
      </c>
      <c r="N8" s="292">
        <f>+'Google Trends Raw'!Q13</f>
        <v>66</v>
      </c>
      <c r="O8" s="292">
        <f>+'Google Trends Raw'!R13</f>
        <v>47</v>
      </c>
      <c r="P8" s="292">
        <f>+'Google Trends Raw'!S13</f>
        <v>46</v>
      </c>
      <c r="Q8" s="292">
        <f>+'Google Trends Raw'!T13</f>
        <v>46</v>
      </c>
      <c r="R8" s="292">
        <f>+'Google Trends Raw'!U13</f>
        <v>61</v>
      </c>
      <c r="S8" s="292">
        <f>+'Google Trends Raw'!V13</f>
        <v>78</v>
      </c>
      <c r="T8" s="292">
        <f>+'Google Trends Raw'!W13</f>
        <v>86</v>
      </c>
      <c r="U8" s="292">
        <f>+'Google Trends Raw'!X13</f>
        <v>80</v>
      </c>
      <c r="V8" s="292">
        <f>+'Google Trends Raw'!Y13</f>
        <v>82</v>
      </c>
      <c r="W8" s="292">
        <f>+'Google Trends Raw'!Z13</f>
        <v>97</v>
      </c>
      <c r="X8" s="292">
        <f>+'Google Trends Raw'!AA13</f>
        <v>105</v>
      </c>
      <c r="Y8" s="292">
        <f>+'Google Trends Raw'!AB13</f>
        <v>136</v>
      </c>
      <c r="Z8" s="292">
        <f>+'Google Trends Raw'!AC13</f>
        <v>208</v>
      </c>
      <c r="AA8" s="292">
        <f>+'Google Trends Raw'!AD13</f>
        <v>165</v>
      </c>
      <c r="AB8" s="292"/>
      <c r="AC8" s="292"/>
    </row>
    <row r="9" spans="1:48">
      <c r="A9" s="282" t="s">
        <v>577</v>
      </c>
      <c r="C9" s="292"/>
      <c r="D9" s="292">
        <f>+'SEM Rush Raw'!L13</f>
        <v>258626</v>
      </c>
      <c r="E9" s="292">
        <f>+'SEM Rush Raw'!M13</f>
        <v>191527</v>
      </c>
      <c r="F9" s="292">
        <f>+'SEM Rush Raw'!N13</f>
        <v>200135</v>
      </c>
      <c r="G9" s="292">
        <f>+'SEM Rush Raw'!O13</f>
        <v>164304</v>
      </c>
      <c r="H9" s="292">
        <f>+'SEM Rush Raw'!P13</f>
        <v>321215</v>
      </c>
      <c r="I9" s="292">
        <f>+'SEM Rush Raw'!Q13</f>
        <v>351603</v>
      </c>
      <c r="J9" s="292">
        <f>+'SEM Rush Raw'!R13</f>
        <v>358577</v>
      </c>
      <c r="K9" s="292">
        <f>+'SEM Rush Raw'!S13</f>
        <v>429218</v>
      </c>
      <c r="L9" s="292">
        <f>+'SEM Rush Raw'!T13</f>
        <v>425228</v>
      </c>
      <c r="M9" s="292">
        <f>+'SEM Rush Raw'!U13</f>
        <v>422016</v>
      </c>
      <c r="N9" s="292">
        <f>+'SEM Rush Raw'!V13</f>
        <v>769494</v>
      </c>
      <c r="O9" s="292">
        <f>+'SEM Rush Raw'!W13</f>
        <v>738044</v>
      </c>
      <c r="P9" s="292">
        <f>+'SEM Rush Raw'!X13</f>
        <v>739926</v>
      </c>
      <c r="Q9" s="292">
        <f>+'SEM Rush Raw'!Y13</f>
        <v>550384</v>
      </c>
      <c r="R9" s="292">
        <f>+'SEM Rush Raw'!Z13</f>
        <v>593255</v>
      </c>
      <c r="S9" s="292">
        <f>+'SEM Rush Raw'!AA13</f>
        <v>1098511</v>
      </c>
      <c r="T9" s="292">
        <f>+'SEM Rush Raw'!AB13</f>
        <v>1576401</v>
      </c>
      <c r="U9" s="292">
        <f>+'SEM Rush Raw'!AC13</f>
        <v>1150325</v>
      </c>
      <c r="V9" s="292">
        <f>+'SEM Rush Raw'!AD13</f>
        <v>1109889</v>
      </c>
      <c r="W9" s="292">
        <f>+'SEM Rush Raw'!AE13</f>
        <v>1238305</v>
      </c>
      <c r="X9" s="292">
        <f>+'SEM Rush Raw'!AF13</f>
        <v>1491296</v>
      </c>
      <c r="Y9" s="292">
        <f>+'SEM Rush Raw'!AG13</f>
        <v>2141614</v>
      </c>
      <c r="Z9" s="292">
        <f>+'SEM Rush Raw'!AH13</f>
        <v>3070317</v>
      </c>
      <c r="AA9" s="292">
        <f>+'SEM Rush Raw'!AI13</f>
        <v>2599823</v>
      </c>
      <c r="AB9" s="292"/>
      <c r="AC9" s="292"/>
    </row>
    <row r="10" spans="1:48">
      <c r="A10" s="282" t="s">
        <v>578</v>
      </c>
      <c r="C10" s="292"/>
      <c r="D10" s="292">
        <f>+'SEM Rush Raw'!L14</f>
        <v>156014</v>
      </c>
      <c r="E10" s="292">
        <f>+'SEM Rush Raw'!M14</f>
        <v>146126</v>
      </c>
      <c r="F10" s="292">
        <f>+'SEM Rush Raw'!N14</f>
        <v>117188</v>
      </c>
      <c r="G10" s="292">
        <f>+'SEM Rush Raw'!O14</f>
        <v>102638</v>
      </c>
      <c r="H10" s="292">
        <f>+'SEM Rush Raw'!P14</f>
        <v>177799</v>
      </c>
      <c r="I10" s="292">
        <f>+'SEM Rush Raw'!Q14</f>
        <v>192554</v>
      </c>
      <c r="J10" s="292">
        <f>+'SEM Rush Raw'!R14</f>
        <v>181349</v>
      </c>
      <c r="K10" s="292">
        <f>+'SEM Rush Raw'!S14</f>
        <v>220163</v>
      </c>
      <c r="L10" s="292">
        <f>+'SEM Rush Raw'!T14</f>
        <v>215909</v>
      </c>
      <c r="M10" s="292">
        <f>+'SEM Rush Raw'!U14</f>
        <v>276701</v>
      </c>
      <c r="N10" s="292">
        <f>+'SEM Rush Raw'!V14</f>
        <v>350104</v>
      </c>
      <c r="O10" s="292">
        <f>+'SEM Rush Raw'!W14</f>
        <v>329245</v>
      </c>
      <c r="P10" s="292">
        <f>+'SEM Rush Raw'!X14</f>
        <v>343608</v>
      </c>
      <c r="Q10" s="292">
        <f>+'SEM Rush Raw'!Y14</f>
        <v>287074</v>
      </c>
      <c r="R10" s="292">
        <f>+'SEM Rush Raw'!Z14</f>
        <v>275002</v>
      </c>
      <c r="S10" s="292">
        <f>+'SEM Rush Raw'!AA14</f>
        <v>523593</v>
      </c>
      <c r="T10" s="292">
        <f>+'SEM Rush Raw'!AB14</f>
        <v>597558</v>
      </c>
      <c r="U10" s="292">
        <f>+'SEM Rush Raw'!AC14</f>
        <v>529066</v>
      </c>
      <c r="V10" s="292">
        <f>+'SEM Rush Raw'!AD14</f>
        <v>549869</v>
      </c>
      <c r="W10" s="292">
        <f>+'SEM Rush Raw'!AE14</f>
        <v>687238</v>
      </c>
      <c r="X10" s="292">
        <f>+'SEM Rush Raw'!AF14</f>
        <v>689491</v>
      </c>
      <c r="Y10" s="292">
        <f>+'SEM Rush Raw'!AG14</f>
        <v>1290703</v>
      </c>
      <c r="Z10" s="292">
        <f>+'SEM Rush Raw'!AH14</f>
        <v>1798351</v>
      </c>
      <c r="AA10" s="292">
        <f>+'SEM Rush Raw'!AI14</f>
        <v>1538834</v>
      </c>
      <c r="AB10" s="292"/>
      <c r="AC10" s="292"/>
    </row>
    <row r="11" spans="1:48">
      <c r="A11" s="282" t="s">
        <v>579</v>
      </c>
      <c r="C11" s="292"/>
      <c r="D11" s="292">
        <v>71806.62</v>
      </c>
      <c r="E11" s="292">
        <v>71126.33</v>
      </c>
      <c r="F11" s="292">
        <v>140415.57</v>
      </c>
      <c r="G11" s="292">
        <v>148032.36000000002</v>
      </c>
      <c r="H11" s="292">
        <v>161288.43</v>
      </c>
      <c r="I11" s="292">
        <v>181680.08000000002</v>
      </c>
      <c r="J11" s="292">
        <v>256267.59999999998</v>
      </c>
      <c r="K11" s="292">
        <v>295376.12</v>
      </c>
      <c r="L11" s="292">
        <v>271089.95999999996</v>
      </c>
      <c r="M11" s="292">
        <v>392084.77999999997</v>
      </c>
      <c r="N11" s="292">
        <v>485983.19</v>
      </c>
      <c r="O11" s="292">
        <v>366171.96</v>
      </c>
      <c r="P11" s="292">
        <v>254772.23</v>
      </c>
      <c r="Q11" s="292">
        <v>324874.06</v>
      </c>
      <c r="R11" s="292">
        <v>454600.16000000003</v>
      </c>
      <c r="S11" s="292">
        <v>397096.19</v>
      </c>
      <c r="T11" s="292">
        <v>549497.51</v>
      </c>
      <c r="U11" s="292">
        <v>508946.38</v>
      </c>
      <c r="V11" s="292">
        <v>435390.62</v>
      </c>
      <c r="W11" s="292">
        <v>651525.94999999995</v>
      </c>
      <c r="X11" s="292">
        <v>587296.28</v>
      </c>
      <c r="Y11" s="292">
        <v>765811.98</v>
      </c>
      <c r="Z11" s="292">
        <v>1205033.0699999998</v>
      </c>
      <c r="AA11" s="292">
        <v>962213.3</v>
      </c>
      <c r="AB11" s="292"/>
      <c r="AC11" s="292"/>
    </row>
    <row r="12" spans="1:48" s="294" customFormat="1">
      <c r="A12" s="294" t="s">
        <v>606</v>
      </c>
      <c r="C12" s="296"/>
      <c r="D12" s="296">
        <v>3464149.7800000003</v>
      </c>
      <c r="E12" s="296">
        <v>3012377.02</v>
      </c>
      <c r="F12" s="296">
        <v>3086170.16</v>
      </c>
      <c r="G12" s="296">
        <v>2779420.36</v>
      </c>
      <c r="H12" s="296">
        <v>4203021.8099999996</v>
      </c>
      <c r="I12" s="296">
        <v>4060790.09</v>
      </c>
      <c r="J12" s="296">
        <v>4596884.84</v>
      </c>
      <c r="K12" s="296">
        <v>4799368.8000000007</v>
      </c>
      <c r="L12" s="296">
        <v>4660650.34</v>
      </c>
      <c r="M12" s="296">
        <v>4580892.5600000005</v>
      </c>
      <c r="N12" s="296">
        <v>5775760.4299999997</v>
      </c>
      <c r="O12" s="296">
        <v>5579778.6799999997</v>
      </c>
      <c r="P12" s="296">
        <v>4837430.7300000004</v>
      </c>
      <c r="Q12" s="296">
        <v>4086008.18</v>
      </c>
      <c r="R12" s="296">
        <v>5394420.4800000004</v>
      </c>
      <c r="S12" s="296">
        <v>5763560.2000000002</v>
      </c>
      <c r="T12" s="296">
        <v>7033309.2999999998</v>
      </c>
      <c r="U12" s="296">
        <v>6749360.8399999999</v>
      </c>
      <c r="V12" s="296">
        <v>6340452.7999999998</v>
      </c>
      <c r="W12" s="296">
        <v>5963067.6500000004</v>
      </c>
      <c r="X12" s="296">
        <v>6737264.1100000003</v>
      </c>
      <c r="Y12" s="296">
        <v>5340667.0600000005</v>
      </c>
      <c r="Z12" s="296">
        <v>7141969.8800000008</v>
      </c>
      <c r="AA12" s="296">
        <v>7601651.6099999994</v>
      </c>
      <c r="AB12" s="296"/>
      <c r="AC12" s="296"/>
    </row>
    <row r="13" spans="1:48" s="294" customFormat="1">
      <c r="A13" s="294" t="s">
        <v>607</v>
      </c>
      <c r="C13" s="296"/>
      <c r="D13" s="296">
        <v>682396.7</v>
      </c>
      <c r="E13" s="296">
        <v>526573.17999999993</v>
      </c>
      <c r="F13" s="296">
        <v>417127.01</v>
      </c>
      <c r="G13" s="296">
        <v>306036.55</v>
      </c>
      <c r="H13" s="296">
        <v>381414.7</v>
      </c>
      <c r="I13" s="296">
        <v>574027.72</v>
      </c>
      <c r="J13" s="296">
        <v>637226.57999999996</v>
      </c>
      <c r="K13" s="296">
        <v>662151.48</v>
      </c>
      <c r="L13" s="296">
        <v>643465.25</v>
      </c>
      <c r="M13" s="296">
        <v>765117.17</v>
      </c>
      <c r="N13" s="296">
        <v>765030.38</v>
      </c>
      <c r="O13" s="296">
        <v>932848.95</v>
      </c>
      <c r="P13" s="296">
        <v>980169.93</v>
      </c>
      <c r="Q13" s="296">
        <v>871942.80999999994</v>
      </c>
      <c r="R13" s="296">
        <v>1161914.54</v>
      </c>
      <c r="S13" s="296">
        <v>1181226.72</v>
      </c>
      <c r="T13" s="296">
        <v>1283255.1200000001</v>
      </c>
      <c r="U13" s="296">
        <v>1171465.31</v>
      </c>
      <c r="V13" s="296">
        <v>1464840.5999999999</v>
      </c>
      <c r="W13" s="296">
        <v>1192003.7</v>
      </c>
      <c r="X13" s="296">
        <v>1075642.31</v>
      </c>
      <c r="Y13" s="296">
        <v>1066124.3</v>
      </c>
      <c r="Z13" s="296">
        <v>1533897.0599999998</v>
      </c>
      <c r="AA13" s="296">
        <v>1678175.77</v>
      </c>
      <c r="AB13" s="296"/>
      <c r="AC13" s="296"/>
    </row>
    <row r="14" spans="1:48">
      <c r="C14" s="292"/>
      <c r="D14" s="292"/>
      <c r="E14" s="292"/>
      <c r="F14" s="292"/>
      <c r="G14" s="292"/>
      <c r="H14" s="292"/>
      <c r="I14" s="292"/>
      <c r="J14" s="292"/>
      <c r="K14" s="292"/>
      <c r="L14" s="292"/>
      <c r="M14" s="292"/>
      <c r="N14" s="292"/>
      <c r="O14" s="292"/>
      <c r="P14" s="292"/>
      <c r="Q14" s="292"/>
      <c r="R14" s="292"/>
      <c r="S14" s="292"/>
      <c r="T14" s="292"/>
      <c r="U14" s="292"/>
      <c r="V14" s="292"/>
      <c r="W14" s="292"/>
      <c r="X14" s="292"/>
      <c r="Y14" s="292"/>
      <c r="Z14" s="292"/>
      <c r="AA14" s="292"/>
      <c r="AB14" s="292"/>
      <c r="AC14" s="292"/>
    </row>
    <row r="15" spans="1:48" ht="13">
      <c r="A15" s="290" t="s">
        <v>586</v>
      </c>
    </row>
    <row r="16" spans="1:48">
      <c r="A16" s="282" t="str">
        <f>+A7</f>
        <v>Google Trends - WW - Cettire</v>
      </c>
      <c r="C16" s="293"/>
      <c r="D16" s="293"/>
      <c r="E16" s="293"/>
      <c r="F16" s="293"/>
      <c r="G16" s="293"/>
      <c r="H16" s="293"/>
      <c r="I16" s="293"/>
      <c r="J16" s="293"/>
      <c r="K16" s="293"/>
      <c r="L16" s="293"/>
      <c r="M16" s="293"/>
      <c r="N16" s="293"/>
      <c r="O16" s="293"/>
      <c r="P16" s="293">
        <f>+P7/D7-1</f>
        <v>1.9500000000000002</v>
      </c>
      <c r="Q16" s="293">
        <f t="shared" ref="Q16:AA22" si="1">+Q7/E7-1</f>
        <v>1.375</v>
      </c>
      <c r="R16" s="293">
        <f t="shared" si="1"/>
        <v>2.8333333333333335</v>
      </c>
      <c r="S16" s="293">
        <f t="shared" si="1"/>
        <v>1.1282051282051282</v>
      </c>
      <c r="T16" s="293">
        <f t="shared" si="1"/>
        <v>1.2391304347826089</v>
      </c>
      <c r="U16" s="293">
        <f t="shared" si="1"/>
        <v>1.6666666666666665</v>
      </c>
      <c r="V16" s="293">
        <f t="shared" si="1"/>
        <v>1.3409090909090908</v>
      </c>
      <c r="W16" s="293">
        <f t="shared" si="1"/>
        <v>1.6428571428571428</v>
      </c>
      <c r="X16" s="293">
        <f t="shared" si="1"/>
        <v>1.9375</v>
      </c>
      <c r="Y16" s="293">
        <f t="shared" si="1"/>
        <v>2.2999999999999998</v>
      </c>
      <c r="Z16" s="293">
        <f t="shared" si="1"/>
        <v>2.6483516483516483</v>
      </c>
      <c r="AA16" s="293">
        <f t="shared" si="1"/>
        <v>3.2142857142857144</v>
      </c>
    </row>
    <row r="17" spans="1:27">
      <c r="A17" s="282" t="str">
        <f t="shared" ref="A17:A22" si="2">+A8</f>
        <v>Google Trends - US - Cettire</v>
      </c>
      <c r="C17" s="293"/>
      <c r="D17" s="293"/>
      <c r="E17" s="293"/>
      <c r="F17" s="293"/>
      <c r="G17" s="293"/>
      <c r="H17" s="293"/>
      <c r="I17" s="293"/>
      <c r="J17" s="293"/>
      <c r="K17" s="293"/>
      <c r="L17" s="293"/>
      <c r="M17" s="293"/>
      <c r="N17" s="293"/>
      <c r="O17" s="293"/>
      <c r="P17" s="293">
        <f t="shared" ref="P17:P22" si="3">+P8/D8-1</f>
        <v>1.875</v>
      </c>
      <c r="Q17" s="293">
        <f t="shared" si="1"/>
        <v>1.1904761904761907</v>
      </c>
      <c r="R17" s="293">
        <f t="shared" si="1"/>
        <v>4.5454545454545459</v>
      </c>
      <c r="S17" s="293">
        <f t="shared" si="1"/>
        <v>1.1666666666666665</v>
      </c>
      <c r="T17" s="293">
        <f t="shared" si="1"/>
        <v>1.0975609756097562</v>
      </c>
      <c r="U17" s="293">
        <f t="shared" si="1"/>
        <v>1.1052631578947367</v>
      </c>
      <c r="V17" s="293">
        <f t="shared" si="1"/>
        <v>0.82222222222222219</v>
      </c>
      <c r="W17" s="293">
        <f t="shared" si="1"/>
        <v>2.03125</v>
      </c>
      <c r="X17" s="293">
        <f t="shared" si="1"/>
        <v>1.441860465116279</v>
      </c>
      <c r="Y17" s="293">
        <f t="shared" si="1"/>
        <v>1.8936170212765959</v>
      </c>
      <c r="Z17" s="293">
        <f t="shared" si="1"/>
        <v>2.1515151515151514</v>
      </c>
      <c r="AA17" s="293">
        <f t="shared" si="1"/>
        <v>2.5106382978723403</v>
      </c>
    </row>
    <row r="18" spans="1:27">
      <c r="A18" s="282" t="str">
        <f t="shared" si="2"/>
        <v>SEM Rush - WW Visits - Cettire</v>
      </c>
      <c r="C18" s="293"/>
      <c r="D18" s="293"/>
      <c r="E18" s="293"/>
      <c r="F18" s="293"/>
      <c r="G18" s="293"/>
      <c r="H18" s="293"/>
      <c r="I18" s="293"/>
      <c r="J18" s="293"/>
      <c r="K18" s="293"/>
      <c r="L18" s="293"/>
      <c r="M18" s="293"/>
      <c r="N18" s="293"/>
      <c r="O18" s="293"/>
      <c r="P18" s="293">
        <f t="shared" si="3"/>
        <v>1.8609884543704034</v>
      </c>
      <c r="Q18" s="293">
        <f t="shared" si="1"/>
        <v>1.8736627211829142</v>
      </c>
      <c r="R18" s="293">
        <f t="shared" si="1"/>
        <v>1.9642741149723935</v>
      </c>
      <c r="S18" s="293">
        <f t="shared" si="1"/>
        <v>5.6858445320868638</v>
      </c>
      <c r="T18" s="293">
        <f t="shared" si="1"/>
        <v>3.9076195071836617</v>
      </c>
      <c r="U18" s="293">
        <f t="shared" si="1"/>
        <v>2.2716586604778684</v>
      </c>
      <c r="V18" s="293">
        <f t="shared" si="1"/>
        <v>2.0952598744481659</v>
      </c>
      <c r="W18" s="293">
        <f t="shared" si="1"/>
        <v>1.8850257910898423</v>
      </c>
      <c r="X18" s="293">
        <f t="shared" si="1"/>
        <v>2.5070503353495068</v>
      </c>
      <c r="Y18" s="293">
        <f t="shared" si="1"/>
        <v>4.0747222854109797</v>
      </c>
      <c r="Z18" s="293">
        <f t="shared" si="1"/>
        <v>2.9900467060172011</v>
      </c>
      <c r="AA18" s="293">
        <f t="shared" si="1"/>
        <v>2.5225853743137265</v>
      </c>
    </row>
    <row r="19" spans="1:27">
      <c r="A19" s="282" t="str">
        <f t="shared" si="2"/>
        <v>SEM Rush - WW UVs - Cettire</v>
      </c>
      <c r="C19" s="293"/>
      <c r="D19" s="293"/>
      <c r="E19" s="293"/>
      <c r="F19" s="293"/>
      <c r="G19" s="293"/>
      <c r="H19" s="293"/>
      <c r="I19" s="293"/>
      <c r="J19" s="293"/>
      <c r="K19" s="293"/>
      <c r="L19" s="293"/>
      <c r="M19" s="293"/>
      <c r="N19" s="293"/>
      <c r="O19" s="293"/>
      <c r="P19" s="293">
        <f t="shared" si="3"/>
        <v>1.202417731742023</v>
      </c>
      <c r="Q19" s="293">
        <f t="shared" si="1"/>
        <v>0.96456482761452444</v>
      </c>
      <c r="R19" s="293">
        <f t="shared" si="1"/>
        <v>1.3466737208587909</v>
      </c>
      <c r="S19" s="293">
        <f t="shared" si="1"/>
        <v>4.1013562228414431</v>
      </c>
      <c r="T19" s="293">
        <f t="shared" si="1"/>
        <v>2.3608625470334479</v>
      </c>
      <c r="U19" s="293">
        <f t="shared" si="1"/>
        <v>1.747624043125565</v>
      </c>
      <c r="V19" s="293">
        <f t="shared" si="1"/>
        <v>2.0321038439693631</v>
      </c>
      <c r="W19" s="293">
        <f t="shared" si="1"/>
        <v>2.1214963458891822</v>
      </c>
      <c r="X19" s="293">
        <f t="shared" si="1"/>
        <v>2.1934333446035135</v>
      </c>
      <c r="Y19" s="293">
        <f t="shared" si="1"/>
        <v>3.6646127046884542</v>
      </c>
      <c r="Z19" s="293">
        <f t="shared" si="1"/>
        <v>4.1366194045197995</v>
      </c>
      <c r="AA19" s="293">
        <f t="shared" si="1"/>
        <v>3.6738264817992681</v>
      </c>
    </row>
    <row r="20" spans="1:27">
      <c r="A20" s="282" t="str">
        <f t="shared" si="2"/>
        <v>CE - Cettire US Spend</v>
      </c>
      <c r="C20" s="293"/>
      <c r="D20" s="293"/>
      <c r="E20" s="293"/>
      <c r="F20" s="293"/>
      <c r="G20" s="293"/>
      <c r="H20" s="293"/>
      <c r="I20" s="293"/>
      <c r="J20" s="293"/>
      <c r="K20" s="293"/>
      <c r="L20" s="293"/>
      <c r="M20" s="293"/>
      <c r="N20" s="293"/>
      <c r="O20" s="293"/>
      <c r="P20" s="293">
        <f t="shared" si="3"/>
        <v>2.5480326187195557</v>
      </c>
      <c r="Q20" s="293">
        <f t="shared" si="1"/>
        <v>3.5675639386989317</v>
      </c>
      <c r="R20" s="293">
        <f t="shared" si="1"/>
        <v>2.2375338432910254</v>
      </c>
      <c r="S20" s="293">
        <f t="shared" si="1"/>
        <v>1.6824958407742736</v>
      </c>
      <c r="T20" s="293">
        <f t="shared" si="1"/>
        <v>2.4069245388525391</v>
      </c>
      <c r="U20" s="293">
        <f t="shared" si="1"/>
        <v>1.8013328703950369</v>
      </c>
      <c r="V20" s="293">
        <f t="shared" si="1"/>
        <v>0.69896865620156445</v>
      </c>
      <c r="W20" s="293">
        <f t="shared" si="1"/>
        <v>1.2057502481920337</v>
      </c>
      <c r="X20" s="293">
        <f t="shared" si="1"/>
        <v>1.1664257872183836</v>
      </c>
      <c r="Y20" s="293">
        <f t="shared" si="1"/>
        <v>0.95317956488900202</v>
      </c>
      <c r="Z20" s="293">
        <f t="shared" si="1"/>
        <v>1.4795776783966534</v>
      </c>
      <c r="AA20" s="293">
        <f t="shared" si="1"/>
        <v>1.6277634693819811</v>
      </c>
    </row>
    <row r="21" spans="1:27" s="294" customFormat="1">
      <c r="A21" s="294" t="str">
        <f t="shared" si="2"/>
        <v>CE - Farfetch US Spend</v>
      </c>
      <c r="C21" s="295"/>
      <c r="D21" s="295"/>
      <c r="E21" s="295"/>
      <c r="F21" s="295"/>
      <c r="G21" s="295"/>
      <c r="H21" s="295"/>
      <c r="I21" s="295"/>
      <c r="J21" s="295"/>
      <c r="K21" s="295"/>
      <c r="L21" s="295"/>
      <c r="M21" s="295"/>
      <c r="N21" s="295"/>
      <c r="O21" s="295"/>
      <c r="P21" s="295">
        <f t="shared" si="3"/>
        <v>0.39642655116373171</v>
      </c>
      <c r="Q21" s="295">
        <f t="shared" si="1"/>
        <v>0.35640663597944999</v>
      </c>
      <c r="R21" s="295">
        <f t="shared" si="1"/>
        <v>0.74793358769303908</v>
      </c>
      <c r="S21" s="295">
        <f t="shared" si="1"/>
        <v>1.073655458147396</v>
      </c>
      <c r="T21" s="295">
        <f t="shared" si="1"/>
        <v>0.67339348162935186</v>
      </c>
      <c r="U21" s="295">
        <f t="shared" si="1"/>
        <v>0.66208070114749518</v>
      </c>
      <c r="V21" s="295">
        <f t="shared" si="1"/>
        <v>0.37929337381442862</v>
      </c>
      <c r="W21" s="295">
        <f t="shared" si="1"/>
        <v>0.24246914510924844</v>
      </c>
      <c r="X21" s="295">
        <f t="shared" si="1"/>
        <v>0.44556309066515398</v>
      </c>
      <c r="Y21" s="295">
        <f t="shared" si="1"/>
        <v>0.16585730620147965</v>
      </c>
      <c r="Z21" s="295">
        <f t="shared" si="1"/>
        <v>0.23654191799641544</v>
      </c>
      <c r="AA21" s="295">
        <f t="shared" si="1"/>
        <v>0.362357191199562</v>
      </c>
    </row>
    <row r="22" spans="1:27" s="294" customFormat="1">
      <c r="A22" s="294" t="str">
        <f t="shared" si="2"/>
        <v>CE - MyTheresa US Spend</v>
      </c>
      <c r="C22" s="295"/>
      <c r="D22" s="295"/>
      <c r="E22" s="295"/>
      <c r="F22" s="295"/>
      <c r="G22" s="295"/>
      <c r="H22" s="295"/>
      <c r="I22" s="295"/>
      <c r="J22" s="295"/>
      <c r="K22" s="295"/>
      <c r="L22" s="295"/>
      <c r="M22" s="295"/>
      <c r="N22" s="295"/>
      <c r="O22" s="295"/>
      <c r="P22" s="295">
        <f t="shared" si="3"/>
        <v>0.43636381887544307</v>
      </c>
      <c r="Q22" s="295">
        <f t="shared" si="1"/>
        <v>0.65588154337826321</v>
      </c>
      <c r="R22" s="295">
        <f t="shared" si="1"/>
        <v>1.7855173895356238</v>
      </c>
      <c r="S22" s="295">
        <f t="shared" si="1"/>
        <v>2.8597570126836156</v>
      </c>
      <c r="T22" s="295">
        <f t="shared" si="1"/>
        <v>2.3644616214320004</v>
      </c>
      <c r="U22" s="295">
        <f t="shared" si="1"/>
        <v>1.0407817761832132</v>
      </c>
      <c r="V22" s="295">
        <f t="shared" si="1"/>
        <v>1.2987751075920277</v>
      </c>
      <c r="W22" s="295">
        <f t="shared" si="1"/>
        <v>0.80019789429452004</v>
      </c>
      <c r="X22" s="295">
        <f t="shared" si="1"/>
        <v>0.67164009245254519</v>
      </c>
      <c r="Y22" s="295">
        <f t="shared" si="1"/>
        <v>0.3934131160590737</v>
      </c>
      <c r="Z22" s="295">
        <f t="shared" si="1"/>
        <v>1.0050145721010448</v>
      </c>
      <c r="AA22" s="295">
        <f t="shared" si="1"/>
        <v>0.7989791058884721</v>
      </c>
    </row>
    <row r="24" spans="1:27" ht="13">
      <c r="A24" s="290" t="s">
        <v>608</v>
      </c>
    </row>
    <row r="25" spans="1:27">
      <c r="A25" s="282" t="str">
        <f>+A16</f>
        <v>Google Trends - WW - Cettire</v>
      </c>
      <c r="D25" s="293"/>
      <c r="E25" s="293"/>
      <c r="F25" s="293"/>
      <c r="G25" s="293"/>
      <c r="H25" s="293"/>
      <c r="I25" s="293"/>
      <c r="J25" s="293"/>
      <c r="K25" s="293"/>
      <c r="L25" s="293"/>
      <c r="M25" s="293"/>
      <c r="N25" s="293"/>
      <c r="O25" s="293"/>
      <c r="P25" s="293">
        <f>+P7/O7-1</f>
        <v>-0.15714285714285714</v>
      </c>
      <c r="Q25" s="293">
        <f t="shared" ref="Q25:AA31" si="4">+Q7/P7-1</f>
        <v>-3.3898305084745783E-2</v>
      </c>
      <c r="R25" s="293">
        <f t="shared" si="4"/>
        <v>0.21052631578947367</v>
      </c>
      <c r="S25" s="293">
        <f t="shared" si="4"/>
        <v>0.20289855072463769</v>
      </c>
      <c r="T25" s="293">
        <f t="shared" si="4"/>
        <v>0.24096385542168686</v>
      </c>
      <c r="U25" s="293">
        <f t="shared" si="4"/>
        <v>-6.7961165048543659E-2</v>
      </c>
      <c r="V25" s="293">
        <f t="shared" si="4"/>
        <v>7.2916666666666741E-2</v>
      </c>
      <c r="W25" s="293">
        <f t="shared" si="4"/>
        <v>7.7669902912621325E-2</v>
      </c>
      <c r="X25" s="293">
        <f t="shared" si="4"/>
        <v>0.27027027027027017</v>
      </c>
      <c r="Y25" s="293">
        <f t="shared" si="4"/>
        <v>0.4042553191489362</v>
      </c>
      <c r="Z25" s="293">
        <f t="shared" si="4"/>
        <v>0.67676767676767668</v>
      </c>
      <c r="AA25" s="293">
        <f t="shared" si="4"/>
        <v>-0.11144578313253017</v>
      </c>
    </row>
    <row r="26" spans="1:27">
      <c r="A26" s="282" t="str">
        <f t="shared" ref="A26:A31" si="5">+A17</f>
        <v>Google Trends - US - Cettire</v>
      </c>
      <c r="D26" s="293"/>
      <c r="E26" s="293"/>
      <c r="F26" s="293"/>
      <c r="G26" s="293"/>
      <c r="H26" s="293"/>
      <c r="I26" s="293"/>
      <c r="J26" s="293"/>
      <c r="K26" s="293"/>
      <c r="L26" s="293"/>
      <c r="M26" s="293"/>
      <c r="N26" s="293"/>
      <c r="O26" s="293"/>
      <c r="P26" s="293">
        <f t="shared" ref="P26:AA31" si="6">+P8/O8-1</f>
        <v>-2.1276595744680882E-2</v>
      </c>
      <c r="Q26" s="293">
        <f t="shared" si="6"/>
        <v>0</v>
      </c>
      <c r="R26" s="293">
        <f t="shared" si="6"/>
        <v>0.32608695652173902</v>
      </c>
      <c r="S26" s="293">
        <f t="shared" si="6"/>
        <v>0.27868852459016402</v>
      </c>
      <c r="T26" s="293">
        <f t="shared" si="6"/>
        <v>0.10256410256410264</v>
      </c>
      <c r="U26" s="293">
        <f t="shared" si="6"/>
        <v>-6.9767441860465129E-2</v>
      </c>
      <c r="V26" s="293">
        <f t="shared" si="6"/>
        <v>2.4999999999999911E-2</v>
      </c>
      <c r="W26" s="293">
        <f t="shared" si="6"/>
        <v>0.18292682926829262</v>
      </c>
      <c r="X26" s="293">
        <f t="shared" si="6"/>
        <v>8.247422680412364E-2</v>
      </c>
      <c r="Y26" s="293">
        <f t="shared" si="6"/>
        <v>0.2952380952380953</v>
      </c>
      <c r="Z26" s="293">
        <f t="shared" si="6"/>
        <v>0.52941176470588225</v>
      </c>
      <c r="AA26" s="293">
        <f t="shared" si="6"/>
        <v>-0.20673076923076927</v>
      </c>
    </row>
    <row r="27" spans="1:27">
      <c r="A27" s="282" t="str">
        <f t="shared" si="5"/>
        <v>SEM Rush - WW Visits - Cettire</v>
      </c>
      <c r="D27" s="293"/>
      <c r="E27" s="293"/>
      <c r="F27" s="293"/>
      <c r="G27" s="293"/>
      <c r="H27" s="293"/>
      <c r="I27" s="293"/>
      <c r="J27" s="293"/>
      <c r="K27" s="293"/>
      <c r="L27" s="293"/>
      <c r="M27" s="293"/>
      <c r="N27" s="293"/>
      <c r="O27" s="293"/>
      <c r="P27" s="293">
        <f t="shared" si="6"/>
        <v>2.5499834698201607E-3</v>
      </c>
      <c r="Q27" s="293">
        <f t="shared" si="4"/>
        <v>-0.25616345418325615</v>
      </c>
      <c r="R27" s="293">
        <f t="shared" si="4"/>
        <v>7.7892889328178061E-2</v>
      </c>
      <c r="S27" s="293">
        <f t="shared" si="4"/>
        <v>0.85166749542776721</v>
      </c>
      <c r="T27" s="293">
        <f t="shared" si="4"/>
        <v>0.43503433283781412</v>
      </c>
      <c r="U27" s="293">
        <f t="shared" si="4"/>
        <v>-0.27028402037298882</v>
      </c>
      <c r="V27" s="293">
        <f t="shared" si="4"/>
        <v>-3.5151804924695162E-2</v>
      </c>
      <c r="W27" s="293">
        <f t="shared" si="4"/>
        <v>0.11570166025611561</v>
      </c>
      <c r="X27" s="293">
        <f t="shared" si="4"/>
        <v>0.20430427075720448</v>
      </c>
      <c r="Y27" s="293">
        <f t="shared" si="4"/>
        <v>0.43607573546767386</v>
      </c>
      <c r="Z27" s="293">
        <f t="shared" si="4"/>
        <v>0.43364630601032683</v>
      </c>
      <c r="AA27" s="293">
        <f t="shared" si="4"/>
        <v>-0.15323955148605173</v>
      </c>
    </row>
    <row r="28" spans="1:27">
      <c r="A28" s="282" t="str">
        <f t="shared" si="5"/>
        <v>SEM Rush - WW UVs - Cettire</v>
      </c>
      <c r="D28" s="293"/>
      <c r="E28" s="293"/>
      <c r="F28" s="293"/>
      <c r="G28" s="293"/>
      <c r="H28" s="293"/>
      <c r="I28" s="293"/>
      <c r="J28" s="293"/>
      <c r="K28" s="293"/>
      <c r="L28" s="293"/>
      <c r="M28" s="293"/>
      <c r="N28" s="293"/>
      <c r="O28" s="293"/>
      <c r="P28" s="293">
        <f t="shared" si="6"/>
        <v>4.362404896050065E-2</v>
      </c>
      <c r="Q28" s="293">
        <f t="shared" si="4"/>
        <v>-0.16453051151311959</v>
      </c>
      <c r="R28" s="293">
        <f t="shared" si="4"/>
        <v>-4.2051875126274063E-2</v>
      </c>
      <c r="S28" s="293">
        <f t="shared" si="4"/>
        <v>0.90396069846764759</v>
      </c>
      <c r="T28" s="293">
        <f t="shared" si="4"/>
        <v>0.14126430261672707</v>
      </c>
      <c r="U28" s="293">
        <f t="shared" si="4"/>
        <v>-0.11461983606612247</v>
      </c>
      <c r="V28" s="293">
        <f t="shared" si="4"/>
        <v>3.9320236038603795E-2</v>
      </c>
      <c r="W28" s="293">
        <f t="shared" si="4"/>
        <v>0.24982132107829313</v>
      </c>
      <c r="X28" s="293">
        <f t="shared" si="4"/>
        <v>3.2783402547589269E-3</v>
      </c>
      <c r="Y28" s="293">
        <f t="shared" si="4"/>
        <v>0.87196497126140882</v>
      </c>
      <c r="Z28" s="293">
        <f t="shared" si="4"/>
        <v>0.39331124201307355</v>
      </c>
      <c r="AA28" s="293">
        <f t="shared" si="4"/>
        <v>-0.14430831356058971</v>
      </c>
    </row>
    <row r="29" spans="1:27">
      <c r="A29" s="282" t="str">
        <f t="shared" si="5"/>
        <v>CE - Cettire US Spend</v>
      </c>
      <c r="B29" s="293"/>
      <c r="C29" s="293"/>
      <c r="D29" s="293"/>
      <c r="E29" s="293"/>
      <c r="F29" s="293"/>
      <c r="G29" s="293"/>
      <c r="H29" s="293"/>
      <c r="I29" s="293"/>
      <c r="J29" s="293"/>
      <c r="K29" s="293"/>
      <c r="L29" s="293"/>
      <c r="M29" s="293"/>
      <c r="N29" s="293"/>
      <c r="O29" s="293"/>
      <c r="P29" s="293">
        <f t="shared" si="6"/>
        <v>-0.30422790975038072</v>
      </c>
      <c r="Q29" s="293">
        <f t="shared" si="4"/>
        <v>0.27515490993661262</v>
      </c>
      <c r="R29" s="293">
        <f t="shared" si="4"/>
        <v>0.3993119672281622</v>
      </c>
      <c r="S29" s="293">
        <f t="shared" si="4"/>
        <v>-0.12649351025305411</v>
      </c>
      <c r="T29" s="293">
        <f t="shared" si="4"/>
        <v>0.38378942895422896</v>
      </c>
      <c r="U29" s="293">
        <f t="shared" si="4"/>
        <v>-7.3796749324669397E-2</v>
      </c>
      <c r="V29" s="293">
        <f t="shared" si="4"/>
        <v>-0.1445255588614266</v>
      </c>
      <c r="W29" s="293">
        <f t="shared" si="4"/>
        <v>0.4964170564813728</v>
      </c>
      <c r="X29" s="293">
        <f t="shared" si="4"/>
        <v>-9.8583440920503529E-2</v>
      </c>
      <c r="Y29" s="293">
        <f t="shared" si="4"/>
        <v>0.30396191169472409</v>
      </c>
      <c r="Z29" s="293">
        <f t="shared" si="4"/>
        <v>0.57353645734296288</v>
      </c>
      <c r="AA29" s="293">
        <f t="shared" si="4"/>
        <v>-0.20150465248227567</v>
      </c>
    </row>
    <row r="30" spans="1:27" s="294" customFormat="1">
      <c r="A30" s="294" t="str">
        <f t="shared" si="5"/>
        <v>CE - Farfetch US Spend</v>
      </c>
      <c r="B30" s="295"/>
      <c r="C30" s="295"/>
      <c r="D30" s="295"/>
      <c r="E30" s="295"/>
      <c r="F30" s="295"/>
      <c r="G30" s="295"/>
      <c r="H30" s="295"/>
      <c r="I30" s="295"/>
      <c r="J30" s="295"/>
      <c r="K30" s="295"/>
      <c r="L30" s="295"/>
      <c r="M30" s="295"/>
      <c r="N30" s="295"/>
      <c r="O30" s="295"/>
      <c r="P30" s="295">
        <f t="shared" si="6"/>
        <v>-0.13304254390247594</v>
      </c>
      <c r="Q30" s="295">
        <f t="shared" si="4"/>
        <v>-0.15533505117498603</v>
      </c>
      <c r="R30" s="295">
        <f t="shared" si="4"/>
        <v>0.32021773877114468</v>
      </c>
      <c r="S30" s="295">
        <f t="shared" si="4"/>
        <v>6.8429912234057033E-2</v>
      </c>
      <c r="T30" s="295">
        <f t="shared" si="4"/>
        <v>0.2203063828499614</v>
      </c>
      <c r="U30" s="295">
        <f t="shared" si="4"/>
        <v>-4.0371956910810081E-2</v>
      </c>
      <c r="V30" s="295">
        <f t="shared" si="4"/>
        <v>-6.0584705677108275E-2</v>
      </c>
      <c r="W30" s="295">
        <f t="shared" si="4"/>
        <v>-5.952022070095675E-2</v>
      </c>
      <c r="X30" s="295">
        <f t="shared" si="4"/>
        <v>0.12983190958767676</v>
      </c>
      <c r="Y30" s="295">
        <f t="shared" si="4"/>
        <v>-0.20729438941350919</v>
      </c>
      <c r="Z30" s="295">
        <f t="shared" si="4"/>
        <v>0.33728049319741715</v>
      </c>
      <c r="AA30" s="295">
        <f t="shared" si="4"/>
        <v>6.4363437220208208E-2</v>
      </c>
    </row>
    <row r="31" spans="1:27" s="294" customFormat="1">
      <c r="A31" s="294" t="str">
        <f t="shared" si="5"/>
        <v>CE - MyTheresa US Spend</v>
      </c>
      <c r="B31" s="295"/>
      <c r="C31" s="295"/>
      <c r="D31" s="295"/>
      <c r="E31" s="295"/>
      <c r="F31" s="295"/>
      <c r="G31" s="295"/>
      <c r="H31" s="295"/>
      <c r="I31" s="295"/>
      <c r="J31" s="295"/>
      <c r="K31" s="295"/>
      <c r="L31" s="295"/>
      <c r="M31" s="295"/>
      <c r="N31" s="295"/>
      <c r="O31" s="295"/>
      <c r="P31" s="295">
        <f t="shared" si="6"/>
        <v>5.0727376602610841E-2</v>
      </c>
      <c r="Q31" s="295">
        <f t="shared" si="4"/>
        <v>-0.11041669070586579</v>
      </c>
      <c r="R31" s="295">
        <f t="shared" si="4"/>
        <v>0.3325581983983561</v>
      </c>
      <c r="S31" s="295">
        <f t="shared" si="4"/>
        <v>1.6620998649349739E-2</v>
      </c>
      <c r="T31" s="295">
        <f t="shared" si="4"/>
        <v>8.6374950949297924E-2</v>
      </c>
      <c r="U31" s="295">
        <f t="shared" si="4"/>
        <v>-8.7114252074833032E-2</v>
      </c>
      <c r="V31" s="295">
        <f t="shared" si="4"/>
        <v>0.25043446655710166</v>
      </c>
      <c r="W31" s="295">
        <f t="shared" si="4"/>
        <v>-0.18625705759384326</v>
      </c>
      <c r="X31" s="295">
        <f t="shared" si="4"/>
        <v>-9.7618312761948545E-2</v>
      </c>
      <c r="Y31" s="295">
        <f t="shared" si="4"/>
        <v>-8.8486757275287875E-3</v>
      </c>
      <c r="Z31" s="295">
        <f t="shared" si="4"/>
        <v>0.4387600582783826</v>
      </c>
      <c r="AA31" s="295">
        <f t="shared" si="4"/>
        <v>9.4060229830546849E-2</v>
      </c>
    </row>
    <row r="33" spans="1:36" ht="14.5">
      <c r="B33" s="44"/>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row>
    <row r="34" spans="1:36" ht="16">
      <c r="B34" s="152"/>
      <c r="C34" s="152"/>
      <c r="D34" s="152"/>
      <c r="E34" s="152"/>
      <c r="F34" s="152"/>
      <c r="G34" s="152"/>
      <c r="H34" s="152"/>
      <c r="I34" s="152"/>
      <c r="J34" s="152"/>
      <c r="K34" s="152"/>
      <c r="L34" s="152"/>
      <c r="M34" s="152"/>
      <c r="N34" s="152"/>
      <c r="O34" s="152"/>
      <c r="P34" s="152">
        <f>+AA5+31</f>
        <v>44575</v>
      </c>
      <c r="Q34" s="152">
        <f t="shared" ref="Q34:AA34" si="7">+P34+31</f>
        <v>44606</v>
      </c>
      <c r="R34" s="152">
        <f t="shared" si="7"/>
        <v>44637</v>
      </c>
      <c r="S34" s="152">
        <f t="shared" si="7"/>
        <v>44668</v>
      </c>
      <c r="T34" s="152">
        <f t="shared" si="7"/>
        <v>44699</v>
      </c>
      <c r="U34" s="152">
        <f t="shared" si="7"/>
        <v>44730</v>
      </c>
      <c r="V34" s="152">
        <f t="shared" si="7"/>
        <v>44761</v>
      </c>
      <c r="W34" s="152">
        <f t="shared" si="7"/>
        <v>44792</v>
      </c>
      <c r="X34" s="152">
        <f t="shared" si="7"/>
        <v>44823</v>
      </c>
      <c r="Y34" s="152">
        <f t="shared" si="7"/>
        <v>44854</v>
      </c>
      <c r="Z34" s="152">
        <f t="shared" si="7"/>
        <v>44885</v>
      </c>
      <c r="AA34" s="152">
        <f t="shared" si="7"/>
        <v>44916</v>
      </c>
    </row>
    <row r="35" spans="1:36" ht="13">
      <c r="A35" s="290" t="s">
        <v>572</v>
      </c>
    </row>
    <row r="36" spans="1:36">
      <c r="A36" s="282" t="s">
        <v>575</v>
      </c>
      <c r="B36" s="292"/>
      <c r="C36" s="292"/>
      <c r="D36" s="292"/>
      <c r="E36" s="292"/>
      <c r="F36" s="292"/>
      <c r="G36" s="292"/>
      <c r="H36" s="292"/>
      <c r="I36" s="292"/>
      <c r="J36" s="292"/>
      <c r="K36" s="292"/>
      <c r="L36" s="292"/>
      <c r="M36" s="292"/>
      <c r="N36" s="292"/>
      <c r="O36" s="292"/>
      <c r="P36" s="292">
        <f>+'Google Trends Raw'!AE12</f>
        <v>253</v>
      </c>
      <c r="Q36" s="292">
        <f>+'Google Trends Raw'!AF12</f>
        <v>234</v>
      </c>
      <c r="R36" s="292">
        <f>+'Google Trends Raw'!AG12</f>
        <v>209</v>
      </c>
      <c r="S36" s="292">
        <f>+'Google Trends Raw'!AH12</f>
        <v>177</v>
      </c>
      <c r="T36" s="292">
        <f>+'Google Trends Raw'!AI12</f>
        <v>165</v>
      </c>
      <c r="U36" s="292">
        <f>+'Google Trends Raw'!AJ12</f>
        <v>144</v>
      </c>
      <c r="V36" s="292">
        <f>+'Google Trends Raw'!AK12</f>
        <v>151</v>
      </c>
      <c r="W36" s="292">
        <f>+'Google Trends Raw'!AL12</f>
        <v>192</v>
      </c>
      <c r="X36" s="292">
        <f>+'Google Trends Raw'!AM12</f>
        <v>205</v>
      </c>
      <c r="Y36" s="292">
        <f>+'Google Trends Raw'!AN12</f>
        <v>233</v>
      </c>
      <c r="Z36" s="292">
        <f>+'Google Trends Raw'!AO12</f>
        <v>324</v>
      </c>
      <c r="AA36" s="292">
        <f>+'Google Trends Raw'!AP12</f>
        <v>282</v>
      </c>
      <c r="AB36" s="292"/>
      <c r="AC36" s="292"/>
      <c r="AD36" s="292"/>
      <c r="AE36" s="292"/>
    </row>
    <row r="37" spans="1:36">
      <c r="A37" s="282" t="s">
        <v>576</v>
      </c>
      <c r="B37" s="292"/>
      <c r="C37" s="292"/>
      <c r="D37" s="292"/>
      <c r="E37" s="292"/>
      <c r="F37" s="292"/>
      <c r="G37" s="292"/>
      <c r="H37" s="292"/>
      <c r="I37" s="292"/>
      <c r="J37" s="292"/>
      <c r="K37" s="292"/>
      <c r="L37" s="292"/>
      <c r="M37" s="292"/>
      <c r="N37" s="292"/>
      <c r="O37" s="292"/>
      <c r="P37" s="292">
        <f>+'Google Trends Raw'!AE13</f>
        <v>175</v>
      </c>
      <c r="Q37" s="292">
        <f>+'Google Trends Raw'!AF13</f>
        <v>162</v>
      </c>
      <c r="R37" s="292">
        <f>+'Google Trends Raw'!AG13</f>
        <v>137</v>
      </c>
      <c r="S37" s="292">
        <f>+'Google Trends Raw'!AH13</f>
        <v>111</v>
      </c>
      <c r="T37" s="292">
        <f>+'Google Trends Raw'!AI13</f>
        <v>114</v>
      </c>
      <c r="U37" s="292">
        <f>+'Google Trends Raw'!AJ13</f>
        <v>91</v>
      </c>
      <c r="V37" s="292">
        <f>+'Google Trends Raw'!AK13</f>
        <v>96</v>
      </c>
      <c r="W37" s="292">
        <f>+'Google Trends Raw'!AL13</f>
        <v>163</v>
      </c>
      <c r="X37" s="292">
        <f>+'Google Trends Raw'!AM13</f>
        <v>177</v>
      </c>
      <c r="Y37" s="292">
        <f>+'Google Trends Raw'!AN13</f>
        <v>212</v>
      </c>
      <c r="Z37" s="292">
        <f>+'Google Trends Raw'!AO13</f>
        <v>323</v>
      </c>
      <c r="AA37" s="292">
        <f>+'Google Trends Raw'!AP13</f>
        <v>267</v>
      </c>
      <c r="AB37" s="292"/>
      <c r="AC37" s="292"/>
      <c r="AD37" s="292"/>
      <c r="AE37" s="292"/>
    </row>
    <row r="38" spans="1:36">
      <c r="A38" s="282" t="s">
        <v>577</v>
      </c>
      <c r="B38" s="292"/>
      <c r="C38" s="292"/>
      <c r="D38" s="292"/>
      <c r="E38" s="292"/>
      <c r="F38" s="292"/>
      <c r="G38" s="292"/>
      <c r="H38" s="292"/>
      <c r="I38" s="292"/>
      <c r="J38" s="292"/>
      <c r="K38" s="292"/>
      <c r="L38" s="292"/>
      <c r="M38" s="292"/>
      <c r="N38" s="292"/>
      <c r="O38" s="292"/>
      <c r="P38" s="292">
        <f>+'SEM Rush Raw'!AJ13</f>
        <v>1977663</v>
      </c>
      <c r="Q38" s="292">
        <f>+'SEM Rush Raw'!AK13</f>
        <v>1325840</v>
      </c>
      <c r="R38" s="292">
        <f>+'SEM Rush Raw'!AL13</f>
        <v>829510</v>
      </c>
      <c r="S38" s="292">
        <f>+'SEM Rush Raw'!AM13</f>
        <v>762965</v>
      </c>
      <c r="T38" s="292">
        <f>+'SEM Rush Raw'!AN13</f>
        <v>1094569</v>
      </c>
      <c r="U38" s="292">
        <f>+'SEM Rush Raw'!AO13</f>
        <v>1118643</v>
      </c>
      <c r="V38" s="292">
        <f>+'SEM Rush Raw'!AP13</f>
        <v>1023376</v>
      </c>
      <c r="W38" s="292">
        <f>+'SEM Rush Raw'!AQ13</f>
        <v>1256422</v>
      </c>
      <c r="X38" s="292">
        <f>+'SEM Rush Raw'!AR13</f>
        <v>1156401</v>
      </c>
      <c r="Y38" s="292">
        <f>+'SEM Rush Raw'!AS13</f>
        <v>1322133</v>
      </c>
      <c r="Z38" s="292">
        <f>+'SEM Rush Raw'!AT13</f>
        <v>1698506</v>
      </c>
      <c r="AA38" s="292">
        <f>+'SEM Rush Raw'!AU13</f>
        <v>1665458</v>
      </c>
      <c r="AB38" s="292"/>
      <c r="AC38" s="292"/>
      <c r="AD38" s="292"/>
      <c r="AE38" s="292"/>
    </row>
    <row r="39" spans="1:36">
      <c r="A39" s="282" t="s">
        <v>578</v>
      </c>
      <c r="B39" s="292"/>
      <c r="C39" s="292"/>
      <c r="D39" s="292"/>
      <c r="E39" s="292"/>
      <c r="F39" s="292"/>
      <c r="G39" s="292"/>
      <c r="H39" s="292"/>
      <c r="I39" s="292"/>
      <c r="J39" s="292"/>
      <c r="K39" s="292"/>
      <c r="L39" s="292"/>
      <c r="M39" s="292"/>
      <c r="N39" s="292"/>
      <c r="O39" s="292"/>
      <c r="P39" s="292">
        <f>+'SEM Rush Raw'!AJ14</f>
        <v>1208567</v>
      </c>
      <c r="Q39" s="292">
        <f>+'SEM Rush Raw'!AK14</f>
        <v>769691</v>
      </c>
      <c r="R39" s="292">
        <f>+'SEM Rush Raw'!AL14</f>
        <v>534413</v>
      </c>
      <c r="S39" s="292">
        <f>+'SEM Rush Raw'!AM14</f>
        <v>533135</v>
      </c>
      <c r="T39" s="292">
        <f>+'SEM Rush Raw'!AN14</f>
        <v>689533</v>
      </c>
      <c r="U39" s="292">
        <f>+'SEM Rush Raw'!AO14</f>
        <v>656666</v>
      </c>
      <c r="V39" s="292">
        <f>+'SEM Rush Raw'!AP14</f>
        <v>622571</v>
      </c>
      <c r="W39" s="292">
        <f>+'SEM Rush Raw'!AQ14</f>
        <v>610538</v>
      </c>
      <c r="X39" s="292">
        <f>+'SEM Rush Raw'!AR14</f>
        <v>558954</v>
      </c>
      <c r="Y39" s="292">
        <f>+'SEM Rush Raw'!AS14</f>
        <v>678741</v>
      </c>
      <c r="Z39" s="292">
        <f>+'SEM Rush Raw'!AT14</f>
        <v>831136</v>
      </c>
      <c r="AA39" s="292">
        <f>+'SEM Rush Raw'!AU14</f>
        <v>934898</v>
      </c>
      <c r="AB39" s="292"/>
      <c r="AC39" s="292"/>
      <c r="AD39" s="292"/>
      <c r="AE39" s="292"/>
    </row>
    <row r="40" spans="1:36">
      <c r="A40" s="282" t="s">
        <v>579</v>
      </c>
      <c r="C40" s="292"/>
      <c r="D40" s="292"/>
      <c r="E40" s="292"/>
      <c r="F40" s="292"/>
      <c r="G40" s="292"/>
      <c r="H40" s="292"/>
      <c r="I40" s="292"/>
      <c r="J40" s="292"/>
      <c r="K40" s="292"/>
      <c r="L40" s="292"/>
      <c r="M40" s="292"/>
      <c r="N40" s="292"/>
      <c r="O40" s="292"/>
      <c r="P40" s="292">
        <v>851854.64999999991</v>
      </c>
      <c r="Q40" s="292">
        <v>713308.83000000007</v>
      </c>
      <c r="R40" s="292">
        <v>648617.12</v>
      </c>
      <c r="S40" s="292">
        <v>523194.83999999997</v>
      </c>
      <c r="T40" s="292">
        <v>675352.59</v>
      </c>
      <c r="U40" s="292">
        <v>528031.81000000006</v>
      </c>
      <c r="V40" s="292">
        <v>572077.54</v>
      </c>
      <c r="W40" s="292">
        <v>820375.07000000007</v>
      </c>
      <c r="X40" s="292">
        <v>1025533.69</v>
      </c>
      <c r="Y40" s="292">
        <v>1384978.75</v>
      </c>
      <c r="Z40" s="292">
        <v>1630014.7</v>
      </c>
      <c r="AA40" s="292">
        <v>1316212.26</v>
      </c>
      <c r="AB40" s="292"/>
      <c r="AC40" s="292"/>
      <c r="AD40" s="292"/>
      <c r="AE40" s="292"/>
    </row>
    <row r="41" spans="1:36">
      <c r="A41" s="294" t="s">
        <v>606</v>
      </c>
      <c r="B41" s="294"/>
      <c r="C41" s="296"/>
      <c r="D41" s="296"/>
      <c r="E41" s="296"/>
      <c r="F41" s="296"/>
      <c r="G41" s="296"/>
      <c r="H41" s="296"/>
      <c r="I41" s="296"/>
      <c r="J41" s="296"/>
      <c r="K41" s="296"/>
      <c r="L41" s="296"/>
      <c r="M41" s="296"/>
      <c r="N41" s="296"/>
      <c r="O41" s="296"/>
      <c r="P41" s="296">
        <v>5835736.6200000001</v>
      </c>
      <c r="Q41" s="296">
        <v>4769838.03</v>
      </c>
      <c r="R41" s="296">
        <v>5902906.29</v>
      </c>
      <c r="S41" s="296">
        <v>5676279.25</v>
      </c>
      <c r="T41" s="296">
        <v>6277162.0300000003</v>
      </c>
      <c r="U41" s="296">
        <v>5911679.4500000002</v>
      </c>
      <c r="V41" s="296">
        <v>4883720.68</v>
      </c>
      <c r="W41" s="296">
        <v>5668862.8400000008</v>
      </c>
      <c r="X41" s="296">
        <v>4711674.9800000004</v>
      </c>
      <c r="Y41" s="296">
        <v>4499363.8899999997</v>
      </c>
      <c r="Z41" s="296">
        <v>6396899.54</v>
      </c>
      <c r="AA41" s="296">
        <v>6051930.4699999997</v>
      </c>
      <c r="AB41" s="292"/>
      <c r="AC41" s="292"/>
      <c r="AD41" s="292"/>
      <c r="AE41" s="292"/>
    </row>
    <row r="42" spans="1:36">
      <c r="A42" s="294" t="s">
        <v>607</v>
      </c>
      <c r="B42" s="294"/>
      <c r="C42" s="296"/>
      <c r="D42" s="296"/>
      <c r="E42" s="296"/>
      <c r="F42" s="296"/>
      <c r="G42" s="296"/>
      <c r="H42" s="296"/>
      <c r="I42" s="296"/>
      <c r="J42" s="296"/>
      <c r="K42" s="296"/>
      <c r="L42" s="296"/>
      <c r="M42" s="296"/>
      <c r="N42" s="296"/>
      <c r="O42" s="296"/>
      <c r="P42" s="296">
        <v>1667217.1700000002</v>
      </c>
      <c r="Q42" s="296">
        <v>1425196.3699999999</v>
      </c>
      <c r="R42" s="296">
        <v>1214507.8900000001</v>
      </c>
      <c r="S42" s="296">
        <v>1290468.3999999999</v>
      </c>
      <c r="T42" s="296">
        <v>1583612.92</v>
      </c>
      <c r="U42" s="296">
        <v>1397292.3</v>
      </c>
      <c r="V42" s="296">
        <v>1120080.29</v>
      </c>
      <c r="W42" s="296">
        <v>1174209.8800000001</v>
      </c>
      <c r="X42" s="296">
        <v>1144437.6299999999</v>
      </c>
      <c r="Y42" s="296">
        <v>1120296.6300000001</v>
      </c>
      <c r="Z42" s="296">
        <v>1427249.74</v>
      </c>
      <c r="AA42" s="296">
        <v>1553305.01</v>
      </c>
      <c r="AB42" s="292"/>
      <c r="AC42" s="292"/>
      <c r="AD42" s="292"/>
      <c r="AE42" s="292"/>
    </row>
    <row r="43" spans="1:36">
      <c r="C43" s="292"/>
      <c r="D43" s="292"/>
      <c r="E43" s="292"/>
      <c r="F43" s="292"/>
      <c r="G43" s="292"/>
      <c r="H43" s="292"/>
      <c r="I43" s="292"/>
      <c r="J43" s="292"/>
      <c r="K43" s="292"/>
      <c r="L43" s="292"/>
      <c r="M43" s="292"/>
      <c r="N43" s="292"/>
      <c r="O43" s="292"/>
      <c r="P43" s="292"/>
      <c r="Q43" s="292"/>
      <c r="R43" s="292"/>
      <c r="S43" s="292"/>
      <c r="T43" s="292"/>
      <c r="U43" s="292"/>
      <c r="V43" s="292"/>
      <c r="W43" s="292"/>
      <c r="X43" s="292"/>
      <c r="Y43" s="292"/>
      <c r="Z43" s="292"/>
      <c r="AA43" s="292"/>
      <c r="AB43" s="292"/>
      <c r="AC43" s="292"/>
      <c r="AD43" s="292"/>
      <c r="AE43" s="292"/>
    </row>
    <row r="44" spans="1:36" ht="13">
      <c r="A44" s="290" t="s">
        <v>586</v>
      </c>
    </row>
    <row r="45" spans="1:36">
      <c r="A45" s="282" t="str">
        <f>+A36</f>
        <v>Google Trends - WW - Cettire</v>
      </c>
      <c r="B45" s="293"/>
      <c r="C45" s="293"/>
      <c r="D45" s="293"/>
      <c r="E45" s="293"/>
      <c r="F45" s="293"/>
      <c r="G45" s="293"/>
      <c r="H45" s="293"/>
      <c r="I45" s="293"/>
      <c r="J45" s="293"/>
      <c r="K45" s="293"/>
      <c r="L45" s="293"/>
      <c r="M45" s="293"/>
      <c r="N45" s="293"/>
      <c r="O45" s="293"/>
      <c r="P45" s="293">
        <f t="shared" ref="P45:AA45" si="8">+P36/P7-1</f>
        <v>3.2881355932203391</v>
      </c>
      <c r="Q45" s="293">
        <f t="shared" si="8"/>
        <v>3.1052631578947372</v>
      </c>
      <c r="R45" s="293">
        <f t="shared" si="8"/>
        <v>2.0289855072463769</v>
      </c>
      <c r="S45" s="293">
        <f t="shared" si="8"/>
        <v>1.1325301204819276</v>
      </c>
      <c r="T45" s="293">
        <f t="shared" si="8"/>
        <v>0.60194174757281549</v>
      </c>
      <c r="U45" s="293">
        <f t="shared" si="8"/>
        <v>0.5</v>
      </c>
      <c r="V45" s="293">
        <f t="shared" si="8"/>
        <v>0.46601941747572817</v>
      </c>
      <c r="W45" s="293">
        <f t="shared" si="8"/>
        <v>0.72972972972972983</v>
      </c>
      <c r="X45" s="293">
        <f t="shared" si="8"/>
        <v>0.45390070921985815</v>
      </c>
      <c r="Y45" s="293">
        <f t="shared" si="8"/>
        <v>0.17676767676767668</v>
      </c>
      <c r="Z45" s="293">
        <f t="shared" si="8"/>
        <v>-2.4096385542168641E-2</v>
      </c>
      <c r="AA45" s="293">
        <f t="shared" si="8"/>
        <v>-4.4067796610169463E-2</v>
      </c>
    </row>
    <row r="46" spans="1:36">
      <c r="A46" s="282" t="str">
        <f t="shared" ref="A46:A51" si="9">+A37</f>
        <v>Google Trends - US - Cettire</v>
      </c>
      <c r="B46" s="293"/>
      <c r="C46" s="293"/>
      <c r="D46" s="293"/>
      <c r="E46" s="293"/>
      <c r="F46" s="293"/>
      <c r="G46" s="293"/>
      <c r="H46" s="293"/>
      <c r="I46" s="293"/>
      <c r="J46" s="293"/>
      <c r="K46" s="293"/>
      <c r="L46" s="293"/>
      <c r="M46" s="293"/>
      <c r="N46" s="293"/>
      <c r="O46" s="293"/>
      <c r="P46" s="293">
        <f t="shared" ref="P46:AA46" si="10">+P37/P8-1</f>
        <v>2.8043478260869565</v>
      </c>
      <c r="Q46" s="293">
        <f t="shared" si="10"/>
        <v>2.5217391304347827</v>
      </c>
      <c r="R46" s="293">
        <f t="shared" si="10"/>
        <v>1.2459016393442623</v>
      </c>
      <c r="S46" s="293">
        <f t="shared" si="10"/>
        <v>0.42307692307692313</v>
      </c>
      <c r="T46" s="293">
        <f t="shared" si="10"/>
        <v>0.32558139534883712</v>
      </c>
      <c r="U46" s="293">
        <f t="shared" si="10"/>
        <v>0.13749999999999996</v>
      </c>
      <c r="V46" s="293">
        <f t="shared" si="10"/>
        <v>0.1707317073170731</v>
      </c>
      <c r="W46" s="293">
        <f t="shared" si="10"/>
        <v>0.68041237113402064</v>
      </c>
      <c r="X46" s="293">
        <f t="shared" si="10"/>
        <v>0.68571428571428572</v>
      </c>
      <c r="Y46" s="293">
        <f t="shared" si="10"/>
        <v>0.55882352941176472</v>
      </c>
      <c r="Z46" s="293">
        <f t="shared" si="10"/>
        <v>0.55288461538461542</v>
      </c>
      <c r="AA46" s="293">
        <f t="shared" si="10"/>
        <v>0.61818181818181817</v>
      </c>
    </row>
    <row r="47" spans="1:36">
      <c r="A47" s="282" t="str">
        <f t="shared" si="9"/>
        <v>SEM Rush - WW Visits - Cettire</v>
      </c>
      <c r="B47" s="293"/>
      <c r="C47" s="293"/>
      <c r="D47" s="293"/>
      <c r="E47" s="293"/>
      <c r="F47" s="293"/>
      <c r="G47" s="293"/>
      <c r="H47" s="293"/>
      <c r="I47" s="293"/>
      <c r="J47" s="293"/>
      <c r="K47" s="293"/>
      <c r="L47" s="293"/>
      <c r="M47" s="293"/>
      <c r="N47" s="293"/>
      <c r="O47" s="293"/>
      <c r="P47" s="293">
        <f t="shared" ref="P47:AA47" si="11">+P38/P9-1</f>
        <v>1.6727848460521728</v>
      </c>
      <c r="Q47" s="293">
        <f t="shared" si="11"/>
        <v>1.4089363062879734</v>
      </c>
      <c r="R47" s="293">
        <f t="shared" si="11"/>
        <v>0.39823516025992189</v>
      </c>
      <c r="S47" s="293">
        <f t="shared" si="11"/>
        <v>-0.30545529357466605</v>
      </c>
      <c r="T47" s="293">
        <f t="shared" si="11"/>
        <v>-0.3056531935719401</v>
      </c>
      <c r="U47" s="293">
        <f t="shared" si="11"/>
        <v>-2.7541781670397447E-2</v>
      </c>
      <c r="V47" s="293">
        <f t="shared" si="11"/>
        <v>-7.794743438307794E-2</v>
      </c>
      <c r="W47" s="293">
        <f t="shared" si="11"/>
        <v>1.4630482797049149E-2</v>
      </c>
      <c r="X47" s="293">
        <f t="shared" si="11"/>
        <v>-0.22456641739802163</v>
      </c>
      <c r="Y47" s="293">
        <f t="shared" si="11"/>
        <v>-0.38264645262871833</v>
      </c>
      <c r="Z47" s="293">
        <f t="shared" si="11"/>
        <v>-0.44679783878993606</v>
      </c>
      <c r="AA47" s="293">
        <f t="shared" si="11"/>
        <v>-0.35939562039415762</v>
      </c>
    </row>
    <row r="48" spans="1:36">
      <c r="A48" s="282" t="str">
        <f t="shared" si="9"/>
        <v>SEM Rush - WW UVs - Cettire</v>
      </c>
      <c r="B48" s="293"/>
      <c r="C48" s="293"/>
      <c r="D48" s="293"/>
      <c r="E48" s="293"/>
      <c r="F48" s="293"/>
      <c r="G48" s="293"/>
      <c r="H48" s="293"/>
      <c r="I48" s="293"/>
      <c r="J48" s="293"/>
      <c r="K48" s="293"/>
      <c r="L48" s="293"/>
      <c r="M48" s="293"/>
      <c r="N48" s="293"/>
      <c r="O48" s="293"/>
      <c r="P48" s="293">
        <f t="shared" ref="P48:AA48" si="12">+P39/P10-1</f>
        <v>2.517284230867733</v>
      </c>
      <c r="Q48" s="293">
        <f t="shared" si="12"/>
        <v>1.6811588649616476</v>
      </c>
      <c r="R48" s="293">
        <f t="shared" si="12"/>
        <v>0.9433058668664227</v>
      </c>
      <c r="S48" s="293">
        <f t="shared" si="12"/>
        <v>1.8224078625955764E-2</v>
      </c>
      <c r="T48" s="293">
        <f t="shared" si="12"/>
        <v>0.15391811338815642</v>
      </c>
      <c r="U48" s="293">
        <f t="shared" si="12"/>
        <v>0.24117973938979254</v>
      </c>
      <c r="V48" s="293">
        <f t="shared" si="12"/>
        <v>0.13221694621809932</v>
      </c>
      <c r="W48" s="293">
        <f t="shared" si="12"/>
        <v>-0.11160616845983484</v>
      </c>
      <c r="X48" s="293">
        <f t="shared" si="12"/>
        <v>-0.18932371851119156</v>
      </c>
      <c r="Y48" s="293">
        <f t="shared" si="12"/>
        <v>-0.47413076439738655</v>
      </c>
      <c r="Z48" s="293">
        <f t="shared" si="12"/>
        <v>-0.53783438272061468</v>
      </c>
      <c r="AA48" s="293">
        <f t="shared" si="12"/>
        <v>-0.39246338461458485</v>
      </c>
    </row>
    <row r="49" spans="1:27">
      <c r="A49" s="282" t="str">
        <f t="shared" si="9"/>
        <v>CE - Cettire US Spend</v>
      </c>
      <c r="B49" s="293"/>
      <c r="C49" s="293"/>
      <c r="D49" s="293"/>
      <c r="E49" s="293"/>
      <c r="F49" s="293"/>
      <c r="G49" s="293"/>
      <c r="H49" s="293"/>
      <c r="I49" s="293"/>
      <c r="J49" s="293"/>
      <c r="K49" s="293"/>
      <c r="L49" s="293"/>
      <c r="M49" s="293"/>
      <c r="N49" s="293"/>
      <c r="O49" s="293"/>
      <c r="P49" s="293">
        <f t="shared" ref="P49:AA49" si="13">+P40/P11-1</f>
        <v>2.3435930203225048</v>
      </c>
      <c r="Q49" s="293">
        <f t="shared" si="13"/>
        <v>1.1956472301912933</v>
      </c>
      <c r="R49" s="293">
        <f t="shared" si="13"/>
        <v>0.42678594745765142</v>
      </c>
      <c r="S49" s="293">
        <f t="shared" si="13"/>
        <v>0.31755190096384456</v>
      </c>
      <c r="T49" s="293">
        <f t="shared" si="13"/>
        <v>0.22903667024805974</v>
      </c>
      <c r="U49" s="293">
        <f t="shared" si="13"/>
        <v>3.7499883583021143E-2</v>
      </c>
      <c r="V49" s="293">
        <f t="shared" si="13"/>
        <v>0.31394089289291549</v>
      </c>
      <c r="W49" s="293">
        <f t="shared" si="13"/>
        <v>0.25915947016385177</v>
      </c>
      <c r="X49" s="293">
        <f t="shared" si="13"/>
        <v>0.74619476561302234</v>
      </c>
      <c r="Y49" s="293">
        <f t="shared" si="13"/>
        <v>0.80851016459679825</v>
      </c>
      <c r="Z49" s="293">
        <f t="shared" si="13"/>
        <v>0.3526721718931749</v>
      </c>
      <c r="AA49" s="293">
        <f t="shared" si="13"/>
        <v>0.36790071390615786</v>
      </c>
    </row>
    <row r="50" spans="1:27">
      <c r="A50" s="294" t="str">
        <f t="shared" si="9"/>
        <v>CE - Farfetch US Spend</v>
      </c>
      <c r="B50" s="295"/>
      <c r="C50" s="295"/>
      <c r="D50" s="295"/>
      <c r="E50" s="295"/>
      <c r="F50" s="295"/>
      <c r="G50" s="295"/>
      <c r="H50" s="295"/>
      <c r="I50" s="295"/>
      <c r="J50" s="295"/>
      <c r="K50" s="295"/>
      <c r="L50" s="295"/>
      <c r="M50" s="295"/>
      <c r="N50" s="295"/>
      <c r="O50" s="295"/>
      <c r="P50" s="295">
        <f t="shared" ref="P50:AA50" si="14">+P41/P12-1</f>
        <v>0.20637109774179652</v>
      </c>
      <c r="Q50" s="295">
        <f t="shared" si="14"/>
        <v>0.1673589038189347</v>
      </c>
      <c r="R50" s="295">
        <f t="shared" si="14"/>
        <v>9.4261433991886356E-2</v>
      </c>
      <c r="S50" s="295">
        <f t="shared" si="14"/>
        <v>-1.5143582607153205E-2</v>
      </c>
      <c r="T50" s="295">
        <f t="shared" si="14"/>
        <v>-0.10750945788776833</v>
      </c>
      <c r="U50" s="295">
        <f t="shared" si="14"/>
        <v>-0.12411269894409727</v>
      </c>
      <c r="V50" s="295">
        <f t="shared" si="14"/>
        <v>-0.22975206439514861</v>
      </c>
      <c r="W50" s="295">
        <f t="shared" si="14"/>
        <v>-4.93378286593813E-2</v>
      </c>
      <c r="X50" s="295">
        <f t="shared" si="14"/>
        <v>-0.30065455308386302</v>
      </c>
      <c r="Y50" s="295">
        <f t="shared" si="14"/>
        <v>-0.15752773212565707</v>
      </c>
      <c r="Z50" s="295">
        <f t="shared" si="14"/>
        <v>-0.10432280624515888</v>
      </c>
      <c r="AA50" s="295">
        <f t="shared" si="14"/>
        <v>-0.20386637266582119</v>
      </c>
    </row>
    <row r="51" spans="1:27">
      <c r="A51" s="294" t="str">
        <f t="shared" si="9"/>
        <v>CE - MyTheresa US Spend</v>
      </c>
      <c r="B51" s="295"/>
      <c r="C51" s="295"/>
      <c r="D51" s="295"/>
      <c r="E51" s="295"/>
      <c r="F51" s="295"/>
      <c r="G51" s="295"/>
      <c r="H51" s="295"/>
      <c r="I51" s="295"/>
      <c r="J51" s="295"/>
      <c r="K51" s="295"/>
      <c r="L51" s="295"/>
      <c r="M51" s="295"/>
      <c r="N51" s="295"/>
      <c r="O51" s="295"/>
      <c r="P51" s="295">
        <f t="shared" ref="P51:AA51" si="15">+P42/P13-1</f>
        <v>0.70094706945355911</v>
      </c>
      <c r="Q51" s="295">
        <f t="shared" si="15"/>
        <v>0.6345067057781002</v>
      </c>
      <c r="R51" s="295">
        <f t="shared" si="15"/>
        <v>4.5264387516830595E-2</v>
      </c>
      <c r="S51" s="295">
        <f t="shared" si="15"/>
        <v>9.2481551721078414E-2</v>
      </c>
      <c r="T51" s="295">
        <f t="shared" si="15"/>
        <v>0.23405930381170026</v>
      </c>
      <c r="U51" s="295">
        <f t="shared" si="15"/>
        <v>0.19277309201755188</v>
      </c>
      <c r="V51" s="295">
        <f t="shared" si="15"/>
        <v>-0.23535687773809644</v>
      </c>
      <c r="W51" s="295">
        <f t="shared" si="15"/>
        <v>-1.4927655006439888E-2</v>
      </c>
      <c r="X51" s="295">
        <f t="shared" si="15"/>
        <v>6.3957432094689404E-2</v>
      </c>
      <c r="Y51" s="295">
        <f t="shared" si="15"/>
        <v>5.0812395890422968E-2</v>
      </c>
      <c r="Z51" s="295">
        <f t="shared" si="15"/>
        <v>-6.9527038535428076E-2</v>
      </c>
      <c r="AA51" s="295">
        <f t="shared" si="15"/>
        <v>-7.4408630032836154E-2</v>
      </c>
    </row>
    <row r="53" spans="1:27" ht="13">
      <c r="A53" s="290" t="s">
        <v>608</v>
      </c>
    </row>
    <row r="54" spans="1:27">
      <c r="A54" s="282" t="str">
        <f>+A45</f>
        <v>Google Trends - WW - Cettire</v>
      </c>
      <c r="B54" s="293"/>
      <c r="C54" s="293"/>
      <c r="D54" s="293"/>
      <c r="E54" s="293"/>
      <c r="F54" s="293"/>
      <c r="G54" s="293"/>
      <c r="H54" s="293"/>
      <c r="I54" s="293"/>
      <c r="J54" s="293"/>
      <c r="K54" s="293"/>
      <c r="L54" s="293"/>
      <c r="M54" s="293"/>
      <c r="N54" s="293"/>
      <c r="O54" s="293"/>
      <c r="P54" s="293">
        <f t="shared" ref="P54:P60" si="16">+P36/AA7-1</f>
        <v>-0.14237288135593218</v>
      </c>
      <c r="Q54" s="293">
        <f t="shared" ref="Q54:AA54" si="17">+Q36/P36-1</f>
        <v>-7.5098814229249022E-2</v>
      </c>
      <c r="R54" s="293">
        <f t="shared" si="17"/>
        <v>-0.10683760683760679</v>
      </c>
      <c r="S54" s="293">
        <f t="shared" si="17"/>
        <v>-0.15311004784688997</v>
      </c>
      <c r="T54" s="293">
        <f t="shared" si="17"/>
        <v>-6.7796610169491567E-2</v>
      </c>
      <c r="U54" s="293">
        <f t="shared" si="17"/>
        <v>-0.12727272727272732</v>
      </c>
      <c r="V54" s="293">
        <f t="shared" si="17"/>
        <v>4.861111111111116E-2</v>
      </c>
      <c r="W54" s="293">
        <f t="shared" si="17"/>
        <v>0.27152317880794707</v>
      </c>
      <c r="X54" s="293">
        <f t="shared" si="17"/>
        <v>6.7708333333333259E-2</v>
      </c>
      <c r="Y54" s="293">
        <f t="shared" si="17"/>
        <v>0.13658536585365844</v>
      </c>
      <c r="Z54" s="293">
        <f t="shared" si="17"/>
        <v>0.39055793991416299</v>
      </c>
      <c r="AA54" s="293">
        <f t="shared" si="17"/>
        <v>-0.12962962962962965</v>
      </c>
    </row>
    <row r="55" spans="1:27">
      <c r="A55" s="282" t="str">
        <f t="shared" ref="A55:A60" si="18">+A46</f>
        <v>Google Trends - US - Cettire</v>
      </c>
      <c r="B55" s="293"/>
      <c r="C55" s="293"/>
      <c r="D55" s="293"/>
      <c r="E55" s="293"/>
      <c r="F55" s="293"/>
      <c r="G55" s="293"/>
      <c r="H55" s="293"/>
      <c r="I55" s="293"/>
      <c r="J55" s="293"/>
      <c r="K55" s="293"/>
      <c r="L55" s="293"/>
      <c r="M55" s="293"/>
      <c r="N55" s="293"/>
      <c r="O55" s="293"/>
      <c r="P55" s="293">
        <f t="shared" si="16"/>
        <v>6.0606060606060552E-2</v>
      </c>
      <c r="Q55" s="293">
        <f t="shared" ref="Q55:AA55" si="19">+Q37/P37-1</f>
        <v>-7.4285714285714288E-2</v>
      </c>
      <c r="R55" s="293">
        <f t="shared" si="19"/>
        <v>-0.15432098765432101</v>
      </c>
      <c r="S55" s="293">
        <f t="shared" si="19"/>
        <v>-0.18978102189781021</v>
      </c>
      <c r="T55" s="293">
        <f t="shared" si="19"/>
        <v>2.7027027027026973E-2</v>
      </c>
      <c r="U55" s="293">
        <f t="shared" si="19"/>
        <v>-0.20175438596491224</v>
      </c>
      <c r="V55" s="293">
        <f t="shared" si="19"/>
        <v>5.4945054945054972E-2</v>
      </c>
      <c r="W55" s="293">
        <f t="shared" si="19"/>
        <v>0.69791666666666674</v>
      </c>
      <c r="X55" s="293">
        <f t="shared" si="19"/>
        <v>8.5889570552147187E-2</v>
      </c>
      <c r="Y55" s="293">
        <f t="shared" si="19"/>
        <v>0.19774011299435035</v>
      </c>
      <c r="Z55" s="293">
        <f t="shared" si="19"/>
        <v>0.52358490566037741</v>
      </c>
      <c r="AA55" s="293">
        <f t="shared" si="19"/>
        <v>-0.17337461300309598</v>
      </c>
    </row>
    <row r="56" spans="1:27">
      <c r="A56" s="282" t="str">
        <f t="shared" si="18"/>
        <v>SEM Rush - WW Visits - Cettire</v>
      </c>
      <c r="B56" s="293"/>
      <c r="C56" s="293"/>
      <c r="D56" s="293"/>
      <c r="E56" s="293"/>
      <c r="F56" s="293"/>
      <c r="G56" s="293"/>
      <c r="H56" s="293"/>
      <c r="I56" s="293"/>
      <c r="J56" s="293"/>
      <c r="K56" s="293"/>
      <c r="L56" s="293"/>
      <c r="M56" s="293"/>
      <c r="N56" s="293"/>
      <c r="O56" s="293"/>
      <c r="P56" s="293">
        <f t="shared" si="16"/>
        <v>-0.23930859908539925</v>
      </c>
      <c r="Q56" s="293">
        <f t="shared" ref="Q56:AA56" si="20">+Q38/P38-1</f>
        <v>-0.32959255444431124</v>
      </c>
      <c r="R56" s="293">
        <f t="shared" si="20"/>
        <v>-0.37435135461292468</v>
      </c>
      <c r="S56" s="293">
        <f t="shared" si="20"/>
        <v>-8.0222058805801022E-2</v>
      </c>
      <c r="T56" s="293">
        <f t="shared" si="20"/>
        <v>0.43462544153401539</v>
      </c>
      <c r="U56" s="293">
        <f t="shared" si="20"/>
        <v>2.1994045144709817E-2</v>
      </c>
      <c r="V56" s="293">
        <f t="shared" si="20"/>
        <v>-8.5163005534384051E-2</v>
      </c>
      <c r="W56" s="293">
        <f t="shared" si="20"/>
        <v>0.22772275292756516</v>
      </c>
      <c r="X56" s="293">
        <f t="shared" si="20"/>
        <v>-7.9607806931110692E-2</v>
      </c>
      <c r="Y56" s="293">
        <f t="shared" si="20"/>
        <v>0.1433170673494748</v>
      </c>
      <c r="Z56" s="293">
        <f t="shared" si="20"/>
        <v>0.28467105805543014</v>
      </c>
      <c r="AA56" s="293">
        <f t="shared" si="20"/>
        <v>-1.9457099356728791E-2</v>
      </c>
    </row>
    <row r="57" spans="1:27">
      <c r="A57" s="282" t="str">
        <f t="shared" si="18"/>
        <v>SEM Rush - WW UVs - Cettire</v>
      </c>
      <c r="B57" s="293"/>
      <c r="C57" s="293"/>
      <c r="D57" s="293"/>
      <c r="E57" s="293"/>
      <c r="F57" s="293"/>
      <c r="G57" s="293"/>
      <c r="H57" s="293"/>
      <c r="I57" s="293"/>
      <c r="J57" s="293"/>
      <c r="K57" s="293"/>
      <c r="L57" s="293"/>
      <c r="M57" s="293"/>
      <c r="N57" s="293"/>
      <c r="O57" s="293"/>
      <c r="P57" s="293">
        <f t="shared" si="16"/>
        <v>-0.21462159011303361</v>
      </c>
      <c r="Q57" s="293">
        <f t="shared" ref="Q57:AA57" si="21">+Q39/P39-1</f>
        <v>-0.36313750085845464</v>
      </c>
      <c r="R57" s="293">
        <f t="shared" si="21"/>
        <v>-0.3056785125459438</v>
      </c>
      <c r="S57" s="293">
        <f t="shared" si="21"/>
        <v>-2.3914088916250353E-3</v>
      </c>
      <c r="T57" s="293">
        <f t="shared" si="21"/>
        <v>0.29335534151762688</v>
      </c>
      <c r="U57" s="293">
        <f t="shared" si="21"/>
        <v>-4.7665593959970054E-2</v>
      </c>
      <c r="V57" s="293">
        <f t="shared" si="21"/>
        <v>-5.1921372509007635E-2</v>
      </c>
      <c r="W57" s="293">
        <f t="shared" si="21"/>
        <v>-1.9327916012792157E-2</v>
      </c>
      <c r="X57" s="293">
        <f t="shared" si="21"/>
        <v>-8.4489417530112743E-2</v>
      </c>
      <c r="Y57" s="293">
        <f t="shared" si="21"/>
        <v>0.21430564948099495</v>
      </c>
      <c r="Z57" s="293">
        <f t="shared" si="21"/>
        <v>0.22452599739812396</v>
      </c>
      <c r="AA57" s="293">
        <f t="shared" si="21"/>
        <v>0.1248435875717091</v>
      </c>
    </row>
    <row r="58" spans="1:27">
      <c r="A58" s="282" t="str">
        <f t="shared" si="18"/>
        <v>CE - Cettire US Spend</v>
      </c>
      <c r="B58" s="293"/>
      <c r="C58" s="293"/>
      <c r="D58" s="293"/>
      <c r="E58" s="293"/>
      <c r="F58" s="293"/>
      <c r="G58" s="293"/>
      <c r="H58" s="293"/>
      <c r="I58" s="293"/>
      <c r="J58" s="293"/>
      <c r="K58" s="293"/>
      <c r="L58" s="293"/>
      <c r="M58" s="293"/>
      <c r="N58" s="293"/>
      <c r="O58" s="293"/>
      <c r="P58" s="293">
        <f t="shared" si="16"/>
        <v>-0.11469250113254525</v>
      </c>
      <c r="Q58" s="293">
        <f t="shared" ref="Q58:AA58" si="22">+Q40/P40-1</f>
        <v>-0.16264021097965464</v>
      </c>
      <c r="R58" s="293">
        <f t="shared" si="22"/>
        <v>-9.0692428411407788E-2</v>
      </c>
      <c r="S58" s="293">
        <f t="shared" si="22"/>
        <v>-0.19336874734357923</v>
      </c>
      <c r="T58" s="293">
        <f t="shared" si="22"/>
        <v>0.29082425583555072</v>
      </c>
      <c r="U58" s="293">
        <f t="shared" si="22"/>
        <v>-0.2181390612568761</v>
      </c>
      <c r="V58" s="293">
        <f t="shared" si="22"/>
        <v>8.3414917748989348E-2</v>
      </c>
      <c r="W58" s="293">
        <f t="shared" si="22"/>
        <v>0.43402775434952412</v>
      </c>
      <c r="X58" s="293">
        <f t="shared" si="22"/>
        <v>0.25007905225593929</v>
      </c>
      <c r="Y58" s="293">
        <f t="shared" si="22"/>
        <v>0.35049561365458426</v>
      </c>
      <c r="Z58" s="293">
        <f t="shared" si="22"/>
        <v>0.17692397807547589</v>
      </c>
      <c r="AA58" s="293">
        <f t="shared" si="22"/>
        <v>-0.19251509817672197</v>
      </c>
    </row>
    <row r="59" spans="1:27">
      <c r="A59" s="294" t="str">
        <f t="shared" si="18"/>
        <v>CE - Farfetch US Spend</v>
      </c>
      <c r="B59" s="295"/>
      <c r="C59" s="295"/>
      <c r="D59" s="295"/>
      <c r="E59" s="295"/>
      <c r="F59" s="295"/>
      <c r="G59" s="295"/>
      <c r="H59" s="295"/>
      <c r="I59" s="295"/>
      <c r="J59" s="295"/>
      <c r="K59" s="295"/>
      <c r="L59" s="295"/>
      <c r="M59" s="295"/>
      <c r="N59" s="295"/>
      <c r="O59" s="295"/>
      <c r="P59" s="295">
        <f t="shared" si="16"/>
        <v>-0.23230675129559109</v>
      </c>
      <c r="Q59" s="295">
        <f t="shared" ref="Q59:AA59" si="23">+Q41/P41-1</f>
        <v>-0.18265022214110815</v>
      </c>
      <c r="R59" s="295">
        <f t="shared" si="23"/>
        <v>0.23754858191694184</v>
      </c>
      <c r="S59" s="295">
        <f t="shared" si="23"/>
        <v>-3.8392450915903042E-2</v>
      </c>
      <c r="T59" s="295">
        <f t="shared" si="23"/>
        <v>0.10585856571450392</v>
      </c>
      <c r="U59" s="295">
        <f t="shared" si="23"/>
        <v>-5.8224174914280447E-2</v>
      </c>
      <c r="V59" s="295">
        <f t="shared" si="23"/>
        <v>-0.1738860807143392</v>
      </c>
      <c r="W59" s="295">
        <f t="shared" si="23"/>
        <v>0.16076721242788206</v>
      </c>
      <c r="X59" s="295">
        <f t="shared" si="23"/>
        <v>-0.16885006517462331</v>
      </c>
      <c r="Y59" s="295">
        <f t="shared" si="23"/>
        <v>-4.5060639984976336E-2</v>
      </c>
      <c r="Z59" s="295">
        <f t="shared" si="23"/>
        <v>0.42173420429882147</v>
      </c>
      <c r="AA59" s="295">
        <f t="shared" si="23"/>
        <v>-5.3927542216803404E-2</v>
      </c>
    </row>
    <row r="60" spans="1:27">
      <c r="A60" s="294" t="str">
        <f t="shared" si="18"/>
        <v>CE - MyTheresa US Spend</v>
      </c>
      <c r="B60" s="295"/>
      <c r="C60" s="295"/>
      <c r="D60" s="295"/>
      <c r="E60" s="295"/>
      <c r="F60" s="295"/>
      <c r="G60" s="295"/>
      <c r="H60" s="295"/>
      <c r="I60" s="295"/>
      <c r="J60" s="295"/>
      <c r="K60" s="295"/>
      <c r="L60" s="295"/>
      <c r="M60" s="295"/>
      <c r="N60" s="295"/>
      <c r="O60" s="295"/>
      <c r="P60" s="295">
        <f t="shared" si="16"/>
        <v>-6.5300668713622612E-3</v>
      </c>
      <c r="Q60" s="295">
        <f t="shared" ref="Q60:AA60" si="24">+Q42/P42-1</f>
        <v>-0.14516453186479616</v>
      </c>
      <c r="R60" s="295">
        <f t="shared" si="24"/>
        <v>-0.14783119325514404</v>
      </c>
      <c r="S60" s="295">
        <f t="shared" si="24"/>
        <v>6.2544270502845167E-2</v>
      </c>
      <c r="T60" s="295">
        <f t="shared" si="24"/>
        <v>0.2271613314979275</v>
      </c>
      <c r="U60" s="295">
        <f t="shared" si="24"/>
        <v>-0.11765540533730923</v>
      </c>
      <c r="V60" s="295">
        <f t="shared" si="24"/>
        <v>-0.19839228341843718</v>
      </c>
      <c r="W60" s="295">
        <f t="shared" si="24"/>
        <v>4.8326526663548419E-2</v>
      </c>
      <c r="X60" s="295">
        <f t="shared" si="24"/>
        <v>-2.5355134978084393E-2</v>
      </c>
      <c r="Y60" s="295">
        <f t="shared" si="24"/>
        <v>-2.1094203272571277E-2</v>
      </c>
      <c r="Z60" s="295">
        <f t="shared" si="24"/>
        <v>0.2739927103056623</v>
      </c>
      <c r="AA60" s="295">
        <f t="shared" si="24"/>
        <v>8.8320401445650232E-2</v>
      </c>
    </row>
    <row r="63" spans="1:27" ht="16">
      <c r="B63" s="152"/>
      <c r="C63" s="152"/>
      <c r="D63" s="152"/>
      <c r="E63" s="152"/>
      <c r="F63" s="152"/>
      <c r="G63" s="152"/>
      <c r="H63" s="152"/>
      <c r="I63" s="152"/>
      <c r="J63" s="152"/>
      <c r="K63" s="152"/>
      <c r="L63" s="152"/>
      <c r="M63" s="152"/>
      <c r="N63" s="152"/>
      <c r="O63" s="152"/>
      <c r="P63" s="152">
        <f>+AA34+31</f>
        <v>44947</v>
      </c>
      <c r="Q63" s="152">
        <f t="shared" ref="Q63:X63" si="25">+P63+31</f>
        <v>44978</v>
      </c>
      <c r="R63" s="152">
        <f t="shared" si="25"/>
        <v>45009</v>
      </c>
      <c r="S63" s="152">
        <f t="shared" si="25"/>
        <v>45040</v>
      </c>
      <c r="T63" s="152">
        <f t="shared" si="25"/>
        <v>45071</v>
      </c>
      <c r="U63" s="152">
        <f t="shared" si="25"/>
        <v>45102</v>
      </c>
      <c r="V63" s="152">
        <f t="shared" si="25"/>
        <v>45133</v>
      </c>
      <c r="W63" s="152">
        <f t="shared" si="25"/>
        <v>45164</v>
      </c>
      <c r="X63" s="152">
        <f t="shared" si="25"/>
        <v>45195</v>
      </c>
    </row>
    <row r="64" spans="1:27" ht="13">
      <c r="A64" s="290" t="s">
        <v>572</v>
      </c>
    </row>
    <row r="65" spans="1:32">
      <c r="A65" s="282" t="s">
        <v>575</v>
      </c>
      <c r="B65" s="292"/>
      <c r="C65" s="292"/>
      <c r="D65" s="292"/>
      <c r="E65" s="292"/>
      <c r="F65" s="292"/>
      <c r="G65" s="292"/>
      <c r="H65" s="292"/>
      <c r="I65" s="292"/>
      <c r="J65" s="292"/>
      <c r="K65" s="292"/>
      <c r="L65" s="292"/>
      <c r="M65" s="292"/>
      <c r="N65" s="292"/>
      <c r="O65" s="292"/>
      <c r="P65" s="292">
        <f>+'Google Trends Raw'!AQ12</f>
        <v>266</v>
      </c>
      <c r="Q65" s="292">
        <f>+'Google Trends Raw'!AR12</f>
        <v>255</v>
      </c>
      <c r="R65" s="292">
        <f>+'Google Trends Raw'!AS12</f>
        <v>274</v>
      </c>
      <c r="S65" s="292">
        <f>+'Google Trends Raw'!AT12</f>
        <v>284</v>
      </c>
      <c r="T65" s="292">
        <f>+'Google Trends Raw'!AU12</f>
        <v>308</v>
      </c>
      <c r="U65" s="292">
        <f>+'Google Trends Raw'!AV12</f>
        <v>294</v>
      </c>
      <c r="V65" s="292">
        <f>+'Google Trends Raw'!AW12</f>
        <v>302</v>
      </c>
      <c r="W65" s="292">
        <f>+'Google Trends Raw'!AX12</f>
        <v>323</v>
      </c>
      <c r="X65" s="292">
        <f>+'Google Trends Raw'!AY12</f>
        <v>305</v>
      </c>
      <c r="Y65" s="292"/>
      <c r="Z65" s="292"/>
      <c r="AA65" s="292"/>
      <c r="AB65" s="292"/>
      <c r="AC65" s="292"/>
      <c r="AD65" s="292"/>
      <c r="AE65" s="292"/>
      <c r="AF65" s="292"/>
    </row>
    <row r="66" spans="1:32">
      <c r="A66" s="282" t="s">
        <v>576</v>
      </c>
      <c r="B66" s="292"/>
      <c r="C66" s="292"/>
      <c r="D66" s="292"/>
      <c r="E66" s="292"/>
      <c r="F66" s="292"/>
      <c r="G66" s="292"/>
      <c r="H66" s="292"/>
      <c r="I66" s="292"/>
      <c r="J66" s="292"/>
      <c r="K66" s="292"/>
      <c r="L66" s="292"/>
      <c r="M66" s="292"/>
      <c r="N66" s="292"/>
      <c r="O66" s="292"/>
      <c r="P66" s="292">
        <f>+'Google Trends Raw'!AQ13</f>
        <v>238</v>
      </c>
      <c r="Q66" s="292">
        <f>+'Google Trends Raw'!AR13</f>
        <v>235</v>
      </c>
      <c r="R66" s="292">
        <f>+'Google Trends Raw'!AS13</f>
        <v>261</v>
      </c>
      <c r="S66" s="292">
        <f>+'Google Trends Raw'!AT13</f>
        <v>252</v>
      </c>
      <c r="T66" s="292">
        <f>+'Google Trends Raw'!AU13</f>
        <v>256</v>
      </c>
      <c r="U66" s="292">
        <f>+'Google Trends Raw'!AV13</f>
        <v>246</v>
      </c>
      <c r="V66" s="292">
        <f>+'Google Trends Raw'!AW13</f>
        <v>256</v>
      </c>
      <c r="W66" s="292">
        <f>+'Google Trends Raw'!AX13</f>
        <v>270</v>
      </c>
      <c r="X66" s="292">
        <f>+'Google Trends Raw'!AY13</f>
        <v>284</v>
      </c>
      <c r="Y66" s="292"/>
      <c r="Z66" s="292"/>
      <c r="AA66" s="292"/>
      <c r="AB66" s="292"/>
      <c r="AC66" s="292"/>
      <c r="AD66" s="292"/>
      <c r="AE66" s="292"/>
      <c r="AF66" s="292"/>
    </row>
    <row r="67" spans="1:32">
      <c r="A67" s="282" t="s">
        <v>577</v>
      </c>
      <c r="B67" s="292"/>
      <c r="C67" s="292"/>
      <c r="D67" s="292"/>
      <c r="E67" s="292"/>
      <c r="F67" s="292"/>
      <c r="G67" s="292"/>
      <c r="H67" s="292"/>
      <c r="I67" s="292"/>
      <c r="J67" s="292"/>
      <c r="K67" s="292"/>
      <c r="L67" s="292"/>
      <c r="M67" s="292"/>
      <c r="N67" s="292"/>
      <c r="O67" s="292"/>
      <c r="P67" s="292">
        <f>+'SEM Rush Raw'!AV13</f>
        <v>1922337</v>
      </c>
      <c r="Q67" s="292">
        <f>+'SEM Rush Raw'!AW13</f>
        <v>1167635</v>
      </c>
      <c r="R67" s="292">
        <f>+'SEM Rush Raw'!AX13</f>
        <v>1537904</v>
      </c>
      <c r="S67" s="292">
        <f>+'SEM Rush Raw'!AY13</f>
        <v>1559407</v>
      </c>
      <c r="T67" s="292">
        <f>+'SEM Rush Raw'!AZ13</f>
        <v>2067718</v>
      </c>
      <c r="U67" s="292">
        <f>+'SEM Rush Raw'!BA13</f>
        <v>1668574</v>
      </c>
      <c r="V67" s="292">
        <f>+'SEM Rush Raw'!BB13</f>
        <v>1383003</v>
      </c>
      <c r="W67" s="292">
        <f>+'SEM Rush Raw'!BC13</f>
        <v>1504327</v>
      </c>
      <c r="X67" s="292">
        <f>+'SEM Rush Raw'!BD13</f>
        <v>1526797</v>
      </c>
      <c r="Y67" s="292"/>
      <c r="Z67" s="292"/>
      <c r="AA67" s="292"/>
      <c r="AB67" s="292"/>
      <c r="AC67" s="292"/>
      <c r="AD67" s="292"/>
      <c r="AE67" s="292"/>
      <c r="AF67" s="292"/>
    </row>
    <row r="68" spans="1:32">
      <c r="A68" s="282" t="s">
        <v>578</v>
      </c>
      <c r="B68" s="292"/>
      <c r="C68" s="292"/>
      <c r="D68" s="292"/>
      <c r="E68" s="292"/>
      <c r="F68" s="292"/>
      <c r="G68" s="292"/>
      <c r="H68" s="292"/>
      <c r="I68" s="292"/>
      <c r="J68" s="292"/>
      <c r="K68" s="292"/>
      <c r="L68" s="292"/>
      <c r="M68" s="292"/>
      <c r="N68" s="292"/>
      <c r="O68" s="292"/>
      <c r="P68" s="292">
        <f>+'SEM Rush Raw'!AV14</f>
        <v>1024009</v>
      </c>
      <c r="Q68" s="292">
        <f>+'SEM Rush Raw'!AW14</f>
        <v>722617</v>
      </c>
      <c r="R68" s="292">
        <f>+'SEM Rush Raw'!AX14</f>
        <v>601499</v>
      </c>
      <c r="S68" s="292">
        <f>+'SEM Rush Raw'!AY14</f>
        <v>680503</v>
      </c>
      <c r="T68" s="292">
        <f>+'SEM Rush Raw'!AZ14</f>
        <v>832605</v>
      </c>
      <c r="U68" s="292">
        <f>+'SEM Rush Raw'!BA14</f>
        <v>717058</v>
      </c>
      <c r="V68" s="292">
        <f>+'SEM Rush Raw'!BB14</f>
        <v>627120</v>
      </c>
      <c r="W68" s="292">
        <f>+'SEM Rush Raw'!BC14</f>
        <v>725193</v>
      </c>
      <c r="X68" s="292">
        <f>+'SEM Rush Raw'!BD14</f>
        <v>672036</v>
      </c>
      <c r="Y68" s="292"/>
      <c r="Z68" s="292"/>
      <c r="AA68" s="292"/>
      <c r="AB68" s="292"/>
      <c r="AC68" s="292"/>
      <c r="AD68" s="292"/>
      <c r="AE68" s="292"/>
      <c r="AF68" s="292"/>
    </row>
    <row r="69" spans="1:32">
      <c r="A69" s="282" t="s">
        <v>579</v>
      </c>
      <c r="C69" s="292"/>
      <c r="D69" s="292"/>
      <c r="E69" s="292"/>
      <c r="F69" s="292"/>
      <c r="G69" s="292"/>
      <c r="H69" s="292"/>
      <c r="I69" s="292"/>
      <c r="J69" s="292"/>
      <c r="K69" s="292"/>
      <c r="L69" s="292"/>
      <c r="M69" s="292"/>
      <c r="N69" s="292"/>
      <c r="O69" s="292"/>
      <c r="P69" s="292">
        <v>1276320.3700000001</v>
      </c>
      <c r="Q69" s="292">
        <v>1002511.16</v>
      </c>
      <c r="R69" s="292">
        <v>1273516.58</v>
      </c>
      <c r="S69" s="292">
        <v>997111.24</v>
      </c>
      <c r="T69" s="292">
        <v>1189350.08</v>
      </c>
      <c r="U69" s="292">
        <v>1270668.27</v>
      </c>
      <c r="V69" s="292">
        <v>1226047.78</v>
      </c>
      <c r="W69" s="292">
        <v>1100584.8900000001</v>
      </c>
      <c r="X69" s="292">
        <v>1307707.76</v>
      </c>
      <c r="Y69" s="292"/>
      <c r="Z69" s="292"/>
      <c r="AA69" s="292"/>
      <c r="AB69" s="292"/>
      <c r="AC69" s="292"/>
      <c r="AD69" s="292"/>
      <c r="AE69" s="292"/>
      <c r="AF69" s="292"/>
    </row>
    <row r="70" spans="1:32">
      <c r="A70" s="294" t="s">
        <v>606</v>
      </c>
      <c r="B70" s="294"/>
      <c r="C70" s="296"/>
      <c r="D70" s="296"/>
      <c r="E70" s="296"/>
      <c r="F70" s="296"/>
      <c r="G70" s="296"/>
      <c r="H70" s="296"/>
      <c r="I70" s="296"/>
      <c r="J70" s="296"/>
      <c r="K70" s="296"/>
      <c r="L70" s="296"/>
      <c r="M70" s="296"/>
      <c r="N70" s="296"/>
      <c r="O70" s="296"/>
      <c r="P70" s="296">
        <v>4679815.5</v>
      </c>
      <c r="Q70" s="296">
        <v>3605677.81</v>
      </c>
      <c r="R70" s="296">
        <v>4537663.3899999997</v>
      </c>
      <c r="S70" s="296">
        <v>3499971.43</v>
      </c>
      <c r="T70" s="296">
        <v>5612039.5899999999</v>
      </c>
      <c r="U70" s="296">
        <v>5360589.58</v>
      </c>
      <c r="V70" s="296">
        <v>4994965.55</v>
      </c>
      <c r="W70" s="296">
        <v>4160422.42</v>
      </c>
      <c r="X70" s="296">
        <v>4261787.9000000004</v>
      </c>
      <c r="Y70" s="292"/>
      <c r="Z70" s="292"/>
      <c r="AA70" s="292"/>
      <c r="AB70" s="292"/>
      <c r="AC70" s="292"/>
      <c r="AD70" s="292"/>
      <c r="AE70" s="292"/>
      <c r="AF70" s="292"/>
    </row>
    <row r="71" spans="1:32">
      <c r="A71" s="294" t="s">
        <v>607</v>
      </c>
      <c r="B71" s="294"/>
      <c r="C71" s="296"/>
      <c r="D71" s="296"/>
      <c r="E71" s="296"/>
      <c r="F71" s="296"/>
      <c r="G71" s="296"/>
      <c r="H71" s="296"/>
      <c r="I71" s="296"/>
      <c r="J71" s="296"/>
      <c r="K71" s="296"/>
      <c r="L71" s="296"/>
      <c r="M71" s="296"/>
      <c r="N71" s="296"/>
      <c r="O71" s="296"/>
      <c r="P71" s="296">
        <v>1864338.21</v>
      </c>
      <c r="Q71" s="296">
        <v>1336750.1299999999</v>
      </c>
      <c r="R71" s="296">
        <v>1172315.75</v>
      </c>
      <c r="S71" s="296">
        <v>1278388.4000000001</v>
      </c>
      <c r="T71" s="296">
        <v>2097771.46</v>
      </c>
      <c r="U71" s="296">
        <v>2314570.84</v>
      </c>
      <c r="V71" s="296">
        <v>1754598.4300000002</v>
      </c>
      <c r="W71" s="296">
        <v>1393506.22</v>
      </c>
      <c r="X71" s="296">
        <v>1294101.2999999998</v>
      </c>
      <c r="Y71" s="292"/>
      <c r="Z71" s="292"/>
      <c r="AA71" s="292"/>
      <c r="AB71" s="292"/>
      <c r="AC71" s="292"/>
      <c r="AD71" s="292"/>
      <c r="AE71" s="292"/>
      <c r="AF71" s="292"/>
    </row>
    <row r="72" spans="1:32">
      <c r="C72" s="292"/>
      <c r="D72" s="292"/>
      <c r="E72" s="292"/>
      <c r="F72" s="292"/>
      <c r="G72" s="292"/>
      <c r="H72" s="292"/>
      <c r="I72" s="292"/>
      <c r="J72" s="292"/>
      <c r="K72" s="292"/>
      <c r="L72" s="292"/>
      <c r="M72" s="292"/>
      <c r="N72" s="292"/>
      <c r="O72" s="292"/>
      <c r="P72" s="292"/>
      <c r="Q72" s="292"/>
      <c r="R72" s="292"/>
      <c r="S72" s="292"/>
      <c r="T72" s="292"/>
      <c r="U72" s="292"/>
      <c r="V72" s="292"/>
      <c r="W72" s="292"/>
      <c r="X72" s="292"/>
      <c r="Y72" s="292"/>
      <c r="Z72" s="292"/>
      <c r="AA72" s="292"/>
      <c r="AB72" s="292"/>
      <c r="AC72" s="292"/>
      <c r="AD72" s="292"/>
      <c r="AE72" s="292"/>
      <c r="AF72" s="292"/>
    </row>
    <row r="73" spans="1:32" ht="13">
      <c r="A73" s="290" t="s">
        <v>586</v>
      </c>
    </row>
    <row r="74" spans="1:32">
      <c r="A74" s="282" t="str">
        <f>+A65</f>
        <v>Google Trends - WW - Cettire</v>
      </c>
      <c r="B74" s="293"/>
      <c r="C74" s="293"/>
      <c r="D74" s="293"/>
      <c r="E74" s="293"/>
      <c r="F74" s="293"/>
      <c r="G74" s="293"/>
      <c r="H74" s="293"/>
      <c r="I74" s="293"/>
      <c r="J74" s="293"/>
      <c r="K74" s="293"/>
      <c r="L74" s="293"/>
      <c r="M74" s="293"/>
      <c r="N74" s="293"/>
      <c r="O74" s="293"/>
      <c r="P74" s="293">
        <f t="shared" ref="P74:X74" si="26">+P65/P36-1</f>
        <v>5.1383399209486091E-2</v>
      </c>
      <c r="Q74" s="293">
        <f t="shared" si="26"/>
        <v>8.9743589743589647E-2</v>
      </c>
      <c r="R74" s="293">
        <f t="shared" si="26"/>
        <v>0.31100478468899517</v>
      </c>
      <c r="S74" s="293">
        <f t="shared" si="26"/>
        <v>0.60451977401129953</v>
      </c>
      <c r="T74" s="293">
        <f t="shared" si="26"/>
        <v>0.8666666666666667</v>
      </c>
      <c r="U74" s="293">
        <f t="shared" si="26"/>
        <v>1.0416666666666665</v>
      </c>
      <c r="V74" s="293">
        <f t="shared" si="26"/>
        <v>1</v>
      </c>
      <c r="W74" s="293">
        <f t="shared" si="26"/>
        <v>0.68229166666666674</v>
      </c>
      <c r="X74" s="293">
        <f t="shared" si="26"/>
        <v>0.48780487804878048</v>
      </c>
    </row>
    <row r="75" spans="1:32">
      <c r="A75" s="282" t="str">
        <f t="shared" ref="A75:A80" si="27">+A66</f>
        <v>Google Trends - US - Cettire</v>
      </c>
      <c r="B75" s="293"/>
      <c r="C75" s="293"/>
      <c r="D75" s="293"/>
      <c r="E75" s="293"/>
      <c r="F75" s="293"/>
      <c r="G75" s="293"/>
      <c r="H75" s="293"/>
      <c r="I75" s="293"/>
      <c r="J75" s="293"/>
      <c r="K75" s="293"/>
      <c r="L75" s="293"/>
      <c r="M75" s="293"/>
      <c r="N75" s="293"/>
      <c r="O75" s="293"/>
      <c r="P75" s="293">
        <f t="shared" ref="P75:X75" si="28">+P66/P37-1</f>
        <v>0.3600000000000001</v>
      </c>
      <c r="Q75" s="293">
        <f t="shared" si="28"/>
        <v>0.45061728395061729</v>
      </c>
      <c r="R75" s="293">
        <f t="shared" si="28"/>
        <v>0.9051094890510949</v>
      </c>
      <c r="S75" s="293">
        <f t="shared" si="28"/>
        <v>1.2702702702702702</v>
      </c>
      <c r="T75" s="293">
        <f t="shared" si="28"/>
        <v>1.2456140350877192</v>
      </c>
      <c r="U75" s="293">
        <f t="shared" si="28"/>
        <v>1.7032967032967035</v>
      </c>
      <c r="V75" s="293">
        <f t="shared" si="28"/>
        <v>1.6666666666666665</v>
      </c>
      <c r="W75" s="293">
        <f t="shared" si="28"/>
        <v>0.65644171779141103</v>
      </c>
      <c r="X75" s="293">
        <f t="shared" si="28"/>
        <v>0.60451977401129953</v>
      </c>
    </row>
    <row r="76" spans="1:32">
      <c r="A76" s="282" t="str">
        <f t="shared" si="27"/>
        <v>SEM Rush - WW Visits - Cettire</v>
      </c>
      <c r="B76" s="293"/>
      <c r="C76" s="293"/>
      <c r="D76" s="293"/>
      <c r="E76" s="293"/>
      <c r="F76" s="293"/>
      <c r="G76" s="293"/>
      <c r="H76" s="293"/>
      <c r="I76" s="293"/>
      <c r="J76" s="293"/>
      <c r="K76" s="293"/>
      <c r="L76" s="293"/>
      <c r="M76" s="293"/>
      <c r="N76" s="293"/>
      <c r="O76" s="293"/>
      <c r="P76" s="293">
        <f t="shared" ref="P76:X76" si="29">+P67/P38-1</f>
        <v>-2.7975443743448736E-2</v>
      </c>
      <c r="Q76" s="293">
        <f t="shared" si="29"/>
        <v>-0.11932435286309062</v>
      </c>
      <c r="R76" s="293">
        <f t="shared" si="29"/>
        <v>0.85399091029644003</v>
      </c>
      <c r="S76" s="293">
        <f t="shared" si="29"/>
        <v>1.0438775042105468</v>
      </c>
      <c r="T76" s="293">
        <f t="shared" si="29"/>
        <v>0.88907049258657977</v>
      </c>
      <c r="U76" s="293">
        <f t="shared" si="29"/>
        <v>0.49160545410823642</v>
      </c>
      <c r="V76" s="293">
        <f t="shared" si="29"/>
        <v>0.35141238410906639</v>
      </c>
      <c r="W76" s="293">
        <f t="shared" si="29"/>
        <v>0.19731029860986204</v>
      </c>
      <c r="X76" s="293">
        <f t="shared" si="29"/>
        <v>0.32030065695204346</v>
      </c>
    </row>
    <row r="77" spans="1:32">
      <c r="A77" s="282" t="str">
        <f t="shared" si="27"/>
        <v>SEM Rush - WW UVs - Cettire</v>
      </c>
      <c r="B77" s="293"/>
      <c r="C77" s="293"/>
      <c r="D77" s="293"/>
      <c r="E77" s="293"/>
      <c r="F77" s="293"/>
      <c r="G77" s="293"/>
      <c r="H77" s="293"/>
      <c r="I77" s="293"/>
      <c r="J77" s="293"/>
      <c r="K77" s="293"/>
      <c r="L77" s="293"/>
      <c r="M77" s="293"/>
      <c r="N77" s="293"/>
      <c r="O77" s="293"/>
      <c r="P77" s="293">
        <f t="shared" ref="P77:X77" si="30">+P68/P39-1</f>
        <v>-0.15270812458059835</v>
      </c>
      <c r="Q77" s="293">
        <f t="shared" si="30"/>
        <v>-6.1159608206410088E-2</v>
      </c>
      <c r="R77" s="293">
        <f t="shared" si="30"/>
        <v>0.12553212590262586</v>
      </c>
      <c r="S77" s="293">
        <f t="shared" si="30"/>
        <v>0.27641779286672241</v>
      </c>
      <c r="T77" s="293">
        <f t="shared" si="30"/>
        <v>0.20749115705847299</v>
      </c>
      <c r="U77" s="293">
        <f t="shared" si="30"/>
        <v>9.1967606058483309E-2</v>
      </c>
      <c r="V77" s="293">
        <f t="shared" si="30"/>
        <v>7.3067971363909301E-3</v>
      </c>
      <c r="W77" s="293">
        <f t="shared" si="30"/>
        <v>0.18779338878169738</v>
      </c>
      <c r="X77" s="293">
        <f t="shared" si="30"/>
        <v>0.20231002909005036</v>
      </c>
    </row>
    <row r="78" spans="1:32">
      <c r="A78" s="282" t="str">
        <f t="shared" si="27"/>
        <v>CE - Cettire US Spend</v>
      </c>
      <c r="B78" s="293"/>
      <c r="C78" s="293"/>
      <c r="D78" s="293"/>
      <c r="E78" s="293"/>
      <c r="F78" s="293"/>
      <c r="G78" s="293"/>
      <c r="H78" s="293"/>
      <c r="I78" s="293"/>
      <c r="J78" s="293"/>
      <c r="K78" s="293"/>
      <c r="L78" s="293"/>
      <c r="M78" s="293"/>
      <c r="N78" s="293"/>
      <c r="O78" s="293"/>
      <c r="P78" s="293">
        <f t="shared" ref="P78:X78" si="31">+P69/P40-1</f>
        <v>0.49828420846208954</v>
      </c>
      <c r="Q78" s="293">
        <f t="shared" si="31"/>
        <v>0.4054377540791132</v>
      </c>
      <c r="R78" s="293">
        <f t="shared" si="31"/>
        <v>0.96343349679083423</v>
      </c>
      <c r="S78" s="293">
        <f t="shared" si="31"/>
        <v>0.90581245029098545</v>
      </c>
      <c r="T78" s="293">
        <f t="shared" si="31"/>
        <v>0.76108020848783609</v>
      </c>
      <c r="U78" s="293">
        <f t="shared" si="31"/>
        <v>1.4064237152682142</v>
      </c>
      <c r="V78" s="293">
        <f t="shared" si="31"/>
        <v>1.1431496506574965</v>
      </c>
      <c r="W78" s="293">
        <f t="shared" si="31"/>
        <v>0.34156306090578803</v>
      </c>
      <c r="X78" s="293">
        <f t="shared" si="31"/>
        <v>0.27514851316098654</v>
      </c>
    </row>
    <row r="79" spans="1:32">
      <c r="A79" s="294" t="str">
        <f t="shared" si="27"/>
        <v>CE - Farfetch US Spend</v>
      </c>
      <c r="B79" s="295"/>
      <c r="C79" s="295"/>
      <c r="D79" s="295"/>
      <c r="E79" s="295"/>
      <c r="F79" s="295"/>
      <c r="G79" s="295"/>
      <c r="H79" s="295"/>
      <c r="I79" s="295"/>
      <c r="J79" s="295"/>
      <c r="K79" s="295"/>
      <c r="L79" s="295"/>
      <c r="M79" s="295"/>
      <c r="N79" s="295"/>
      <c r="O79" s="295"/>
      <c r="P79" s="295">
        <f t="shared" ref="P79:X79" si="32">+P70/P41-1</f>
        <v>-0.19807630043454572</v>
      </c>
      <c r="Q79" s="295">
        <f t="shared" si="32"/>
        <v>-0.24406703386529882</v>
      </c>
      <c r="R79" s="295">
        <f t="shared" si="32"/>
        <v>-0.23128317356364481</v>
      </c>
      <c r="S79" s="295">
        <f t="shared" si="32"/>
        <v>-0.38340393841617282</v>
      </c>
      <c r="T79" s="295">
        <f t="shared" si="32"/>
        <v>-0.10595910011900722</v>
      </c>
      <c r="U79" s="295">
        <f t="shared" si="32"/>
        <v>-9.3220526359899303E-2</v>
      </c>
      <c r="V79" s="295">
        <f t="shared" si="32"/>
        <v>2.2778712643328314E-2</v>
      </c>
      <c r="W79" s="295">
        <f t="shared" si="32"/>
        <v>-0.26609224152616839</v>
      </c>
      <c r="X79" s="295">
        <f t="shared" si="32"/>
        <v>-9.5483470721064001E-2</v>
      </c>
    </row>
    <row r="80" spans="1:32">
      <c r="A80" s="294" t="str">
        <f t="shared" si="27"/>
        <v>CE - MyTheresa US Spend</v>
      </c>
      <c r="B80" s="295"/>
      <c r="C80" s="295"/>
      <c r="D80" s="295"/>
      <c r="E80" s="295"/>
      <c r="F80" s="295"/>
      <c r="G80" s="295"/>
      <c r="H80" s="295"/>
      <c r="I80" s="295"/>
      <c r="J80" s="295"/>
      <c r="K80" s="295"/>
      <c r="L80" s="295"/>
      <c r="M80" s="295"/>
      <c r="N80" s="295"/>
      <c r="O80" s="295"/>
      <c r="P80" s="295">
        <f t="shared" ref="P80:X80" si="33">+P71/P42-1</f>
        <v>0.11823357121496048</v>
      </c>
      <c r="Q80" s="295">
        <f t="shared" si="33"/>
        <v>-6.2058984896235736E-2</v>
      </c>
      <c r="R80" s="295">
        <f t="shared" si="33"/>
        <v>-3.4740111898326265E-2</v>
      </c>
      <c r="S80" s="295">
        <f t="shared" si="33"/>
        <v>-9.3609421199308818E-3</v>
      </c>
      <c r="T80" s="295">
        <f t="shared" si="33"/>
        <v>0.32467437813023148</v>
      </c>
      <c r="U80" s="295">
        <f t="shared" si="33"/>
        <v>0.65646861433359338</v>
      </c>
      <c r="V80" s="295">
        <f t="shared" si="33"/>
        <v>0.56649344307272842</v>
      </c>
      <c r="W80" s="295">
        <f t="shared" si="33"/>
        <v>0.18676076886697612</v>
      </c>
      <c r="X80" s="295">
        <f t="shared" si="33"/>
        <v>0.13077485926428323</v>
      </c>
    </row>
    <row r="82" spans="1:24" ht="13">
      <c r="A82" s="290" t="s">
        <v>608</v>
      </c>
    </row>
    <row r="83" spans="1:24">
      <c r="A83" s="282" t="str">
        <f>+A74</f>
        <v>Google Trends - WW - Cettire</v>
      </c>
      <c r="B83" s="293"/>
      <c r="C83" s="293"/>
      <c r="D83" s="293"/>
      <c r="E83" s="293"/>
      <c r="F83" s="293"/>
      <c r="G83" s="293"/>
      <c r="H83" s="293"/>
      <c r="I83" s="293"/>
      <c r="J83" s="293"/>
      <c r="K83" s="293"/>
      <c r="L83" s="293"/>
      <c r="M83" s="293"/>
      <c r="N83" s="293"/>
      <c r="O83" s="293"/>
      <c r="P83" s="293">
        <f t="shared" ref="P83:P89" si="34">+P65/AA36-1</f>
        <v>-5.673758865248224E-2</v>
      </c>
      <c r="Q83" s="293">
        <f t="shared" ref="Q83:X89" si="35">+Q65/P65-1</f>
        <v>-4.1353383458646586E-2</v>
      </c>
      <c r="R83" s="293">
        <f t="shared" si="35"/>
        <v>7.4509803921568585E-2</v>
      </c>
      <c r="S83" s="293">
        <f t="shared" si="35"/>
        <v>3.649635036496357E-2</v>
      </c>
      <c r="T83" s="293">
        <f t="shared" si="35"/>
        <v>8.4507042253521236E-2</v>
      </c>
      <c r="U83" s="293">
        <f t="shared" si="35"/>
        <v>-4.5454545454545414E-2</v>
      </c>
      <c r="V83" s="293">
        <f t="shared" si="35"/>
        <v>2.7210884353741527E-2</v>
      </c>
      <c r="W83" s="293">
        <f t="shared" si="35"/>
        <v>6.9536423841059625E-2</v>
      </c>
      <c r="X83" s="293">
        <f t="shared" si="35"/>
        <v>-5.5727554179566541E-2</v>
      </c>
    </row>
    <row r="84" spans="1:24">
      <c r="A84" s="282" t="str">
        <f t="shared" ref="A84:A89" si="36">+A75</f>
        <v>Google Trends - US - Cettire</v>
      </c>
      <c r="B84" s="293"/>
      <c r="C84" s="293"/>
      <c r="D84" s="293"/>
      <c r="E84" s="293"/>
      <c r="F84" s="293"/>
      <c r="G84" s="293"/>
      <c r="H84" s="293"/>
      <c r="I84" s="293"/>
      <c r="J84" s="293"/>
      <c r="K84" s="293"/>
      <c r="L84" s="293"/>
      <c r="M84" s="293"/>
      <c r="N84" s="293"/>
      <c r="O84" s="293"/>
      <c r="P84" s="293">
        <f t="shared" si="34"/>
        <v>-0.10861423220973787</v>
      </c>
      <c r="Q84" s="293">
        <f t="shared" si="35"/>
        <v>-1.2605042016806678E-2</v>
      </c>
      <c r="R84" s="293">
        <f t="shared" si="35"/>
        <v>0.11063829787234036</v>
      </c>
      <c r="S84" s="293">
        <f t="shared" si="35"/>
        <v>-3.4482758620689613E-2</v>
      </c>
      <c r="T84" s="293">
        <f t="shared" si="35"/>
        <v>1.5873015873015817E-2</v>
      </c>
      <c r="U84" s="293">
        <f t="shared" si="35"/>
        <v>-3.90625E-2</v>
      </c>
      <c r="V84" s="293">
        <f t="shared" si="35"/>
        <v>4.0650406504065151E-2</v>
      </c>
      <c r="W84" s="293">
        <f t="shared" si="35"/>
        <v>5.46875E-2</v>
      </c>
      <c r="X84" s="293">
        <f t="shared" si="35"/>
        <v>5.1851851851851816E-2</v>
      </c>
    </row>
    <row r="85" spans="1:24">
      <c r="A85" s="282" t="str">
        <f t="shared" si="36"/>
        <v>SEM Rush - WW Visits - Cettire</v>
      </c>
      <c r="B85" s="293"/>
      <c r="C85" s="293"/>
      <c r="D85" s="293"/>
      <c r="E85" s="293"/>
      <c r="F85" s="293"/>
      <c r="G85" s="293"/>
      <c r="H85" s="293"/>
      <c r="I85" s="293"/>
      <c r="J85" s="293"/>
      <c r="K85" s="293"/>
      <c r="L85" s="293"/>
      <c r="M85" s="293"/>
      <c r="N85" s="293"/>
      <c r="O85" s="293"/>
      <c r="P85" s="293">
        <f t="shared" si="34"/>
        <v>0.15423925430722352</v>
      </c>
      <c r="Q85" s="293">
        <f t="shared" si="35"/>
        <v>-0.3925960952736175</v>
      </c>
      <c r="R85" s="293">
        <f t="shared" si="35"/>
        <v>0.31711022708294978</v>
      </c>
      <c r="S85" s="293">
        <f t="shared" si="35"/>
        <v>1.3982017082990961E-2</v>
      </c>
      <c r="T85" s="293">
        <f t="shared" si="35"/>
        <v>0.3259642928369566</v>
      </c>
      <c r="U85" s="293">
        <f t="shared" si="35"/>
        <v>-0.19303599427001172</v>
      </c>
      <c r="V85" s="293">
        <f t="shared" si="35"/>
        <v>-0.17114673967112037</v>
      </c>
      <c r="W85" s="293">
        <f t="shared" si="35"/>
        <v>8.7725044703446109E-2</v>
      </c>
      <c r="X85" s="293">
        <f t="shared" si="35"/>
        <v>1.4936911987885715E-2</v>
      </c>
    </row>
    <row r="86" spans="1:24">
      <c r="A86" s="282" t="str">
        <f t="shared" si="36"/>
        <v>SEM Rush - WW UVs - Cettire</v>
      </c>
      <c r="B86" s="293"/>
      <c r="C86" s="293"/>
      <c r="D86" s="293"/>
      <c r="E86" s="293"/>
      <c r="F86" s="293"/>
      <c r="G86" s="293"/>
      <c r="H86" s="293"/>
      <c r="I86" s="293"/>
      <c r="J86" s="293"/>
      <c r="K86" s="293"/>
      <c r="L86" s="293"/>
      <c r="M86" s="293"/>
      <c r="N86" s="293"/>
      <c r="O86" s="293"/>
      <c r="P86" s="293">
        <f t="shared" si="34"/>
        <v>9.53162804926313E-2</v>
      </c>
      <c r="Q86" s="293">
        <f t="shared" si="35"/>
        <v>-0.29432553815444984</v>
      </c>
      <c r="R86" s="293">
        <f t="shared" si="35"/>
        <v>-0.16761022782469825</v>
      </c>
      <c r="S86" s="293">
        <f t="shared" si="35"/>
        <v>0.13134518926881</v>
      </c>
      <c r="T86" s="293">
        <f t="shared" si="35"/>
        <v>0.22351407708709581</v>
      </c>
      <c r="U86" s="293">
        <f t="shared" si="35"/>
        <v>-0.13877769170254806</v>
      </c>
      <c r="V86" s="293">
        <f t="shared" si="35"/>
        <v>-0.12542639507543318</v>
      </c>
      <c r="W86" s="293">
        <f t="shared" si="35"/>
        <v>0.15638633754305387</v>
      </c>
      <c r="X86" s="293">
        <f t="shared" si="35"/>
        <v>-7.3300486904865347E-2</v>
      </c>
    </row>
    <row r="87" spans="1:24">
      <c r="A87" s="282" t="str">
        <f t="shared" si="36"/>
        <v>CE - Cettire US Spend</v>
      </c>
      <c r="B87" s="293"/>
      <c r="C87" s="293"/>
      <c r="D87" s="293"/>
      <c r="E87" s="293"/>
      <c r="F87" s="293"/>
      <c r="G87" s="293"/>
      <c r="H87" s="293"/>
      <c r="I87" s="293"/>
      <c r="J87" s="293"/>
      <c r="K87" s="293"/>
      <c r="L87" s="293"/>
      <c r="M87" s="293"/>
      <c r="N87" s="293"/>
      <c r="O87" s="293"/>
      <c r="P87" s="293">
        <f t="shared" si="34"/>
        <v>-3.0308097874730211E-2</v>
      </c>
      <c r="Q87" s="293">
        <f t="shared" si="35"/>
        <v>-0.21453015750269666</v>
      </c>
      <c r="R87" s="293">
        <f t="shared" si="35"/>
        <v>0.27032658668857112</v>
      </c>
      <c r="S87" s="293">
        <f t="shared" si="35"/>
        <v>-0.21704102195512842</v>
      </c>
      <c r="T87" s="293">
        <f t="shared" si="35"/>
        <v>0.19279578073956927</v>
      </c>
      <c r="U87" s="293">
        <f t="shared" si="35"/>
        <v>6.8371954874716145E-2</v>
      </c>
      <c r="V87" s="293">
        <f t="shared" si="35"/>
        <v>-3.5115766288867811E-2</v>
      </c>
      <c r="W87" s="293">
        <f t="shared" si="35"/>
        <v>-0.10233115874162746</v>
      </c>
      <c r="X87" s="293">
        <f t="shared" si="35"/>
        <v>0.18819345230153028</v>
      </c>
    </row>
    <row r="88" spans="1:24">
      <c r="A88" s="294" t="str">
        <f t="shared" si="36"/>
        <v>CE - Farfetch US Spend</v>
      </c>
      <c r="B88" s="295"/>
      <c r="C88" s="295"/>
      <c r="D88" s="295"/>
      <c r="E88" s="295"/>
      <c r="F88" s="295"/>
      <c r="G88" s="295"/>
      <c r="H88" s="295"/>
      <c r="I88" s="295"/>
      <c r="J88" s="295"/>
      <c r="K88" s="295"/>
      <c r="L88" s="295"/>
      <c r="M88" s="295"/>
      <c r="N88" s="295"/>
      <c r="O88" s="295"/>
      <c r="P88" s="295">
        <f t="shared" si="34"/>
        <v>-0.22672351852052919</v>
      </c>
      <c r="Q88" s="295">
        <f t="shared" si="35"/>
        <v>-0.2295256490346681</v>
      </c>
      <c r="R88" s="295">
        <f t="shared" si="35"/>
        <v>0.25847722095835279</v>
      </c>
      <c r="S88" s="295">
        <f t="shared" si="35"/>
        <v>-0.22868420832775782</v>
      </c>
      <c r="T88" s="295">
        <f t="shared" si="35"/>
        <v>0.60345297161468525</v>
      </c>
      <c r="U88" s="295">
        <f t="shared" si="35"/>
        <v>-4.4805459043456231E-2</v>
      </c>
      <c r="V88" s="295">
        <f t="shared" si="35"/>
        <v>-6.8205936034371861E-2</v>
      </c>
      <c r="W88" s="295">
        <f t="shared" si="35"/>
        <v>-0.16707685401353767</v>
      </c>
      <c r="X88" s="295">
        <f t="shared" si="35"/>
        <v>2.4364227899723812E-2</v>
      </c>
    </row>
    <row r="89" spans="1:24">
      <c r="A89" s="294" t="str">
        <f t="shared" si="36"/>
        <v>CE - MyTheresa US Spend</v>
      </c>
      <c r="B89" s="295"/>
      <c r="C89" s="295"/>
      <c r="D89" s="295"/>
      <c r="E89" s="295"/>
      <c r="F89" s="295"/>
      <c r="G89" s="295"/>
      <c r="H89" s="295"/>
      <c r="I89" s="295"/>
      <c r="J89" s="295"/>
      <c r="K89" s="295"/>
      <c r="L89" s="295"/>
      <c r="M89" s="295"/>
      <c r="N89" s="295"/>
      <c r="O89" s="295"/>
      <c r="P89" s="295">
        <f t="shared" si="34"/>
        <v>0.20023961681550229</v>
      </c>
      <c r="Q89" s="295">
        <f t="shared" si="35"/>
        <v>-0.28298946895477728</v>
      </c>
      <c r="R89" s="295">
        <f t="shared" si="35"/>
        <v>-0.12301055845044118</v>
      </c>
      <c r="S89" s="295">
        <f t="shared" si="35"/>
        <v>9.0481297380846426E-2</v>
      </c>
      <c r="T89" s="295">
        <f t="shared" si="35"/>
        <v>0.64095001174916777</v>
      </c>
      <c r="U89" s="295">
        <f t="shared" si="35"/>
        <v>0.10334747332295202</v>
      </c>
      <c r="V89" s="295">
        <f t="shared" si="35"/>
        <v>-0.2419335802225866</v>
      </c>
      <c r="W89" s="295">
        <f t="shared" si="35"/>
        <v>-0.20579763655664518</v>
      </c>
      <c r="X89" s="295">
        <f t="shared" si="35"/>
        <v>-7.1334392752118614E-2</v>
      </c>
    </row>
  </sheetData>
  <printOptions horizontalCentered="1"/>
  <pageMargins left="0.3" right="0.3" top="0.3" bottom="0.3" header="0.3" footer="0.3"/>
  <pageSetup scale="57" fitToHeight="0" orientation="portrait" r:id="rId1"/>
  <headerFooter>
    <oddFooter>Page &amp;P of &amp;N</oddFooter>
  </headerFooter>
  <colBreaks count="1" manualBreakCount="1">
    <brk id="15" max="89"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C067D-697A-4A91-85F2-A20903A92D6A}">
  <dimension ref="A1:AY266"/>
  <sheetViews>
    <sheetView workbookViewId="0">
      <selection activeCell="D6" sqref="D6"/>
    </sheetView>
  </sheetViews>
  <sheetFormatPr defaultRowHeight="14.5"/>
  <cols>
    <col min="1" max="1" width="12.1796875" customWidth="1"/>
    <col min="21" max="21" width="9.7265625" customWidth="1"/>
  </cols>
  <sheetData>
    <row r="1" spans="1:51" s="282" customFormat="1" ht="13">
      <c r="A1" s="237" t="s">
        <v>0</v>
      </c>
      <c r="L1" s="283"/>
      <c r="N1" s="284"/>
      <c r="P1" s="285"/>
      <c r="Q1" s="285"/>
      <c r="R1" s="285"/>
      <c r="S1" s="285"/>
      <c r="U1" s="283">
        <f ca="1">TODAY()</f>
        <v>45797</v>
      </c>
    </row>
    <row r="2" spans="1:51" s="282" customFormat="1" ht="13">
      <c r="A2" s="286" t="s">
        <v>609</v>
      </c>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row>
    <row r="3" spans="1:51" s="282" customFormat="1" ht="13">
      <c r="A3" s="288"/>
      <c r="C3" s="289"/>
      <c r="D3" s="289"/>
      <c r="E3" s="289"/>
      <c r="F3" s="289"/>
      <c r="G3" s="289">
        <f ca="1">TODAY()</f>
        <v>45797</v>
      </c>
      <c r="H3" s="289">
        <v>45107</v>
      </c>
      <c r="I3" s="289">
        <v>45473</v>
      </c>
      <c r="J3" s="289">
        <v>45838</v>
      </c>
      <c r="K3" s="289">
        <v>46203</v>
      </c>
      <c r="L3" s="289">
        <v>46568</v>
      </c>
      <c r="M3" s="289"/>
      <c r="N3" s="289"/>
      <c r="O3" s="289"/>
      <c r="P3" s="289"/>
      <c r="Q3" s="289"/>
      <c r="R3" s="289"/>
      <c r="S3" s="289"/>
    </row>
    <row r="4" spans="1:51" ht="17">
      <c r="A4" s="288"/>
      <c r="B4" s="282"/>
      <c r="C4" s="289"/>
      <c r="D4" s="289"/>
      <c r="E4" s="289"/>
      <c r="F4" s="289"/>
      <c r="G4" s="255" t="s">
        <v>570</v>
      </c>
      <c r="H4" s="44"/>
      <c r="I4" s="44"/>
      <c r="J4" s="44"/>
      <c r="K4" s="44"/>
      <c r="L4" s="44"/>
      <c r="M4" s="44"/>
      <c r="N4" s="44"/>
      <c r="O4" s="44"/>
      <c r="P4" s="44"/>
      <c r="Q4" s="44"/>
      <c r="R4" s="44"/>
      <c r="S4" s="44"/>
      <c r="T4" s="44"/>
      <c r="U4" s="44"/>
    </row>
    <row r="5" spans="1:51" ht="16">
      <c r="A5" t="s">
        <v>610</v>
      </c>
      <c r="B5" t="s">
        <v>611</v>
      </c>
      <c r="C5" t="s">
        <v>612</v>
      </c>
      <c r="G5" s="16" t="s">
        <v>197</v>
      </c>
      <c r="H5" s="16" t="s">
        <v>198</v>
      </c>
      <c r="I5" s="16" t="s">
        <v>199</v>
      </c>
      <c r="J5" s="16" t="s">
        <v>200</v>
      </c>
      <c r="K5" s="16" t="s">
        <v>201</v>
      </c>
      <c r="L5" s="16" t="s">
        <v>202</v>
      </c>
      <c r="M5" s="16" t="s">
        <v>203</v>
      </c>
      <c r="N5" s="16" t="s">
        <v>204</v>
      </c>
      <c r="O5" s="16" t="s">
        <v>205</v>
      </c>
      <c r="P5" s="16" t="s">
        <v>206</v>
      </c>
      <c r="Q5" s="16" t="s">
        <v>207</v>
      </c>
      <c r="R5" s="16" t="s">
        <v>208</v>
      </c>
      <c r="S5" s="16" t="s">
        <v>209</v>
      </c>
      <c r="T5" s="16" t="s">
        <v>210</v>
      </c>
      <c r="U5" s="16" t="s">
        <v>259</v>
      </c>
    </row>
    <row r="6" spans="1:51">
      <c r="A6" s="215">
        <v>43380</v>
      </c>
      <c r="B6">
        <v>1</v>
      </c>
      <c r="C6">
        <v>2</v>
      </c>
      <c r="F6" t="s">
        <v>613</v>
      </c>
      <c r="G6">
        <f>SUM(B71:B83)</f>
        <v>69</v>
      </c>
      <c r="H6">
        <f>SUM(B84:B96)</f>
        <v>129</v>
      </c>
      <c r="I6">
        <f>SUM(B97:B109)</f>
        <v>146</v>
      </c>
      <c r="J6">
        <f>SUM(B110:B122)</f>
        <v>247</v>
      </c>
      <c r="K6">
        <f>SUM(B123:B135)</f>
        <v>200</v>
      </c>
      <c r="L6">
        <f>SUM(B136:B148)</f>
        <v>309</v>
      </c>
      <c r="M6">
        <f>SUM(B149:B161)</f>
        <v>382</v>
      </c>
      <c r="N6">
        <f>SUM(B162:B174)</f>
        <v>888</v>
      </c>
      <c r="O6">
        <f>SUM(B175:B187)</f>
        <v>754</v>
      </c>
      <c r="P6">
        <f>SUM(B188:B200)</f>
        <v>527</v>
      </c>
      <c r="Q6">
        <f>SUM(B201:B213)</f>
        <v>591</v>
      </c>
      <c r="R6">
        <f>SUM(B214:B226)</f>
        <v>900</v>
      </c>
      <c r="S6">
        <f>SUM(B227:B239)</f>
        <v>863</v>
      </c>
      <c r="T6">
        <f>SUM(B240:B252)</f>
        <v>962</v>
      </c>
      <c r="U6">
        <f>SUM(B253:B265)</f>
        <v>1011</v>
      </c>
    </row>
    <row r="7" spans="1:51">
      <c r="A7" s="215">
        <v>43387</v>
      </c>
      <c r="B7">
        <v>0</v>
      </c>
      <c r="C7">
        <v>1</v>
      </c>
      <c r="F7" t="s">
        <v>614</v>
      </c>
      <c r="G7">
        <f>SUM(C71:C83)</f>
        <v>57</v>
      </c>
      <c r="H7">
        <f>SUM(C84:C96)</f>
        <v>124</v>
      </c>
      <c r="I7">
        <f>SUM(C97:C109)</f>
        <v>131</v>
      </c>
      <c r="J7">
        <f>SUM(C110:C122)</f>
        <v>178</v>
      </c>
      <c r="K7">
        <f>SUM(C123:C135)</f>
        <v>165</v>
      </c>
      <c r="L7">
        <f>SUM(C136:C148)</f>
        <v>267</v>
      </c>
      <c r="M7">
        <f>SUM(C149:C161)</f>
        <v>307</v>
      </c>
      <c r="N7">
        <f>SUM(C162:C174)</f>
        <v>552</v>
      </c>
      <c r="O7">
        <f>SUM(C175:C187)</f>
        <v>512</v>
      </c>
      <c r="P7">
        <f>SUM(C188:C200)</f>
        <v>340</v>
      </c>
      <c r="Q7">
        <f>SUM(C201:C213)</f>
        <v>470</v>
      </c>
      <c r="R7">
        <f>SUM(C214:C226)</f>
        <v>863</v>
      </c>
      <c r="S7">
        <f>SUM(C227:C239)</f>
        <v>797</v>
      </c>
      <c r="T7">
        <f>SUM(C240:C252)</f>
        <v>825</v>
      </c>
      <c r="U7">
        <f>SUM(C253:C265)</f>
        <v>879</v>
      </c>
    </row>
    <row r="8" spans="1:51">
      <c r="A8" s="215">
        <v>43394</v>
      </c>
      <c r="B8">
        <v>2</v>
      </c>
      <c r="C8">
        <v>2</v>
      </c>
    </row>
    <row r="9" spans="1:51">
      <c r="A9" s="215">
        <v>43401</v>
      </c>
      <c r="B9">
        <v>3</v>
      </c>
      <c r="C9">
        <v>0</v>
      </c>
    </row>
    <row r="10" spans="1:51" ht="17">
      <c r="A10" s="215">
        <v>43408</v>
      </c>
      <c r="B10">
        <v>0</v>
      </c>
      <c r="C10">
        <v>1</v>
      </c>
      <c r="F10" s="289"/>
      <c r="G10" s="255" t="s">
        <v>570</v>
      </c>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row>
    <row r="11" spans="1:51" ht="16">
      <c r="A11" s="215">
        <v>43415</v>
      </c>
      <c r="B11">
        <v>2</v>
      </c>
      <c r="C11">
        <v>3</v>
      </c>
      <c r="G11" s="152">
        <v>43831</v>
      </c>
      <c r="H11" s="152">
        <f>+G11+31</f>
        <v>43862</v>
      </c>
      <c r="I11" s="152">
        <f t="shared" ref="I11:U11" si="0">+H11+31</f>
        <v>43893</v>
      </c>
      <c r="J11" s="152">
        <f t="shared" si="0"/>
        <v>43924</v>
      </c>
      <c r="K11" s="152">
        <f t="shared" si="0"/>
        <v>43955</v>
      </c>
      <c r="L11" s="152">
        <f t="shared" si="0"/>
        <v>43986</v>
      </c>
      <c r="M11" s="152">
        <f t="shared" si="0"/>
        <v>44017</v>
      </c>
      <c r="N11" s="152">
        <f t="shared" si="0"/>
        <v>44048</v>
      </c>
      <c r="O11" s="152">
        <f t="shared" si="0"/>
        <v>44079</v>
      </c>
      <c r="P11" s="152">
        <f t="shared" si="0"/>
        <v>44110</v>
      </c>
      <c r="Q11" s="152">
        <f t="shared" si="0"/>
        <v>44141</v>
      </c>
      <c r="R11" s="152">
        <f t="shared" si="0"/>
        <v>44172</v>
      </c>
      <c r="S11" s="152">
        <f t="shared" si="0"/>
        <v>44203</v>
      </c>
      <c r="T11" s="152">
        <f t="shared" si="0"/>
        <v>44234</v>
      </c>
      <c r="U11" s="152">
        <f t="shared" si="0"/>
        <v>44265</v>
      </c>
      <c r="V11" s="152">
        <f t="shared" ref="V11:AN11" si="1">+U11+31</f>
        <v>44296</v>
      </c>
      <c r="W11" s="152">
        <f t="shared" si="1"/>
        <v>44327</v>
      </c>
      <c r="X11" s="152">
        <f t="shared" si="1"/>
        <v>44358</v>
      </c>
      <c r="Y11" s="152">
        <f t="shared" si="1"/>
        <v>44389</v>
      </c>
      <c r="Z11" s="152">
        <f t="shared" si="1"/>
        <v>44420</v>
      </c>
      <c r="AA11" s="152">
        <f t="shared" si="1"/>
        <v>44451</v>
      </c>
      <c r="AB11" s="152">
        <f t="shared" si="1"/>
        <v>44482</v>
      </c>
      <c r="AC11" s="152">
        <f t="shared" si="1"/>
        <v>44513</v>
      </c>
      <c r="AD11" s="152">
        <f t="shared" si="1"/>
        <v>44544</v>
      </c>
      <c r="AE11" s="152">
        <f t="shared" si="1"/>
        <v>44575</v>
      </c>
      <c r="AF11" s="152">
        <f t="shared" si="1"/>
        <v>44606</v>
      </c>
      <c r="AG11" s="152">
        <f t="shared" si="1"/>
        <v>44637</v>
      </c>
      <c r="AH11" s="152">
        <f t="shared" si="1"/>
        <v>44668</v>
      </c>
      <c r="AI11" s="152">
        <f t="shared" si="1"/>
        <v>44699</v>
      </c>
      <c r="AJ11" s="152">
        <f t="shared" si="1"/>
        <v>44730</v>
      </c>
      <c r="AK11" s="152">
        <f t="shared" si="1"/>
        <v>44761</v>
      </c>
      <c r="AL11" s="152">
        <f t="shared" si="1"/>
        <v>44792</v>
      </c>
      <c r="AM11" s="152">
        <f t="shared" si="1"/>
        <v>44823</v>
      </c>
      <c r="AN11" s="152">
        <f t="shared" si="1"/>
        <v>44854</v>
      </c>
      <c r="AO11" s="152">
        <f t="shared" ref="AO11:AY11" si="2">+AN11+31</f>
        <v>44885</v>
      </c>
      <c r="AP11" s="152">
        <f t="shared" si="2"/>
        <v>44916</v>
      </c>
      <c r="AQ11" s="152">
        <f t="shared" si="2"/>
        <v>44947</v>
      </c>
      <c r="AR11" s="152">
        <f t="shared" si="2"/>
        <v>44978</v>
      </c>
      <c r="AS11" s="152">
        <f t="shared" si="2"/>
        <v>45009</v>
      </c>
      <c r="AT11" s="152">
        <f t="shared" si="2"/>
        <v>45040</v>
      </c>
      <c r="AU11" s="152">
        <f t="shared" si="2"/>
        <v>45071</v>
      </c>
      <c r="AV11" s="152">
        <f t="shared" si="2"/>
        <v>45102</v>
      </c>
      <c r="AW11" s="152">
        <f t="shared" si="2"/>
        <v>45133</v>
      </c>
      <c r="AX11" s="152">
        <f t="shared" si="2"/>
        <v>45164</v>
      </c>
      <c r="AY11" s="152">
        <f t="shared" si="2"/>
        <v>45195</v>
      </c>
    </row>
    <row r="12" spans="1:51">
      <c r="A12" s="215">
        <v>43422</v>
      </c>
      <c r="B12">
        <v>3</v>
      </c>
      <c r="C12">
        <v>0</v>
      </c>
      <c r="F12" t="s">
        <v>613</v>
      </c>
      <c r="G12">
        <f>+SUM(B71:B74)</f>
        <v>20</v>
      </c>
      <c r="H12">
        <f>+SUM(B75:B78)</f>
        <v>24</v>
      </c>
      <c r="I12">
        <f>+SUM(B79:B82)</f>
        <v>18</v>
      </c>
      <c r="J12">
        <f>+SUM(B84:B87)</f>
        <v>39</v>
      </c>
      <c r="K12">
        <f>+SUM(B88:B91)</f>
        <v>46</v>
      </c>
      <c r="L12">
        <f>+SUM(B93:B96)</f>
        <v>36</v>
      </c>
      <c r="M12">
        <f>+SUM(B97:B100)</f>
        <v>44</v>
      </c>
      <c r="N12">
        <f>+SUM(B101:B104)</f>
        <v>42</v>
      </c>
      <c r="O12">
        <f>+SUM(B106:B109)</f>
        <v>48</v>
      </c>
      <c r="P12">
        <f>+SUM(B110:B113)</f>
        <v>60</v>
      </c>
      <c r="Q12">
        <f>+SUM(B114:B117)</f>
        <v>91</v>
      </c>
      <c r="R12">
        <f>+SUM(B119:B122)</f>
        <v>70</v>
      </c>
      <c r="S12">
        <f>+SUM(B123:B126)</f>
        <v>59</v>
      </c>
      <c r="T12">
        <f>+SUM(B128:B131)</f>
        <v>57</v>
      </c>
      <c r="U12">
        <f>+SUM(B132:B135)</f>
        <v>69</v>
      </c>
      <c r="V12">
        <f>+SUM(B136:B139)</f>
        <v>83</v>
      </c>
      <c r="W12">
        <f>+SUM(B140:B143)</f>
        <v>103</v>
      </c>
      <c r="X12">
        <f>+SUM(B145:B148)</f>
        <v>96</v>
      </c>
      <c r="Y12">
        <f>+SUM(B149:B152)</f>
        <v>103</v>
      </c>
      <c r="Z12">
        <f>+SUM(B153:B156)</f>
        <v>111</v>
      </c>
      <c r="AA12">
        <f>+SUM(B158:B161)</f>
        <v>141</v>
      </c>
      <c r="AB12">
        <f>+SUM(B162:B165)</f>
        <v>198</v>
      </c>
      <c r="AC12">
        <f>+SUM(B167:B170)</f>
        <v>332</v>
      </c>
      <c r="AD12">
        <f>+SUM(B171:B174)</f>
        <v>295</v>
      </c>
      <c r="AE12">
        <f>+SUM(B175:B178)</f>
        <v>253</v>
      </c>
      <c r="AF12">
        <f>+SUM(B180:B183)</f>
        <v>234</v>
      </c>
      <c r="AG12">
        <f>+SUM(B184:B187)</f>
        <v>209</v>
      </c>
      <c r="AH12">
        <f>+SUM(B188:B191)</f>
        <v>177</v>
      </c>
      <c r="AI12">
        <f>+SUM(B192:B195)</f>
        <v>165</v>
      </c>
      <c r="AJ12">
        <f>+SUM(B197:B200)</f>
        <v>144</v>
      </c>
      <c r="AK12">
        <f>+SUM(B201:B204)</f>
        <v>151</v>
      </c>
      <c r="AL12">
        <f>+SUM(B206:B209)</f>
        <v>192</v>
      </c>
      <c r="AM12">
        <f>+SUM(B210:B213)</f>
        <v>205</v>
      </c>
      <c r="AN12">
        <f>+SUM(B214:B217)</f>
        <v>233</v>
      </c>
      <c r="AO12">
        <f>+SUM(B219:B222)</f>
        <v>324</v>
      </c>
      <c r="AP12">
        <f>+SUM(B223:B226)</f>
        <v>282</v>
      </c>
      <c r="AQ12">
        <f>+SUM(B227:B230)</f>
        <v>266</v>
      </c>
      <c r="AR12">
        <f>+SUM(B232:B235)</f>
        <v>255</v>
      </c>
      <c r="AS12">
        <f>+SUM(B236:B239)</f>
        <v>274</v>
      </c>
      <c r="AT12">
        <f>+SUM(B240:B243)</f>
        <v>284</v>
      </c>
      <c r="AU12">
        <f>+SUM(B245:B248)</f>
        <v>308</v>
      </c>
      <c r="AV12">
        <f>+SUM(B249:B252)</f>
        <v>294</v>
      </c>
      <c r="AW12">
        <f>+SUM(B253:B256)</f>
        <v>302</v>
      </c>
      <c r="AX12">
        <f>+SUM(B258:B261)</f>
        <v>323</v>
      </c>
      <c r="AY12">
        <f>+SUM(B262:B265)</f>
        <v>305</v>
      </c>
    </row>
    <row r="13" spans="1:51">
      <c r="A13" s="215">
        <v>43429</v>
      </c>
      <c r="B13">
        <v>1</v>
      </c>
      <c r="C13">
        <v>0</v>
      </c>
      <c r="F13" t="s">
        <v>614</v>
      </c>
      <c r="G13">
        <f>+SUM(C71:C74)</f>
        <v>16</v>
      </c>
      <c r="H13">
        <f>+SUM(C75:C78)</f>
        <v>21</v>
      </c>
      <c r="I13">
        <f>+SUM(C79:C82)</f>
        <v>11</v>
      </c>
      <c r="J13">
        <f>+SUM(C84:C87)</f>
        <v>36</v>
      </c>
      <c r="K13">
        <f>+SUM(C88:C91)</f>
        <v>41</v>
      </c>
      <c r="L13">
        <f>+SUM(C93:C96)</f>
        <v>38</v>
      </c>
      <c r="M13">
        <f>+SUM(C97:C100)</f>
        <v>45</v>
      </c>
      <c r="N13">
        <f>+SUM(C101:C104)</f>
        <v>32</v>
      </c>
      <c r="O13">
        <f>+SUM(C106:C109)</f>
        <v>43</v>
      </c>
      <c r="P13">
        <f>+SUM(C110:C113)</f>
        <v>47</v>
      </c>
      <c r="Q13">
        <f>+SUM(C114:C117)</f>
        <v>66</v>
      </c>
      <c r="R13">
        <f>+SUM(C119:C122)</f>
        <v>47</v>
      </c>
      <c r="S13">
        <f>+SUM(C123:C126)</f>
        <v>46</v>
      </c>
      <c r="T13">
        <f>+SUM(C128:C131)</f>
        <v>46</v>
      </c>
      <c r="U13">
        <f>+SUM(C132:C135)</f>
        <v>61</v>
      </c>
      <c r="V13">
        <f>+SUM(C136:C139)</f>
        <v>78</v>
      </c>
      <c r="W13">
        <f>+SUM(C140:C143)</f>
        <v>86</v>
      </c>
      <c r="X13">
        <f>+SUM(C145:C148)</f>
        <v>80</v>
      </c>
      <c r="Y13">
        <f>+SUM(C149:C152)</f>
        <v>82</v>
      </c>
      <c r="Z13">
        <f>+SUM(C153:C156)</f>
        <v>97</v>
      </c>
      <c r="AA13">
        <f>+SUM(C158:C161)</f>
        <v>105</v>
      </c>
      <c r="AB13">
        <f>+SUM(C162:C165)</f>
        <v>136</v>
      </c>
      <c r="AC13">
        <f>+SUM(C167:C170)</f>
        <v>208</v>
      </c>
      <c r="AD13">
        <f>+SUM(C171:C174)</f>
        <v>165</v>
      </c>
      <c r="AE13">
        <f>+SUM(C175:C178)</f>
        <v>175</v>
      </c>
      <c r="AF13">
        <f>+SUM(C180:C183)</f>
        <v>162</v>
      </c>
      <c r="AG13">
        <f>+SUM(C184:C187)</f>
        <v>137</v>
      </c>
      <c r="AH13">
        <f>+SUM(C188:C191)</f>
        <v>111</v>
      </c>
      <c r="AI13">
        <f>+SUM(C192:C195)</f>
        <v>114</v>
      </c>
      <c r="AJ13">
        <f>+SUM(C197:C200)</f>
        <v>91</v>
      </c>
      <c r="AK13">
        <f>+SUM(C201:C204)</f>
        <v>96</v>
      </c>
      <c r="AL13">
        <f>+SUM(C206:C209)</f>
        <v>163</v>
      </c>
      <c r="AM13">
        <f>+SUM(C210:C213)</f>
        <v>177</v>
      </c>
      <c r="AN13">
        <f>+SUM(C214:C217)</f>
        <v>212</v>
      </c>
      <c r="AO13">
        <f>+SUM(C219:C222)</f>
        <v>323</v>
      </c>
      <c r="AP13">
        <f>+SUM(C223:C226)</f>
        <v>267</v>
      </c>
      <c r="AQ13">
        <f>+SUM(C227:C230)</f>
        <v>238</v>
      </c>
      <c r="AR13">
        <f>+SUM(C232:C235)</f>
        <v>235</v>
      </c>
      <c r="AS13">
        <f>+SUM(C236:C239)</f>
        <v>261</v>
      </c>
      <c r="AT13">
        <f>+SUM(C240:C243)</f>
        <v>252</v>
      </c>
      <c r="AU13">
        <f>+SUM(C245:C248)</f>
        <v>256</v>
      </c>
      <c r="AV13">
        <f>+SUM(C249:C252)</f>
        <v>246</v>
      </c>
      <c r="AW13">
        <f>+SUM(C253:C256)</f>
        <v>256</v>
      </c>
      <c r="AX13">
        <f>+SUM(C258:C261)</f>
        <v>270</v>
      </c>
      <c r="AY13">
        <f>+SUM(C262:C265)</f>
        <v>284</v>
      </c>
    </row>
    <row r="14" spans="1:51">
      <c r="A14" s="215">
        <v>43436</v>
      </c>
      <c r="B14">
        <v>2</v>
      </c>
      <c r="C14">
        <v>1</v>
      </c>
    </row>
    <row r="15" spans="1:51">
      <c r="A15" s="215">
        <v>43443</v>
      </c>
      <c r="B15">
        <v>3</v>
      </c>
      <c r="C15">
        <v>0</v>
      </c>
    </row>
    <row r="16" spans="1:51">
      <c r="A16" s="215">
        <v>43450</v>
      </c>
      <c r="B16">
        <v>1</v>
      </c>
      <c r="C16">
        <v>2</v>
      </c>
    </row>
    <row r="17" spans="1:3">
      <c r="A17" s="215">
        <v>43457</v>
      </c>
      <c r="B17">
        <v>2</v>
      </c>
      <c r="C17">
        <v>3</v>
      </c>
    </row>
    <row r="18" spans="1:3">
      <c r="A18" s="215">
        <v>43464</v>
      </c>
      <c r="B18">
        <v>0</v>
      </c>
      <c r="C18">
        <v>1</v>
      </c>
    </row>
    <row r="19" spans="1:3">
      <c r="A19" s="215">
        <v>43471</v>
      </c>
      <c r="B19">
        <v>1</v>
      </c>
      <c r="C19">
        <v>0</v>
      </c>
    </row>
    <row r="20" spans="1:3">
      <c r="A20" s="215">
        <v>43478</v>
      </c>
      <c r="B20">
        <v>2</v>
      </c>
      <c r="C20">
        <v>0</v>
      </c>
    </row>
    <row r="21" spans="1:3">
      <c r="A21" s="215">
        <v>43485</v>
      </c>
      <c r="B21">
        <v>2</v>
      </c>
      <c r="C21">
        <v>0</v>
      </c>
    </row>
    <row r="22" spans="1:3">
      <c r="A22" s="215">
        <v>43492</v>
      </c>
      <c r="B22">
        <v>2</v>
      </c>
      <c r="C22">
        <v>1</v>
      </c>
    </row>
    <row r="23" spans="1:3">
      <c r="A23" s="215">
        <v>43499</v>
      </c>
      <c r="B23">
        <v>1</v>
      </c>
      <c r="C23">
        <v>0</v>
      </c>
    </row>
    <row r="24" spans="1:3">
      <c r="A24" s="215">
        <v>43506</v>
      </c>
      <c r="B24">
        <v>3</v>
      </c>
      <c r="C24">
        <v>3</v>
      </c>
    </row>
    <row r="25" spans="1:3">
      <c r="A25" s="215">
        <v>43513</v>
      </c>
      <c r="B25">
        <v>1</v>
      </c>
      <c r="C25">
        <v>0</v>
      </c>
    </row>
    <row r="26" spans="1:3">
      <c r="A26" s="215">
        <v>43520</v>
      </c>
      <c r="B26">
        <v>2</v>
      </c>
      <c r="C26">
        <v>0</v>
      </c>
    </row>
    <row r="27" spans="1:3">
      <c r="A27" s="215">
        <v>43527</v>
      </c>
      <c r="B27">
        <v>2</v>
      </c>
      <c r="C27">
        <v>0</v>
      </c>
    </row>
    <row r="28" spans="1:3">
      <c r="A28" s="215">
        <v>43534</v>
      </c>
      <c r="B28">
        <v>3</v>
      </c>
      <c r="C28">
        <v>2</v>
      </c>
    </row>
    <row r="29" spans="1:3">
      <c r="A29" s="215">
        <v>43541</v>
      </c>
      <c r="B29">
        <v>4</v>
      </c>
      <c r="C29">
        <v>2</v>
      </c>
    </row>
    <row r="30" spans="1:3">
      <c r="A30" s="215">
        <v>43548</v>
      </c>
      <c r="B30">
        <v>3</v>
      </c>
      <c r="C30">
        <v>5</v>
      </c>
    </row>
    <row r="31" spans="1:3">
      <c r="A31" s="215">
        <v>43555</v>
      </c>
      <c r="B31">
        <v>0</v>
      </c>
      <c r="C31">
        <v>4</v>
      </c>
    </row>
    <row r="32" spans="1:3">
      <c r="A32" s="215">
        <v>43562</v>
      </c>
      <c r="B32">
        <v>1</v>
      </c>
      <c r="C32">
        <v>2</v>
      </c>
    </row>
    <row r="33" spans="1:3">
      <c r="A33" s="215">
        <v>43569</v>
      </c>
      <c r="B33">
        <v>2</v>
      </c>
      <c r="C33">
        <v>0</v>
      </c>
    </row>
    <row r="34" spans="1:3">
      <c r="A34" s="215">
        <v>43576</v>
      </c>
      <c r="B34">
        <v>6</v>
      </c>
      <c r="C34">
        <v>4</v>
      </c>
    </row>
    <row r="35" spans="1:3">
      <c r="A35" s="215">
        <v>43583</v>
      </c>
      <c r="B35">
        <v>3</v>
      </c>
      <c r="C35">
        <v>4</v>
      </c>
    </row>
    <row r="36" spans="1:3">
      <c r="A36" s="215">
        <v>43590</v>
      </c>
      <c r="B36">
        <v>5</v>
      </c>
      <c r="C36">
        <v>4</v>
      </c>
    </row>
    <row r="37" spans="1:3">
      <c r="A37" s="215">
        <v>43597</v>
      </c>
      <c r="B37">
        <v>3</v>
      </c>
      <c r="C37">
        <v>1</v>
      </c>
    </row>
    <row r="38" spans="1:3">
      <c r="A38" s="215">
        <v>43604</v>
      </c>
      <c r="B38">
        <v>4</v>
      </c>
      <c r="C38">
        <v>2</v>
      </c>
    </row>
    <row r="39" spans="1:3">
      <c r="A39" s="215">
        <v>43611</v>
      </c>
      <c r="B39">
        <v>3</v>
      </c>
      <c r="C39">
        <v>3</v>
      </c>
    </row>
    <row r="40" spans="1:3">
      <c r="A40" s="215">
        <v>43618</v>
      </c>
      <c r="B40">
        <v>5</v>
      </c>
      <c r="C40">
        <v>6</v>
      </c>
    </row>
    <row r="41" spans="1:3">
      <c r="A41" s="215">
        <v>43625</v>
      </c>
      <c r="B41">
        <v>2</v>
      </c>
      <c r="C41">
        <v>4</v>
      </c>
    </row>
    <row r="42" spans="1:3">
      <c r="A42" s="215">
        <v>43632</v>
      </c>
      <c r="B42">
        <v>4</v>
      </c>
      <c r="C42">
        <v>2</v>
      </c>
    </row>
    <row r="43" spans="1:3">
      <c r="A43" s="215">
        <v>43639</v>
      </c>
      <c r="B43">
        <v>5</v>
      </c>
      <c r="C43">
        <v>1</v>
      </c>
    </row>
    <row r="44" spans="1:3">
      <c r="A44" s="215">
        <v>43646</v>
      </c>
      <c r="B44">
        <v>5</v>
      </c>
      <c r="C44">
        <v>1</v>
      </c>
    </row>
    <row r="45" spans="1:3">
      <c r="A45" s="215">
        <v>43653</v>
      </c>
      <c r="B45">
        <v>4</v>
      </c>
      <c r="C45">
        <v>1</v>
      </c>
    </row>
    <row r="46" spans="1:3">
      <c r="A46" s="215">
        <v>43660</v>
      </c>
      <c r="B46">
        <v>4</v>
      </c>
      <c r="C46">
        <v>2</v>
      </c>
    </row>
    <row r="47" spans="1:3">
      <c r="A47" s="215">
        <v>43667</v>
      </c>
      <c r="B47">
        <v>3</v>
      </c>
      <c r="C47">
        <v>6</v>
      </c>
    </row>
    <row r="48" spans="1:3">
      <c r="A48" s="215">
        <v>43674</v>
      </c>
      <c r="B48">
        <v>5</v>
      </c>
      <c r="C48">
        <v>2</v>
      </c>
    </row>
    <row r="49" spans="1:3">
      <c r="A49" s="215">
        <v>43681</v>
      </c>
      <c r="B49">
        <v>5</v>
      </c>
      <c r="C49">
        <v>5</v>
      </c>
    </row>
    <row r="50" spans="1:3">
      <c r="A50" s="215">
        <v>43688</v>
      </c>
      <c r="B50">
        <v>3</v>
      </c>
      <c r="C50">
        <v>6</v>
      </c>
    </row>
    <row r="51" spans="1:3">
      <c r="A51" s="215">
        <v>43695</v>
      </c>
      <c r="B51">
        <v>1</v>
      </c>
      <c r="C51">
        <v>2</v>
      </c>
    </row>
    <row r="52" spans="1:3">
      <c r="A52" s="215">
        <v>43702</v>
      </c>
      <c r="B52">
        <v>4</v>
      </c>
      <c r="C52">
        <v>3</v>
      </c>
    </row>
    <row r="53" spans="1:3">
      <c r="A53" s="215">
        <v>43709</v>
      </c>
      <c r="B53">
        <v>5</v>
      </c>
      <c r="C53">
        <v>5</v>
      </c>
    </row>
    <row r="54" spans="1:3">
      <c r="A54" s="215">
        <v>43716</v>
      </c>
      <c r="B54">
        <v>3</v>
      </c>
      <c r="C54">
        <v>1</v>
      </c>
    </row>
    <row r="55" spans="1:3">
      <c r="A55" s="215">
        <v>43723</v>
      </c>
      <c r="B55">
        <v>4</v>
      </c>
      <c r="C55">
        <v>3</v>
      </c>
    </row>
    <row r="56" spans="1:3">
      <c r="A56" s="215">
        <v>43730</v>
      </c>
      <c r="B56">
        <v>1</v>
      </c>
      <c r="C56">
        <v>2</v>
      </c>
    </row>
    <row r="57" spans="1:3">
      <c r="A57" s="215">
        <v>43737</v>
      </c>
      <c r="B57">
        <v>6</v>
      </c>
      <c r="C57">
        <v>5</v>
      </c>
    </row>
    <row r="58" spans="1:3">
      <c r="A58" s="215">
        <v>43744</v>
      </c>
      <c r="B58">
        <v>4</v>
      </c>
      <c r="C58">
        <v>3</v>
      </c>
    </row>
    <row r="59" spans="1:3">
      <c r="A59" s="215">
        <v>43751</v>
      </c>
      <c r="B59">
        <v>3</v>
      </c>
      <c r="C59">
        <v>3</v>
      </c>
    </row>
    <row r="60" spans="1:3">
      <c r="A60" s="215">
        <v>43758</v>
      </c>
      <c r="B60">
        <v>2</v>
      </c>
      <c r="C60">
        <v>3</v>
      </c>
    </row>
    <row r="61" spans="1:3">
      <c r="A61" s="215">
        <v>43765</v>
      </c>
      <c r="B61">
        <v>5</v>
      </c>
      <c r="C61">
        <v>3</v>
      </c>
    </row>
    <row r="62" spans="1:3">
      <c r="A62" s="215">
        <v>43772</v>
      </c>
      <c r="B62">
        <v>9</v>
      </c>
      <c r="C62">
        <v>6</v>
      </c>
    </row>
    <row r="63" spans="1:3">
      <c r="A63" s="215">
        <v>43779</v>
      </c>
      <c r="B63">
        <v>5</v>
      </c>
      <c r="C63">
        <v>4</v>
      </c>
    </row>
    <row r="64" spans="1:3">
      <c r="A64" s="215">
        <v>43786</v>
      </c>
      <c r="B64">
        <v>4</v>
      </c>
      <c r="C64">
        <v>3</v>
      </c>
    </row>
    <row r="65" spans="1:3">
      <c r="A65" s="215">
        <v>43793</v>
      </c>
      <c r="B65">
        <v>7</v>
      </c>
      <c r="C65">
        <v>5</v>
      </c>
    </row>
    <row r="66" spans="1:3">
      <c r="A66" s="215">
        <v>43800</v>
      </c>
      <c r="B66">
        <v>8</v>
      </c>
      <c r="C66">
        <v>0</v>
      </c>
    </row>
    <row r="67" spans="1:3">
      <c r="A67" s="215">
        <v>43807</v>
      </c>
      <c r="B67">
        <v>4</v>
      </c>
      <c r="C67">
        <v>3</v>
      </c>
    </row>
    <row r="68" spans="1:3">
      <c r="A68" s="215">
        <v>43814</v>
      </c>
      <c r="B68">
        <v>5</v>
      </c>
      <c r="C68">
        <v>2</v>
      </c>
    </row>
    <row r="69" spans="1:3">
      <c r="A69" s="215">
        <v>43821</v>
      </c>
      <c r="B69">
        <v>5</v>
      </c>
      <c r="C69">
        <v>4</v>
      </c>
    </row>
    <row r="70" spans="1:3">
      <c r="A70" s="215">
        <v>43828</v>
      </c>
      <c r="B70">
        <v>7</v>
      </c>
      <c r="C70">
        <v>5</v>
      </c>
    </row>
    <row r="71" spans="1:3">
      <c r="A71" s="215">
        <v>43835</v>
      </c>
      <c r="B71">
        <v>5</v>
      </c>
      <c r="C71">
        <v>3</v>
      </c>
    </row>
    <row r="72" spans="1:3">
      <c r="A72" s="215">
        <v>43842</v>
      </c>
      <c r="B72">
        <v>5</v>
      </c>
      <c r="C72">
        <v>2</v>
      </c>
    </row>
    <row r="73" spans="1:3">
      <c r="A73" s="215">
        <v>43849</v>
      </c>
      <c r="B73">
        <v>5</v>
      </c>
      <c r="C73">
        <v>8</v>
      </c>
    </row>
    <row r="74" spans="1:3">
      <c r="A74" s="215">
        <v>43856</v>
      </c>
      <c r="B74">
        <v>5</v>
      </c>
      <c r="C74">
        <v>3</v>
      </c>
    </row>
    <row r="75" spans="1:3">
      <c r="A75" s="215">
        <v>43863</v>
      </c>
      <c r="B75">
        <v>5</v>
      </c>
      <c r="C75">
        <v>3</v>
      </c>
    </row>
    <row r="76" spans="1:3">
      <c r="A76" s="215">
        <v>43870</v>
      </c>
      <c r="B76">
        <v>4</v>
      </c>
      <c r="C76">
        <v>3</v>
      </c>
    </row>
    <row r="77" spans="1:3">
      <c r="A77" s="215">
        <v>43877</v>
      </c>
      <c r="B77">
        <v>9</v>
      </c>
      <c r="C77">
        <v>6</v>
      </c>
    </row>
    <row r="78" spans="1:3">
      <c r="A78" s="215">
        <v>43884</v>
      </c>
      <c r="B78">
        <v>6</v>
      </c>
      <c r="C78">
        <v>9</v>
      </c>
    </row>
    <row r="79" spans="1:3">
      <c r="A79" s="215">
        <v>43891</v>
      </c>
      <c r="B79">
        <v>4</v>
      </c>
      <c r="C79">
        <v>4</v>
      </c>
    </row>
    <row r="80" spans="1:3">
      <c r="A80" s="215">
        <v>43898</v>
      </c>
      <c r="B80">
        <v>6</v>
      </c>
      <c r="C80">
        <v>3</v>
      </c>
    </row>
    <row r="81" spans="1:3">
      <c r="A81" s="215">
        <v>43905</v>
      </c>
      <c r="B81">
        <v>3</v>
      </c>
      <c r="C81">
        <v>1</v>
      </c>
    </row>
    <row r="82" spans="1:3">
      <c r="A82" s="215">
        <v>43912</v>
      </c>
      <c r="B82">
        <v>5</v>
      </c>
      <c r="C82">
        <v>3</v>
      </c>
    </row>
    <row r="83" spans="1:3">
      <c r="A83" s="215">
        <v>43919</v>
      </c>
      <c r="B83">
        <v>7</v>
      </c>
      <c r="C83">
        <v>9</v>
      </c>
    </row>
    <row r="84" spans="1:3">
      <c r="A84" s="215">
        <v>43926</v>
      </c>
      <c r="B84">
        <v>8</v>
      </c>
      <c r="C84">
        <v>6</v>
      </c>
    </row>
    <row r="85" spans="1:3">
      <c r="A85" s="215">
        <v>43933</v>
      </c>
      <c r="B85">
        <v>9</v>
      </c>
      <c r="C85">
        <v>9</v>
      </c>
    </row>
    <row r="86" spans="1:3">
      <c r="A86" s="215">
        <v>43940</v>
      </c>
      <c r="B86">
        <v>10</v>
      </c>
      <c r="C86">
        <v>10</v>
      </c>
    </row>
    <row r="87" spans="1:3">
      <c r="A87" s="215">
        <v>43947</v>
      </c>
      <c r="B87">
        <v>12</v>
      </c>
      <c r="C87">
        <v>11</v>
      </c>
    </row>
    <row r="88" spans="1:3">
      <c r="A88" s="215">
        <v>43954</v>
      </c>
      <c r="B88">
        <v>12</v>
      </c>
      <c r="C88">
        <v>11</v>
      </c>
    </row>
    <row r="89" spans="1:3">
      <c r="A89" s="215">
        <v>43961</v>
      </c>
      <c r="B89">
        <v>12</v>
      </c>
      <c r="C89">
        <v>10</v>
      </c>
    </row>
    <row r="90" spans="1:3">
      <c r="A90" s="215">
        <v>43968</v>
      </c>
      <c r="B90">
        <v>10</v>
      </c>
      <c r="C90">
        <v>10</v>
      </c>
    </row>
    <row r="91" spans="1:3">
      <c r="A91" s="215">
        <v>43975</v>
      </c>
      <c r="B91">
        <v>12</v>
      </c>
      <c r="C91">
        <v>10</v>
      </c>
    </row>
    <row r="92" spans="1:3">
      <c r="A92" s="215">
        <v>43982</v>
      </c>
      <c r="B92">
        <v>8</v>
      </c>
      <c r="C92">
        <v>9</v>
      </c>
    </row>
    <row r="93" spans="1:3">
      <c r="A93" s="215">
        <v>43989</v>
      </c>
      <c r="B93">
        <v>9</v>
      </c>
      <c r="C93">
        <v>10</v>
      </c>
    </row>
    <row r="94" spans="1:3">
      <c r="A94" s="215">
        <v>43996</v>
      </c>
      <c r="B94">
        <v>9</v>
      </c>
      <c r="C94">
        <v>9</v>
      </c>
    </row>
    <row r="95" spans="1:3">
      <c r="A95" s="215">
        <v>44003</v>
      </c>
      <c r="B95">
        <v>9</v>
      </c>
      <c r="C95">
        <v>9</v>
      </c>
    </row>
    <row r="96" spans="1:3">
      <c r="A96" s="215">
        <v>44010</v>
      </c>
      <c r="B96">
        <v>9</v>
      </c>
      <c r="C96">
        <v>10</v>
      </c>
    </row>
    <row r="97" spans="1:3">
      <c r="A97" s="215">
        <v>44017</v>
      </c>
      <c r="B97">
        <v>10</v>
      </c>
      <c r="C97">
        <v>8</v>
      </c>
    </row>
    <row r="98" spans="1:3">
      <c r="A98" s="215">
        <v>44024</v>
      </c>
      <c r="B98">
        <v>11</v>
      </c>
      <c r="C98">
        <v>11</v>
      </c>
    </row>
    <row r="99" spans="1:3">
      <c r="A99" s="215">
        <v>44031</v>
      </c>
      <c r="B99">
        <v>10</v>
      </c>
      <c r="C99">
        <v>12</v>
      </c>
    </row>
    <row r="100" spans="1:3">
      <c r="A100" s="215">
        <v>44038</v>
      </c>
      <c r="B100">
        <v>13</v>
      </c>
      <c r="C100">
        <v>14</v>
      </c>
    </row>
    <row r="101" spans="1:3">
      <c r="A101" s="215">
        <v>44045</v>
      </c>
      <c r="B101">
        <v>14</v>
      </c>
      <c r="C101">
        <v>11</v>
      </c>
    </row>
    <row r="102" spans="1:3">
      <c r="A102" s="215">
        <v>44052</v>
      </c>
      <c r="B102">
        <v>10</v>
      </c>
      <c r="C102">
        <v>8</v>
      </c>
    </row>
    <row r="103" spans="1:3">
      <c r="A103" s="215">
        <v>44059</v>
      </c>
      <c r="B103">
        <v>8</v>
      </c>
      <c r="C103">
        <v>7</v>
      </c>
    </row>
    <row r="104" spans="1:3">
      <c r="A104" s="215">
        <v>44066</v>
      </c>
      <c r="B104">
        <v>10</v>
      </c>
      <c r="C104">
        <v>6</v>
      </c>
    </row>
    <row r="105" spans="1:3">
      <c r="A105" s="215">
        <v>44073</v>
      </c>
      <c r="B105">
        <v>12</v>
      </c>
      <c r="C105">
        <v>11</v>
      </c>
    </row>
    <row r="106" spans="1:3">
      <c r="A106" s="215">
        <v>44080</v>
      </c>
      <c r="B106">
        <v>11</v>
      </c>
      <c r="C106">
        <v>10</v>
      </c>
    </row>
    <row r="107" spans="1:3">
      <c r="A107" s="215">
        <v>44087</v>
      </c>
      <c r="B107">
        <v>15</v>
      </c>
      <c r="C107">
        <v>13</v>
      </c>
    </row>
    <row r="108" spans="1:3">
      <c r="A108" s="215">
        <v>44094</v>
      </c>
      <c r="B108">
        <v>11</v>
      </c>
      <c r="C108">
        <v>9</v>
      </c>
    </row>
    <row r="109" spans="1:3">
      <c r="A109" s="215">
        <v>44101</v>
      </c>
      <c r="B109">
        <v>11</v>
      </c>
      <c r="C109">
        <v>11</v>
      </c>
    </row>
    <row r="110" spans="1:3">
      <c r="A110" s="215">
        <v>44108</v>
      </c>
      <c r="B110">
        <v>15</v>
      </c>
      <c r="C110">
        <v>10</v>
      </c>
    </row>
    <row r="111" spans="1:3">
      <c r="A111" s="215">
        <v>44115</v>
      </c>
      <c r="B111">
        <v>14</v>
      </c>
      <c r="C111">
        <v>10</v>
      </c>
    </row>
    <row r="112" spans="1:3">
      <c r="A112" s="215">
        <v>44122</v>
      </c>
      <c r="B112">
        <v>15</v>
      </c>
      <c r="C112">
        <v>15</v>
      </c>
    </row>
    <row r="113" spans="1:3">
      <c r="A113" s="215">
        <v>44129</v>
      </c>
      <c r="B113">
        <v>16</v>
      </c>
      <c r="C113">
        <v>12</v>
      </c>
    </row>
    <row r="114" spans="1:3">
      <c r="A114" s="215">
        <v>44136</v>
      </c>
      <c r="B114">
        <v>18</v>
      </c>
      <c r="C114">
        <v>13</v>
      </c>
    </row>
    <row r="115" spans="1:3">
      <c r="A115" s="215">
        <v>44143</v>
      </c>
      <c r="B115">
        <v>20</v>
      </c>
      <c r="C115">
        <v>15</v>
      </c>
    </row>
    <row r="116" spans="1:3">
      <c r="A116" s="215">
        <v>44150</v>
      </c>
      <c r="B116">
        <v>18</v>
      </c>
      <c r="C116">
        <v>14</v>
      </c>
    </row>
    <row r="117" spans="1:3">
      <c r="A117" s="215">
        <v>44157</v>
      </c>
      <c r="B117">
        <v>35</v>
      </c>
      <c r="C117">
        <v>24</v>
      </c>
    </row>
    <row r="118" spans="1:3">
      <c r="A118" s="215">
        <v>44164</v>
      </c>
      <c r="B118">
        <v>26</v>
      </c>
      <c r="C118">
        <v>18</v>
      </c>
    </row>
    <row r="119" spans="1:3">
      <c r="A119" s="215">
        <v>44171</v>
      </c>
      <c r="B119">
        <v>16</v>
      </c>
      <c r="C119">
        <v>12</v>
      </c>
    </row>
    <row r="120" spans="1:3">
      <c r="A120" s="215">
        <v>44178</v>
      </c>
      <c r="B120">
        <v>17</v>
      </c>
      <c r="C120">
        <v>10</v>
      </c>
    </row>
    <row r="121" spans="1:3">
      <c r="A121" s="215">
        <v>44185</v>
      </c>
      <c r="B121">
        <v>20</v>
      </c>
      <c r="C121">
        <v>14</v>
      </c>
    </row>
    <row r="122" spans="1:3">
      <c r="A122" s="215">
        <v>44192</v>
      </c>
      <c r="B122">
        <v>17</v>
      </c>
      <c r="C122">
        <v>11</v>
      </c>
    </row>
    <row r="123" spans="1:3">
      <c r="A123" s="215">
        <v>44199</v>
      </c>
      <c r="B123">
        <v>14</v>
      </c>
      <c r="C123">
        <v>11</v>
      </c>
    </row>
    <row r="124" spans="1:3">
      <c r="A124" s="215">
        <v>44206</v>
      </c>
      <c r="B124">
        <v>15</v>
      </c>
      <c r="C124">
        <v>14</v>
      </c>
    </row>
    <row r="125" spans="1:3">
      <c r="A125" s="215">
        <v>44213</v>
      </c>
      <c r="B125">
        <v>15</v>
      </c>
      <c r="C125">
        <v>9</v>
      </c>
    </row>
    <row r="126" spans="1:3">
      <c r="A126" s="215">
        <v>44220</v>
      </c>
      <c r="B126">
        <v>15</v>
      </c>
      <c r="C126">
        <v>12</v>
      </c>
    </row>
    <row r="127" spans="1:3">
      <c r="A127" s="215">
        <v>44227</v>
      </c>
      <c r="B127">
        <v>15</v>
      </c>
      <c r="C127">
        <v>12</v>
      </c>
    </row>
    <row r="128" spans="1:3">
      <c r="A128" s="215">
        <v>44234</v>
      </c>
      <c r="B128">
        <v>13</v>
      </c>
      <c r="C128">
        <v>9</v>
      </c>
    </row>
    <row r="129" spans="1:3">
      <c r="A129" s="215">
        <v>44241</v>
      </c>
      <c r="B129">
        <v>13</v>
      </c>
      <c r="C129">
        <v>12</v>
      </c>
    </row>
    <row r="130" spans="1:3">
      <c r="A130" s="215">
        <v>44248</v>
      </c>
      <c r="B130">
        <v>15</v>
      </c>
      <c r="C130">
        <v>13</v>
      </c>
    </row>
    <row r="131" spans="1:3">
      <c r="A131" s="215">
        <v>44255</v>
      </c>
      <c r="B131">
        <v>16</v>
      </c>
      <c r="C131">
        <v>12</v>
      </c>
    </row>
    <row r="132" spans="1:3">
      <c r="A132" s="215">
        <v>44262</v>
      </c>
      <c r="B132">
        <v>16</v>
      </c>
      <c r="C132">
        <v>12</v>
      </c>
    </row>
    <row r="133" spans="1:3">
      <c r="A133" s="215">
        <v>44269</v>
      </c>
      <c r="B133">
        <v>16</v>
      </c>
      <c r="C133">
        <v>20</v>
      </c>
    </row>
    <row r="134" spans="1:3">
      <c r="A134" s="215">
        <v>44276</v>
      </c>
      <c r="B134">
        <v>18</v>
      </c>
      <c r="C134">
        <v>16</v>
      </c>
    </row>
    <row r="135" spans="1:3">
      <c r="A135" s="215">
        <v>44283</v>
      </c>
      <c r="B135">
        <v>19</v>
      </c>
      <c r="C135">
        <v>13</v>
      </c>
    </row>
    <row r="136" spans="1:3">
      <c r="A136" s="215">
        <v>44290</v>
      </c>
      <c r="B136">
        <v>17</v>
      </c>
      <c r="C136">
        <v>17</v>
      </c>
    </row>
    <row r="137" spans="1:3">
      <c r="A137" s="215">
        <v>44297</v>
      </c>
      <c r="B137">
        <v>23</v>
      </c>
      <c r="C137">
        <v>21</v>
      </c>
    </row>
    <row r="138" spans="1:3">
      <c r="A138" s="215">
        <v>44304</v>
      </c>
      <c r="B138">
        <v>23</v>
      </c>
      <c r="C138">
        <v>20</v>
      </c>
    </row>
    <row r="139" spans="1:3">
      <c r="A139" s="215">
        <v>44311</v>
      </c>
      <c r="B139">
        <v>20</v>
      </c>
      <c r="C139">
        <v>20</v>
      </c>
    </row>
    <row r="140" spans="1:3">
      <c r="A140" s="215">
        <v>44318</v>
      </c>
      <c r="B140">
        <v>24</v>
      </c>
      <c r="C140">
        <v>22</v>
      </c>
    </row>
    <row r="141" spans="1:3">
      <c r="A141" s="215">
        <v>44325</v>
      </c>
      <c r="B141">
        <v>29</v>
      </c>
      <c r="C141">
        <v>26</v>
      </c>
    </row>
    <row r="142" spans="1:3">
      <c r="A142" s="215">
        <v>44332</v>
      </c>
      <c r="B142">
        <v>27</v>
      </c>
      <c r="C142">
        <v>21</v>
      </c>
    </row>
    <row r="143" spans="1:3">
      <c r="A143" s="215">
        <v>44339</v>
      </c>
      <c r="B143">
        <v>23</v>
      </c>
      <c r="C143">
        <v>17</v>
      </c>
    </row>
    <row r="144" spans="1:3">
      <c r="A144" s="215">
        <v>44346</v>
      </c>
      <c r="B144">
        <v>27</v>
      </c>
      <c r="C144">
        <v>23</v>
      </c>
    </row>
    <row r="145" spans="1:3">
      <c r="A145" s="215">
        <v>44353</v>
      </c>
      <c r="B145">
        <v>26</v>
      </c>
      <c r="C145">
        <v>21</v>
      </c>
    </row>
    <row r="146" spans="1:3">
      <c r="A146" s="215">
        <v>44360</v>
      </c>
      <c r="B146">
        <v>26</v>
      </c>
      <c r="C146">
        <v>19</v>
      </c>
    </row>
    <row r="147" spans="1:3">
      <c r="A147" s="215">
        <v>44367</v>
      </c>
      <c r="B147">
        <v>21</v>
      </c>
      <c r="C147">
        <v>19</v>
      </c>
    </row>
    <row r="148" spans="1:3">
      <c r="A148" s="215">
        <v>44374</v>
      </c>
      <c r="B148">
        <v>23</v>
      </c>
      <c r="C148">
        <v>21</v>
      </c>
    </row>
    <row r="149" spans="1:3">
      <c r="A149" s="215">
        <v>44381</v>
      </c>
      <c r="B149">
        <v>26</v>
      </c>
      <c r="C149">
        <v>20</v>
      </c>
    </row>
    <row r="150" spans="1:3">
      <c r="A150" s="215">
        <v>44388</v>
      </c>
      <c r="B150">
        <v>27</v>
      </c>
      <c r="C150">
        <v>21</v>
      </c>
    </row>
    <row r="151" spans="1:3">
      <c r="A151" s="215">
        <v>44395</v>
      </c>
      <c r="B151">
        <v>25</v>
      </c>
      <c r="C151">
        <v>20</v>
      </c>
    </row>
    <row r="152" spans="1:3">
      <c r="A152" s="215">
        <v>44402</v>
      </c>
      <c r="B152">
        <v>25</v>
      </c>
      <c r="C152">
        <v>21</v>
      </c>
    </row>
    <row r="153" spans="1:3">
      <c r="A153" s="215">
        <v>44409</v>
      </c>
      <c r="B153">
        <v>24</v>
      </c>
      <c r="C153">
        <v>17</v>
      </c>
    </row>
    <row r="154" spans="1:3">
      <c r="A154" s="215">
        <v>44416</v>
      </c>
      <c r="B154">
        <v>27</v>
      </c>
      <c r="C154">
        <v>23</v>
      </c>
    </row>
    <row r="155" spans="1:3">
      <c r="A155" s="215">
        <v>44423</v>
      </c>
      <c r="B155">
        <v>26</v>
      </c>
      <c r="C155">
        <v>22</v>
      </c>
    </row>
    <row r="156" spans="1:3">
      <c r="A156" s="215">
        <v>44430</v>
      </c>
      <c r="B156">
        <v>34</v>
      </c>
      <c r="C156">
        <v>35</v>
      </c>
    </row>
    <row r="157" spans="1:3">
      <c r="A157" s="215">
        <v>44437</v>
      </c>
      <c r="B157">
        <v>27</v>
      </c>
      <c r="C157">
        <v>23</v>
      </c>
    </row>
    <row r="158" spans="1:3">
      <c r="A158" s="215">
        <v>44444</v>
      </c>
      <c r="B158">
        <v>33</v>
      </c>
      <c r="C158">
        <v>23</v>
      </c>
    </row>
    <row r="159" spans="1:3">
      <c r="A159" s="215">
        <v>44451</v>
      </c>
      <c r="B159">
        <v>32</v>
      </c>
      <c r="C159">
        <v>25</v>
      </c>
    </row>
    <row r="160" spans="1:3">
      <c r="A160" s="215">
        <v>44458</v>
      </c>
      <c r="B160">
        <v>36</v>
      </c>
      <c r="C160">
        <v>27</v>
      </c>
    </row>
    <row r="161" spans="1:3">
      <c r="A161" s="215">
        <v>44465</v>
      </c>
      <c r="B161">
        <v>40</v>
      </c>
      <c r="C161">
        <v>30</v>
      </c>
    </row>
    <row r="162" spans="1:3">
      <c r="A162" s="215">
        <v>44472</v>
      </c>
      <c r="B162">
        <v>45</v>
      </c>
      <c r="C162">
        <v>35</v>
      </c>
    </row>
    <row r="163" spans="1:3">
      <c r="A163" s="215">
        <v>44479</v>
      </c>
      <c r="B163">
        <v>49</v>
      </c>
      <c r="C163">
        <v>31</v>
      </c>
    </row>
    <row r="164" spans="1:3">
      <c r="A164" s="215">
        <v>44486</v>
      </c>
      <c r="B164">
        <v>56</v>
      </c>
      <c r="C164">
        <v>38</v>
      </c>
    </row>
    <row r="165" spans="1:3">
      <c r="A165" s="215">
        <v>44493</v>
      </c>
      <c r="B165">
        <v>48</v>
      </c>
      <c r="C165">
        <v>32</v>
      </c>
    </row>
    <row r="166" spans="1:3">
      <c r="A166" s="215">
        <v>44500</v>
      </c>
      <c r="B166">
        <v>63</v>
      </c>
      <c r="C166">
        <v>43</v>
      </c>
    </row>
    <row r="167" spans="1:3">
      <c r="A167" s="215">
        <v>44507</v>
      </c>
      <c r="B167">
        <v>73</v>
      </c>
      <c r="C167">
        <v>49</v>
      </c>
    </row>
    <row r="168" spans="1:3">
      <c r="A168" s="215">
        <v>44514</v>
      </c>
      <c r="B168">
        <v>80</v>
      </c>
      <c r="C168">
        <v>49</v>
      </c>
    </row>
    <row r="169" spans="1:3">
      <c r="A169" s="215">
        <v>44521</v>
      </c>
      <c r="B169">
        <v>97</v>
      </c>
      <c r="C169">
        <v>58</v>
      </c>
    </row>
    <row r="170" spans="1:3">
      <c r="A170" s="215">
        <v>44528</v>
      </c>
      <c r="B170">
        <v>82</v>
      </c>
      <c r="C170">
        <v>52</v>
      </c>
    </row>
    <row r="171" spans="1:3">
      <c r="A171" s="215">
        <v>44535</v>
      </c>
      <c r="B171">
        <v>72</v>
      </c>
      <c r="C171">
        <v>36</v>
      </c>
    </row>
    <row r="172" spans="1:3">
      <c r="A172" s="215">
        <v>44542</v>
      </c>
      <c r="B172">
        <v>75</v>
      </c>
      <c r="C172">
        <v>47</v>
      </c>
    </row>
    <row r="173" spans="1:3">
      <c r="A173" s="215">
        <v>44549</v>
      </c>
      <c r="B173">
        <v>67</v>
      </c>
      <c r="C173">
        <v>36</v>
      </c>
    </row>
    <row r="174" spans="1:3">
      <c r="A174" s="215">
        <v>44556</v>
      </c>
      <c r="B174">
        <v>81</v>
      </c>
      <c r="C174">
        <v>46</v>
      </c>
    </row>
    <row r="175" spans="1:3">
      <c r="A175" s="215">
        <v>44563</v>
      </c>
      <c r="B175">
        <v>74</v>
      </c>
      <c r="C175">
        <v>52</v>
      </c>
    </row>
    <row r="176" spans="1:3">
      <c r="A176" s="215">
        <v>44570</v>
      </c>
      <c r="B176">
        <v>64</v>
      </c>
      <c r="C176">
        <v>47</v>
      </c>
    </row>
    <row r="177" spans="1:3">
      <c r="A177" s="215">
        <v>44577</v>
      </c>
      <c r="B177">
        <v>56</v>
      </c>
      <c r="C177">
        <v>38</v>
      </c>
    </row>
    <row r="178" spans="1:3">
      <c r="A178" s="215">
        <v>44584</v>
      </c>
      <c r="B178">
        <v>59</v>
      </c>
      <c r="C178">
        <v>38</v>
      </c>
    </row>
    <row r="179" spans="1:3">
      <c r="A179" s="215">
        <v>44591</v>
      </c>
      <c r="B179">
        <v>58</v>
      </c>
      <c r="C179">
        <v>38</v>
      </c>
    </row>
    <row r="180" spans="1:3">
      <c r="A180" s="215">
        <v>44598</v>
      </c>
      <c r="B180">
        <v>60</v>
      </c>
      <c r="C180">
        <v>41</v>
      </c>
    </row>
    <row r="181" spans="1:3">
      <c r="A181" s="215">
        <v>44605</v>
      </c>
      <c r="B181">
        <v>64</v>
      </c>
      <c r="C181">
        <v>46</v>
      </c>
    </row>
    <row r="182" spans="1:3">
      <c r="A182" s="215">
        <v>44612</v>
      </c>
      <c r="B182">
        <v>57</v>
      </c>
      <c r="C182">
        <v>38</v>
      </c>
    </row>
    <row r="183" spans="1:3">
      <c r="A183" s="215">
        <v>44619</v>
      </c>
      <c r="B183">
        <v>53</v>
      </c>
      <c r="C183">
        <v>37</v>
      </c>
    </row>
    <row r="184" spans="1:3">
      <c r="A184" s="215">
        <v>44626</v>
      </c>
      <c r="B184">
        <v>49</v>
      </c>
      <c r="C184">
        <v>37</v>
      </c>
    </row>
    <row r="185" spans="1:3">
      <c r="A185" s="215">
        <v>44633</v>
      </c>
      <c r="B185">
        <v>60</v>
      </c>
      <c r="C185">
        <v>35</v>
      </c>
    </row>
    <row r="186" spans="1:3">
      <c r="A186" s="215">
        <v>44640</v>
      </c>
      <c r="B186">
        <v>49</v>
      </c>
      <c r="C186">
        <v>30</v>
      </c>
    </row>
    <row r="187" spans="1:3">
      <c r="A187" s="215">
        <v>44647</v>
      </c>
      <c r="B187">
        <v>51</v>
      </c>
      <c r="C187">
        <v>35</v>
      </c>
    </row>
    <row r="188" spans="1:3">
      <c r="A188" s="215">
        <v>44654</v>
      </c>
      <c r="B188">
        <v>50</v>
      </c>
      <c r="C188">
        <v>34</v>
      </c>
    </row>
    <row r="189" spans="1:3">
      <c r="A189" s="215">
        <v>44661</v>
      </c>
      <c r="B189">
        <v>43</v>
      </c>
      <c r="C189">
        <v>27</v>
      </c>
    </row>
    <row r="190" spans="1:3">
      <c r="A190" s="215">
        <v>44668</v>
      </c>
      <c r="B190">
        <v>42</v>
      </c>
      <c r="C190">
        <v>22</v>
      </c>
    </row>
    <row r="191" spans="1:3">
      <c r="A191" s="215">
        <v>44675</v>
      </c>
      <c r="B191">
        <v>42</v>
      </c>
      <c r="C191">
        <v>28</v>
      </c>
    </row>
    <row r="192" spans="1:3">
      <c r="A192" s="215">
        <v>44682</v>
      </c>
      <c r="B192">
        <v>42</v>
      </c>
      <c r="C192">
        <v>28</v>
      </c>
    </row>
    <row r="193" spans="1:3">
      <c r="A193" s="215">
        <v>44689</v>
      </c>
      <c r="B193">
        <v>42</v>
      </c>
      <c r="C193">
        <v>31</v>
      </c>
    </row>
    <row r="194" spans="1:3">
      <c r="A194" s="215">
        <v>44696</v>
      </c>
      <c r="B194">
        <v>41</v>
      </c>
      <c r="C194">
        <v>28</v>
      </c>
    </row>
    <row r="195" spans="1:3">
      <c r="A195" s="215">
        <v>44703</v>
      </c>
      <c r="B195">
        <v>40</v>
      </c>
      <c r="C195">
        <v>27</v>
      </c>
    </row>
    <row r="196" spans="1:3">
      <c r="A196" s="215">
        <v>44710</v>
      </c>
      <c r="B196">
        <v>41</v>
      </c>
      <c r="C196">
        <v>24</v>
      </c>
    </row>
    <row r="197" spans="1:3">
      <c r="A197" s="215">
        <v>44717</v>
      </c>
      <c r="B197">
        <v>39</v>
      </c>
      <c r="C197">
        <v>25</v>
      </c>
    </row>
    <row r="198" spans="1:3">
      <c r="A198" s="215">
        <v>44724</v>
      </c>
      <c r="B198">
        <v>33</v>
      </c>
      <c r="C198">
        <v>22</v>
      </c>
    </row>
    <row r="199" spans="1:3">
      <c r="A199" s="215">
        <v>44731</v>
      </c>
      <c r="B199">
        <v>36</v>
      </c>
      <c r="C199">
        <v>21</v>
      </c>
    </row>
    <row r="200" spans="1:3">
      <c r="A200" s="215">
        <v>44738</v>
      </c>
      <c r="B200">
        <v>36</v>
      </c>
      <c r="C200">
        <v>23</v>
      </c>
    </row>
    <row r="201" spans="1:3">
      <c r="A201" s="215">
        <v>44745</v>
      </c>
      <c r="B201">
        <v>38</v>
      </c>
      <c r="C201">
        <v>19</v>
      </c>
    </row>
    <row r="202" spans="1:3">
      <c r="A202" s="215">
        <v>44752</v>
      </c>
      <c r="B202">
        <v>38</v>
      </c>
      <c r="C202">
        <v>22</v>
      </c>
    </row>
    <row r="203" spans="1:3">
      <c r="A203" s="215">
        <v>44759</v>
      </c>
      <c r="B203">
        <v>38</v>
      </c>
      <c r="C203">
        <v>24</v>
      </c>
    </row>
    <row r="204" spans="1:3">
      <c r="A204" s="215">
        <v>44766</v>
      </c>
      <c r="B204">
        <v>37</v>
      </c>
      <c r="C204">
        <v>31</v>
      </c>
    </row>
    <row r="205" spans="1:3">
      <c r="A205" s="215">
        <v>44773</v>
      </c>
      <c r="B205">
        <v>43</v>
      </c>
      <c r="C205">
        <v>34</v>
      </c>
    </row>
    <row r="206" spans="1:3">
      <c r="A206" s="215">
        <v>44780</v>
      </c>
      <c r="B206">
        <v>48</v>
      </c>
      <c r="C206">
        <v>40</v>
      </c>
    </row>
    <row r="207" spans="1:3">
      <c r="A207" s="215">
        <v>44787</v>
      </c>
      <c r="B207">
        <v>48</v>
      </c>
      <c r="C207">
        <v>39</v>
      </c>
    </row>
    <row r="208" spans="1:3">
      <c r="A208" s="215">
        <v>44794</v>
      </c>
      <c r="B208">
        <v>49</v>
      </c>
      <c r="C208">
        <v>41</v>
      </c>
    </row>
    <row r="209" spans="1:3">
      <c r="A209" s="215">
        <v>44801</v>
      </c>
      <c r="B209">
        <v>47</v>
      </c>
      <c r="C209">
        <v>43</v>
      </c>
    </row>
    <row r="210" spans="1:3">
      <c r="A210" s="215">
        <v>44808</v>
      </c>
      <c r="B210">
        <v>45</v>
      </c>
      <c r="C210">
        <v>39</v>
      </c>
    </row>
    <row r="211" spans="1:3">
      <c r="A211" s="215">
        <v>44815</v>
      </c>
      <c r="B211">
        <v>52</v>
      </c>
      <c r="C211">
        <v>43</v>
      </c>
    </row>
    <row r="212" spans="1:3">
      <c r="A212" s="215">
        <v>44822</v>
      </c>
      <c r="B212">
        <v>53</v>
      </c>
      <c r="C212">
        <v>46</v>
      </c>
    </row>
    <row r="213" spans="1:3">
      <c r="A213" s="215">
        <v>44829</v>
      </c>
      <c r="B213">
        <v>55</v>
      </c>
      <c r="C213">
        <v>49</v>
      </c>
    </row>
    <row r="214" spans="1:3">
      <c r="A214" s="215">
        <v>44836</v>
      </c>
      <c r="B214">
        <v>55</v>
      </c>
      <c r="C214">
        <v>51</v>
      </c>
    </row>
    <row r="215" spans="1:3">
      <c r="A215" s="215">
        <v>44843</v>
      </c>
      <c r="B215">
        <v>55</v>
      </c>
      <c r="C215">
        <v>47</v>
      </c>
    </row>
    <row r="216" spans="1:3">
      <c r="A216" s="215">
        <v>44850</v>
      </c>
      <c r="B216">
        <v>64</v>
      </c>
      <c r="C216">
        <v>60</v>
      </c>
    </row>
    <row r="217" spans="1:3">
      <c r="A217" s="215">
        <v>44857</v>
      </c>
      <c r="B217">
        <v>59</v>
      </c>
      <c r="C217">
        <v>54</v>
      </c>
    </row>
    <row r="218" spans="1:3">
      <c r="A218" s="215">
        <v>44864</v>
      </c>
      <c r="B218">
        <v>61</v>
      </c>
      <c r="C218">
        <v>61</v>
      </c>
    </row>
    <row r="219" spans="1:3">
      <c r="A219" s="215">
        <v>44871</v>
      </c>
      <c r="B219">
        <v>84</v>
      </c>
      <c r="C219">
        <v>100</v>
      </c>
    </row>
    <row r="220" spans="1:3">
      <c r="A220" s="215">
        <v>44878</v>
      </c>
      <c r="B220">
        <v>79</v>
      </c>
      <c r="C220">
        <v>68</v>
      </c>
    </row>
    <row r="221" spans="1:3">
      <c r="A221" s="215">
        <v>44885</v>
      </c>
      <c r="B221">
        <v>86</v>
      </c>
      <c r="C221">
        <v>79</v>
      </c>
    </row>
    <row r="222" spans="1:3">
      <c r="A222" s="215">
        <v>44892</v>
      </c>
      <c r="B222">
        <v>75</v>
      </c>
      <c r="C222">
        <v>76</v>
      </c>
    </row>
    <row r="223" spans="1:3">
      <c r="A223" s="215">
        <v>44899</v>
      </c>
      <c r="B223">
        <v>66</v>
      </c>
      <c r="C223">
        <v>62</v>
      </c>
    </row>
    <row r="224" spans="1:3">
      <c r="A224" s="215">
        <v>44906</v>
      </c>
      <c r="B224">
        <v>65</v>
      </c>
      <c r="C224">
        <v>60</v>
      </c>
    </row>
    <row r="225" spans="1:3">
      <c r="A225" s="215">
        <v>44913</v>
      </c>
      <c r="B225">
        <v>70</v>
      </c>
      <c r="C225">
        <v>71</v>
      </c>
    </row>
    <row r="226" spans="1:3">
      <c r="A226" s="215">
        <v>44920</v>
      </c>
      <c r="B226">
        <v>81</v>
      </c>
      <c r="C226">
        <v>74</v>
      </c>
    </row>
    <row r="227" spans="1:3">
      <c r="A227" s="215">
        <v>44927</v>
      </c>
      <c r="B227">
        <v>71</v>
      </c>
      <c r="C227">
        <v>62</v>
      </c>
    </row>
    <row r="228" spans="1:3">
      <c r="A228" s="215">
        <v>44934</v>
      </c>
      <c r="B228">
        <v>71</v>
      </c>
      <c r="C228">
        <v>66</v>
      </c>
    </row>
    <row r="229" spans="1:3">
      <c r="A229" s="215">
        <v>44941</v>
      </c>
      <c r="B229">
        <v>59</v>
      </c>
      <c r="C229">
        <v>52</v>
      </c>
    </row>
    <row r="230" spans="1:3">
      <c r="A230" s="215">
        <v>44948</v>
      </c>
      <c r="B230">
        <v>65</v>
      </c>
      <c r="C230">
        <v>58</v>
      </c>
    </row>
    <row r="231" spans="1:3">
      <c r="A231" s="215">
        <v>44955</v>
      </c>
      <c r="B231">
        <v>68</v>
      </c>
      <c r="C231">
        <v>63</v>
      </c>
    </row>
    <row r="232" spans="1:3">
      <c r="A232" s="215">
        <v>44962</v>
      </c>
      <c r="B232">
        <v>67</v>
      </c>
      <c r="C232">
        <v>60</v>
      </c>
    </row>
    <row r="233" spans="1:3">
      <c r="A233" s="215">
        <v>44969</v>
      </c>
      <c r="B233">
        <v>65</v>
      </c>
      <c r="C233">
        <v>56</v>
      </c>
    </row>
    <row r="234" spans="1:3">
      <c r="A234" s="215">
        <v>44976</v>
      </c>
      <c r="B234">
        <v>67</v>
      </c>
      <c r="C234">
        <v>65</v>
      </c>
    </row>
    <row r="235" spans="1:3">
      <c r="A235" s="215">
        <v>44983</v>
      </c>
      <c r="B235">
        <v>56</v>
      </c>
      <c r="C235">
        <v>54</v>
      </c>
    </row>
    <row r="236" spans="1:3">
      <c r="A236" s="215">
        <v>44990</v>
      </c>
      <c r="B236">
        <v>67</v>
      </c>
      <c r="C236">
        <v>65</v>
      </c>
    </row>
    <row r="237" spans="1:3">
      <c r="A237" s="215">
        <v>44997</v>
      </c>
      <c r="B237">
        <v>76</v>
      </c>
      <c r="C237">
        <v>78</v>
      </c>
    </row>
    <row r="238" spans="1:3">
      <c r="A238" s="215">
        <v>45004</v>
      </c>
      <c r="B238">
        <v>65</v>
      </c>
      <c r="C238">
        <v>60</v>
      </c>
    </row>
    <row r="239" spans="1:3">
      <c r="A239" s="215">
        <v>45011</v>
      </c>
      <c r="B239">
        <v>66</v>
      </c>
      <c r="C239">
        <v>58</v>
      </c>
    </row>
    <row r="240" spans="1:3">
      <c r="A240" s="215">
        <v>45018</v>
      </c>
      <c r="B240">
        <v>68</v>
      </c>
      <c r="C240">
        <v>66</v>
      </c>
    </row>
    <row r="241" spans="1:3">
      <c r="A241" s="215">
        <v>45025</v>
      </c>
      <c r="B241">
        <v>72</v>
      </c>
      <c r="C241">
        <v>65</v>
      </c>
    </row>
    <row r="242" spans="1:3">
      <c r="A242" s="215">
        <v>45032</v>
      </c>
      <c r="B242">
        <v>77</v>
      </c>
      <c r="C242">
        <v>64</v>
      </c>
    </row>
    <row r="243" spans="1:3">
      <c r="A243" s="215">
        <v>45039</v>
      </c>
      <c r="B243">
        <v>67</v>
      </c>
      <c r="C243">
        <v>57</v>
      </c>
    </row>
    <row r="244" spans="1:3">
      <c r="A244" s="215">
        <v>45046</v>
      </c>
      <c r="B244">
        <v>76</v>
      </c>
      <c r="C244">
        <v>71</v>
      </c>
    </row>
    <row r="245" spans="1:3">
      <c r="A245" s="215">
        <v>45053</v>
      </c>
      <c r="B245">
        <v>80</v>
      </c>
      <c r="C245">
        <v>69</v>
      </c>
    </row>
    <row r="246" spans="1:3">
      <c r="A246" s="215">
        <v>45060</v>
      </c>
      <c r="B246">
        <v>77</v>
      </c>
      <c r="C246">
        <v>61</v>
      </c>
    </row>
    <row r="247" spans="1:3">
      <c r="A247" s="215">
        <v>45067</v>
      </c>
      <c r="B247">
        <v>73</v>
      </c>
      <c r="C247">
        <v>63</v>
      </c>
    </row>
    <row r="248" spans="1:3">
      <c r="A248" s="215">
        <v>45074</v>
      </c>
      <c r="B248">
        <v>78</v>
      </c>
      <c r="C248">
        <v>63</v>
      </c>
    </row>
    <row r="249" spans="1:3">
      <c r="A249" s="215">
        <v>45081</v>
      </c>
      <c r="B249">
        <v>84</v>
      </c>
      <c r="C249">
        <v>75</v>
      </c>
    </row>
    <row r="250" spans="1:3">
      <c r="A250" s="215">
        <v>45088</v>
      </c>
      <c r="B250">
        <v>72</v>
      </c>
      <c r="C250">
        <v>61</v>
      </c>
    </row>
    <row r="251" spans="1:3">
      <c r="A251" s="215">
        <v>45095</v>
      </c>
      <c r="B251">
        <v>67</v>
      </c>
      <c r="C251">
        <v>56</v>
      </c>
    </row>
    <row r="252" spans="1:3">
      <c r="A252" s="215">
        <v>45102</v>
      </c>
      <c r="B252">
        <v>71</v>
      </c>
      <c r="C252">
        <v>54</v>
      </c>
    </row>
    <row r="253" spans="1:3">
      <c r="A253" s="215">
        <v>45109</v>
      </c>
      <c r="B253">
        <v>75</v>
      </c>
      <c r="C253">
        <v>63</v>
      </c>
    </row>
    <row r="254" spans="1:3">
      <c r="A254" s="215">
        <v>45116</v>
      </c>
      <c r="B254">
        <v>73</v>
      </c>
      <c r="C254">
        <v>63</v>
      </c>
    </row>
    <row r="255" spans="1:3">
      <c r="A255" s="215">
        <v>45123</v>
      </c>
      <c r="B255">
        <v>75</v>
      </c>
      <c r="C255">
        <v>63</v>
      </c>
    </row>
    <row r="256" spans="1:3">
      <c r="A256" s="215">
        <v>45130</v>
      </c>
      <c r="B256">
        <v>79</v>
      </c>
      <c r="C256">
        <v>67</v>
      </c>
    </row>
    <row r="257" spans="1:3">
      <c r="A257" s="215">
        <v>45137</v>
      </c>
      <c r="B257">
        <v>81</v>
      </c>
      <c r="C257">
        <v>69</v>
      </c>
    </row>
    <row r="258" spans="1:3">
      <c r="A258" s="215">
        <v>45144</v>
      </c>
      <c r="B258">
        <v>86</v>
      </c>
      <c r="C258">
        <v>67</v>
      </c>
    </row>
    <row r="259" spans="1:3">
      <c r="A259" s="215">
        <v>45151</v>
      </c>
      <c r="B259">
        <v>76</v>
      </c>
      <c r="C259">
        <v>62</v>
      </c>
    </row>
    <row r="260" spans="1:3">
      <c r="A260" s="215">
        <v>45158</v>
      </c>
      <c r="B260">
        <v>79</v>
      </c>
      <c r="C260">
        <v>75</v>
      </c>
    </row>
    <row r="261" spans="1:3">
      <c r="A261" s="215">
        <v>45165</v>
      </c>
      <c r="B261">
        <v>82</v>
      </c>
      <c r="C261">
        <v>66</v>
      </c>
    </row>
    <row r="262" spans="1:3">
      <c r="A262" s="215">
        <v>45172</v>
      </c>
      <c r="B262">
        <v>73</v>
      </c>
      <c r="C262">
        <v>66</v>
      </c>
    </row>
    <row r="263" spans="1:3">
      <c r="A263" s="215">
        <v>45179</v>
      </c>
      <c r="B263">
        <v>72</v>
      </c>
      <c r="C263">
        <v>66</v>
      </c>
    </row>
    <row r="264" spans="1:3">
      <c r="A264" s="215">
        <v>45186</v>
      </c>
      <c r="B264">
        <v>75</v>
      </c>
      <c r="C264">
        <v>65</v>
      </c>
    </row>
    <row r="265" spans="1:3">
      <c r="A265" s="215">
        <v>45193</v>
      </c>
      <c r="B265">
        <v>85</v>
      </c>
      <c r="C265">
        <v>87</v>
      </c>
    </row>
    <row r="266" spans="1:3">
      <c r="A266" s="215">
        <v>45200</v>
      </c>
      <c r="B266">
        <v>100</v>
      </c>
      <c r="C266">
        <v>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8E0B3-1A43-42D5-9BB5-F29724572487}">
  <dimension ref="A1:BD28"/>
  <sheetViews>
    <sheetView topLeftCell="A32" workbookViewId="0">
      <selection activeCell="C61" sqref="C61"/>
    </sheetView>
  </sheetViews>
  <sheetFormatPr defaultRowHeight="14.5"/>
  <cols>
    <col min="2" max="4" width="12.54296875" bestFit="1" customWidth="1"/>
    <col min="7" max="9" width="12.54296875" bestFit="1" customWidth="1"/>
  </cols>
  <sheetData>
    <row r="1" spans="1:56" s="282" customFormat="1" ht="13">
      <c r="A1" s="237" t="s">
        <v>0</v>
      </c>
      <c r="L1" s="283"/>
      <c r="N1" s="284"/>
      <c r="P1" s="285"/>
      <c r="Q1" s="285"/>
      <c r="R1" s="285"/>
      <c r="S1" s="285"/>
      <c r="U1" s="283">
        <f ca="1">TODAY()</f>
        <v>45797</v>
      </c>
    </row>
    <row r="2" spans="1:56" s="282" customFormat="1" ht="13">
      <c r="A2" s="286" t="s">
        <v>615</v>
      </c>
      <c r="B2" s="287"/>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row>
    <row r="3" spans="1:56" s="282" customFormat="1" ht="13">
      <c r="A3" s="288"/>
      <c r="C3" s="289"/>
      <c r="D3" s="289"/>
      <c r="E3" s="289"/>
      <c r="F3" s="289"/>
      <c r="G3" s="289">
        <f ca="1">TODAY()</f>
        <v>45797</v>
      </c>
      <c r="H3" s="289">
        <v>45107</v>
      </c>
      <c r="I3" s="289">
        <v>45473</v>
      </c>
      <c r="J3" s="289">
        <v>45838</v>
      </c>
      <c r="K3" s="289">
        <v>46203</v>
      </c>
      <c r="L3" s="289">
        <v>46568</v>
      </c>
      <c r="M3" s="289"/>
      <c r="N3" s="289"/>
      <c r="O3" s="289"/>
      <c r="P3" s="289"/>
      <c r="Q3" s="289"/>
      <c r="R3" s="289"/>
      <c r="S3" s="289"/>
    </row>
    <row r="4" spans="1:56">
      <c r="A4" s="2" t="s">
        <v>616</v>
      </c>
      <c r="F4" s="2" t="s">
        <v>617</v>
      </c>
    </row>
    <row r="5" spans="1:56" ht="17">
      <c r="B5" t="s">
        <v>618</v>
      </c>
      <c r="C5" t="s">
        <v>619</v>
      </c>
      <c r="D5" t="s">
        <v>620</v>
      </c>
      <c r="G5" t="s">
        <v>618</v>
      </c>
      <c r="H5" t="s">
        <v>619</v>
      </c>
      <c r="I5" t="s">
        <v>620</v>
      </c>
      <c r="K5" s="289"/>
      <c r="L5" s="255" t="s">
        <v>570</v>
      </c>
      <c r="M5" s="44"/>
      <c r="N5" s="44"/>
      <c r="O5" s="44"/>
      <c r="P5" s="44"/>
      <c r="Q5" s="44"/>
      <c r="R5" s="44"/>
      <c r="S5" s="44"/>
      <c r="T5" s="44"/>
      <c r="U5" s="44"/>
      <c r="V5" s="44"/>
      <c r="W5" s="44"/>
      <c r="X5" s="44"/>
      <c r="Y5" s="44"/>
      <c r="Z5" s="44"/>
    </row>
    <row r="6" spans="1:56" ht="16">
      <c r="A6" s="291">
        <v>43101</v>
      </c>
      <c r="B6" s="9">
        <v>29195</v>
      </c>
      <c r="C6" s="9">
        <v>11780</v>
      </c>
      <c r="D6" s="9">
        <v>17415</v>
      </c>
      <c r="F6" s="291">
        <v>43101</v>
      </c>
      <c r="G6" s="9">
        <v>24915</v>
      </c>
      <c r="H6" s="9">
        <v>10329</v>
      </c>
      <c r="I6" s="9">
        <v>14586</v>
      </c>
      <c r="L6" s="16" t="s">
        <v>197</v>
      </c>
      <c r="M6" s="16" t="s">
        <v>198</v>
      </c>
      <c r="N6" s="16" t="s">
        <v>199</v>
      </c>
      <c r="O6" s="16" t="s">
        <v>200</v>
      </c>
      <c r="P6" s="16" t="s">
        <v>201</v>
      </c>
      <c r="Q6" s="16" t="s">
        <v>202</v>
      </c>
      <c r="R6" s="16" t="s">
        <v>203</v>
      </c>
      <c r="S6" s="16" t="s">
        <v>204</v>
      </c>
      <c r="T6" s="16" t="s">
        <v>205</v>
      </c>
      <c r="U6" s="16" t="s">
        <v>206</v>
      </c>
      <c r="V6" s="16" t="s">
        <v>207</v>
      </c>
      <c r="W6" s="16" t="s">
        <v>208</v>
      </c>
      <c r="X6" s="16" t="s">
        <v>209</v>
      </c>
      <c r="Y6" s="16" t="s">
        <v>210</v>
      </c>
      <c r="Z6" s="16" t="s">
        <v>259</v>
      </c>
    </row>
    <row r="7" spans="1:56">
      <c r="A7" s="291">
        <v>43191</v>
      </c>
      <c r="B7" s="9">
        <v>161766</v>
      </c>
      <c r="C7" s="9">
        <v>122867</v>
      </c>
      <c r="D7" s="9">
        <v>38899</v>
      </c>
      <c r="F7" s="291">
        <v>43191</v>
      </c>
      <c r="G7" s="9">
        <v>107541</v>
      </c>
      <c r="H7" s="9">
        <v>77406</v>
      </c>
      <c r="I7" s="9">
        <v>30135</v>
      </c>
      <c r="K7" t="str">
        <f>+A4</f>
        <v>Visits</v>
      </c>
      <c r="L7" s="17">
        <f>+B14</f>
        <v>650288</v>
      </c>
      <c r="M7" s="17">
        <f>+B15</f>
        <v>837122</v>
      </c>
      <c r="N7" s="17">
        <f>+B16</f>
        <v>1213023</v>
      </c>
      <c r="O7" s="17">
        <f>+B17</f>
        <v>1929554</v>
      </c>
      <c r="P7" s="17">
        <f>+B18</f>
        <v>1883565</v>
      </c>
      <c r="Q7" s="17">
        <f>+B19</f>
        <v>3825237</v>
      </c>
      <c r="R7" s="17">
        <f>+B20</f>
        <v>3839490</v>
      </c>
      <c r="S7" s="17">
        <f>+B21</f>
        <v>7811754</v>
      </c>
      <c r="T7" s="17">
        <f>+B22</f>
        <v>4133013</v>
      </c>
      <c r="U7" s="17">
        <f>+B23</f>
        <v>2976177</v>
      </c>
      <c r="V7" s="17">
        <f>+B24</f>
        <v>3436199</v>
      </c>
      <c r="W7" s="17">
        <f>+B25</f>
        <v>4686097</v>
      </c>
      <c r="X7" s="17">
        <f>+B26</f>
        <v>4627876</v>
      </c>
      <c r="Y7" s="17">
        <f>+B27</f>
        <v>5295699</v>
      </c>
      <c r="Z7" s="17"/>
      <c r="AA7" s="17"/>
    </row>
    <row r="8" spans="1:56">
      <c r="A8" s="291">
        <v>43282</v>
      </c>
      <c r="B8" s="9">
        <v>167603</v>
      </c>
      <c r="C8" s="9">
        <v>101680</v>
      </c>
      <c r="D8" s="9">
        <v>65923</v>
      </c>
      <c r="F8" s="291">
        <v>43282</v>
      </c>
      <c r="G8" s="9">
        <v>116312</v>
      </c>
      <c r="H8" s="9">
        <v>72675</v>
      </c>
      <c r="I8" s="9">
        <v>43637</v>
      </c>
      <c r="K8" t="str">
        <f>+F4</f>
        <v>UVs</v>
      </c>
      <c r="L8" s="17">
        <f>+G14</f>
        <v>419328</v>
      </c>
      <c r="M8" s="17">
        <f>+G15</f>
        <v>472991</v>
      </c>
      <c r="N8" s="17">
        <f>+G16</f>
        <v>617421</v>
      </c>
      <c r="O8" s="17">
        <f>+G17</f>
        <v>956050</v>
      </c>
      <c r="P8" s="17">
        <f>+G18</f>
        <v>905684</v>
      </c>
      <c r="Q8" s="17">
        <f>+G19</f>
        <v>1650217</v>
      </c>
      <c r="R8" s="17">
        <f>+G20</f>
        <v>1926598</v>
      </c>
      <c r="S8" s="17">
        <f>+G21</f>
        <v>4627888</v>
      </c>
      <c r="T8" s="17">
        <f>+G22</f>
        <v>2512671</v>
      </c>
      <c r="U8" s="17">
        <f>+G23</f>
        <v>1879334</v>
      </c>
      <c r="V8" s="17">
        <f>+G24</f>
        <v>1792063</v>
      </c>
      <c r="W8" s="17">
        <f>+G25</f>
        <v>2444775</v>
      </c>
      <c r="X8" s="17">
        <f>+G26</f>
        <v>2348125</v>
      </c>
      <c r="Y8" s="17">
        <f>+G27</f>
        <v>2230166</v>
      </c>
    </row>
    <row r="9" spans="1:56">
      <c r="A9" s="291">
        <v>43374</v>
      </c>
      <c r="B9" s="9">
        <v>248262</v>
      </c>
      <c r="C9" s="9">
        <v>138436</v>
      </c>
      <c r="D9" s="9">
        <v>109826</v>
      </c>
      <c r="F9" s="291">
        <v>43374</v>
      </c>
      <c r="G9" s="9">
        <v>172902</v>
      </c>
      <c r="H9" s="9">
        <v>93813</v>
      </c>
      <c r="I9" s="9">
        <v>79089</v>
      </c>
    </row>
    <row r="10" spans="1:56">
      <c r="A10" s="291">
        <v>43466</v>
      </c>
      <c r="B10" s="9">
        <v>303995</v>
      </c>
      <c r="C10" s="9">
        <v>138550</v>
      </c>
      <c r="D10" s="9">
        <v>165445</v>
      </c>
      <c r="F10" s="291">
        <v>43466</v>
      </c>
      <c r="G10" s="9">
        <v>208907</v>
      </c>
      <c r="H10" s="9">
        <v>103103</v>
      </c>
      <c r="I10" s="9">
        <v>105804</v>
      </c>
    </row>
    <row r="11" spans="1:56" ht="17">
      <c r="A11" s="291">
        <v>43556</v>
      </c>
      <c r="B11" s="9">
        <v>411729</v>
      </c>
      <c r="C11" s="9">
        <v>231211</v>
      </c>
      <c r="D11" s="9">
        <v>180518</v>
      </c>
      <c r="F11" s="291">
        <v>43556</v>
      </c>
      <c r="G11" s="9">
        <v>260263</v>
      </c>
      <c r="H11" s="9">
        <v>139852</v>
      </c>
      <c r="I11" s="9">
        <v>120411</v>
      </c>
      <c r="K11" s="289"/>
      <c r="L11" s="255" t="s">
        <v>570</v>
      </c>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row>
    <row r="12" spans="1:56" ht="16">
      <c r="A12" s="291">
        <v>43647</v>
      </c>
      <c r="B12" s="9">
        <v>431219</v>
      </c>
      <c r="C12" s="9">
        <v>241382</v>
      </c>
      <c r="D12" s="9">
        <v>189837</v>
      </c>
      <c r="F12" s="291">
        <v>43647</v>
      </c>
      <c r="G12" s="9">
        <v>307835</v>
      </c>
      <c r="H12" s="9">
        <v>166427</v>
      </c>
      <c r="I12" s="9">
        <v>141408</v>
      </c>
      <c r="L12" s="152">
        <v>43831</v>
      </c>
      <c r="M12" s="152">
        <f>+L12+31</f>
        <v>43862</v>
      </c>
      <c r="N12" s="152">
        <f t="shared" ref="N12:BD12" si="0">+M12+31</f>
        <v>43893</v>
      </c>
      <c r="O12" s="152">
        <f t="shared" si="0"/>
        <v>43924</v>
      </c>
      <c r="P12" s="152">
        <f t="shared" si="0"/>
        <v>43955</v>
      </c>
      <c r="Q12" s="152">
        <f t="shared" si="0"/>
        <v>43986</v>
      </c>
      <c r="R12" s="152">
        <f t="shared" si="0"/>
        <v>44017</v>
      </c>
      <c r="S12" s="152">
        <f t="shared" si="0"/>
        <v>44048</v>
      </c>
      <c r="T12" s="152">
        <f t="shared" si="0"/>
        <v>44079</v>
      </c>
      <c r="U12" s="152">
        <f t="shared" si="0"/>
        <v>44110</v>
      </c>
      <c r="V12" s="152">
        <f t="shared" si="0"/>
        <v>44141</v>
      </c>
      <c r="W12" s="152">
        <f t="shared" si="0"/>
        <v>44172</v>
      </c>
      <c r="X12" s="152">
        <f t="shared" si="0"/>
        <v>44203</v>
      </c>
      <c r="Y12" s="152">
        <f t="shared" si="0"/>
        <v>44234</v>
      </c>
      <c r="Z12" s="152">
        <f t="shared" si="0"/>
        <v>44265</v>
      </c>
      <c r="AA12" s="152">
        <f t="shared" si="0"/>
        <v>44296</v>
      </c>
      <c r="AB12" s="152">
        <f t="shared" si="0"/>
        <v>44327</v>
      </c>
      <c r="AC12" s="152">
        <f t="shared" si="0"/>
        <v>44358</v>
      </c>
      <c r="AD12" s="152">
        <f t="shared" si="0"/>
        <v>44389</v>
      </c>
      <c r="AE12" s="152">
        <f t="shared" si="0"/>
        <v>44420</v>
      </c>
      <c r="AF12" s="152">
        <f t="shared" si="0"/>
        <v>44451</v>
      </c>
      <c r="AG12" s="152">
        <f t="shared" si="0"/>
        <v>44482</v>
      </c>
      <c r="AH12" s="152">
        <f t="shared" si="0"/>
        <v>44513</v>
      </c>
      <c r="AI12" s="152">
        <f t="shared" si="0"/>
        <v>44544</v>
      </c>
      <c r="AJ12" s="152">
        <f t="shared" si="0"/>
        <v>44575</v>
      </c>
      <c r="AK12" s="152">
        <f t="shared" si="0"/>
        <v>44606</v>
      </c>
      <c r="AL12" s="152">
        <f t="shared" si="0"/>
        <v>44637</v>
      </c>
      <c r="AM12" s="152">
        <f t="shared" si="0"/>
        <v>44668</v>
      </c>
      <c r="AN12" s="152">
        <f t="shared" si="0"/>
        <v>44699</v>
      </c>
      <c r="AO12" s="152">
        <f t="shared" si="0"/>
        <v>44730</v>
      </c>
      <c r="AP12" s="152">
        <f t="shared" si="0"/>
        <v>44761</v>
      </c>
      <c r="AQ12" s="152">
        <f t="shared" si="0"/>
        <v>44792</v>
      </c>
      <c r="AR12" s="152">
        <f t="shared" si="0"/>
        <v>44823</v>
      </c>
      <c r="AS12" s="152">
        <f t="shared" si="0"/>
        <v>44854</v>
      </c>
      <c r="AT12" s="152">
        <f t="shared" si="0"/>
        <v>44885</v>
      </c>
      <c r="AU12" s="152">
        <f t="shared" si="0"/>
        <v>44916</v>
      </c>
      <c r="AV12" s="152">
        <f t="shared" si="0"/>
        <v>44947</v>
      </c>
      <c r="AW12" s="152">
        <f t="shared" si="0"/>
        <v>44978</v>
      </c>
      <c r="AX12" s="152">
        <f t="shared" si="0"/>
        <v>45009</v>
      </c>
      <c r="AY12" s="152">
        <f t="shared" si="0"/>
        <v>45040</v>
      </c>
      <c r="AZ12" s="152">
        <f t="shared" si="0"/>
        <v>45071</v>
      </c>
      <c r="BA12" s="152">
        <f t="shared" si="0"/>
        <v>45102</v>
      </c>
      <c r="BB12" s="152">
        <f t="shared" si="0"/>
        <v>45133</v>
      </c>
      <c r="BC12" s="152">
        <f t="shared" si="0"/>
        <v>45164</v>
      </c>
      <c r="BD12" s="152">
        <f t="shared" si="0"/>
        <v>45195</v>
      </c>
    </row>
    <row r="13" spans="1:56">
      <c r="A13" s="291">
        <v>43739</v>
      </c>
      <c r="B13" s="9">
        <v>632384</v>
      </c>
      <c r="C13" s="9">
        <v>388027</v>
      </c>
      <c r="D13" s="9">
        <v>244357</v>
      </c>
      <c r="F13" s="291">
        <v>43739</v>
      </c>
      <c r="G13" s="9">
        <v>338800</v>
      </c>
      <c r="H13" s="9">
        <v>168049</v>
      </c>
      <c r="I13" s="9">
        <v>170751</v>
      </c>
      <c r="K13" t="str">
        <f>+K7</f>
        <v>Visits</v>
      </c>
      <c r="L13">
        <v>258626</v>
      </c>
      <c r="M13">
        <v>191527</v>
      </c>
      <c r="N13">
        <v>200135</v>
      </c>
      <c r="O13">
        <v>164304</v>
      </c>
      <c r="P13">
        <v>321215</v>
      </c>
      <c r="Q13">
        <v>351603</v>
      </c>
      <c r="R13">
        <v>358577</v>
      </c>
      <c r="S13">
        <v>429218</v>
      </c>
      <c r="T13">
        <v>425228</v>
      </c>
      <c r="U13">
        <v>422016</v>
      </c>
      <c r="V13">
        <v>769494</v>
      </c>
      <c r="W13">
        <v>738044</v>
      </c>
      <c r="X13">
        <v>739926</v>
      </c>
      <c r="Y13">
        <v>550384</v>
      </c>
      <c r="Z13">
        <v>593255</v>
      </c>
      <c r="AA13">
        <v>1098511</v>
      </c>
      <c r="AB13">
        <v>1576401</v>
      </c>
      <c r="AC13">
        <v>1150325</v>
      </c>
      <c r="AD13">
        <v>1109889</v>
      </c>
      <c r="AE13">
        <v>1238305</v>
      </c>
      <c r="AF13">
        <v>1491296</v>
      </c>
      <c r="AG13">
        <v>2141614</v>
      </c>
      <c r="AH13">
        <v>3070317</v>
      </c>
      <c r="AI13">
        <v>2599823</v>
      </c>
      <c r="AJ13">
        <v>1977663</v>
      </c>
      <c r="AK13">
        <v>1325840</v>
      </c>
      <c r="AL13">
        <v>829510</v>
      </c>
      <c r="AM13">
        <v>762965</v>
      </c>
      <c r="AN13">
        <v>1094569</v>
      </c>
      <c r="AO13">
        <v>1118643</v>
      </c>
      <c r="AP13">
        <v>1023376</v>
      </c>
      <c r="AQ13">
        <v>1256422</v>
      </c>
      <c r="AR13">
        <v>1156401</v>
      </c>
      <c r="AS13">
        <v>1322133</v>
      </c>
      <c r="AT13">
        <v>1698506</v>
      </c>
      <c r="AU13">
        <v>1665458</v>
      </c>
      <c r="AV13">
        <v>1922337</v>
      </c>
      <c r="AW13">
        <v>1167635</v>
      </c>
      <c r="AX13">
        <v>1537904</v>
      </c>
      <c r="AY13">
        <v>1559407</v>
      </c>
      <c r="AZ13">
        <v>2067718</v>
      </c>
      <c r="BA13">
        <v>1668574</v>
      </c>
      <c r="BB13">
        <v>1383003</v>
      </c>
      <c r="BC13">
        <v>1504327</v>
      </c>
      <c r="BD13">
        <v>1526797</v>
      </c>
    </row>
    <row r="14" spans="1:56">
      <c r="A14" s="291">
        <v>43831</v>
      </c>
      <c r="B14" s="9">
        <v>650288</v>
      </c>
      <c r="C14" s="9">
        <v>418933</v>
      </c>
      <c r="D14" s="9">
        <v>231355</v>
      </c>
      <c r="F14" s="291">
        <v>43831</v>
      </c>
      <c r="G14" s="9">
        <v>419328</v>
      </c>
      <c r="H14" s="9">
        <v>263007</v>
      </c>
      <c r="I14" s="9">
        <v>156321</v>
      </c>
      <c r="K14" t="str">
        <f>+K8</f>
        <v>UVs</v>
      </c>
      <c r="L14">
        <v>156014</v>
      </c>
      <c r="M14">
        <v>146126</v>
      </c>
      <c r="N14">
        <v>117188</v>
      </c>
      <c r="O14">
        <v>102638</v>
      </c>
      <c r="P14">
        <v>177799</v>
      </c>
      <c r="Q14">
        <v>192554</v>
      </c>
      <c r="R14">
        <v>181349</v>
      </c>
      <c r="S14">
        <v>220163</v>
      </c>
      <c r="T14">
        <v>215909</v>
      </c>
      <c r="U14">
        <v>276701</v>
      </c>
      <c r="V14">
        <v>350104</v>
      </c>
      <c r="W14">
        <v>329245</v>
      </c>
      <c r="X14">
        <v>343608</v>
      </c>
      <c r="Y14">
        <v>287074</v>
      </c>
      <c r="Z14">
        <v>275002</v>
      </c>
      <c r="AA14">
        <v>523593</v>
      </c>
      <c r="AB14">
        <v>597558</v>
      </c>
      <c r="AC14">
        <v>529066</v>
      </c>
      <c r="AD14">
        <v>549869</v>
      </c>
      <c r="AE14">
        <v>687238</v>
      </c>
      <c r="AF14">
        <v>689491</v>
      </c>
      <c r="AG14">
        <v>1290703</v>
      </c>
      <c r="AH14">
        <v>1798351</v>
      </c>
      <c r="AI14">
        <v>1538834</v>
      </c>
      <c r="AJ14">
        <v>1208567</v>
      </c>
      <c r="AK14">
        <v>769691</v>
      </c>
      <c r="AL14">
        <v>534413</v>
      </c>
      <c r="AM14">
        <v>533135</v>
      </c>
      <c r="AN14">
        <v>689533</v>
      </c>
      <c r="AO14">
        <v>656666</v>
      </c>
      <c r="AP14">
        <v>622571</v>
      </c>
      <c r="AQ14">
        <v>610538</v>
      </c>
      <c r="AR14">
        <v>558954</v>
      </c>
      <c r="AS14">
        <v>678741</v>
      </c>
      <c r="AT14">
        <v>831136</v>
      </c>
      <c r="AU14">
        <v>934898</v>
      </c>
      <c r="AV14">
        <v>1024009</v>
      </c>
      <c r="AW14">
        <v>722617</v>
      </c>
      <c r="AX14">
        <v>601499</v>
      </c>
      <c r="AY14">
        <v>680503</v>
      </c>
      <c r="AZ14">
        <v>832605</v>
      </c>
      <c r="BA14">
        <v>717058</v>
      </c>
      <c r="BB14">
        <v>627120</v>
      </c>
      <c r="BC14">
        <v>725193</v>
      </c>
      <c r="BD14">
        <v>672036</v>
      </c>
    </row>
    <row r="15" spans="1:56">
      <c r="A15" s="291">
        <v>43922</v>
      </c>
      <c r="B15" s="9">
        <v>837122</v>
      </c>
      <c r="C15" s="9">
        <v>613582</v>
      </c>
      <c r="D15" s="9">
        <v>223540</v>
      </c>
      <c r="F15" s="291">
        <v>43922</v>
      </c>
      <c r="G15" s="9">
        <v>472991</v>
      </c>
      <c r="H15" s="9">
        <v>319362</v>
      </c>
      <c r="I15" s="9">
        <v>153629</v>
      </c>
    </row>
    <row r="16" spans="1:56">
      <c r="A16" s="291">
        <v>44013</v>
      </c>
      <c r="B16" s="9">
        <v>1213023</v>
      </c>
      <c r="C16" s="9">
        <v>952221</v>
      </c>
      <c r="D16" s="9">
        <v>260802</v>
      </c>
      <c r="F16" s="291">
        <v>44013</v>
      </c>
      <c r="G16" s="9">
        <v>617421</v>
      </c>
      <c r="H16" s="9">
        <v>438605</v>
      </c>
      <c r="I16" s="9">
        <v>178816</v>
      </c>
    </row>
    <row r="17" spans="1:9">
      <c r="A17" s="291">
        <v>44105</v>
      </c>
      <c r="B17" s="9">
        <v>1929554</v>
      </c>
      <c r="C17" s="9">
        <v>1572855</v>
      </c>
      <c r="D17" s="9">
        <v>356699</v>
      </c>
      <c r="F17" s="291">
        <v>44105</v>
      </c>
      <c r="G17" s="9">
        <v>956050</v>
      </c>
      <c r="H17" s="9">
        <v>720258</v>
      </c>
      <c r="I17" s="9">
        <v>235792</v>
      </c>
    </row>
    <row r="18" spans="1:9">
      <c r="A18" s="291">
        <v>44197</v>
      </c>
      <c r="B18" s="9">
        <v>1883565</v>
      </c>
      <c r="C18" s="9">
        <v>1448076</v>
      </c>
      <c r="D18" s="9">
        <v>435489</v>
      </c>
      <c r="F18" s="291">
        <v>44197</v>
      </c>
      <c r="G18" s="9">
        <v>905684</v>
      </c>
      <c r="H18" s="9">
        <v>626065</v>
      </c>
      <c r="I18" s="9">
        <v>279619</v>
      </c>
    </row>
    <row r="19" spans="1:9">
      <c r="A19" s="291">
        <v>44287</v>
      </c>
      <c r="B19" s="9">
        <v>3825237</v>
      </c>
      <c r="C19" s="9">
        <v>2413908</v>
      </c>
      <c r="D19" s="9">
        <v>1411329</v>
      </c>
      <c r="F19" s="291">
        <v>44287</v>
      </c>
      <c r="G19" s="9">
        <v>1650217</v>
      </c>
      <c r="H19" s="9">
        <v>901497</v>
      </c>
      <c r="I19" s="9">
        <v>748720</v>
      </c>
    </row>
    <row r="20" spans="1:9">
      <c r="A20" s="291">
        <v>44378</v>
      </c>
      <c r="B20" s="9">
        <v>3839490</v>
      </c>
      <c r="C20" s="9">
        <v>2623601</v>
      </c>
      <c r="D20" s="9">
        <v>1215889</v>
      </c>
      <c r="F20" s="291">
        <v>44378</v>
      </c>
      <c r="G20" s="9">
        <v>1926598</v>
      </c>
      <c r="H20" s="9">
        <v>1151940</v>
      </c>
      <c r="I20" s="9">
        <v>774658</v>
      </c>
    </row>
    <row r="21" spans="1:9">
      <c r="A21" s="291">
        <v>44470</v>
      </c>
      <c r="B21" s="9">
        <v>7811754</v>
      </c>
      <c r="C21" s="9">
        <v>4333342</v>
      </c>
      <c r="D21" s="9">
        <v>3478412</v>
      </c>
      <c r="F21" s="291">
        <v>44470</v>
      </c>
      <c r="G21" s="9">
        <v>4627888</v>
      </c>
      <c r="H21" s="9">
        <v>2195648</v>
      </c>
      <c r="I21" s="9">
        <v>2432240</v>
      </c>
    </row>
    <row r="22" spans="1:9">
      <c r="A22" s="291">
        <v>44562</v>
      </c>
      <c r="B22" s="9">
        <v>4133013</v>
      </c>
      <c r="C22" s="9">
        <v>2941407</v>
      </c>
      <c r="D22" s="9">
        <v>1191606</v>
      </c>
      <c r="F22" s="291">
        <v>44562</v>
      </c>
      <c r="G22" s="9">
        <v>2512671</v>
      </c>
      <c r="H22" s="9">
        <v>1783127</v>
      </c>
      <c r="I22" s="9">
        <v>729544</v>
      </c>
    </row>
    <row r="23" spans="1:9">
      <c r="A23" s="291">
        <v>44652</v>
      </c>
      <c r="B23" s="9">
        <v>2976177</v>
      </c>
      <c r="C23" s="9">
        <v>2164700</v>
      </c>
      <c r="D23" s="9">
        <v>811477</v>
      </c>
      <c r="F23" s="291">
        <v>44652</v>
      </c>
      <c r="G23" s="9">
        <v>1879334</v>
      </c>
      <c r="H23" s="9">
        <v>1317117</v>
      </c>
      <c r="I23" s="9">
        <v>562217</v>
      </c>
    </row>
    <row r="24" spans="1:9">
      <c r="A24" s="291">
        <v>44743</v>
      </c>
      <c r="B24" s="9">
        <v>3436199</v>
      </c>
      <c r="C24" s="9">
        <v>2327460</v>
      </c>
      <c r="D24" s="9">
        <v>1108739</v>
      </c>
      <c r="F24" s="291">
        <v>44743</v>
      </c>
      <c r="G24" s="9">
        <v>1792063</v>
      </c>
      <c r="H24" s="9">
        <v>1213852</v>
      </c>
      <c r="I24" s="9">
        <v>578211</v>
      </c>
    </row>
    <row r="25" spans="1:9">
      <c r="A25" s="291">
        <v>44835</v>
      </c>
      <c r="B25" s="9">
        <v>4686097</v>
      </c>
      <c r="C25" s="9">
        <v>3005109</v>
      </c>
      <c r="D25" s="9">
        <v>1680988</v>
      </c>
      <c r="F25" s="291">
        <v>44835</v>
      </c>
      <c r="G25" s="9">
        <v>2444775</v>
      </c>
      <c r="H25" s="9">
        <v>1420973</v>
      </c>
      <c r="I25" s="9">
        <v>1023802</v>
      </c>
    </row>
    <row r="26" spans="1:9">
      <c r="A26" s="291">
        <v>44927</v>
      </c>
      <c r="B26" s="9">
        <v>4627876</v>
      </c>
      <c r="C26" s="9">
        <v>2854038</v>
      </c>
      <c r="D26" s="9">
        <v>1773838</v>
      </c>
      <c r="F26" s="291">
        <v>44927</v>
      </c>
      <c r="G26" s="9">
        <v>2348125</v>
      </c>
      <c r="H26" s="9">
        <v>1455968</v>
      </c>
      <c r="I26" s="9">
        <v>892157</v>
      </c>
    </row>
    <row r="27" spans="1:9">
      <c r="A27" s="291">
        <v>45017</v>
      </c>
      <c r="B27" s="9">
        <v>5295699</v>
      </c>
      <c r="C27" s="9">
        <v>3351077</v>
      </c>
      <c r="D27" s="9">
        <v>1944622</v>
      </c>
      <c r="F27" s="291">
        <v>45017</v>
      </c>
      <c r="G27" s="9">
        <v>2230166</v>
      </c>
      <c r="H27" s="9">
        <v>1499861</v>
      </c>
      <c r="I27" s="9">
        <v>730305</v>
      </c>
    </row>
    <row r="28" spans="1:9">
      <c r="A28" s="291"/>
      <c r="B28" s="9"/>
      <c r="C28" s="9"/>
      <c r="D28" s="9"/>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A68CD-0B0D-49EA-B0FA-DBC4D9D93589}">
  <dimension ref="A1:AC31"/>
  <sheetViews>
    <sheetView zoomScale="70" zoomScaleNormal="70" workbookViewId="0">
      <pane xSplit="7" ySplit="5" topLeftCell="H6" activePane="bottomRight" state="frozen"/>
      <selection pane="topRight" activeCell="H1" sqref="H1"/>
      <selection pane="bottomLeft" activeCell="A6" sqref="A6"/>
      <selection pane="bottomRight" activeCell="H6" sqref="H6"/>
    </sheetView>
  </sheetViews>
  <sheetFormatPr defaultRowHeight="14.5" outlineLevelRow="1" outlineLevelCol="2"/>
  <cols>
    <col min="2" max="2" width="9.1796875" hidden="1" customWidth="1" outlineLevel="2"/>
    <col min="3" max="5" width="9.26953125" hidden="1" customWidth="1" outlineLevel="2"/>
    <col min="6" max="6" width="9.54296875" hidden="1" customWidth="1" outlineLevel="2"/>
    <col min="7" max="7" width="9.26953125" customWidth="1" outlineLevel="1" collapsed="1"/>
    <col min="8" max="10" width="9.54296875" bestFit="1" customWidth="1"/>
    <col min="11" max="11" width="9.26953125" bestFit="1" customWidth="1"/>
    <col min="12" max="12" width="9.54296875" bestFit="1" customWidth="1"/>
    <col min="13" max="13" width="9.26953125" bestFit="1" customWidth="1"/>
    <col min="14" max="14" width="9.54296875" bestFit="1" customWidth="1"/>
    <col min="15" max="15" width="9.26953125" bestFit="1" customWidth="1"/>
  </cols>
  <sheetData>
    <row r="1" spans="1:29" s="35" customFormat="1" ht="12">
      <c r="A1" s="34" t="s">
        <v>0</v>
      </c>
      <c r="L1" s="206"/>
      <c r="N1" s="36"/>
      <c r="O1" s="206">
        <f ca="1">TODAY()</f>
        <v>45797</v>
      </c>
      <c r="P1" s="37"/>
      <c r="Q1" s="37"/>
      <c r="R1" s="37"/>
      <c r="S1" s="37"/>
    </row>
    <row r="2" spans="1:29" s="35" customFormat="1" ht="12">
      <c r="A2" s="38" t="s">
        <v>621</v>
      </c>
      <c r="B2" s="39"/>
      <c r="C2" s="39"/>
      <c r="D2" s="39"/>
      <c r="E2" s="39"/>
      <c r="F2" s="39"/>
      <c r="G2" s="39"/>
      <c r="H2" s="39"/>
      <c r="I2" s="39"/>
      <c r="J2" s="39"/>
      <c r="K2" s="39"/>
      <c r="L2" s="39"/>
      <c r="M2" s="39"/>
      <c r="N2" s="39"/>
      <c r="O2" s="39"/>
      <c r="P2" s="39"/>
      <c r="Q2" s="39"/>
      <c r="R2" s="39"/>
      <c r="S2" s="39"/>
      <c r="T2" s="39"/>
      <c r="U2" s="39"/>
      <c r="V2" s="39"/>
      <c r="W2" s="39"/>
      <c r="X2" s="39"/>
      <c r="Y2" s="39"/>
      <c r="Z2" s="39"/>
      <c r="AA2" s="39"/>
      <c r="AB2" s="39"/>
      <c r="AC2" s="39"/>
    </row>
    <row r="3" spans="1:29" s="35" customFormat="1" ht="12">
      <c r="A3" s="40" t="s">
        <v>3</v>
      </c>
      <c r="C3" s="41"/>
      <c r="D3" s="41"/>
      <c r="E3" s="41"/>
      <c r="F3" s="41"/>
      <c r="G3" s="41">
        <f ca="1">TODAY()</f>
        <v>45797</v>
      </c>
      <c r="H3" s="41">
        <v>45107</v>
      </c>
      <c r="I3" s="41">
        <v>45473</v>
      </c>
      <c r="J3" s="41">
        <v>45838</v>
      </c>
      <c r="K3" s="41">
        <v>46203</v>
      </c>
      <c r="L3" s="41">
        <v>46568</v>
      </c>
      <c r="M3" s="41"/>
      <c r="N3" s="41"/>
      <c r="O3" s="41"/>
      <c r="P3" s="41"/>
      <c r="Q3" s="41"/>
      <c r="R3" s="41"/>
      <c r="S3" s="41"/>
    </row>
    <row r="4" spans="1:29">
      <c r="C4" s="177"/>
    </row>
    <row r="5" spans="1:29">
      <c r="C5" t="s">
        <v>622</v>
      </c>
      <c r="D5" t="s">
        <v>623</v>
      </c>
      <c r="E5" t="s">
        <v>624</v>
      </c>
      <c r="F5" t="s">
        <v>625</v>
      </c>
      <c r="G5" t="s">
        <v>626</v>
      </c>
      <c r="H5" t="s">
        <v>627</v>
      </c>
      <c r="I5" t="s">
        <v>628</v>
      </c>
      <c r="J5" t="s">
        <v>629</v>
      </c>
      <c r="K5" t="s">
        <v>630</v>
      </c>
      <c r="L5" t="s">
        <v>631</v>
      </c>
      <c r="M5" t="s">
        <v>632</v>
      </c>
      <c r="N5" t="s">
        <v>633</v>
      </c>
      <c r="O5" t="s">
        <v>634</v>
      </c>
    </row>
    <row r="7" spans="1:29">
      <c r="A7" t="s">
        <v>635</v>
      </c>
      <c r="C7" s="9">
        <f>+'Detailed Disclosures - USD'!D17/1000</f>
        <v>2.8180669942590137</v>
      </c>
      <c r="D7" s="9">
        <f>+'Detailed Disclosures - USD'!E17/1000</f>
        <v>7.5860184433036126</v>
      </c>
      <c r="E7" s="9">
        <f>+'Detailed Disclosures - USD'!F17/1000</f>
        <v>10.433909896445495</v>
      </c>
      <c r="F7" s="9">
        <f>+'Detailed Disclosures - USD'!G17/1000</f>
        <v>16.320612554405223</v>
      </c>
      <c r="G7" s="9">
        <f>+'Detailed Disclosures - USD'!H17/1000</f>
        <v>14.289331061916167</v>
      </c>
      <c r="H7" s="9">
        <f>+'Detailed Disclosures - USD'!I17/1000</f>
        <v>25.692908306317189</v>
      </c>
      <c r="I7" s="9">
        <f>+'Detailed Disclosures - USD'!J17/1000</f>
        <v>28.360864690116475</v>
      </c>
      <c r="J7" s="9">
        <f>+'Detailed Disclosures - USD'!K17/1000</f>
        <v>54.814952235218236</v>
      </c>
      <c r="K7" s="9">
        <f>+'Detailed Disclosures - USD'!L17/1000</f>
        <v>35.337935096314439</v>
      </c>
      <c r="L7" s="9">
        <f>+'Detailed Disclosures - USD'!M17/1000</f>
        <v>33.821943231292174</v>
      </c>
      <c r="M7" s="9">
        <f>+'Detailed Disclosures - USD'!N17/1000</f>
        <v>45.37787569430273</v>
      </c>
      <c r="N7" s="9">
        <f>+'Detailed Disclosures - USD'!O17/1000</f>
        <v>79.696312663890339</v>
      </c>
      <c r="O7" s="9">
        <f>+'Detailed Disclosures - USD'!P17/1000</f>
        <v>69.347179995217445</v>
      </c>
    </row>
    <row r="8" spans="1:29">
      <c r="A8" t="s">
        <v>636</v>
      </c>
      <c r="C8" s="9">
        <f>+'Q4 FY21e analysis'!J111/1000</f>
        <v>610.87399999999991</v>
      </c>
      <c r="D8" s="9">
        <f>+'Q4 FY21e analysis'!K111/1000</f>
        <v>721.31</v>
      </c>
      <c r="E8" s="9">
        <f>+'Q4 FY21e analysis'!L111/1000</f>
        <v>797.84</v>
      </c>
      <c r="F8" s="9">
        <f>+'Q4 FY21e analysis'!M111/1000</f>
        <v>1056.99</v>
      </c>
      <c r="G8" s="9">
        <f>+'Q4 FY21e analysis'!N111/1000</f>
        <v>915.60400000000004</v>
      </c>
      <c r="H8" s="9">
        <f>+'Q4 FY21e analysis'!O111/1000</f>
        <v>1007.811</v>
      </c>
      <c r="I8" s="9">
        <f>+'Q4 FY21e analysis'!P111/1000</f>
        <v>1017.314</v>
      </c>
      <c r="J8" s="9">
        <f>+'Q4 FY21e analysis'!Q111/1000</f>
        <v>1289.145</v>
      </c>
      <c r="K8" s="9">
        <f>+'Q4 FY21e analysis'!R111/1000</f>
        <v>930.75199999999995</v>
      </c>
      <c r="L8" s="9">
        <f>+'Q4 FY21e analysis'!S111/1000</f>
        <v>1020.448</v>
      </c>
      <c r="M8" s="9">
        <f>+'Q4 FY21e analysis'!T111/1000</f>
        <v>967.37199999999996</v>
      </c>
      <c r="N8" s="9">
        <f>+'Q4 FY21e analysis'!U111/1000</f>
        <v>1139.9290000000001</v>
      </c>
      <c r="O8" s="9">
        <f>+'Q4 FY21e analysis'!V111/1000</f>
        <v>931.65800000000002</v>
      </c>
    </row>
    <row r="9" spans="1:29">
      <c r="A9" t="s">
        <v>637</v>
      </c>
      <c r="C9" s="9">
        <v>122.7</v>
      </c>
      <c r="D9" s="9">
        <v>131</v>
      </c>
      <c r="E9" s="9">
        <v>138.80000000000001</v>
      </c>
      <c r="F9" s="9">
        <v>174.2</v>
      </c>
      <c r="G9" s="9">
        <v>181</v>
      </c>
      <c r="H9" s="9">
        <v>178.3</v>
      </c>
      <c r="I9" s="9">
        <v>173.3</v>
      </c>
      <c r="J9" s="9">
        <v>206</v>
      </c>
      <c r="K9" s="9">
        <v>186.2</v>
      </c>
      <c r="L9" s="9">
        <v>192</v>
      </c>
      <c r="M9" s="9">
        <v>193.2</v>
      </c>
      <c r="N9" s="9">
        <v>208.8</v>
      </c>
      <c r="O9" s="9">
        <v>218.4</v>
      </c>
    </row>
    <row r="10" spans="1:29">
      <c r="A10" t="s">
        <v>638</v>
      </c>
      <c r="C10" s="9">
        <v>146.1</v>
      </c>
      <c r="D10" s="9">
        <v>142.80000000000001</v>
      </c>
      <c r="E10" s="9">
        <v>151</v>
      </c>
      <c r="F10" s="9">
        <v>140.80000000000001</v>
      </c>
      <c r="G10" s="9">
        <v>178.9</v>
      </c>
      <c r="H10" s="9">
        <v>228.6</v>
      </c>
      <c r="I10" s="9">
        <v>244.1</v>
      </c>
      <c r="J10" s="9">
        <v>239.8</v>
      </c>
      <c r="K10" s="9">
        <v>283.5</v>
      </c>
      <c r="L10" s="9">
        <v>290.10000000000002</v>
      </c>
      <c r="M10" s="9">
        <v>268.7</v>
      </c>
      <c r="N10" s="9">
        <v>259.2</v>
      </c>
      <c r="O10" s="9">
        <v>279.60000000000002</v>
      </c>
    </row>
    <row r="12" spans="1:29">
      <c r="A12" s="4" t="s">
        <v>225</v>
      </c>
      <c r="G12" t="s">
        <v>626</v>
      </c>
      <c r="H12" t="s">
        <v>627</v>
      </c>
      <c r="I12" t="s">
        <v>628</v>
      </c>
      <c r="J12" t="s">
        <v>629</v>
      </c>
      <c r="K12" t="s">
        <v>630</v>
      </c>
      <c r="L12" t="s">
        <v>631</v>
      </c>
      <c r="M12" t="s">
        <v>632</v>
      </c>
      <c r="N12" t="s">
        <v>633</v>
      </c>
      <c r="O12" t="s">
        <v>634</v>
      </c>
    </row>
    <row r="13" spans="1:29">
      <c r="A13" t="str">
        <f>+A7</f>
        <v>Cettire</v>
      </c>
      <c r="G13" s="124">
        <f>+G7/C7-1</f>
        <v>4.070614393137741</v>
      </c>
      <c r="H13" s="124">
        <f t="shared" ref="H13:O13" si="0">+H7/D7-1</f>
        <v>2.386876593873434</v>
      </c>
      <c r="I13" s="124">
        <f t="shared" si="0"/>
        <v>1.7181435311970761</v>
      </c>
      <c r="J13" s="124">
        <f t="shared" si="0"/>
        <v>2.3586332652951012</v>
      </c>
      <c r="K13" s="124">
        <f t="shared" si="0"/>
        <v>1.4730293491832431</v>
      </c>
      <c r="L13" s="124">
        <f t="shared" si="0"/>
        <v>0.31639216658770675</v>
      </c>
      <c r="M13" s="124">
        <f t="shared" si="0"/>
        <v>0.6000173545525409</v>
      </c>
      <c r="N13" s="124">
        <f t="shared" si="0"/>
        <v>0.45391557255952497</v>
      </c>
      <c r="O13" s="124">
        <f t="shared" si="0"/>
        <v>0.96240045736147128</v>
      </c>
    </row>
    <row r="14" spans="1:29">
      <c r="A14" t="str">
        <f t="shared" ref="A14:A16" si="1">+A8</f>
        <v>Farfetch</v>
      </c>
      <c r="G14" s="124">
        <f t="shared" ref="G14:O14" si="2">+G8/C8-1</f>
        <v>0.49884264185413052</v>
      </c>
      <c r="H14" s="124">
        <f t="shared" si="2"/>
        <v>0.39719538062691506</v>
      </c>
      <c r="I14" s="124">
        <f t="shared" si="2"/>
        <v>0.27508523012132757</v>
      </c>
      <c r="J14" s="124">
        <f t="shared" si="2"/>
        <v>0.2196378395254448</v>
      </c>
      <c r="K14" s="124">
        <f t="shared" si="2"/>
        <v>1.6544270230361535E-2</v>
      </c>
      <c r="L14" s="124">
        <f t="shared" si="2"/>
        <v>1.2539057422473077E-2</v>
      </c>
      <c r="M14" s="124">
        <f t="shared" si="2"/>
        <v>-4.9092020752687926E-2</v>
      </c>
      <c r="N14" s="124">
        <f t="shared" si="2"/>
        <v>-0.11574803455003113</v>
      </c>
      <c r="O14" s="124">
        <f t="shared" si="2"/>
        <v>9.7340644983856528E-4</v>
      </c>
    </row>
    <row r="15" spans="1:29">
      <c r="A15" t="str">
        <f t="shared" si="1"/>
        <v>MyTheresa</v>
      </c>
      <c r="G15" s="124">
        <f t="shared" ref="G15:O15" si="3">+G9/C9-1</f>
        <v>0.47514262428687859</v>
      </c>
      <c r="H15" s="124">
        <f t="shared" si="3"/>
        <v>0.36106870229007648</v>
      </c>
      <c r="I15" s="124">
        <f t="shared" si="3"/>
        <v>0.24855907780979836</v>
      </c>
      <c r="J15" s="124">
        <f t="shared" si="3"/>
        <v>0.18254879448909311</v>
      </c>
      <c r="K15" s="124">
        <f t="shared" si="3"/>
        <v>2.8729281767955639E-2</v>
      </c>
      <c r="L15" s="124">
        <f t="shared" si="3"/>
        <v>7.6836791923724057E-2</v>
      </c>
      <c r="M15" s="124">
        <f t="shared" si="3"/>
        <v>0.1148297749567222</v>
      </c>
      <c r="N15" s="124">
        <f t="shared" si="3"/>
        <v>1.3592233009708687E-2</v>
      </c>
      <c r="O15" s="124">
        <f t="shared" si="3"/>
        <v>0.17293233082706783</v>
      </c>
    </row>
    <row r="16" spans="1:29" hidden="1" outlineLevel="1">
      <c r="A16" t="str">
        <f t="shared" si="1"/>
        <v>Revolve</v>
      </c>
      <c r="G16" s="124">
        <f t="shared" ref="G16:O16" si="4">+G10/C10-1</f>
        <v>0.22450376454483245</v>
      </c>
      <c r="H16" s="124">
        <f t="shared" si="4"/>
        <v>0.60084033613445365</v>
      </c>
      <c r="I16" s="124">
        <f t="shared" si="4"/>
        <v>0.61655629139072854</v>
      </c>
      <c r="J16" s="124">
        <f t="shared" si="4"/>
        <v>0.703125</v>
      </c>
      <c r="K16" s="124">
        <f t="shared" si="4"/>
        <v>0.58468418110676357</v>
      </c>
      <c r="L16" s="124">
        <f t="shared" si="4"/>
        <v>0.26902887139107623</v>
      </c>
      <c r="M16" s="124">
        <f t="shared" si="4"/>
        <v>0.1007783695206883</v>
      </c>
      <c r="N16" s="124">
        <f t="shared" si="4"/>
        <v>8.0900750625521267E-2</v>
      </c>
      <c r="O16" s="124">
        <f t="shared" si="4"/>
        <v>-1.3756613756613634E-2</v>
      </c>
    </row>
    <row r="17" spans="1:15" collapsed="1"/>
    <row r="18" spans="1:15">
      <c r="A18" s="4" t="s">
        <v>639</v>
      </c>
      <c r="G18" t="s">
        <v>626</v>
      </c>
      <c r="H18" t="s">
        <v>627</v>
      </c>
      <c r="I18" t="s">
        <v>628</v>
      </c>
      <c r="J18" t="s">
        <v>629</v>
      </c>
      <c r="K18" t="s">
        <v>630</v>
      </c>
      <c r="L18" t="s">
        <v>631</v>
      </c>
      <c r="M18" t="s">
        <v>632</v>
      </c>
      <c r="N18" t="s">
        <v>633</v>
      </c>
      <c r="O18" t="s">
        <v>634</v>
      </c>
    </row>
    <row r="19" spans="1:15">
      <c r="A19" t="str">
        <f>+A13</f>
        <v>Cettire</v>
      </c>
      <c r="G19" s="17">
        <f t="shared" ref="G19:N19" si="5">+G7-C7</f>
        <v>11.471264067657152</v>
      </c>
      <c r="H19" s="17">
        <f t="shared" si="5"/>
        <v>18.106889863013578</v>
      </c>
      <c r="I19" s="17">
        <f t="shared" si="5"/>
        <v>17.92695479367098</v>
      </c>
      <c r="J19" s="17">
        <f t="shared" si="5"/>
        <v>38.494339680813013</v>
      </c>
      <c r="K19" s="17">
        <f t="shared" si="5"/>
        <v>21.048604034398274</v>
      </c>
      <c r="L19" s="17">
        <f t="shared" si="5"/>
        <v>8.1290349249749845</v>
      </c>
      <c r="M19" s="17">
        <f t="shared" si="5"/>
        <v>17.017011004186255</v>
      </c>
      <c r="N19" s="17">
        <f t="shared" si="5"/>
        <v>24.881360428672103</v>
      </c>
      <c r="O19" s="17">
        <f>+O7-K7</f>
        <v>34.009244898903006</v>
      </c>
    </row>
    <row r="20" spans="1:15">
      <c r="A20" t="str">
        <f t="shared" ref="A20:A22" si="6">+A14</f>
        <v>Farfetch</v>
      </c>
      <c r="G20" s="17">
        <f t="shared" ref="G20:O20" si="7">+G8-C8</f>
        <v>304.73000000000013</v>
      </c>
      <c r="H20" s="17">
        <f t="shared" si="7"/>
        <v>286.50100000000009</v>
      </c>
      <c r="I20" s="17">
        <f t="shared" si="7"/>
        <v>219.47399999999993</v>
      </c>
      <c r="J20" s="17">
        <f t="shared" si="7"/>
        <v>232.15499999999997</v>
      </c>
      <c r="K20" s="17">
        <f t="shared" si="7"/>
        <v>15.147999999999911</v>
      </c>
      <c r="L20" s="17">
        <f t="shared" si="7"/>
        <v>12.636999999999944</v>
      </c>
      <c r="M20" s="17">
        <f t="shared" si="7"/>
        <v>-49.942000000000007</v>
      </c>
      <c r="N20" s="17">
        <f t="shared" si="7"/>
        <v>-149.21599999999989</v>
      </c>
      <c r="O20" s="17">
        <f t="shared" si="7"/>
        <v>0.90600000000006276</v>
      </c>
    </row>
    <row r="21" spans="1:15">
      <c r="A21" t="str">
        <f t="shared" si="6"/>
        <v>MyTheresa</v>
      </c>
      <c r="G21" s="17">
        <f t="shared" ref="G21:O21" si="8">+G9-C9</f>
        <v>58.3</v>
      </c>
      <c r="H21" s="17">
        <f t="shared" si="8"/>
        <v>47.300000000000011</v>
      </c>
      <c r="I21" s="17">
        <f t="shared" si="8"/>
        <v>34.5</v>
      </c>
      <c r="J21" s="17">
        <f t="shared" si="8"/>
        <v>31.800000000000011</v>
      </c>
      <c r="K21" s="17">
        <f t="shared" si="8"/>
        <v>5.1999999999999886</v>
      </c>
      <c r="L21" s="17">
        <f t="shared" si="8"/>
        <v>13.699999999999989</v>
      </c>
      <c r="M21" s="17">
        <f t="shared" si="8"/>
        <v>19.899999999999977</v>
      </c>
      <c r="N21" s="17">
        <f t="shared" si="8"/>
        <v>2.8000000000000114</v>
      </c>
      <c r="O21" s="17">
        <f t="shared" si="8"/>
        <v>32.200000000000017</v>
      </c>
    </row>
    <row r="22" spans="1:15" hidden="1" outlineLevel="1">
      <c r="A22" t="str">
        <f t="shared" si="6"/>
        <v>Revolve</v>
      </c>
      <c r="G22" s="17">
        <f t="shared" ref="G22:O22" si="9">+G10-C10</f>
        <v>32.800000000000011</v>
      </c>
      <c r="H22" s="17">
        <f t="shared" si="9"/>
        <v>85.799999999999983</v>
      </c>
      <c r="I22" s="17">
        <f t="shared" si="9"/>
        <v>93.1</v>
      </c>
      <c r="J22" s="17">
        <f t="shared" si="9"/>
        <v>99</v>
      </c>
      <c r="K22" s="17">
        <f t="shared" si="9"/>
        <v>104.6</v>
      </c>
      <c r="L22" s="17">
        <f t="shared" si="9"/>
        <v>61.500000000000028</v>
      </c>
      <c r="M22" s="17">
        <f t="shared" si="9"/>
        <v>24.599999999999994</v>
      </c>
      <c r="N22" s="17">
        <f t="shared" si="9"/>
        <v>19.399999999999977</v>
      </c>
      <c r="O22" s="17">
        <f t="shared" si="9"/>
        <v>-3.8999999999999773</v>
      </c>
    </row>
    <row r="23" spans="1:15" collapsed="1">
      <c r="H23" s="17"/>
      <c r="I23" s="17"/>
      <c r="J23" s="17"/>
      <c r="K23" s="17"/>
      <c r="L23" s="17"/>
      <c r="M23" s="17"/>
      <c r="N23" s="17"/>
      <c r="O23" s="17"/>
    </row>
    <row r="24" spans="1:15">
      <c r="A24" s="29" t="s">
        <v>640</v>
      </c>
      <c r="H24" s="17"/>
      <c r="I24" s="17"/>
      <c r="J24" s="17"/>
      <c r="K24" s="17"/>
      <c r="L24" s="17"/>
      <c r="M24" s="17"/>
      <c r="N24" s="17"/>
      <c r="O24" s="17"/>
    </row>
    <row r="25" spans="1:15">
      <c r="A25" s="29"/>
      <c r="H25" s="17"/>
      <c r="I25" s="17"/>
      <c r="J25" s="17"/>
      <c r="K25" s="17"/>
      <c r="L25" s="17"/>
      <c r="M25" s="17"/>
      <c r="N25" s="17"/>
      <c r="O25" s="17"/>
    </row>
    <row r="26" spans="1:15">
      <c r="H26" t="s">
        <v>79</v>
      </c>
    </row>
    <row r="27" spans="1:15">
      <c r="A27" t="s">
        <v>641</v>
      </c>
      <c r="H27" s="30">
        <f>+SUM(K7:N7)/1000</f>
        <v>0.19423406668579968</v>
      </c>
    </row>
    <row r="28" spans="1:15">
      <c r="A28" t="s">
        <v>642</v>
      </c>
      <c r="H28" s="30">
        <v>82</v>
      </c>
    </row>
    <row r="29" spans="1:15">
      <c r="A29" t="s">
        <v>643</v>
      </c>
      <c r="H29" s="30">
        <v>389</v>
      </c>
    </row>
    <row r="31" spans="1:15">
      <c r="A31" s="29" t="s">
        <v>644</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3E3F6-2B0E-4059-9234-582AAF4812B7}">
  <sheetPr>
    <pageSetUpPr fitToPage="1"/>
  </sheetPr>
  <dimension ref="A1:Z132"/>
  <sheetViews>
    <sheetView view="pageBreakPreview" zoomScale="60" zoomScaleNormal="55" workbookViewId="0">
      <selection activeCell="C18" sqref="C18"/>
    </sheetView>
  </sheetViews>
  <sheetFormatPr defaultColWidth="8.7265625" defaultRowHeight="12.5"/>
  <cols>
    <col min="1" max="1" width="49.1796875" style="240" customWidth="1"/>
    <col min="2" max="2" width="10.1796875" style="240" bestFit="1" customWidth="1"/>
    <col min="3" max="4" width="12.54296875" style="240" customWidth="1"/>
    <col min="5" max="5" width="2.7265625" style="240" customWidth="1"/>
    <col min="6" max="9" width="8.81640625" style="240" bestFit="1" customWidth="1"/>
    <col min="10" max="11" width="8.7265625" style="240"/>
    <col min="12" max="12" width="58.81640625" style="240" customWidth="1"/>
    <col min="13" max="16384" width="8.7265625" style="240"/>
  </cols>
  <sheetData>
    <row r="1" spans="1:26" ht="13">
      <c r="A1" s="240" t="s">
        <v>0</v>
      </c>
      <c r="D1" s="241"/>
      <c r="I1" s="241"/>
      <c r="K1" s="242"/>
      <c r="L1" s="259">
        <f ca="1">TODAY()</f>
        <v>45797</v>
      </c>
      <c r="M1" s="242"/>
      <c r="N1" s="242"/>
      <c r="O1" s="242"/>
      <c r="P1" s="242"/>
    </row>
    <row r="2" spans="1:26" ht="13">
      <c r="A2" s="243" t="s">
        <v>645</v>
      </c>
      <c r="B2" s="244"/>
      <c r="C2" s="244"/>
      <c r="D2" s="244"/>
      <c r="E2" s="244"/>
      <c r="F2" s="244"/>
      <c r="G2" s="244"/>
      <c r="H2" s="244"/>
      <c r="I2" s="244"/>
      <c r="J2" s="244"/>
      <c r="K2" s="244"/>
      <c r="L2" s="244"/>
      <c r="M2" s="244"/>
      <c r="N2" s="244"/>
      <c r="O2" s="244"/>
      <c r="P2" s="244"/>
      <c r="Q2" s="244"/>
      <c r="R2" s="244"/>
      <c r="S2" s="244"/>
      <c r="T2" s="244"/>
      <c r="U2" s="244"/>
      <c r="V2" s="244"/>
      <c r="W2" s="244"/>
      <c r="X2" s="244"/>
      <c r="Y2" s="244"/>
      <c r="Z2" s="244"/>
    </row>
    <row r="3" spans="1:26" ht="13">
      <c r="A3" s="248" t="s">
        <v>192</v>
      </c>
      <c r="B3" s="241"/>
      <c r="C3" s="241"/>
      <c r="D3" s="241"/>
      <c r="E3" s="241"/>
      <c r="F3" s="241"/>
      <c r="G3" s="241"/>
      <c r="H3" s="241"/>
      <c r="I3" s="241"/>
      <c r="J3" s="241"/>
      <c r="K3" s="241"/>
      <c r="L3" s="241"/>
      <c r="M3" s="241"/>
      <c r="N3" s="241"/>
      <c r="O3" s="241"/>
      <c r="P3" s="241"/>
    </row>
    <row r="4" spans="1:26" ht="13">
      <c r="A4" s="248"/>
      <c r="B4" s="241"/>
      <c r="C4" s="241"/>
      <c r="D4" s="241"/>
      <c r="E4" s="241"/>
      <c r="F4" s="241"/>
      <c r="G4" s="241"/>
      <c r="H4" s="241"/>
      <c r="I4" s="241"/>
      <c r="J4" s="241"/>
      <c r="K4" s="241"/>
      <c r="L4" s="241"/>
      <c r="M4" s="241"/>
      <c r="N4" s="241"/>
      <c r="O4" s="241"/>
      <c r="P4" s="241"/>
    </row>
    <row r="5" spans="1:26" ht="16">
      <c r="A5" s="250" t="s">
        <v>646</v>
      </c>
      <c r="C5" s="249" t="s">
        <v>529</v>
      </c>
      <c r="D5" s="249" t="s">
        <v>647</v>
      </c>
      <c r="E5" s="249"/>
      <c r="F5" s="268" t="s">
        <v>648</v>
      </c>
      <c r="G5" s="44"/>
      <c r="H5" s="44"/>
      <c r="I5" s="43"/>
      <c r="J5" s="44"/>
      <c r="K5" s="44"/>
      <c r="L5" s="43"/>
      <c r="M5" s="241"/>
      <c r="N5" s="241"/>
      <c r="O5" s="241"/>
      <c r="P5" s="241"/>
    </row>
    <row r="6" spans="1:26" ht="13">
      <c r="A6" s="248"/>
      <c r="C6" s="241"/>
      <c r="D6" s="241"/>
      <c r="E6" s="241"/>
      <c r="F6" s="241"/>
      <c r="G6" s="241"/>
      <c r="H6" s="241"/>
      <c r="I6" s="241"/>
      <c r="J6" s="241"/>
      <c r="K6" s="241"/>
      <c r="L6" s="241"/>
      <c r="M6" s="241"/>
      <c r="N6" s="241"/>
      <c r="O6" s="241"/>
      <c r="P6" s="241"/>
    </row>
    <row r="7" spans="1:26" ht="13">
      <c r="A7" s="240" t="s">
        <v>649</v>
      </c>
      <c r="C7" s="253">
        <f>+C10</f>
        <v>279263.46024365618</v>
      </c>
      <c r="D7" s="253">
        <f>+D72-D8</f>
        <v>2900018</v>
      </c>
      <c r="E7" s="241"/>
      <c r="F7" s="259" t="s">
        <v>650</v>
      </c>
      <c r="G7" s="241"/>
      <c r="H7" s="241"/>
      <c r="I7" s="241"/>
      <c r="J7" s="241"/>
      <c r="K7" s="241"/>
      <c r="L7" s="241"/>
      <c r="M7" s="241"/>
      <c r="N7" s="241"/>
      <c r="O7" s="241"/>
      <c r="P7" s="241"/>
    </row>
    <row r="8" spans="1:26" ht="13">
      <c r="A8" s="240" t="s">
        <v>651</v>
      </c>
      <c r="C8" s="253">
        <v>0</v>
      </c>
      <c r="D8" s="253">
        <f>+D79</f>
        <v>592497</v>
      </c>
      <c r="E8" s="241"/>
      <c r="F8" s="259"/>
      <c r="G8" s="241"/>
      <c r="H8" s="257"/>
      <c r="I8" s="241"/>
      <c r="J8" s="241"/>
      <c r="K8" s="241"/>
      <c r="L8" s="241"/>
      <c r="M8" s="241"/>
      <c r="N8" s="241"/>
      <c r="O8" s="241"/>
      <c r="P8" s="241"/>
    </row>
    <row r="9" spans="1:26" ht="14">
      <c r="A9" s="240" t="s">
        <v>652</v>
      </c>
      <c r="C9" s="254">
        <v>0</v>
      </c>
      <c r="D9" s="254">
        <f>+D10-SUM(D7:D8)</f>
        <v>565986</v>
      </c>
      <c r="E9" s="241"/>
      <c r="G9" s="241"/>
      <c r="H9" s="241"/>
      <c r="I9" s="241"/>
      <c r="J9" s="241"/>
      <c r="K9" s="241"/>
      <c r="L9" s="241"/>
      <c r="M9" s="241"/>
      <c r="N9" s="241"/>
      <c r="O9" s="241"/>
      <c r="P9" s="241"/>
    </row>
    <row r="10" spans="1:26">
      <c r="A10" s="239" t="s">
        <v>653</v>
      </c>
      <c r="C10" s="251">
        <f>+D57</f>
        <v>279263.46024365618</v>
      </c>
      <c r="D10" s="251">
        <f>+D75</f>
        <v>4058501</v>
      </c>
      <c r="E10" s="241"/>
      <c r="F10" s="241"/>
      <c r="G10" s="241"/>
      <c r="H10" s="241"/>
      <c r="I10" s="241"/>
      <c r="J10" s="241"/>
      <c r="K10" s="241"/>
      <c r="L10" s="241"/>
      <c r="M10" s="241"/>
      <c r="N10" s="241"/>
      <c r="O10" s="241" t="s">
        <v>654</v>
      </c>
      <c r="P10" s="241"/>
    </row>
    <row r="11" spans="1:26" ht="13">
      <c r="A11" s="265"/>
      <c r="C11" s="257"/>
      <c r="D11" s="257"/>
      <c r="E11" s="241"/>
      <c r="F11" s="241"/>
      <c r="G11" s="241"/>
      <c r="H11" s="241"/>
      <c r="I11" s="241"/>
      <c r="J11" s="241"/>
      <c r="K11" s="241"/>
      <c r="L11" s="241"/>
      <c r="M11" s="241"/>
      <c r="N11" s="241"/>
      <c r="O11" s="241" t="s">
        <v>655</v>
      </c>
      <c r="P11" s="241"/>
    </row>
    <row r="12" spans="1:26">
      <c r="A12" s="240" t="str">
        <f>+A7</f>
        <v>Digital Platform - 3P Marketplace</v>
      </c>
      <c r="C12" s="253">
        <f>+C15</f>
        <v>64125.255761920664</v>
      </c>
      <c r="D12" s="253">
        <f>+D89+D90-D13</f>
        <v>574175</v>
      </c>
      <c r="E12" s="241"/>
      <c r="F12" s="241"/>
      <c r="G12" s="241"/>
      <c r="H12" s="241"/>
      <c r="I12" s="241"/>
      <c r="J12" s="241"/>
      <c r="K12" s="241"/>
      <c r="L12" s="241"/>
      <c r="M12" s="241"/>
      <c r="N12" s="241"/>
      <c r="O12" s="241"/>
      <c r="P12" s="241"/>
    </row>
    <row r="13" spans="1:26" ht="13">
      <c r="A13" s="240" t="str">
        <f>+A8</f>
        <v>Digital Platform - 1P Marketplace</v>
      </c>
      <c r="C13" s="253">
        <v>0</v>
      </c>
      <c r="D13" s="253">
        <f>+D88</f>
        <v>152413</v>
      </c>
      <c r="F13" s="259"/>
      <c r="G13" s="241"/>
      <c r="H13" s="241"/>
      <c r="I13" s="241"/>
      <c r="J13" s="241"/>
      <c r="K13" s="241"/>
      <c r="L13" s="241"/>
      <c r="M13" s="241"/>
      <c r="N13" s="241"/>
      <c r="O13" s="241"/>
      <c r="P13" s="241"/>
    </row>
    <row r="14" spans="1:26" ht="14">
      <c r="A14" s="240" t="s">
        <v>652</v>
      </c>
      <c r="C14" s="254">
        <v>0</v>
      </c>
      <c r="D14" s="254">
        <f>+D15-SUM(D12:D13)</f>
        <v>296587</v>
      </c>
      <c r="E14" s="241"/>
      <c r="F14" s="241"/>
      <c r="G14" s="241"/>
      <c r="H14" s="241"/>
      <c r="I14" s="241"/>
      <c r="J14" s="241"/>
      <c r="K14" s="241"/>
      <c r="L14" s="241"/>
      <c r="M14" s="241"/>
      <c r="N14" s="241"/>
      <c r="O14" s="241" t="s">
        <v>656</v>
      </c>
      <c r="P14" s="241"/>
    </row>
    <row r="15" spans="1:26">
      <c r="A15" s="239" t="s">
        <v>26</v>
      </c>
      <c r="C15" s="251">
        <f>+D59</f>
        <v>64125.255761920664</v>
      </c>
      <c r="D15" s="251">
        <f>+D93</f>
        <v>1023175</v>
      </c>
      <c r="E15" s="241"/>
      <c r="F15" s="241"/>
      <c r="G15" s="241"/>
      <c r="H15" s="241"/>
      <c r="I15" s="241"/>
      <c r="J15" s="241"/>
      <c r="K15" s="241"/>
      <c r="L15" s="241"/>
      <c r="M15" s="241"/>
      <c r="N15" s="241"/>
      <c r="O15" s="241"/>
      <c r="P15" s="241"/>
    </row>
    <row r="16" spans="1:26" ht="13">
      <c r="A16" s="240" t="s">
        <v>657</v>
      </c>
      <c r="C16" s="253">
        <f>+'Detailed Disclosures - USD'!AO46</f>
        <v>-11360.661680885341</v>
      </c>
      <c r="D16" s="253">
        <v>0</v>
      </c>
      <c r="F16" s="259" t="s">
        <v>658</v>
      </c>
      <c r="G16" s="241"/>
      <c r="H16" s="241"/>
      <c r="I16" s="241"/>
      <c r="J16" s="241"/>
      <c r="K16" s="241"/>
      <c r="L16" s="241"/>
      <c r="M16" s="241"/>
      <c r="N16" s="241"/>
      <c r="O16" s="241"/>
      <c r="P16" s="241"/>
    </row>
    <row r="17" spans="1:16">
      <c r="A17" s="240" t="s">
        <v>659</v>
      </c>
      <c r="C17" s="253">
        <f>+'Detailed Disclosure'!AO84</f>
        <v>-3126.433</v>
      </c>
      <c r="D17" s="253">
        <v>0</v>
      </c>
      <c r="E17" s="241"/>
      <c r="F17" s="241"/>
      <c r="G17" s="241"/>
      <c r="H17" s="241"/>
      <c r="I17" s="241"/>
      <c r="J17" s="241"/>
      <c r="K17" s="241"/>
      <c r="L17" s="241"/>
      <c r="M17" s="241"/>
      <c r="N17" s="241"/>
      <c r="O17" s="241"/>
      <c r="P17" s="241"/>
    </row>
    <row r="18" spans="1:16" ht="14">
      <c r="A18" s="240" t="s">
        <v>660</v>
      </c>
      <c r="C18" s="254">
        <f>+(1-'Detailed Disclosures - USD'!AO21)*'Detailed Disclosures - USD'!AO106*25/1000*-1</f>
        <v>-4043.4431313336995</v>
      </c>
      <c r="D18" s="254">
        <v>0</v>
      </c>
      <c r="E18" s="241"/>
      <c r="F18" s="269" t="s">
        <v>661</v>
      </c>
      <c r="G18" s="241"/>
      <c r="H18" s="241"/>
      <c r="I18" s="241"/>
      <c r="J18" s="241"/>
      <c r="K18" s="241"/>
      <c r="L18" s="241"/>
      <c r="M18" s="241"/>
      <c r="N18" s="241"/>
      <c r="O18" s="241"/>
      <c r="P18" s="241"/>
    </row>
    <row r="19" spans="1:16">
      <c r="A19" s="239" t="s">
        <v>662</v>
      </c>
      <c r="C19" s="251">
        <f>+SUM(C15:C18)</f>
        <v>45594.717949701626</v>
      </c>
      <c r="D19" s="251">
        <f t="shared" ref="D19" si="0">+SUM(D15:D17)</f>
        <v>1023175</v>
      </c>
      <c r="E19" s="241"/>
      <c r="F19" s="241"/>
      <c r="G19" s="241"/>
      <c r="H19" s="241"/>
      <c r="I19" s="241"/>
      <c r="J19" s="241"/>
      <c r="K19" s="241"/>
      <c r="L19" s="241"/>
      <c r="M19" s="241"/>
      <c r="N19" s="241"/>
      <c r="O19" s="241"/>
      <c r="P19" s="241"/>
    </row>
    <row r="20" spans="1:16">
      <c r="A20" s="239"/>
      <c r="C20" s="251"/>
      <c r="D20" s="251"/>
      <c r="E20" s="241"/>
      <c r="F20" s="241"/>
      <c r="G20" s="241"/>
      <c r="H20" s="241"/>
      <c r="I20" s="241"/>
      <c r="J20" s="241"/>
      <c r="K20" s="241"/>
      <c r="L20" s="241"/>
      <c r="M20" s="241"/>
      <c r="N20" s="241"/>
      <c r="O20" s="241" t="s">
        <v>663</v>
      </c>
      <c r="P20" s="241"/>
    </row>
    <row r="21" spans="1:16" ht="13">
      <c r="A21" s="258" t="s">
        <v>664</v>
      </c>
      <c r="E21" s="241"/>
      <c r="F21" s="241"/>
      <c r="G21" s="241"/>
      <c r="H21" s="241"/>
      <c r="I21" s="241"/>
      <c r="J21" s="241"/>
      <c r="K21" s="241"/>
      <c r="L21" s="241"/>
      <c r="M21" s="241"/>
      <c r="N21" s="241"/>
      <c r="O21" s="241"/>
      <c r="P21" s="241"/>
    </row>
    <row r="22" spans="1:16" s="248" customFormat="1" ht="13">
      <c r="A22" s="247" t="str">
        <f>+A12</f>
        <v>Digital Platform - 3P Marketplace</v>
      </c>
      <c r="C22" s="257">
        <f>+C12/C7</f>
        <v>0.22962279313581394</v>
      </c>
      <c r="D22" s="270">
        <f>+D12/D7</f>
        <v>0.19799015040596299</v>
      </c>
      <c r="E22" s="259"/>
      <c r="F22" s="259"/>
      <c r="G22" s="259"/>
      <c r="H22" s="259"/>
      <c r="I22" s="259"/>
      <c r="J22" s="259"/>
      <c r="K22" s="259"/>
      <c r="L22" s="259"/>
      <c r="M22" s="259"/>
      <c r="N22" s="259"/>
      <c r="O22" s="259"/>
      <c r="P22" s="259"/>
    </row>
    <row r="23" spans="1:16" s="248" customFormat="1" ht="13">
      <c r="A23" s="247" t="str">
        <f>+A13</f>
        <v>Digital Platform - 1P Marketplace</v>
      </c>
      <c r="C23" s="257">
        <v>0</v>
      </c>
      <c r="D23" s="257">
        <f>+D13/D8</f>
        <v>0.25723843327476764</v>
      </c>
      <c r="E23" s="259"/>
      <c r="F23" s="259"/>
      <c r="G23" s="259"/>
      <c r="H23" s="259"/>
      <c r="I23" s="259"/>
      <c r="J23" s="259"/>
      <c r="K23" s="259"/>
      <c r="L23" s="259"/>
      <c r="M23" s="259"/>
      <c r="N23" s="259"/>
      <c r="O23" s="259"/>
      <c r="P23" s="259"/>
    </row>
    <row r="24" spans="1:16" s="248" customFormat="1" ht="14.5">
      <c r="A24" s="247" t="str">
        <f>+A14</f>
        <v>All Other</v>
      </c>
      <c r="C24" s="261">
        <v>0</v>
      </c>
      <c r="D24" s="261">
        <f>+D14/D9</f>
        <v>0.52401826193580758</v>
      </c>
      <c r="E24" s="259"/>
      <c r="F24" s="259"/>
      <c r="G24" s="259"/>
      <c r="H24" s="259"/>
      <c r="I24" s="259"/>
      <c r="J24" s="259"/>
      <c r="K24" s="259"/>
      <c r="L24" s="259"/>
      <c r="M24" s="259"/>
      <c r="N24" s="259"/>
      <c r="O24" s="259"/>
      <c r="P24" s="259"/>
    </row>
    <row r="25" spans="1:16" s="248" customFormat="1" ht="13">
      <c r="A25" s="260" t="str">
        <f>+A15</f>
        <v>Gross Profit</v>
      </c>
      <c r="C25" s="257">
        <f>+C15/C10</f>
        <v>0.22962279313581394</v>
      </c>
      <c r="D25" s="257">
        <f>+D15/D10</f>
        <v>0.25210662754549029</v>
      </c>
      <c r="E25" s="259"/>
      <c r="F25" s="259"/>
      <c r="G25" s="259"/>
      <c r="H25" s="259"/>
      <c r="I25" s="259"/>
      <c r="J25" s="259"/>
      <c r="K25" s="259"/>
      <c r="L25" s="259"/>
      <c r="M25" s="259"/>
      <c r="N25" s="259"/>
      <c r="O25" s="259"/>
      <c r="P25" s="259"/>
    </row>
    <row r="26" spans="1:16" s="248" customFormat="1" ht="13">
      <c r="A26" s="247" t="str">
        <f t="shared" ref="A26:A28" si="1">+A16</f>
        <v>Merchant Fees in Opex</v>
      </c>
      <c r="C26" s="257">
        <f>+C16/$C$10</f>
        <v>-4.0680802533110537E-2</v>
      </c>
      <c r="D26" s="257">
        <v>0</v>
      </c>
      <c r="E26" s="259"/>
      <c r="F26" s="259"/>
      <c r="G26" s="259"/>
      <c r="H26" s="259"/>
      <c r="I26" s="259"/>
      <c r="J26" s="259"/>
      <c r="K26" s="259"/>
      <c r="L26" s="259"/>
      <c r="M26" s="259"/>
      <c r="N26" s="259"/>
      <c r="O26" s="259"/>
      <c r="P26" s="259"/>
    </row>
    <row r="27" spans="1:16" s="248" customFormat="1" ht="13">
      <c r="A27" s="247" t="str">
        <f t="shared" si="1"/>
        <v>Promotion and Packaging in Opex</v>
      </c>
      <c r="C27" s="257">
        <f>+C17/$C$10</f>
        <v>-1.1195281320628915E-2</v>
      </c>
      <c r="D27" s="257">
        <v>0</v>
      </c>
      <c r="E27" s="259"/>
      <c r="F27" s="259"/>
      <c r="G27" s="259"/>
      <c r="H27" s="259"/>
      <c r="I27" s="259"/>
      <c r="J27" s="259"/>
      <c r="K27" s="259"/>
      <c r="L27" s="259"/>
      <c r="M27" s="259"/>
      <c r="N27" s="259"/>
      <c r="O27" s="259"/>
      <c r="P27" s="259"/>
    </row>
    <row r="28" spans="1:16" s="248" customFormat="1" ht="14.5">
      <c r="A28" s="247" t="str">
        <f t="shared" si="1"/>
        <v>$25 Per Item Return Fee</v>
      </c>
      <c r="C28" s="261">
        <f>+C18/$C$10</f>
        <v>-1.4478955205259623E-2</v>
      </c>
      <c r="D28" s="261">
        <v>0</v>
      </c>
      <c r="E28" s="259"/>
      <c r="F28" s="259"/>
      <c r="G28" s="259"/>
      <c r="H28" s="259"/>
      <c r="I28" s="259"/>
      <c r="J28" s="259"/>
      <c r="K28" s="259"/>
      <c r="L28" s="259"/>
      <c r="M28" s="259"/>
      <c r="N28" s="259"/>
      <c r="O28" s="259"/>
      <c r="P28" s="259"/>
    </row>
    <row r="29" spans="1:16" s="248" customFormat="1" ht="13">
      <c r="A29" s="260" t="str">
        <f>+A19</f>
        <v>Adj. Gross Profit</v>
      </c>
      <c r="C29" s="270">
        <f t="shared" ref="C29" si="2">+C19/$C$10</f>
        <v>0.16326775407681487</v>
      </c>
      <c r="D29" s="257">
        <f>+SUM(D25:D27)</f>
        <v>0.25210662754549029</v>
      </c>
      <c r="E29" s="259"/>
      <c r="F29" s="259"/>
      <c r="G29" s="259"/>
      <c r="H29" s="259"/>
      <c r="I29" s="259"/>
      <c r="J29" s="259"/>
      <c r="K29" s="259"/>
      <c r="L29" s="259"/>
      <c r="M29" s="259"/>
      <c r="N29" s="259"/>
      <c r="O29" s="259"/>
      <c r="P29" s="259"/>
    </row>
    <row r="30" spans="1:16" ht="13">
      <c r="A30" s="248"/>
      <c r="C30" s="241"/>
      <c r="D30" s="241"/>
      <c r="E30" s="241"/>
      <c r="F30" s="241"/>
      <c r="G30" s="241"/>
      <c r="H30" s="241"/>
      <c r="I30" s="241"/>
      <c r="J30" s="241"/>
      <c r="K30" s="241"/>
      <c r="L30" s="241"/>
      <c r="M30" s="241"/>
      <c r="N30" s="241"/>
      <c r="O30" s="241"/>
      <c r="P30" s="241"/>
    </row>
    <row r="31" spans="1:16" ht="14">
      <c r="A31" s="240" t="s">
        <v>665</v>
      </c>
      <c r="C31" s="254">
        <f>+C19-C32</f>
        <v>25880.724075319449</v>
      </c>
      <c r="D31" s="254">
        <f>+D19-D32</f>
        <v>1121890</v>
      </c>
      <c r="E31" s="241"/>
      <c r="F31" s="241"/>
      <c r="G31" s="241"/>
      <c r="H31" s="241"/>
      <c r="I31" s="241"/>
      <c r="J31" s="241"/>
      <c r="K31" s="241"/>
      <c r="L31" s="241"/>
      <c r="M31" s="241"/>
      <c r="N31" s="241"/>
      <c r="O31" s="241"/>
      <c r="P31" s="241"/>
    </row>
    <row r="32" spans="1:16">
      <c r="A32" s="239" t="s">
        <v>666</v>
      </c>
      <c r="C32" s="251">
        <f>+D62</f>
        <v>19713.993874382177</v>
      </c>
      <c r="D32" s="251">
        <f>+D96</f>
        <v>-98715</v>
      </c>
      <c r="E32" s="241"/>
      <c r="F32" s="241"/>
      <c r="G32" s="241"/>
      <c r="H32" s="241"/>
      <c r="I32" s="241"/>
      <c r="J32" s="241"/>
      <c r="K32" s="241"/>
      <c r="L32" s="241"/>
      <c r="M32" s="241"/>
      <c r="N32" s="241"/>
      <c r="O32" s="241"/>
      <c r="P32" s="241"/>
    </row>
    <row r="33" spans="1:16">
      <c r="A33" s="237" t="s">
        <v>247</v>
      </c>
      <c r="C33" s="252">
        <f>+D63</f>
        <v>297.99468663675452</v>
      </c>
      <c r="D33" s="252">
        <f>+D97</f>
        <v>244856</v>
      </c>
      <c r="E33" s="241"/>
      <c r="F33" s="241"/>
      <c r="G33" s="241"/>
      <c r="H33" s="241"/>
      <c r="I33" s="241"/>
      <c r="J33" s="241"/>
      <c r="K33" s="241"/>
      <c r="L33" s="241"/>
      <c r="M33" s="241"/>
      <c r="N33" s="241"/>
      <c r="O33" s="241"/>
      <c r="P33" s="241"/>
    </row>
    <row r="34" spans="1:16">
      <c r="A34" s="239" t="s">
        <v>28</v>
      </c>
      <c r="C34" s="251">
        <f>+D64</f>
        <v>19415.999187745423</v>
      </c>
      <c r="D34" s="251">
        <f>+D98</f>
        <v>-343571</v>
      </c>
      <c r="E34" s="241"/>
      <c r="F34" s="241"/>
      <c r="G34" s="241"/>
      <c r="H34" s="241"/>
      <c r="I34" s="241"/>
      <c r="J34" s="241"/>
      <c r="K34" s="241"/>
      <c r="L34" s="241"/>
      <c r="M34" s="241"/>
      <c r="N34" s="241"/>
      <c r="O34" s="241"/>
      <c r="P34" s="241"/>
    </row>
    <row r="35" spans="1:16">
      <c r="A35" s="237"/>
      <c r="C35" s="253"/>
      <c r="D35" s="253"/>
      <c r="E35" s="241"/>
      <c r="F35" s="241"/>
      <c r="G35" s="241"/>
      <c r="H35" s="241"/>
      <c r="I35" s="241"/>
      <c r="J35" s="241"/>
      <c r="K35" s="241"/>
      <c r="L35" s="241"/>
      <c r="M35" s="241"/>
      <c r="N35" s="241"/>
      <c r="O35" s="241"/>
      <c r="P35" s="241"/>
    </row>
    <row r="36" spans="1:16" ht="13">
      <c r="A36" s="258" t="s">
        <v>664</v>
      </c>
      <c r="C36" s="241"/>
      <c r="D36" s="241"/>
      <c r="E36" s="241"/>
      <c r="F36" s="241"/>
      <c r="G36" s="241"/>
      <c r="H36" s="241"/>
      <c r="I36" s="241"/>
      <c r="J36" s="241"/>
      <c r="K36" s="241"/>
      <c r="L36" s="241"/>
      <c r="M36" s="241"/>
      <c r="N36" s="241"/>
      <c r="O36" s="241"/>
      <c r="P36" s="241"/>
    </row>
    <row r="37" spans="1:16" s="248" customFormat="1" ht="14.5">
      <c r="A37" s="247" t="s">
        <v>665</v>
      </c>
      <c r="C37" s="261">
        <f t="shared" ref="C37:D40" si="3">+C31/C$10</f>
        <v>9.2674938757611278E-2</v>
      </c>
      <c r="D37" s="261">
        <f t="shared" si="3"/>
        <v>0.27642964730081376</v>
      </c>
      <c r="E37" s="259"/>
      <c r="F37" s="259"/>
      <c r="G37" s="259"/>
      <c r="H37" s="259"/>
      <c r="I37" s="259"/>
      <c r="J37" s="259"/>
      <c r="K37" s="259"/>
      <c r="L37" s="259"/>
      <c r="M37" s="259"/>
      <c r="N37" s="259"/>
      <c r="O37" s="259"/>
      <c r="P37" s="259"/>
    </row>
    <row r="38" spans="1:16" s="248" customFormat="1" ht="13">
      <c r="A38" s="260" t="s">
        <v>666</v>
      </c>
      <c r="C38" s="257">
        <f t="shared" si="3"/>
        <v>7.0592815319203597E-2</v>
      </c>
      <c r="D38" s="257">
        <f t="shared" si="3"/>
        <v>-2.4323019755323454E-2</v>
      </c>
      <c r="E38" s="259"/>
      <c r="F38" s="259"/>
      <c r="G38" s="259"/>
      <c r="H38" s="259"/>
      <c r="I38" s="259"/>
      <c r="J38" s="259"/>
      <c r="K38" s="259"/>
      <c r="L38" s="259"/>
      <c r="M38" s="259"/>
      <c r="N38" s="259"/>
      <c r="O38" s="259"/>
      <c r="P38" s="259"/>
    </row>
    <row r="39" spans="1:16" s="248" customFormat="1" ht="14.5">
      <c r="A39" s="238" t="s">
        <v>247</v>
      </c>
      <c r="C39" s="261">
        <f t="shared" si="3"/>
        <v>1.0670736743602454E-3</v>
      </c>
      <c r="D39" s="261">
        <f t="shared" si="3"/>
        <v>6.0331634758744666E-2</v>
      </c>
      <c r="E39" s="259"/>
      <c r="F39" s="259"/>
      <c r="G39" s="259"/>
      <c r="H39" s="259"/>
      <c r="I39" s="259"/>
      <c r="J39" s="259"/>
      <c r="K39" s="259"/>
      <c r="L39" s="259"/>
      <c r="M39" s="259"/>
      <c r="N39" s="259"/>
      <c r="O39" s="259"/>
      <c r="P39" s="259"/>
    </row>
    <row r="40" spans="1:16" s="248" customFormat="1" ht="13">
      <c r="A40" s="260" t="s">
        <v>28</v>
      </c>
      <c r="C40" s="257">
        <f t="shared" si="3"/>
        <v>6.9525741644843347E-2</v>
      </c>
      <c r="D40" s="257">
        <f t="shared" si="3"/>
        <v>-8.4654654514068131E-2</v>
      </c>
      <c r="E40" s="259"/>
      <c r="F40" s="259"/>
      <c r="G40" s="259"/>
      <c r="H40" s="259"/>
      <c r="I40" s="259"/>
      <c r="J40" s="259"/>
      <c r="K40" s="259"/>
      <c r="L40" s="259"/>
      <c r="M40" s="259"/>
      <c r="N40" s="259"/>
      <c r="O40" s="259"/>
      <c r="P40" s="259"/>
    </row>
    <row r="41" spans="1:16">
      <c r="A41" s="237"/>
      <c r="C41" s="241"/>
      <c r="D41" s="241"/>
      <c r="E41" s="241"/>
      <c r="F41" s="241"/>
      <c r="G41" s="241"/>
      <c r="H41" s="241"/>
      <c r="I41" s="241"/>
      <c r="J41" s="241"/>
      <c r="K41" s="241"/>
      <c r="L41" s="241"/>
      <c r="M41" s="241"/>
      <c r="N41" s="241"/>
      <c r="O41" s="241"/>
      <c r="P41" s="241"/>
    </row>
    <row r="42" spans="1:16" s="248" customFormat="1" ht="13">
      <c r="A42" s="264" t="s">
        <v>148</v>
      </c>
      <c r="C42" s="259"/>
      <c r="D42" s="259"/>
      <c r="E42" s="259"/>
      <c r="F42" s="259"/>
      <c r="G42" s="259"/>
      <c r="H42" s="259"/>
      <c r="I42" s="259"/>
      <c r="J42" s="259"/>
      <c r="K42" s="259"/>
      <c r="L42" s="259"/>
      <c r="M42" s="259"/>
      <c r="N42" s="259"/>
      <c r="O42" s="259"/>
      <c r="P42" s="259"/>
    </row>
    <row r="43" spans="1:16" s="248" customFormat="1" ht="13">
      <c r="A43" s="238" t="s">
        <v>667</v>
      </c>
      <c r="C43" s="257">
        <f>+C39+C37</f>
        <v>9.3742012431971528E-2</v>
      </c>
      <c r="D43" s="257">
        <f>+D39+D37</f>
        <v>0.33676128205955841</v>
      </c>
      <c r="E43" s="259"/>
      <c r="F43" s="259"/>
      <c r="G43" s="259"/>
      <c r="H43" s="259"/>
      <c r="I43" s="259"/>
      <c r="J43" s="259"/>
      <c r="K43" s="259"/>
      <c r="L43" s="259"/>
      <c r="M43" s="259"/>
      <c r="N43" s="259"/>
      <c r="O43" s="259"/>
      <c r="P43" s="259"/>
    </row>
    <row r="44" spans="1:16" ht="13">
      <c r="A44" s="237"/>
      <c r="C44" s="257"/>
      <c r="D44" s="257"/>
      <c r="E44" s="241"/>
      <c r="F44" s="241"/>
      <c r="G44" s="241"/>
      <c r="H44" s="241"/>
      <c r="I44" s="241"/>
      <c r="J44" s="241"/>
      <c r="K44" s="241"/>
      <c r="L44" s="241"/>
      <c r="M44" s="241"/>
      <c r="N44" s="241"/>
      <c r="O44" s="241"/>
      <c r="P44" s="241"/>
    </row>
    <row r="45" spans="1:16">
      <c r="A45" s="237" t="s">
        <v>31</v>
      </c>
      <c r="C45" s="252">
        <f>+D66</f>
        <v>8098.4135817659853</v>
      </c>
      <c r="D45" s="252">
        <f>+D100</f>
        <v>203347</v>
      </c>
      <c r="E45" s="241"/>
      <c r="F45" s="241"/>
      <c r="G45" s="241"/>
      <c r="H45" s="241"/>
      <c r="I45" s="241"/>
      <c r="J45" s="241"/>
      <c r="K45" s="241"/>
      <c r="L45" s="241"/>
      <c r="M45" s="241"/>
      <c r="N45" s="241"/>
      <c r="O45" s="241"/>
      <c r="P45" s="241"/>
    </row>
    <row r="46" spans="1:16">
      <c r="A46" s="239" t="s">
        <v>668</v>
      </c>
      <c r="C46" s="251">
        <f>+D67</f>
        <v>11317.585605979439</v>
      </c>
      <c r="D46" s="251">
        <f>+D101</f>
        <v>-546918</v>
      </c>
      <c r="E46" s="241"/>
      <c r="F46" s="241"/>
      <c r="G46" s="241"/>
      <c r="H46" s="241"/>
      <c r="I46" s="241"/>
      <c r="J46" s="241"/>
      <c r="K46" s="241"/>
      <c r="L46" s="241"/>
      <c r="M46" s="241"/>
      <c r="N46" s="241"/>
      <c r="O46" s="241"/>
      <c r="P46" s="241"/>
    </row>
    <row r="47" spans="1:16" ht="13">
      <c r="A47" s="248"/>
      <c r="C47" s="241"/>
      <c r="D47" s="241"/>
      <c r="E47" s="241"/>
      <c r="F47" s="241"/>
      <c r="G47" s="241"/>
      <c r="H47" s="241"/>
      <c r="I47" s="241"/>
      <c r="J47" s="241"/>
      <c r="K47" s="241"/>
      <c r="L47" s="241"/>
      <c r="M47" s="241"/>
      <c r="N47" s="241"/>
      <c r="O47" s="241"/>
      <c r="P47" s="241"/>
    </row>
    <row r="48" spans="1:16" ht="13">
      <c r="A48" s="258" t="s">
        <v>664</v>
      </c>
      <c r="C48" s="241"/>
      <c r="D48" s="241"/>
      <c r="E48" s="241"/>
      <c r="F48" s="241"/>
      <c r="G48" s="241"/>
      <c r="H48" s="241"/>
      <c r="I48" s="241"/>
      <c r="J48" s="241"/>
      <c r="K48" s="241"/>
      <c r="L48" s="241"/>
      <c r="M48" s="241"/>
      <c r="N48" s="241"/>
      <c r="O48" s="241"/>
      <c r="P48" s="241"/>
    </row>
    <row r="49" spans="1:16" s="248" customFormat="1" ht="14.5">
      <c r="A49" s="247" t="str">
        <f>+A45</f>
        <v>Capex</v>
      </c>
      <c r="C49" s="261">
        <f>+C45/C$10</f>
        <v>2.8999187987931375E-2</v>
      </c>
      <c r="D49" s="261">
        <f>+D45/D$10</f>
        <v>5.0103966957258356E-2</v>
      </c>
      <c r="E49" s="259"/>
      <c r="F49" s="259"/>
      <c r="G49" s="259"/>
      <c r="H49" s="259"/>
      <c r="I49" s="259"/>
      <c r="J49" s="259"/>
      <c r="K49" s="259"/>
      <c r="L49" s="259"/>
      <c r="M49" s="259"/>
      <c r="N49" s="259"/>
      <c r="O49" s="259"/>
      <c r="P49" s="259"/>
    </row>
    <row r="50" spans="1:16" s="263" customFormat="1" ht="13">
      <c r="A50" s="260" t="str">
        <f>+A46</f>
        <v>CRC EBITDA - Capex</v>
      </c>
      <c r="B50" s="248"/>
      <c r="C50" s="257">
        <f>+C46/C$10</f>
        <v>4.0526553656911983E-2</v>
      </c>
      <c r="D50" s="257">
        <f>+D46/D$10</f>
        <v>-0.13475862147132647</v>
      </c>
      <c r="E50" s="259"/>
      <c r="F50" s="259"/>
      <c r="G50" s="262"/>
      <c r="H50" s="262"/>
      <c r="I50" s="262"/>
      <c r="J50" s="262"/>
      <c r="K50" s="262"/>
      <c r="L50" s="262"/>
      <c r="M50" s="262"/>
      <c r="N50" s="262"/>
      <c r="O50" s="262"/>
      <c r="P50" s="262"/>
    </row>
    <row r="52" spans="1:16" ht="16">
      <c r="A52" s="250" t="s">
        <v>669</v>
      </c>
      <c r="B52" s="255" t="s">
        <v>105</v>
      </c>
      <c r="C52" s="44"/>
      <c r="D52" s="44"/>
    </row>
    <row r="53" spans="1:16" ht="16">
      <c r="B53" s="249" t="s">
        <v>670</v>
      </c>
      <c r="C53" s="249" t="s">
        <v>671</v>
      </c>
      <c r="D53" s="249" t="s">
        <v>672</v>
      </c>
    </row>
    <row r="55" spans="1:16">
      <c r="A55" s="240" t="str">
        <f>+'Detailed Disclosures - USD'!A8</f>
        <v>Gross Revenue</v>
      </c>
      <c r="B55" s="251">
        <f>+'Detailed Disclosures - USD'!AM8</f>
        <v>93415.182746478953</v>
      </c>
      <c r="C55" s="251">
        <f>+'Detailed Disclosures - USD'!AN8</f>
        <v>208865.40865411703</v>
      </c>
      <c r="D55" s="251">
        <f>+'Detailed Disclosures - USD'!AO8</f>
        <v>361738.72564476181</v>
      </c>
    </row>
    <row r="56" spans="1:16">
      <c r="B56" s="251"/>
      <c r="C56" s="251"/>
      <c r="D56" s="251"/>
    </row>
    <row r="57" spans="1:16">
      <c r="A57" s="240" t="s">
        <v>673</v>
      </c>
      <c r="B57" s="251">
        <f>+'Detailed Disclosures - USD'!AM17</f>
        <v>69295.450158141088</v>
      </c>
      <c r="C57" s="251">
        <f>+'Detailed Disclosures - USD'!AN17</f>
        <v>152335.69525294134</v>
      </c>
      <c r="D57" s="251">
        <f>+'Detailed Disclosures - USD'!AO17</f>
        <v>279263.46024365618</v>
      </c>
    </row>
    <row r="59" spans="1:16">
      <c r="A59" s="240" t="s">
        <v>674</v>
      </c>
      <c r="B59" s="251">
        <f>+'Detailed Disclosures - USD'!AM39</f>
        <v>16396.602767294506</v>
      </c>
      <c r="C59" s="251">
        <f>+'Detailed Disclosures - USD'!AN39</f>
        <v>27170.855716618476</v>
      </c>
      <c r="D59" s="251">
        <f>+'Detailed Disclosures - USD'!AO39</f>
        <v>64125.255761920664</v>
      </c>
    </row>
    <row r="61" spans="1:16" ht="14">
      <c r="A61" s="240" t="s">
        <v>665</v>
      </c>
      <c r="B61" s="254">
        <f>+B59-B62</f>
        <v>14816.682314368232</v>
      </c>
      <c r="C61" s="254">
        <f>+C59-C62</f>
        <v>42736.585585094028</v>
      </c>
      <c r="D61" s="254">
        <f>+D59-D62</f>
        <v>44411.261887538487</v>
      </c>
    </row>
    <row r="62" spans="1:16">
      <c r="A62" s="239" t="s">
        <v>666</v>
      </c>
      <c r="B62" s="251">
        <f>+'Detailed Disclosures - USD'!AM67</f>
        <v>1579.9204529262738</v>
      </c>
      <c r="C62" s="251">
        <f>+'Detailed Disclosures - USD'!AN67</f>
        <v>-15565.729868475548</v>
      </c>
      <c r="D62" s="251">
        <f>+'Detailed Disclosures - USD'!AO67</f>
        <v>19713.993874382177</v>
      </c>
    </row>
    <row r="63" spans="1:16">
      <c r="A63" s="237" t="s">
        <v>247</v>
      </c>
      <c r="B63" s="252">
        <f>+'Detailed Disclosures - USD'!AM62</f>
        <v>49.34565043479904</v>
      </c>
      <c r="C63" s="252">
        <f>+'Detailed Disclosures - USD'!AN62</f>
        <v>299.53905802268571</v>
      </c>
      <c r="D63" s="252">
        <f>+'Detailed Disclosures - USD'!AO62</f>
        <v>297.99468663675452</v>
      </c>
    </row>
    <row r="64" spans="1:16">
      <c r="A64" s="239" t="s">
        <v>28</v>
      </c>
      <c r="B64" s="251">
        <f>+B62-B63</f>
        <v>1530.5748024914747</v>
      </c>
      <c r="C64" s="251">
        <f>+C62-C63</f>
        <v>-15865.268926498233</v>
      </c>
      <c r="D64" s="251">
        <f>+D62-D63</f>
        <v>19415.999187745423</v>
      </c>
    </row>
    <row r="65" spans="1:4">
      <c r="A65" s="237"/>
      <c r="B65" s="251"/>
      <c r="C65" s="251"/>
      <c r="D65" s="251"/>
    </row>
    <row r="66" spans="1:4">
      <c r="A66" s="237" t="s">
        <v>31</v>
      </c>
      <c r="B66" s="252">
        <f>+'Historical - USD'!T120*1000</f>
        <v>2034.7208621357233</v>
      </c>
      <c r="C66" s="252">
        <f>+'Historical - USD'!U120*1000</f>
        <v>6066.4968319692834</v>
      </c>
      <c r="D66" s="252">
        <f>+'Historical - USD'!V120*1000</f>
        <v>8098.4135817659853</v>
      </c>
    </row>
    <row r="67" spans="1:4">
      <c r="A67" s="239" t="s">
        <v>668</v>
      </c>
      <c r="B67" s="251">
        <f>+B64-B66</f>
        <v>-504.14605964424868</v>
      </c>
      <c r="C67" s="251">
        <f>+C64-C66</f>
        <v>-21931.765758467518</v>
      </c>
      <c r="D67" s="251">
        <f>+D64-D66</f>
        <v>11317.585605979439</v>
      </c>
    </row>
    <row r="69" spans="1:4" ht="16">
      <c r="A69" s="250" t="s">
        <v>675</v>
      </c>
      <c r="B69" s="255" t="s">
        <v>676</v>
      </c>
      <c r="C69" s="44"/>
      <c r="D69" s="44"/>
    </row>
    <row r="70" spans="1:4" ht="16">
      <c r="B70" s="249" t="s">
        <v>677</v>
      </c>
      <c r="C70" s="249" t="s">
        <v>670</v>
      </c>
      <c r="D70" s="249" t="s">
        <v>671</v>
      </c>
    </row>
    <row r="71" spans="1:4">
      <c r="A71" s="266" t="s">
        <v>653</v>
      </c>
    </row>
    <row r="72" spans="1:4">
      <c r="A72" s="237" t="s">
        <v>678</v>
      </c>
      <c r="B72" s="251">
        <v>2759476</v>
      </c>
      <c r="C72" s="251">
        <v>3677988</v>
      </c>
      <c r="D72" s="251">
        <v>3492515</v>
      </c>
    </row>
    <row r="73" spans="1:4">
      <c r="A73" s="237" t="s">
        <v>679</v>
      </c>
      <c r="B73" s="251">
        <v>390014</v>
      </c>
      <c r="C73" s="251">
        <v>467505</v>
      </c>
      <c r="D73" s="251">
        <v>455160</v>
      </c>
    </row>
    <row r="74" spans="1:4">
      <c r="A74" s="237" t="s">
        <v>680</v>
      </c>
      <c r="B74" s="252">
        <v>37524</v>
      </c>
      <c r="C74" s="252">
        <v>84381</v>
      </c>
      <c r="D74" s="252">
        <v>110826</v>
      </c>
    </row>
    <row r="75" spans="1:4">
      <c r="A75" s="239" t="s">
        <v>249</v>
      </c>
      <c r="B75" s="251">
        <v>3187014</v>
      </c>
      <c r="C75" s="251">
        <v>4229874</v>
      </c>
      <c r="D75" s="251">
        <v>4058501</v>
      </c>
    </row>
    <row r="77" spans="1:4">
      <c r="A77" s="266" t="s">
        <v>413</v>
      </c>
    </row>
    <row r="78" spans="1:4">
      <c r="A78" s="237" t="s">
        <v>681</v>
      </c>
      <c r="B78" s="251">
        <v>637568</v>
      </c>
      <c r="C78" s="251">
        <v>845941</v>
      </c>
      <c r="D78" s="251">
        <v>827224</v>
      </c>
    </row>
    <row r="79" spans="1:4">
      <c r="A79" s="237" t="s">
        <v>682</v>
      </c>
      <c r="B79" s="252">
        <v>395588</v>
      </c>
      <c r="C79" s="252">
        <v>539737</v>
      </c>
      <c r="D79" s="252">
        <v>592497</v>
      </c>
    </row>
    <row r="80" spans="1:4">
      <c r="A80" s="239" t="s">
        <v>683</v>
      </c>
      <c r="B80" s="251">
        <v>1033156</v>
      </c>
      <c r="C80" s="251">
        <v>1385678</v>
      </c>
      <c r="D80" s="251">
        <v>1419721</v>
      </c>
    </row>
    <row r="81" spans="1:5">
      <c r="A81" s="237" t="s">
        <v>684</v>
      </c>
      <c r="B81" s="251">
        <v>213228</v>
      </c>
      <c r="C81" s="251">
        <v>332504</v>
      </c>
      <c r="D81" s="251">
        <v>321653</v>
      </c>
    </row>
    <row r="82" spans="1:5">
      <c r="A82" s="237" t="s">
        <v>679</v>
      </c>
      <c r="B82" s="251">
        <v>390014</v>
      </c>
      <c r="C82" s="251">
        <v>467505</v>
      </c>
      <c r="D82" s="251">
        <v>477146</v>
      </c>
    </row>
    <row r="83" spans="1:5">
      <c r="A83" s="237" t="s">
        <v>680</v>
      </c>
      <c r="B83" s="252">
        <v>37524</v>
      </c>
      <c r="C83" s="252">
        <v>70921</v>
      </c>
      <c r="D83" s="252">
        <v>98160</v>
      </c>
    </row>
    <row r="84" spans="1:5">
      <c r="A84" s="239" t="s">
        <v>414</v>
      </c>
      <c r="B84" s="251">
        <v>1673922</v>
      </c>
      <c r="C84" s="251">
        <v>2256608</v>
      </c>
      <c r="D84" s="251">
        <v>2316680</v>
      </c>
    </row>
    <row r="86" spans="1:5">
      <c r="A86" s="266" t="s">
        <v>26</v>
      </c>
    </row>
    <row r="87" spans="1:5">
      <c r="A87" s="237" t="s">
        <v>681</v>
      </c>
      <c r="B87" s="251">
        <v>429050</v>
      </c>
      <c r="C87" s="251">
        <v>557657</v>
      </c>
      <c r="D87" s="251">
        <v>574175</v>
      </c>
      <c r="E87" s="256"/>
    </row>
    <row r="88" spans="1:5">
      <c r="A88" s="237" t="s">
        <v>682</v>
      </c>
      <c r="B88" s="252">
        <v>131156</v>
      </c>
      <c r="C88" s="252">
        <v>172598</v>
      </c>
      <c r="D88" s="252">
        <v>152413</v>
      </c>
    </row>
    <row r="89" spans="1:5">
      <c r="A89" s="239" t="s">
        <v>683</v>
      </c>
      <c r="B89" s="251">
        <v>560206</v>
      </c>
      <c r="C89" s="251">
        <v>730255</v>
      </c>
      <c r="D89" s="251">
        <v>726588</v>
      </c>
    </row>
    <row r="90" spans="1:5">
      <c r="A90" s="237" t="s">
        <v>684</v>
      </c>
      <c r="B90" s="251">
        <v>0</v>
      </c>
      <c r="C90" s="251">
        <v>0</v>
      </c>
      <c r="D90" s="251">
        <v>0</v>
      </c>
    </row>
    <row r="91" spans="1:5">
      <c r="A91" s="237" t="s">
        <v>679</v>
      </c>
      <c r="B91" s="251">
        <v>190806</v>
      </c>
      <c r="C91" s="251">
        <v>241516</v>
      </c>
      <c r="D91" s="251">
        <v>234484</v>
      </c>
    </row>
    <row r="92" spans="1:5">
      <c r="A92" s="237" t="s">
        <v>680</v>
      </c>
      <c r="B92" s="252">
        <v>19916</v>
      </c>
      <c r="C92" s="252">
        <v>44740</v>
      </c>
      <c r="D92" s="252">
        <v>62103</v>
      </c>
    </row>
    <row r="93" spans="1:5">
      <c r="A93" s="239" t="s">
        <v>685</v>
      </c>
      <c r="B93" s="251">
        <v>770928</v>
      </c>
      <c r="C93" s="251">
        <v>1016511</v>
      </c>
      <c r="D93" s="251">
        <v>1023175</v>
      </c>
    </row>
    <row r="95" spans="1:5" ht="14">
      <c r="A95" s="240" t="s">
        <v>665</v>
      </c>
      <c r="B95" s="254">
        <f>+B93-B96</f>
        <v>818360</v>
      </c>
      <c r="C95" s="254">
        <f>+C93-C96</f>
        <v>1014872</v>
      </c>
      <c r="D95" s="254">
        <f>+D93-D96</f>
        <v>1121890</v>
      </c>
    </row>
    <row r="96" spans="1:5">
      <c r="A96" s="239" t="s">
        <v>666</v>
      </c>
      <c r="B96" s="251">
        <v>-47432</v>
      </c>
      <c r="C96" s="251">
        <v>1639</v>
      </c>
      <c r="D96" s="251">
        <v>-98715</v>
      </c>
    </row>
    <row r="97" spans="1:12">
      <c r="A97" s="237" t="s">
        <v>247</v>
      </c>
      <c r="B97" s="252">
        <v>291633</v>
      </c>
      <c r="C97" s="252">
        <v>196167</v>
      </c>
      <c r="D97" s="252">
        <v>244856</v>
      </c>
    </row>
    <row r="98" spans="1:12">
      <c r="A98" s="239" t="s">
        <v>28</v>
      </c>
      <c r="B98" s="251">
        <v>-339065</v>
      </c>
      <c r="C98" s="251">
        <v>-194528</v>
      </c>
      <c r="D98" s="251">
        <v>-343571</v>
      </c>
    </row>
    <row r="99" spans="1:12">
      <c r="A99" s="237"/>
      <c r="B99" s="251"/>
      <c r="C99" s="251"/>
      <c r="D99" s="251"/>
    </row>
    <row r="100" spans="1:12">
      <c r="A100" s="237" t="s">
        <v>31</v>
      </c>
      <c r="B100" s="252">
        <v>139995</v>
      </c>
      <c r="C100" s="252">
        <v>222812</v>
      </c>
      <c r="D100" s="252">
        <v>203347</v>
      </c>
    </row>
    <row r="101" spans="1:12">
      <c r="A101" s="239" t="s">
        <v>668</v>
      </c>
      <c r="B101" s="251">
        <f>+B98-B100</f>
        <v>-479060</v>
      </c>
      <c r="C101" s="251">
        <f>+C98-C100</f>
        <v>-417340</v>
      </c>
      <c r="D101" s="251">
        <f>+D98-D100</f>
        <v>-546918</v>
      </c>
    </row>
    <row r="102" spans="1:12" ht="13">
      <c r="A102" s="250" t="s">
        <v>686</v>
      </c>
    </row>
    <row r="104" spans="1:12" ht="13">
      <c r="A104" s="245" t="s">
        <v>687</v>
      </c>
    </row>
    <row r="105" spans="1:12" ht="28" customHeight="1">
      <c r="A105" s="240" t="s">
        <v>688</v>
      </c>
      <c r="B105" s="649" t="s">
        <v>689</v>
      </c>
      <c r="C105" s="650"/>
      <c r="D105" s="650"/>
      <c r="E105" s="650"/>
      <c r="F105" s="650"/>
      <c r="G105" s="650"/>
      <c r="H105" s="650"/>
      <c r="I105" s="650"/>
      <c r="J105" s="650"/>
      <c r="K105" s="650"/>
      <c r="L105" s="650"/>
    </row>
    <row r="106" spans="1:12" ht="13">
      <c r="A106" s="240" t="s">
        <v>690</v>
      </c>
      <c r="B106" s="649" t="s">
        <v>691</v>
      </c>
      <c r="C106" s="650"/>
      <c r="D106" s="650"/>
      <c r="E106" s="650"/>
      <c r="F106" s="650"/>
      <c r="G106" s="650"/>
      <c r="H106" s="650"/>
      <c r="I106" s="650"/>
      <c r="J106" s="650"/>
      <c r="K106" s="650"/>
      <c r="L106" s="650"/>
    </row>
    <row r="107" spans="1:12" ht="13">
      <c r="A107" s="240" t="s">
        <v>550</v>
      </c>
      <c r="B107" s="649" t="s">
        <v>692</v>
      </c>
      <c r="C107" s="650"/>
      <c r="D107" s="650"/>
      <c r="E107" s="650"/>
      <c r="F107" s="650"/>
      <c r="G107" s="650"/>
      <c r="H107" s="650"/>
      <c r="I107" s="650"/>
      <c r="J107" s="650"/>
      <c r="K107" s="650"/>
      <c r="L107" s="650"/>
    </row>
    <row r="108" spans="1:12" ht="13">
      <c r="A108" s="240" t="s">
        <v>551</v>
      </c>
      <c r="B108" s="649" t="s">
        <v>693</v>
      </c>
      <c r="C108" s="650"/>
      <c r="D108" s="650"/>
      <c r="E108" s="650"/>
      <c r="F108" s="650"/>
      <c r="G108" s="650"/>
      <c r="H108" s="650"/>
      <c r="I108" s="650"/>
      <c r="J108" s="650"/>
      <c r="K108" s="650"/>
      <c r="L108" s="650"/>
    </row>
    <row r="109" spans="1:12" ht="13">
      <c r="A109" s="240" t="s">
        <v>694</v>
      </c>
      <c r="B109" s="649" t="s">
        <v>695</v>
      </c>
      <c r="C109" s="650"/>
      <c r="D109" s="650"/>
      <c r="E109" s="650"/>
      <c r="F109" s="650"/>
      <c r="G109" s="650"/>
      <c r="H109" s="650"/>
      <c r="I109" s="650"/>
      <c r="J109" s="650"/>
      <c r="K109" s="650"/>
      <c r="L109" s="650"/>
    </row>
    <row r="110" spans="1:12" ht="13">
      <c r="A110" s="240" t="s">
        <v>696</v>
      </c>
      <c r="B110" s="649" t="s">
        <v>697</v>
      </c>
      <c r="C110" s="650"/>
      <c r="D110" s="650"/>
      <c r="E110" s="650"/>
      <c r="F110" s="650"/>
      <c r="G110" s="650"/>
      <c r="H110" s="650"/>
      <c r="I110" s="650"/>
      <c r="J110" s="650"/>
      <c r="K110" s="650"/>
      <c r="L110" s="650"/>
    </row>
    <row r="111" spans="1:12" ht="13">
      <c r="A111" s="240" t="s">
        <v>698</v>
      </c>
      <c r="B111" s="649" t="s">
        <v>699</v>
      </c>
      <c r="C111" s="650"/>
      <c r="D111" s="650"/>
      <c r="E111" s="650"/>
      <c r="F111" s="650"/>
      <c r="G111" s="650"/>
      <c r="H111" s="650"/>
      <c r="I111" s="650"/>
      <c r="J111" s="650"/>
      <c r="K111" s="650"/>
      <c r="L111" s="650"/>
    </row>
    <row r="112" spans="1:12" ht="13">
      <c r="A112" s="240" t="s">
        <v>553</v>
      </c>
      <c r="B112" s="649" t="s">
        <v>700</v>
      </c>
      <c r="C112" s="650"/>
      <c r="D112" s="650"/>
      <c r="E112" s="650"/>
      <c r="F112" s="650"/>
      <c r="G112" s="650"/>
      <c r="H112" s="650"/>
      <c r="I112" s="650"/>
      <c r="J112" s="650"/>
      <c r="K112" s="650"/>
      <c r="L112" s="650"/>
    </row>
    <row r="113" spans="1:12" ht="13">
      <c r="A113" s="240" t="s">
        <v>701</v>
      </c>
      <c r="B113" s="649" t="s">
        <v>702</v>
      </c>
      <c r="C113" s="650"/>
      <c r="D113" s="650"/>
      <c r="E113" s="650"/>
      <c r="F113" s="650"/>
      <c r="G113" s="650"/>
      <c r="H113" s="650"/>
      <c r="I113" s="650"/>
      <c r="J113" s="650"/>
      <c r="K113" s="650"/>
      <c r="L113" s="650"/>
    </row>
    <row r="114" spans="1:12" ht="28" customHeight="1">
      <c r="A114" s="240" t="s">
        <v>703</v>
      </c>
      <c r="B114" s="649" t="s">
        <v>704</v>
      </c>
      <c r="C114" s="650"/>
      <c r="D114" s="650"/>
      <c r="E114" s="650"/>
      <c r="F114" s="650"/>
      <c r="G114" s="650"/>
      <c r="H114" s="650"/>
      <c r="I114" s="650"/>
      <c r="J114" s="650"/>
      <c r="K114" s="650"/>
      <c r="L114" s="650"/>
    </row>
    <row r="115" spans="1:12" ht="13">
      <c r="A115" s="240" t="s">
        <v>556</v>
      </c>
      <c r="B115" s="649" t="s">
        <v>705</v>
      </c>
      <c r="C115" s="650"/>
      <c r="D115" s="650"/>
      <c r="E115" s="650"/>
      <c r="F115" s="650"/>
      <c r="G115" s="650"/>
      <c r="H115" s="650"/>
      <c r="I115" s="650"/>
      <c r="J115" s="650"/>
      <c r="K115" s="650"/>
      <c r="L115" s="650"/>
    </row>
    <row r="116" spans="1:12" ht="13">
      <c r="A116" s="240" t="s">
        <v>93</v>
      </c>
      <c r="B116" s="649" t="s">
        <v>706</v>
      </c>
      <c r="C116" s="650"/>
      <c r="D116" s="650"/>
      <c r="E116" s="650"/>
      <c r="F116" s="650"/>
      <c r="G116" s="650"/>
      <c r="H116" s="650"/>
      <c r="I116" s="650"/>
      <c r="J116" s="650"/>
      <c r="K116" s="650"/>
      <c r="L116" s="650"/>
    </row>
    <row r="117" spans="1:12" ht="25.5" customHeight="1">
      <c r="A117" s="240" t="s">
        <v>707</v>
      </c>
      <c r="B117" s="649" t="s">
        <v>708</v>
      </c>
      <c r="C117" s="650"/>
      <c r="D117" s="650"/>
      <c r="E117" s="650"/>
      <c r="F117" s="650"/>
      <c r="G117" s="650"/>
      <c r="H117" s="650"/>
      <c r="I117" s="650"/>
      <c r="J117" s="650"/>
      <c r="K117" s="650"/>
      <c r="L117" s="650"/>
    </row>
    <row r="118" spans="1:12">
      <c r="A118" s="240" t="s">
        <v>709</v>
      </c>
      <c r="B118" s="240" t="s">
        <v>710</v>
      </c>
    </row>
    <row r="120" spans="1:12" ht="13">
      <c r="A120" s="245" t="s">
        <v>711</v>
      </c>
    </row>
    <row r="121" spans="1:12" ht="42.65" customHeight="1">
      <c r="A121" s="240" t="s">
        <v>653</v>
      </c>
      <c r="B121" s="649" t="s">
        <v>712</v>
      </c>
      <c r="C121" s="650"/>
      <c r="D121" s="650"/>
      <c r="E121" s="650"/>
      <c r="F121" s="650"/>
      <c r="G121" s="650"/>
      <c r="H121" s="650"/>
      <c r="I121" s="650"/>
      <c r="J121" s="650"/>
      <c r="K121" s="650"/>
      <c r="L121" s="650"/>
    </row>
    <row r="122" spans="1:12" ht="42" customHeight="1">
      <c r="A122" s="240" t="s">
        <v>713</v>
      </c>
      <c r="B122" s="649" t="s">
        <v>714</v>
      </c>
      <c r="C122" s="650"/>
      <c r="D122" s="650"/>
      <c r="E122" s="650"/>
      <c r="F122" s="650"/>
      <c r="G122" s="650"/>
      <c r="H122" s="650"/>
      <c r="I122" s="650"/>
      <c r="J122" s="650"/>
      <c r="K122" s="650"/>
      <c r="L122" s="650"/>
    </row>
    <row r="123" spans="1:12" ht="87.65" customHeight="1">
      <c r="A123" s="240" t="s">
        <v>715</v>
      </c>
      <c r="B123" s="649" t="s">
        <v>716</v>
      </c>
      <c r="C123" s="650"/>
      <c r="D123" s="650"/>
      <c r="E123" s="650"/>
      <c r="F123" s="650"/>
      <c r="G123" s="650"/>
      <c r="H123" s="650"/>
      <c r="I123" s="650"/>
      <c r="J123" s="650"/>
      <c r="K123" s="650"/>
      <c r="L123" s="650"/>
    </row>
    <row r="124" spans="1:12" s="248" customFormat="1" ht="30" customHeight="1">
      <c r="A124" s="247" t="s">
        <v>717</v>
      </c>
      <c r="B124" s="651" t="s">
        <v>718</v>
      </c>
      <c r="C124" s="652"/>
      <c r="D124" s="652"/>
      <c r="E124" s="652"/>
      <c r="F124" s="652"/>
      <c r="G124" s="652"/>
      <c r="H124" s="652"/>
      <c r="I124" s="652"/>
      <c r="J124" s="652"/>
      <c r="K124" s="652"/>
      <c r="L124" s="652"/>
    </row>
    <row r="125" spans="1:12" s="248" customFormat="1" ht="61" customHeight="1">
      <c r="A125" s="247" t="s">
        <v>719</v>
      </c>
      <c r="B125" s="651" t="s">
        <v>720</v>
      </c>
      <c r="C125" s="652"/>
      <c r="D125" s="652"/>
      <c r="E125" s="652"/>
      <c r="F125" s="652"/>
      <c r="G125" s="652"/>
      <c r="H125" s="652"/>
      <c r="I125" s="652"/>
      <c r="J125" s="652"/>
      <c r="K125" s="652"/>
      <c r="L125" s="652"/>
    </row>
    <row r="126" spans="1:12" ht="30.65" customHeight="1">
      <c r="A126" s="240" t="s">
        <v>721</v>
      </c>
      <c r="B126" s="649" t="s">
        <v>722</v>
      </c>
      <c r="C126" s="650"/>
      <c r="D126" s="650"/>
      <c r="E126" s="650"/>
      <c r="F126" s="650"/>
      <c r="G126" s="650"/>
      <c r="H126" s="650"/>
      <c r="I126" s="650"/>
      <c r="J126" s="650"/>
      <c r="K126" s="650"/>
      <c r="L126" s="650"/>
    </row>
    <row r="127" spans="1:12" ht="42" customHeight="1">
      <c r="A127" s="240" t="s">
        <v>723</v>
      </c>
      <c r="B127" s="649" t="s">
        <v>724</v>
      </c>
      <c r="C127" s="650"/>
      <c r="D127" s="650"/>
      <c r="E127" s="650"/>
      <c r="F127" s="650"/>
      <c r="G127" s="650"/>
      <c r="H127" s="650"/>
      <c r="I127" s="650"/>
      <c r="J127" s="650"/>
      <c r="K127" s="650"/>
      <c r="L127" s="650"/>
    </row>
    <row r="128" spans="1:12" ht="55" customHeight="1">
      <c r="A128" s="240" t="s">
        <v>725</v>
      </c>
      <c r="B128" s="649" t="s">
        <v>726</v>
      </c>
      <c r="C128" s="650"/>
      <c r="D128" s="650"/>
      <c r="E128" s="650"/>
      <c r="F128" s="650"/>
      <c r="G128" s="650"/>
      <c r="H128" s="650"/>
      <c r="I128" s="650"/>
      <c r="J128" s="650"/>
      <c r="K128" s="650"/>
      <c r="L128" s="650"/>
    </row>
    <row r="129" spans="1:12" ht="27.65" customHeight="1">
      <c r="A129" s="246" t="s">
        <v>727</v>
      </c>
      <c r="B129" s="649" t="s">
        <v>728</v>
      </c>
      <c r="C129" s="650"/>
      <c r="D129" s="650"/>
      <c r="E129" s="650"/>
      <c r="F129" s="650"/>
      <c r="G129" s="650"/>
      <c r="H129" s="650"/>
      <c r="I129" s="650"/>
      <c r="J129" s="650"/>
      <c r="K129" s="650"/>
      <c r="L129" s="650"/>
    </row>
    <row r="130" spans="1:12" ht="13">
      <c r="A130" s="240" t="s">
        <v>729</v>
      </c>
      <c r="B130" s="649" t="s">
        <v>730</v>
      </c>
      <c r="C130" s="650"/>
      <c r="D130" s="650"/>
      <c r="E130" s="650"/>
      <c r="F130" s="650"/>
      <c r="G130" s="650"/>
      <c r="H130" s="650"/>
      <c r="I130" s="650"/>
      <c r="J130" s="650"/>
      <c r="K130" s="650"/>
      <c r="L130" s="650"/>
    </row>
    <row r="131" spans="1:12" ht="13">
      <c r="A131" s="240" t="s">
        <v>731</v>
      </c>
      <c r="B131" s="649" t="s">
        <v>732</v>
      </c>
      <c r="C131" s="650"/>
      <c r="D131" s="650"/>
      <c r="E131" s="650"/>
      <c r="F131" s="650"/>
      <c r="G131" s="650"/>
      <c r="H131" s="650"/>
      <c r="I131" s="650"/>
      <c r="J131" s="650"/>
      <c r="K131" s="650"/>
      <c r="L131" s="650"/>
    </row>
    <row r="132" spans="1:12">
      <c r="A132" s="240" t="s">
        <v>709</v>
      </c>
      <c r="B132" s="240" t="s">
        <v>733</v>
      </c>
    </row>
  </sheetData>
  <mergeCells count="24">
    <mergeCell ref="B110:L110"/>
    <mergeCell ref="B105:L105"/>
    <mergeCell ref="B106:L106"/>
    <mergeCell ref="B107:L107"/>
    <mergeCell ref="B108:L108"/>
    <mergeCell ref="B109:L109"/>
    <mergeCell ref="B111:L111"/>
    <mergeCell ref="B115:L115"/>
    <mergeCell ref="B116:L116"/>
    <mergeCell ref="B117:L117"/>
    <mergeCell ref="B112:L112"/>
    <mergeCell ref="B113:L113"/>
    <mergeCell ref="B114:L114"/>
    <mergeCell ref="B131:L131"/>
    <mergeCell ref="B121:L121"/>
    <mergeCell ref="B122:L122"/>
    <mergeCell ref="B123:L123"/>
    <mergeCell ref="B124:L124"/>
    <mergeCell ref="B125:L125"/>
    <mergeCell ref="B126:L126"/>
    <mergeCell ref="B127:L127"/>
    <mergeCell ref="B128:L128"/>
    <mergeCell ref="B129:L129"/>
    <mergeCell ref="B130:L130"/>
  </mergeCells>
  <pageMargins left="0.3" right="0.3" top="0.3" bottom="0.3" header="0.3" footer="0.3"/>
  <pageSetup scale="50" fitToHeight="0" orientation="portrait" r:id="rId1"/>
  <headerFooter>
    <oddFooter>Page &amp;P of &amp;N</oddFooter>
  </headerFooter>
  <rowBreaks count="1" manualBreakCount="1">
    <brk id="101" max="11"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FF63D-713C-49A4-944A-5964F9D2C494}">
  <sheetPr>
    <pageSetUpPr fitToPage="1"/>
  </sheetPr>
  <dimension ref="A1:Z139"/>
  <sheetViews>
    <sheetView view="pageBreakPreview" zoomScale="70" zoomScaleNormal="85" zoomScaleSheetLayoutView="70" workbookViewId="0">
      <selection activeCell="H46" sqref="H46"/>
    </sheetView>
  </sheetViews>
  <sheetFormatPr defaultColWidth="8.7265625" defaultRowHeight="12.5"/>
  <cols>
    <col min="1" max="1" width="49.1796875" style="240" customWidth="1"/>
    <col min="2" max="2" width="10.1796875" style="240" bestFit="1" customWidth="1"/>
    <col min="3" max="4" width="12.54296875" style="240" customWidth="1"/>
    <col min="5" max="5" width="2.7265625" style="240" customWidth="1"/>
    <col min="6" max="9" width="8.81640625" style="240" bestFit="1" customWidth="1"/>
    <col min="10" max="11" width="8.7265625" style="240"/>
    <col min="12" max="12" width="58.81640625" style="240" customWidth="1"/>
    <col min="13" max="20" width="8.7265625" style="240"/>
    <col min="21" max="21" width="12.81640625" style="240" bestFit="1" customWidth="1"/>
    <col min="22" max="16384" width="8.7265625" style="240"/>
  </cols>
  <sheetData>
    <row r="1" spans="1:26" ht="13">
      <c r="A1" s="240" t="s">
        <v>0</v>
      </c>
      <c r="C1" s="274" t="s">
        <v>734</v>
      </c>
      <c r="D1" s="273"/>
      <c r="I1" s="241"/>
      <c r="K1" s="242"/>
      <c r="L1" s="259">
        <f ca="1">TODAY()</f>
        <v>45797</v>
      </c>
      <c r="M1" s="242"/>
      <c r="N1" s="242"/>
      <c r="O1" s="242"/>
      <c r="P1" s="242"/>
    </row>
    <row r="2" spans="1:26" ht="13">
      <c r="A2" s="243" t="s">
        <v>645</v>
      </c>
      <c r="B2" s="244"/>
      <c r="C2" s="244"/>
      <c r="D2" s="244"/>
      <c r="E2" s="244"/>
      <c r="F2" s="244"/>
      <c r="G2" s="244"/>
      <c r="H2" s="244"/>
      <c r="I2" s="244"/>
      <c r="J2" s="244"/>
      <c r="K2" s="244"/>
      <c r="L2" s="244"/>
      <c r="M2" s="244"/>
      <c r="N2" s="244"/>
      <c r="O2" s="244"/>
      <c r="P2" s="244"/>
      <c r="Q2" s="244"/>
      <c r="R2" s="244"/>
      <c r="S2" s="244"/>
      <c r="T2" s="244"/>
      <c r="U2" s="244"/>
      <c r="V2" s="244"/>
      <c r="W2" s="244"/>
      <c r="X2" s="244"/>
      <c r="Y2" s="244"/>
      <c r="Z2" s="244"/>
    </row>
    <row r="3" spans="1:26" ht="13">
      <c r="A3" s="248" t="s">
        <v>192</v>
      </c>
      <c r="B3" s="241"/>
      <c r="C3" s="241"/>
      <c r="D3" s="241"/>
      <c r="E3" s="241"/>
      <c r="F3" s="241"/>
      <c r="G3" s="241"/>
      <c r="H3" s="241"/>
      <c r="I3" s="241"/>
      <c r="J3" s="241"/>
      <c r="K3" s="241"/>
      <c r="L3" s="241"/>
      <c r="M3" s="241"/>
      <c r="N3" s="241"/>
      <c r="O3" s="241"/>
      <c r="P3" s="241"/>
    </row>
    <row r="4" spans="1:26" ht="13">
      <c r="A4" s="248"/>
      <c r="B4" s="241"/>
      <c r="C4" s="241"/>
      <c r="D4" s="241"/>
      <c r="E4" s="241"/>
      <c r="F4" s="241"/>
      <c r="G4" s="241"/>
      <c r="H4" s="241"/>
      <c r="I4" s="241"/>
      <c r="J4" s="241"/>
      <c r="K4" s="241"/>
      <c r="L4" s="241"/>
      <c r="M4" s="241"/>
      <c r="N4" s="241"/>
      <c r="O4" s="241"/>
      <c r="P4" s="241"/>
    </row>
    <row r="5" spans="1:26" ht="16">
      <c r="A5" s="250" t="s">
        <v>646</v>
      </c>
      <c r="C5" s="249" t="s">
        <v>529</v>
      </c>
      <c r="D5" s="249" t="s">
        <v>647</v>
      </c>
      <c r="E5" s="249"/>
      <c r="F5" s="268" t="s">
        <v>648</v>
      </c>
      <c r="G5" s="44"/>
      <c r="H5" s="44"/>
      <c r="I5" s="43"/>
      <c r="J5" s="44"/>
      <c r="K5" s="44"/>
      <c r="L5" s="43"/>
      <c r="M5" s="241"/>
      <c r="N5" s="241"/>
      <c r="O5" s="241"/>
      <c r="P5" s="241"/>
    </row>
    <row r="6" spans="1:26" ht="13">
      <c r="A6" s="248"/>
      <c r="C6" s="241"/>
      <c r="D6" s="241"/>
      <c r="E6" s="241"/>
      <c r="F6" s="241"/>
      <c r="G6" s="241"/>
      <c r="H6" s="241"/>
      <c r="I6" s="241"/>
      <c r="J6" s="241"/>
      <c r="K6" s="241"/>
      <c r="L6" s="241"/>
      <c r="M6" s="241"/>
      <c r="N6" s="241"/>
      <c r="O6" s="241"/>
      <c r="P6" s="241"/>
    </row>
    <row r="7" spans="1:26" ht="13">
      <c r="A7" s="240" t="s">
        <v>649</v>
      </c>
      <c r="C7" s="253">
        <f>+C11</f>
        <v>279263.46024365618</v>
      </c>
      <c r="D7" s="253">
        <f>+D79-D8-D9</f>
        <v>2517033.5345000001</v>
      </c>
      <c r="E7" s="241"/>
      <c r="F7" s="259" t="s">
        <v>650</v>
      </c>
      <c r="G7" s="241"/>
      <c r="H7" s="241"/>
      <c r="I7" s="241"/>
      <c r="J7" s="241"/>
      <c r="K7" s="241"/>
      <c r="L7" s="241"/>
      <c r="M7" s="241"/>
      <c r="N7" s="241"/>
      <c r="O7" s="241"/>
      <c r="P7" s="241"/>
    </row>
    <row r="8" spans="1:26" ht="13">
      <c r="A8" s="240" t="s">
        <v>735</v>
      </c>
      <c r="C8" s="253">
        <v>0</v>
      </c>
      <c r="D8" s="253">
        <v>382984.46549999999</v>
      </c>
      <c r="E8" s="241"/>
      <c r="F8" s="259" t="s">
        <v>736</v>
      </c>
      <c r="G8" s="241"/>
      <c r="H8" s="257"/>
      <c r="I8" s="241"/>
      <c r="J8" s="241"/>
      <c r="K8" s="241"/>
      <c r="L8" s="241"/>
      <c r="M8" s="241"/>
      <c r="N8" s="241"/>
      <c r="O8" s="241"/>
      <c r="P8" s="241"/>
    </row>
    <row r="9" spans="1:26" ht="13">
      <c r="A9" s="240" t="s">
        <v>651</v>
      </c>
      <c r="C9" s="253">
        <v>0</v>
      </c>
      <c r="D9" s="253">
        <f>+D86</f>
        <v>592497</v>
      </c>
      <c r="E9" s="241"/>
      <c r="F9" s="259"/>
      <c r="G9" s="241"/>
      <c r="H9" s="257"/>
      <c r="I9" s="241"/>
      <c r="J9" s="241"/>
      <c r="K9" s="241"/>
      <c r="L9" s="241"/>
      <c r="M9" s="241"/>
      <c r="N9" s="241"/>
      <c r="O9" s="241"/>
      <c r="P9" s="241"/>
    </row>
    <row r="10" spans="1:26" ht="14">
      <c r="A10" s="240" t="s">
        <v>652</v>
      </c>
      <c r="C10" s="254">
        <v>0</v>
      </c>
      <c r="D10" s="254">
        <f>+D11-SUM(D7:D9)</f>
        <v>565986</v>
      </c>
      <c r="E10" s="241"/>
      <c r="F10" s="241"/>
      <c r="G10" s="241"/>
      <c r="H10" s="241"/>
      <c r="I10" s="241"/>
      <c r="J10" s="241"/>
      <c r="K10" s="241"/>
      <c r="L10" s="241"/>
      <c r="M10" s="241"/>
      <c r="N10" s="241"/>
      <c r="O10" s="241"/>
      <c r="P10" s="241"/>
    </row>
    <row r="11" spans="1:26">
      <c r="A11" s="239" t="s">
        <v>653</v>
      </c>
      <c r="C11" s="251">
        <f>+D64</f>
        <v>279263.46024365618</v>
      </c>
      <c r="D11" s="251">
        <f>+D82</f>
        <v>4058501</v>
      </c>
      <c r="E11" s="241"/>
      <c r="F11" s="241"/>
      <c r="G11" s="241"/>
      <c r="H11" s="241"/>
      <c r="I11" s="241"/>
      <c r="J11" s="241"/>
      <c r="K11" s="241"/>
      <c r="L11" s="241"/>
      <c r="M11" s="241"/>
      <c r="N11" s="241"/>
      <c r="O11" s="241" t="s">
        <v>654</v>
      </c>
      <c r="P11" s="241"/>
    </row>
    <row r="12" spans="1:26" ht="13">
      <c r="A12" s="265"/>
      <c r="C12" s="257"/>
      <c r="D12" s="257"/>
      <c r="E12" s="241"/>
      <c r="F12" s="241"/>
      <c r="G12" s="279"/>
      <c r="H12" s="241"/>
      <c r="I12" s="241"/>
      <c r="J12" s="241"/>
      <c r="K12" s="241"/>
      <c r="L12" s="241"/>
      <c r="M12" s="241"/>
      <c r="N12" s="241"/>
      <c r="O12" s="241" t="s">
        <v>655</v>
      </c>
      <c r="P12" s="241"/>
    </row>
    <row r="13" spans="1:26" ht="13">
      <c r="A13" s="267" t="s">
        <v>737</v>
      </c>
      <c r="C13" s="257"/>
      <c r="D13" s="257"/>
      <c r="E13" s="241"/>
      <c r="F13" s="241"/>
      <c r="G13" s="241"/>
      <c r="H13" s="241"/>
      <c r="I13" s="241"/>
      <c r="J13" s="241"/>
      <c r="K13" s="241"/>
      <c r="L13" s="241"/>
      <c r="M13" s="241"/>
      <c r="N13" s="241"/>
      <c r="O13" s="241"/>
      <c r="P13" s="241"/>
    </row>
    <row r="14" spans="1:26" ht="13">
      <c r="A14" s="265" t="s">
        <v>738</v>
      </c>
      <c r="C14" s="257">
        <v>0.35</v>
      </c>
      <c r="D14" s="257"/>
      <c r="E14" s="241"/>
      <c r="F14" s="241"/>
      <c r="G14" s="241"/>
      <c r="H14" s="241"/>
      <c r="I14" s="241"/>
      <c r="J14" s="241"/>
      <c r="K14" s="241"/>
      <c r="L14" s="241"/>
      <c r="M14" s="241"/>
      <c r="N14" s="241"/>
      <c r="O14" s="241" t="s">
        <v>739</v>
      </c>
      <c r="P14" s="241"/>
    </row>
    <row r="15" spans="1:26" ht="13">
      <c r="A15" s="265" t="s">
        <v>740</v>
      </c>
      <c r="C15" s="257"/>
      <c r="D15" s="257">
        <v>0.35499583309824595</v>
      </c>
      <c r="E15" s="241"/>
      <c r="F15" s="259" t="s">
        <v>741</v>
      </c>
      <c r="G15" s="241"/>
      <c r="H15" s="241"/>
      <c r="I15" s="241"/>
      <c r="J15" s="241"/>
      <c r="K15" s="241"/>
      <c r="L15" s="241"/>
      <c r="M15" s="241"/>
      <c r="N15" s="241"/>
      <c r="O15" s="241" t="s">
        <v>742</v>
      </c>
      <c r="P15" s="241"/>
    </row>
    <row r="16" spans="1:26" ht="13">
      <c r="A16" s="265"/>
      <c r="C16" s="257"/>
      <c r="D16" s="257"/>
      <c r="E16" s="241"/>
      <c r="F16" s="241"/>
      <c r="G16" s="241"/>
      <c r="H16" s="241"/>
      <c r="I16" s="241"/>
      <c r="J16" s="241"/>
      <c r="K16" s="241"/>
      <c r="L16" s="241"/>
      <c r="M16" s="241"/>
      <c r="N16" s="241"/>
      <c r="O16" s="241"/>
      <c r="P16" s="241"/>
    </row>
    <row r="17" spans="1:16">
      <c r="A17" s="240" t="str">
        <f>+A7</f>
        <v>Digital Platform - 3P Marketplace</v>
      </c>
      <c r="C17" s="253">
        <f>+C21</f>
        <v>64125.255761920664</v>
      </c>
      <c r="D17" s="253">
        <f>+D96-D18+D97-D19</f>
        <v>538270.20635937504</v>
      </c>
      <c r="E17" s="241"/>
      <c r="F17" s="241"/>
      <c r="G17" s="241"/>
      <c r="H17" s="241"/>
      <c r="I17" s="241"/>
      <c r="J17" s="241"/>
      <c r="K17" s="241"/>
      <c r="L17" s="241"/>
      <c r="M17" s="241"/>
      <c r="N17" s="241"/>
      <c r="O17" s="241"/>
      <c r="P17" s="241"/>
    </row>
    <row r="18" spans="1:16" ht="13">
      <c r="A18" s="240" t="str">
        <f>+A8</f>
        <v>Digital Platform - FPS</v>
      </c>
      <c r="C18" s="253">
        <v>0</v>
      </c>
      <c r="D18" s="253">
        <v>35904.793640625001</v>
      </c>
      <c r="F18" s="259" t="s">
        <v>743</v>
      </c>
      <c r="G18" s="241"/>
      <c r="H18" s="241"/>
      <c r="I18" s="241"/>
      <c r="J18" s="241"/>
      <c r="K18" s="241"/>
      <c r="L18" s="241"/>
      <c r="M18" s="241"/>
      <c r="N18" s="241"/>
      <c r="O18" s="241" t="s">
        <v>744</v>
      </c>
      <c r="P18" s="241"/>
    </row>
    <row r="19" spans="1:16" ht="13">
      <c r="A19" s="240" t="str">
        <f>+A9</f>
        <v>Digital Platform - 1P Marketplace</v>
      </c>
      <c r="C19" s="253">
        <v>0</v>
      </c>
      <c r="D19" s="253">
        <f>+D95</f>
        <v>152413</v>
      </c>
      <c r="F19" s="259"/>
      <c r="G19" s="241"/>
      <c r="H19" s="241"/>
      <c r="I19" s="241"/>
      <c r="J19" s="241"/>
      <c r="K19" s="241"/>
      <c r="L19" s="241"/>
      <c r="M19" s="241"/>
      <c r="N19" s="241"/>
      <c r="O19" s="241"/>
      <c r="P19" s="241"/>
    </row>
    <row r="20" spans="1:16" ht="14">
      <c r="A20" s="240" t="s">
        <v>652</v>
      </c>
      <c r="C20" s="254">
        <v>0</v>
      </c>
      <c r="D20" s="254">
        <f>+D21-SUM(D17:D19)</f>
        <v>296587</v>
      </c>
      <c r="E20" s="241"/>
      <c r="F20" s="241"/>
      <c r="G20" s="241"/>
      <c r="H20" s="241"/>
      <c r="I20" s="241"/>
      <c r="J20" s="241"/>
      <c r="K20" s="241"/>
      <c r="L20" s="241"/>
      <c r="M20" s="241"/>
      <c r="N20" s="241"/>
      <c r="O20" s="241" t="s">
        <v>656</v>
      </c>
      <c r="P20" s="241"/>
    </row>
    <row r="21" spans="1:16">
      <c r="A21" s="239" t="s">
        <v>26</v>
      </c>
      <c r="C21" s="251">
        <f>+D66</f>
        <v>64125.255761920664</v>
      </c>
      <c r="D21" s="251">
        <f>+D100</f>
        <v>1023175</v>
      </c>
      <c r="E21" s="241"/>
      <c r="F21" s="241"/>
      <c r="G21" s="241"/>
      <c r="H21" s="241"/>
      <c r="I21" s="241"/>
      <c r="J21" s="241"/>
      <c r="K21" s="241"/>
      <c r="L21" s="241"/>
      <c r="M21" s="241"/>
      <c r="N21" s="241"/>
      <c r="O21" s="241"/>
      <c r="P21" s="241"/>
    </row>
    <row r="22" spans="1:16" ht="13">
      <c r="A22" s="240" t="s">
        <v>657</v>
      </c>
      <c r="C22" s="253">
        <f>+'Detailed Disclosures - USD'!AO46</f>
        <v>-11360.661680885341</v>
      </c>
      <c r="D22" s="253">
        <v>0</v>
      </c>
      <c r="F22" s="259" t="s">
        <v>745</v>
      </c>
      <c r="G22" s="241"/>
      <c r="H22" s="241"/>
      <c r="I22" s="241"/>
      <c r="J22" s="241"/>
      <c r="K22" s="241"/>
      <c r="L22" s="241"/>
      <c r="M22" s="241"/>
      <c r="N22" s="241"/>
      <c r="O22" s="241"/>
      <c r="P22" s="241"/>
    </row>
    <row r="23" spans="1:16">
      <c r="A23" s="240" t="s">
        <v>659</v>
      </c>
      <c r="C23" s="253">
        <f>+'Detailed Disclosure'!AO84</f>
        <v>-3126.433</v>
      </c>
      <c r="D23" s="253">
        <v>0</v>
      </c>
      <c r="E23" s="241"/>
      <c r="F23" s="241"/>
      <c r="G23" s="241"/>
      <c r="H23" s="241"/>
      <c r="I23" s="241"/>
      <c r="J23" s="241"/>
      <c r="K23" s="241"/>
      <c r="L23" s="241"/>
      <c r="M23" s="241"/>
      <c r="N23" s="241"/>
      <c r="O23" s="241"/>
      <c r="P23" s="241"/>
    </row>
    <row r="24" spans="1:16" ht="14">
      <c r="A24" s="240" t="s">
        <v>660</v>
      </c>
      <c r="C24" s="254">
        <f>+(1-'Detailed Disclosures - USD'!AO21)*'Detailed Disclosures - USD'!AO106*25/1000*-1</f>
        <v>-4043.4431313336995</v>
      </c>
      <c r="D24" s="254">
        <v>0</v>
      </c>
      <c r="E24" s="241"/>
      <c r="F24" s="269" t="s">
        <v>661</v>
      </c>
      <c r="G24" s="241"/>
      <c r="H24" s="241"/>
      <c r="I24" s="241"/>
      <c r="J24" s="241"/>
      <c r="K24" s="241"/>
      <c r="L24" s="241"/>
      <c r="M24" s="241"/>
      <c r="N24" s="241"/>
      <c r="O24" s="241"/>
      <c r="P24" s="241"/>
    </row>
    <row r="25" spans="1:16">
      <c r="A25" s="239" t="s">
        <v>662</v>
      </c>
      <c r="C25" s="251">
        <f>+SUM(C21:C24)</f>
        <v>45594.717949701626</v>
      </c>
      <c r="D25" s="251">
        <f t="shared" ref="D25" si="0">+SUM(D21:D23)</f>
        <v>1023175</v>
      </c>
      <c r="E25" s="241"/>
      <c r="F25" s="241"/>
      <c r="G25" s="241"/>
      <c r="H25" s="241"/>
      <c r="I25" s="241"/>
      <c r="J25" s="241"/>
      <c r="K25" s="241"/>
      <c r="L25" s="241"/>
      <c r="M25" s="241"/>
      <c r="N25" s="241"/>
      <c r="O25" s="241"/>
      <c r="P25" s="241"/>
    </row>
    <row r="26" spans="1:16">
      <c r="A26" s="239"/>
      <c r="C26" s="251"/>
      <c r="D26" s="251"/>
      <c r="E26" s="241"/>
      <c r="F26" s="241"/>
      <c r="G26" s="241"/>
      <c r="H26" s="241"/>
      <c r="I26" s="241"/>
      <c r="J26" s="241"/>
      <c r="K26" s="241"/>
      <c r="L26" s="241"/>
      <c r="M26" s="241"/>
      <c r="N26" s="241"/>
      <c r="O26" s="241" t="s">
        <v>663</v>
      </c>
      <c r="P26" s="241"/>
    </row>
    <row r="27" spans="1:16" ht="13">
      <c r="A27" s="258" t="s">
        <v>664</v>
      </c>
      <c r="E27" s="241"/>
      <c r="F27" s="241"/>
      <c r="G27" s="241"/>
      <c r="H27" s="241"/>
      <c r="I27" s="241"/>
      <c r="J27" s="241"/>
      <c r="K27" s="241"/>
      <c r="L27" s="241"/>
      <c r="M27" s="241"/>
      <c r="N27" s="241"/>
      <c r="O27" s="241"/>
      <c r="P27" s="241"/>
    </row>
    <row r="28" spans="1:16" s="248" customFormat="1" ht="13">
      <c r="A28" s="247" t="str">
        <f>+A17</f>
        <v>Digital Platform - 3P Marketplace</v>
      </c>
      <c r="C28" s="257">
        <f>+C17/C7</f>
        <v>0.22962279313581394</v>
      </c>
      <c r="D28" s="270">
        <f>+D17/D7</f>
        <v>0.21385102700520855</v>
      </c>
      <c r="E28" s="259"/>
      <c r="F28" s="259"/>
      <c r="G28" s="259"/>
      <c r="H28" s="259"/>
      <c r="I28" s="259"/>
      <c r="J28" s="259"/>
      <c r="K28" s="259"/>
      <c r="L28" s="259"/>
      <c r="M28" s="259"/>
      <c r="N28" s="259"/>
      <c r="O28" s="259"/>
      <c r="P28" s="259"/>
    </row>
    <row r="29" spans="1:16" s="248" customFormat="1" ht="13">
      <c r="A29" s="247" t="str">
        <f>+A18</f>
        <v>Digital Platform - FPS</v>
      </c>
      <c r="C29" s="257">
        <v>0</v>
      </c>
      <c r="D29" s="257">
        <f>+D18/D8</f>
        <v>9.375E-2</v>
      </c>
      <c r="E29" s="259"/>
      <c r="F29" s="259"/>
      <c r="G29" s="259"/>
      <c r="H29" s="259"/>
      <c r="I29" s="259"/>
      <c r="J29" s="259"/>
      <c r="K29" s="259"/>
      <c r="L29" s="259"/>
      <c r="M29" s="259"/>
      <c r="N29" s="259"/>
      <c r="O29" s="259" t="s">
        <v>746</v>
      </c>
      <c r="P29" s="259"/>
    </row>
    <row r="30" spans="1:16" s="248" customFormat="1" ht="13">
      <c r="A30" s="247" t="str">
        <f>+A19</f>
        <v>Digital Platform - 1P Marketplace</v>
      </c>
      <c r="C30" s="257">
        <v>0</v>
      </c>
      <c r="D30" s="257">
        <f>+D19/D9</f>
        <v>0.25723843327476764</v>
      </c>
      <c r="E30" s="259"/>
      <c r="F30" s="278"/>
      <c r="G30" s="259"/>
      <c r="H30" s="259"/>
      <c r="I30" s="259"/>
      <c r="J30" s="259"/>
      <c r="K30" s="259"/>
      <c r="L30" s="259"/>
      <c r="M30" s="259"/>
      <c r="N30" s="259"/>
      <c r="O30" s="259"/>
      <c r="P30" s="259"/>
    </row>
    <row r="31" spans="1:16" s="248" customFormat="1" ht="14.5">
      <c r="A31" s="247" t="str">
        <f>+A20</f>
        <v>All Other</v>
      </c>
      <c r="C31" s="261">
        <v>0</v>
      </c>
      <c r="D31" s="261">
        <f>+D20/D10</f>
        <v>0.52401826193580758</v>
      </c>
      <c r="E31" s="259"/>
      <c r="F31" s="259"/>
      <c r="G31" s="259"/>
      <c r="H31" s="259"/>
      <c r="I31" s="259"/>
      <c r="J31" s="259"/>
      <c r="K31" s="259"/>
      <c r="L31" s="259"/>
      <c r="M31" s="259"/>
      <c r="N31" s="259"/>
      <c r="O31" s="259"/>
      <c r="P31" s="259"/>
    </row>
    <row r="32" spans="1:16" s="248" customFormat="1" ht="13">
      <c r="A32" s="260" t="str">
        <f>+A21</f>
        <v>Gross Profit</v>
      </c>
      <c r="C32" s="257">
        <f>+C21/C11</f>
        <v>0.22962279313581394</v>
      </c>
      <c r="D32" s="257">
        <f>+D21/D11</f>
        <v>0.25210662754549029</v>
      </c>
      <c r="E32" s="259"/>
      <c r="F32" s="259"/>
      <c r="G32" s="259"/>
      <c r="H32" s="259"/>
      <c r="I32" s="259"/>
      <c r="J32" s="259"/>
      <c r="K32" s="259"/>
      <c r="L32" s="259"/>
      <c r="M32" s="259"/>
      <c r="N32" s="259"/>
      <c r="O32" s="259"/>
      <c r="P32" s="259"/>
    </row>
    <row r="33" spans="1:16" s="248" customFormat="1" ht="13">
      <c r="A33" s="247" t="str">
        <f t="shared" ref="A33:A35" si="1">+A22</f>
        <v>Merchant Fees in Opex</v>
      </c>
      <c r="C33" s="257">
        <f>+C22/$C$11</f>
        <v>-4.0680802533110537E-2</v>
      </c>
      <c r="D33" s="257">
        <v>0</v>
      </c>
      <c r="E33" s="259"/>
      <c r="F33" s="259"/>
      <c r="G33" s="259"/>
      <c r="H33" s="259"/>
      <c r="I33" s="259"/>
      <c r="J33" s="259"/>
      <c r="K33" s="259"/>
      <c r="L33" s="259"/>
      <c r="M33" s="259"/>
      <c r="N33" s="259"/>
      <c r="O33" s="259"/>
      <c r="P33" s="259"/>
    </row>
    <row r="34" spans="1:16" s="248" customFormat="1" ht="13">
      <c r="A34" s="247" t="str">
        <f t="shared" si="1"/>
        <v>Promotion and Packaging in Opex</v>
      </c>
      <c r="C34" s="257">
        <f>+C23/$C$11</f>
        <v>-1.1195281320628915E-2</v>
      </c>
      <c r="D34" s="257">
        <v>0</v>
      </c>
      <c r="E34" s="259"/>
      <c r="F34" s="259"/>
      <c r="G34" s="259"/>
      <c r="H34" s="259"/>
      <c r="I34" s="259"/>
      <c r="J34" s="259"/>
      <c r="K34" s="259"/>
      <c r="L34" s="259"/>
      <c r="M34" s="259"/>
      <c r="N34" s="259"/>
      <c r="O34" s="259"/>
      <c r="P34" s="259"/>
    </row>
    <row r="35" spans="1:16" s="248" customFormat="1" ht="14.5">
      <c r="A35" s="247" t="str">
        <f t="shared" si="1"/>
        <v>$25 Per Item Return Fee</v>
      </c>
      <c r="C35" s="261">
        <f t="shared" ref="C35" si="2">+C24/$C$11</f>
        <v>-1.4478955205259623E-2</v>
      </c>
      <c r="D35" s="261">
        <v>0</v>
      </c>
      <c r="E35" s="259"/>
      <c r="F35" s="259"/>
      <c r="G35" s="259"/>
      <c r="H35" s="259"/>
      <c r="I35" s="259"/>
      <c r="J35" s="259"/>
      <c r="K35" s="259"/>
      <c r="L35" s="259"/>
      <c r="M35" s="259"/>
      <c r="N35" s="259"/>
      <c r="O35" s="259"/>
      <c r="P35" s="259"/>
    </row>
    <row r="36" spans="1:16" s="248" customFormat="1" ht="13">
      <c r="A36" s="260" t="str">
        <f>+A25</f>
        <v>Adj. Gross Profit</v>
      </c>
      <c r="C36" s="270">
        <f t="shared" ref="C36" si="3">+C25/$C$11</f>
        <v>0.16326775407681487</v>
      </c>
      <c r="D36" s="257">
        <f>+SUM(D32:D34)</f>
        <v>0.25210662754549029</v>
      </c>
      <c r="E36" s="259"/>
      <c r="F36" s="259"/>
      <c r="G36" s="259"/>
      <c r="H36" s="259"/>
      <c r="I36" s="259"/>
      <c r="J36" s="259"/>
      <c r="K36" s="259"/>
      <c r="L36" s="259"/>
      <c r="M36" s="259"/>
      <c r="N36" s="259"/>
      <c r="O36" s="277"/>
      <c r="P36" s="259"/>
    </row>
    <row r="37" spans="1:16" ht="13">
      <c r="A37" s="248"/>
      <c r="C37" s="241"/>
      <c r="D37" s="241"/>
      <c r="E37" s="241"/>
      <c r="F37" s="241"/>
      <c r="G37" s="241"/>
      <c r="H37" s="241"/>
      <c r="I37" s="241"/>
      <c r="J37" s="241"/>
      <c r="K37" s="241"/>
      <c r="L37" s="241"/>
      <c r="M37" s="241"/>
      <c r="N37" s="241"/>
      <c r="O37" s="241"/>
      <c r="P37" s="241"/>
    </row>
    <row r="38" spans="1:16" ht="14">
      <c r="A38" s="240" t="s">
        <v>665</v>
      </c>
      <c r="C38" s="254">
        <f>+C25-C39</f>
        <v>25880.724075319449</v>
      </c>
      <c r="D38" s="254">
        <f>+D25-D39</f>
        <v>1121890</v>
      </c>
      <c r="E38" s="241"/>
      <c r="F38" s="241"/>
      <c r="G38" s="241"/>
      <c r="H38" s="241"/>
      <c r="I38" s="241"/>
      <c r="J38" s="241"/>
      <c r="K38" s="241"/>
      <c r="L38" s="241"/>
      <c r="M38" s="241"/>
      <c r="N38" s="241"/>
      <c r="O38" s="241"/>
      <c r="P38" s="241"/>
    </row>
    <row r="39" spans="1:16">
      <c r="A39" s="239" t="s">
        <v>666</v>
      </c>
      <c r="C39" s="251">
        <f>+D69</f>
        <v>19713.993874382177</v>
      </c>
      <c r="D39" s="251">
        <f>+D103</f>
        <v>-98715</v>
      </c>
      <c r="E39" s="241"/>
      <c r="F39" s="241"/>
      <c r="G39" s="241"/>
      <c r="H39" s="241"/>
      <c r="I39" s="241"/>
      <c r="J39" s="241"/>
      <c r="K39" s="241"/>
      <c r="L39" s="241"/>
      <c r="M39" s="241"/>
      <c r="N39" s="241"/>
      <c r="O39" s="241"/>
      <c r="P39" s="241"/>
    </row>
    <row r="40" spans="1:16">
      <c r="A40" s="237" t="s">
        <v>247</v>
      </c>
      <c r="C40" s="252">
        <f>+D70</f>
        <v>297.99468663675452</v>
      </c>
      <c r="D40" s="252">
        <f>+D104</f>
        <v>244856</v>
      </c>
      <c r="E40" s="241"/>
      <c r="F40" s="241"/>
      <c r="G40" s="241"/>
      <c r="H40" s="241"/>
      <c r="I40" s="241"/>
      <c r="J40" s="241"/>
      <c r="K40" s="241"/>
      <c r="L40" s="241"/>
      <c r="M40" s="241"/>
      <c r="N40" s="241"/>
      <c r="O40" s="241"/>
      <c r="P40" s="241"/>
    </row>
    <row r="41" spans="1:16">
      <c r="A41" s="239" t="s">
        <v>28</v>
      </c>
      <c r="C41" s="251">
        <f>+D71</f>
        <v>19415.999187745423</v>
      </c>
      <c r="D41" s="251">
        <f>+D105</f>
        <v>-343571</v>
      </c>
      <c r="E41" s="241"/>
      <c r="F41" s="241"/>
      <c r="G41" s="241"/>
      <c r="H41" s="241"/>
      <c r="I41" s="241"/>
      <c r="J41" s="241"/>
      <c r="K41" s="241"/>
      <c r="L41" s="241"/>
      <c r="M41" s="241"/>
      <c r="N41" s="241"/>
      <c r="O41" s="241"/>
      <c r="P41" s="241"/>
    </row>
    <row r="42" spans="1:16">
      <c r="A42" s="237"/>
      <c r="C42" s="253"/>
      <c r="D42" s="253"/>
      <c r="E42" s="241"/>
      <c r="F42" s="241"/>
      <c r="G42" s="241"/>
      <c r="H42" s="241"/>
      <c r="I42" s="241"/>
      <c r="J42" s="241"/>
      <c r="K42" s="241"/>
      <c r="L42" s="241"/>
      <c r="M42" s="241"/>
      <c r="N42" s="241"/>
      <c r="O42" s="279"/>
      <c r="P42" s="241"/>
    </row>
    <row r="43" spans="1:16" ht="13">
      <c r="A43" s="258" t="s">
        <v>664</v>
      </c>
      <c r="C43" s="241"/>
      <c r="D43" s="241"/>
      <c r="E43" s="241"/>
      <c r="F43" s="241"/>
      <c r="G43" s="241"/>
      <c r="H43" s="241"/>
      <c r="I43" s="241"/>
      <c r="J43" s="241"/>
      <c r="K43" s="241"/>
      <c r="L43" s="241"/>
      <c r="M43" s="241"/>
      <c r="N43" s="241"/>
      <c r="O43" s="241"/>
      <c r="P43" s="241"/>
    </row>
    <row r="44" spans="1:16" s="248" customFormat="1" ht="14.5">
      <c r="A44" s="247" t="s">
        <v>665</v>
      </c>
      <c r="C44" s="261">
        <f t="shared" ref="C44:D47" si="4">+C38/C$11</f>
        <v>9.2674938757611278E-2</v>
      </c>
      <c r="D44" s="261">
        <f t="shared" si="4"/>
        <v>0.27642964730081376</v>
      </c>
      <c r="E44" s="259"/>
      <c r="F44" s="259"/>
      <c r="G44" s="259"/>
      <c r="H44" s="259"/>
      <c r="I44" s="259"/>
      <c r="J44" s="259"/>
      <c r="K44" s="259"/>
      <c r="L44" s="259"/>
      <c r="M44" s="259"/>
      <c r="N44" s="259"/>
      <c r="O44" s="259"/>
      <c r="P44" s="259"/>
    </row>
    <row r="45" spans="1:16" s="248" customFormat="1" ht="13">
      <c r="A45" s="260" t="s">
        <v>666</v>
      </c>
      <c r="C45" s="257">
        <f t="shared" si="4"/>
        <v>7.0592815319203597E-2</v>
      </c>
      <c r="D45" s="257">
        <f t="shared" si="4"/>
        <v>-2.4323019755323454E-2</v>
      </c>
      <c r="E45" s="259"/>
      <c r="F45" s="259"/>
      <c r="G45" s="259"/>
      <c r="H45" s="259"/>
      <c r="I45" s="259"/>
      <c r="J45" s="259"/>
      <c r="K45" s="259"/>
      <c r="L45" s="259"/>
      <c r="M45" s="259"/>
      <c r="N45" s="259"/>
      <c r="O45" s="259"/>
      <c r="P45" s="259"/>
    </row>
    <row r="46" spans="1:16" s="248" customFormat="1" ht="14.5">
      <c r="A46" s="238" t="s">
        <v>247</v>
      </c>
      <c r="C46" s="261">
        <f t="shared" si="4"/>
        <v>1.0670736743602454E-3</v>
      </c>
      <c r="D46" s="261">
        <f t="shared" si="4"/>
        <v>6.0331634758744666E-2</v>
      </c>
      <c r="E46" s="259"/>
      <c r="F46" s="259"/>
      <c r="G46" s="259"/>
      <c r="H46" s="259"/>
      <c r="I46" s="259"/>
      <c r="J46" s="259"/>
      <c r="K46" s="259"/>
      <c r="L46" s="259"/>
      <c r="M46" s="259"/>
      <c r="N46" s="259"/>
      <c r="O46" s="259"/>
      <c r="P46" s="259"/>
    </row>
    <row r="47" spans="1:16" s="248" customFormat="1" ht="13">
      <c r="A47" s="260" t="s">
        <v>28</v>
      </c>
      <c r="C47" s="257">
        <f t="shared" si="4"/>
        <v>6.9525741644843347E-2</v>
      </c>
      <c r="D47" s="257">
        <f t="shared" si="4"/>
        <v>-8.4654654514068131E-2</v>
      </c>
      <c r="E47" s="259"/>
      <c r="F47" s="259"/>
      <c r="G47" s="259"/>
      <c r="H47" s="259"/>
      <c r="I47" s="259"/>
      <c r="J47" s="259"/>
      <c r="K47" s="259"/>
      <c r="L47" s="259"/>
      <c r="M47" s="259"/>
      <c r="N47" s="259"/>
      <c r="O47" s="259"/>
      <c r="P47" s="259"/>
    </row>
    <row r="48" spans="1:16">
      <c r="A48" s="237"/>
      <c r="C48" s="241"/>
      <c r="D48" s="241"/>
      <c r="E48" s="241"/>
      <c r="F48" s="241"/>
      <c r="G48" s="241"/>
      <c r="H48" s="241"/>
      <c r="I48" s="241"/>
      <c r="J48" s="241"/>
      <c r="K48" s="241"/>
      <c r="L48" s="241"/>
      <c r="M48" s="241"/>
      <c r="N48" s="241"/>
      <c r="O48" s="241"/>
      <c r="P48" s="241"/>
    </row>
    <row r="49" spans="1:16" s="248" customFormat="1" ht="13">
      <c r="A49" s="264" t="s">
        <v>148</v>
      </c>
      <c r="C49" s="259"/>
      <c r="D49" s="259"/>
      <c r="E49" s="259"/>
      <c r="F49" s="259"/>
      <c r="G49" s="259"/>
      <c r="H49" s="259"/>
      <c r="I49" s="259"/>
      <c r="J49" s="259"/>
      <c r="K49" s="259"/>
      <c r="L49" s="259"/>
      <c r="M49" s="259"/>
      <c r="N49" s="259"/>
      <c r="O49" s="259"/>
      <c r="P49" s="259"/>
    </row>
    <row r="50" spans="1:16" s="248" customFormat="1" ht="13">
      <c r="A50" s="238" t="s">
        <v>667</v>
      </c>
      <c r="C50" s="257">
        <f>+C46+C44</f>
        <v>9.3742012431971528E-2</v>
      </c>
      <c r="D50" s="257">
        <f>+D46+D44</f>
        <v>0.33676128205955841</v>
      </c>
      <c r="E50" s="259"/>
      <c r="F50" s="259"/>
      <c r="G50" s="259"/>
      <c r="H50" s="259"/>
      <c r="I50" s="259"/>
      <c r="J50" s="259"/>
      <c r="K50" s="259"/>
      <c r="L50" s="259"/>
      <c r="M50" s="259"/>
      <c r="N50" s="259"/>
      <c r="O50" s="259"/>
      <c r="P50" s="259"/>
    </row>
    <row r="51" spans="1:16" ht="13">
      <c r="A51" s="237"/>
      <c r="C51" s="257"/>
      <c r="D51" s="257"/>
      <c r="E51" s="241"/>
      <c r="F51" s="241"/>
      <c r="G51" s="241"/>
      <c r="H51" s="241"/>
      <c r="I51" s="241"/>
      <c r="J51" s="241"/>
      <c r="K51" s="241"/>
      <c r="L51" s="241"/>
      <c r="M51" s="241"/>
      <c r="N51" s="241"/>
      <c r="O51" s="241"/>
      <c r="P51" s="241"/>
    </row>
    <row r="52" spans="1:16">
      <c r="A52" s="237" t="s">
        <v>31</v>
      </c>
      <c r="C52" s="252">
        <f>+D73</f>
        <v>8098.4135817659853</v>
      </c>
      <c r="D52" s="252">
        <f>+D107</f>
        <v>203347</v>
      </c>
      <c r="E52" s="241"/>
      <c r="F52" s="241"/>
      <c r="G52" s="241"/>
      <c r="H52" s="241"/>
      <c r="I52" s="241"/>
      <c r="J52" s="241"/>
      <c r="K52" s="241"/>
      <c r="L52" s="241"/>
      <c r="M52" s="241"/>
      <c r="N52" s="241"/>
      <c r="O52" s="241"/>
      <c r="P52" s="241"/>
    </row>
    <row r="53" spans="1:16">
      <c r="A53" s="239" t="s">
        <v>668</v>
      </c>
      <c r="C53" s="251">
        <f>+D74</f>
        <v>11317.585605979439</v>
      </c>
      <c r="D53" s="251">
        <f>+D108</f>
        <v>-546918</v>
      </c>
      <c r="E53" s="241"/>
      <c r="F53" s="241"/>
      <c r="G53" s="241"/>
      <c r="H53" s="241"/>
      <c r="I53" s="241"/>
      <c r="J53" s="241"/>
      <c r="K53" s="241"/>
      <c r="L53" s="241"/>
      <c r="M53" s="241"/>
      <c r="N53" s="241"/>
      <c r="O53" s="241"/>
      <c r="P53" s="241"/>
    </row>
    <row r="54" spans="1:16" ht="13">
      <c r="A54" s="248"/>
      <c r="C54" s="241"/>
      <c r="D54" s="241"/>
      <c r="E54" s="241"/>
      <c r="F54" s="241"/>
      <c r="G54" s="241"/>
      <c r="H54" s="241"/>
      <c r="I54" s="241"/>
      <c r="J54" s="241"/>
      <c r="K54" s="241"/>
      <c r="L54" s="241"/>
      <c r="M54" s="241"/>
      <c r="N54" s="241"/>
      <c r="O54" s="241"/>
      <c r="P54" s="241"/>
    </row>
    <row r="55" spans="1:16" ht="13">
      <c r="A55" s="258" t="s">
        <v>664</v>
      </c>
      <c r="C55" s="241"/>
      <c r="D55" s="241"/>
      <c r="E55" s="241"/>
      <c r="F55" s="241"/>
      <c r="G55" s="241"/>
      <c r="H55" s="241"/>
      <c r="I55" s="241"/>
      <c r="J55" s="241"/>
      <c r="K55" s="241"/>
      <c r="L55" s="241"/>
      <c r="M55" s="241"/>
      <c r="N55" s="241"/>
      <c r="O55" s="241"/>
      <c r="P55" s="241"/>
    </row>
    <row r="56" spans="1:16" s="248" customFormat="1" ht="14.5">
      <c r="A56" s="247" t="str">
        <f>+A52</f>
        <v>Capex</v>
      </c>
      <c r="C56" s="261">
        <f>+C52/C$11</f>
        <v>2.8999187987931375E-2</v>
      </c>
      <c r="D56" s="261">
        <f>+D52/D$11</f>
        <v>5.0103966957258356E-2</v>
      </c>
      <c r="E56" s="259"/>
      <c r="F56" s="259"/>
      <c r="G56" s="259"/>
      <c r="H56" s="259"/>
      <c r="I56" s="259"/>
      <c r="J56" s="259"/>
      <c r="K56" s="259"/>
      <c r="L56" s="259"/>
      <c r="M56" s="259"/>
      <c r="N56" s="259"/>
      <c r="O56" s="259"/>
      <c r="P56" s="259"/>
    </row>
    <row r="57" spans="1:16" s="263" customFormat="1" ht="13">
      <c r="A57" s="260" t="str">
        <f>+A53</f>
        <v>CRC EBITDA - Capex</v>
      </c>
      <c r="B57" s="248"/>
      <c r="C57" s="257">
        <f>+C53/C$11</f>
        <v>4.0526553656911983E-2</v>
      </c>
      <c r="D57" s="257">
        <f>+D53/D$11</f>
        <v>-0.13475862147132647</v>
      </c>
      <c r="E57" s="259"/>
      <c r="F57" s="259"/>
      <c r="G57" s="262"/>
      <c r="H57" s="262"/>
      <c r="I57" s="262"/>
      <c r="J57" s="262"/>
      <c r="K57" s="262"/>
      <c r="L57" s="262"/>
      <c r="M57" s="262"/>
      <c r="N57" s="262"/>
      <c r="O57" s="262"/>
      <c r="P57" s="262"/>
    </row>
    <row r="59" spans="1:16" ht="16">
      <c r="A59" s="250" t="s">
        <v>669</v>
      </c>
      <c r="B59" s="255" t="s">
        <v>105</v>
      </c>
      <c r="C59" s="44"/>
      <c r="D59" s="44"/>
    </row>
    <row r="60" spans="1:16" ht="16">
      <c r="B60" s="249" t="s">
        <v>670</v>
      </c>
      <c r="C60" s="249" t="s">
        <v>671</v>
      </c>
      <c r="D60" s="249" t="s">
        <v>672</v>
      </c>
    </row>
    <row r="62" spans="1:16">
      <c r="A62" s="240" t="str">
        <f>+'Detailed Disclosures - USD'!A8</f>
        <v>Gross Revenue</v>
      </c>
      <c r="B62" s="251">
        <f>+'Detailed Disclosures - USD'!AM8</f>
        <v>93415.182746478953</v>
      </c>
      <c r="C62" s="251">
        <f>+'Detailed Disclosures - USD'!AN8</f>
        <v>208865.40865411703</v>
      </c>
      <c r="D62" s="251">
        <f>+'Detailed Disclosures - USD'!AO8</f>
        <v>361738.72564476181</v>
      </c>
    </row>
    <row r="63" spans="1:16">
      <c r="B63" s="251"/>
      <c r="C63" s="251"/>
      <c r="D63" s="251"/>
    </row>
    <row r="64" spans="1:16">
      <c r="A64" s="240" t="s">
        <v>673</v>
      </c>
      <c r="B64" s="251">
        <f>+'Detailed Disclosures - USD'!AM17</f>
        <v>69295.450158141088</v>
      </c>
      <c r="C64" s="251">
        <f>+'Detailed Disclosures - USD'!AN17</f>
        <v>152335.69525294134</v>
      </c>
      <c r="D64" s="251">
        <f>+'Detailed Disclosures - USD'!AO17</f>
        <v>279263.46024365618</v>
      </c>
      <c r="G64" s="256"/>
    </row>
    <row r="65" spans="1:7">
      <c r="G65" s="256"/>
    </row>
    <row r="66" spans="1:7">
      <c r="A66" s="240" t="s">
        <v>674</v>
      </c>
      <c r="B66" s="251">
        <f>+'Detailed Disclosures - USD'!AM39</f>
        <v>16396.602767294506</v>
      </c>
      <c r="C66" s="251">
        <f>+'Detailed Disclosures - USD'!AN39</f>
        <v>27170.855716618476</v>
      </c>
      <c r="D66" s="251">
        <f>+'Detailed Disclosures - USD'!AO39</f>
        <v>64125.255761920664</v>
      </c>
      <c r="G66" s="256"/>
    </row>
    <row r="68" spans="1:7" ht="14">
      <c r="A68" s="240" t="s">
        <v>665</v>
      </c>
      <c r="B68" s="254">
        <f>+B66-B69</f>
        <v>14816.682314368232</v>
      </c>
      <c r="C68" s="254">
        <f>+C66-C69</f>
        <v>42736.585585094028</v>
      </c>
      <c r="D68" s="254">
        <f>+D66-D69</f>
        <v>44411.261887538487</v>
      </c>
    </row>
    <row r="69" spans="1:7">
      <c r="A69" s="239" t="s">
        <v>666</v>
      </c>
      <c r="B69" s="251">
        <f>+'Detailed Disclosures - USD'!AM67</f>
        <v>1579.9204529262738</v>
      </c>
      <c r="C69" s="251">
        <f>+'Detailed Disclosures - USD'!AN67</f>
        <v>-15565.729868475548</v>
      </c>
      <c r="D69" s="251">
        <f>+'Detailed Disclosures - USD'!AO67</f>
        <v>19713.993874382177</v>
      </c>
    </row>
    <row r="70" spans="1:7">
      <c r="A70" s="237" t="s">
        <v>247</v>
      </c>
      <c r="B70" s="252">
        <f>+'Detailed Disclosures - USD'!AM62</f>
        <v>49.34565043479904</v>
      </c>
      <c r="C70" s="252">
        <f>+'Detailed Disclosures - USD'!AN62</f>
        <v>299.53905802268571</v>
      </c>
      <c r="D70" s="252">
        <f>+'Detailed Disclosures - USD'!AO62</f>
        <v>297.99468663675452</v>
      </c>
    </row>
    <row r="71" spans="1:7">
      <c r="A71" s="239" t="s">
        <v>28</v>
      </c>
      <c r="B71" s="251">
        <f>+B69-B70</f>
        <v>1530.5748024914747</v>
      </c>
      <c r="C71" s="251">
        <f>+C69-C70</f>
        <v>-15865.268926498233</v>
      </c>
      <c r="D71" s="251">
        <f>+D69-D70</f>
        <v>19415.999187745423</v>
      </c>
    </row>
    <row r="72" spans="1:7">
      <c r="A72" s="237"/>
      <c r="B72" s="251"/>
      <c r="C72" s="251"/>
      <c r="D72" s="251"/>
    </row>
    <row r="73" spans="1:7">
      <c r="A73" s="237" t="s">
        <v>31</v>
      </c>
      <c r="B73" s="252">
        <f>+'Historical - USD'!T120*1000</f>
        <v>2034.7208621357233</v>
      </c>
      <c r="C73" s="252">
        <f>+'Historical - USD'!U120*1000</f>
        <v>6066.4968319692834</v>
      </c>
      <c r="D73" s="252">
        <f>+'Historical - USD'!V120*1000</f>
        <v>8098.4135817659853</v>
      </c>
    </row>
    <row r="74" spans="1:7">
      <c r="A74" s="239" t="s">
        <v>668</v>
      </c>
      <c r="B74" s="251">
        <f>+B71-B73</f>
        <v>-504.14605964424868</v>
      </c>
      <c r="C74" s="251">
        <f>+C71-C73</f>
        <v>-21931.765758467518</v>
      </c>
      <c r="D74" s="251">
        <f>+D71-D73</f>
        <v>11317.585605979439</v>
      </c>
    </row>
    <row r="76" spans="1:7" ht="16">
      <c r="A76" s="250" t="s">
        <v>675</v>
      </c>
      <c r="B76" s="255" t="s">
        <v>676</v>
      </c>
      <c r="C76" s="44"/>
      <c r="D76" s="44"/>
    </row>
    <row r="77" spans="1:7" ht="16">
      <c r="B77" s="249" t="s">
        <v>677</v>
      </c>
      <c r="C77" s="249" t="s">
        <v>670</v>
      </c>
      <c r="D77" s="249" t="s">
        <v>671</v>
      </c>
    </row>
    <row r="78" spans="1:7">
      <c r="A78" s="266" t="s">
        <v>653</v>
      </c>
    </row>
    <row r="79" spans="1:7">
      <c r="A79" s="237" t="s">
        <v>678</v>
      </c>
      <c r="B79" s="251">
        <v>2759476</v>
      </c>
      <c r="C79" s="251">
        <v>3677988</v>
      </c>
      <c r="D79" s="251">
        <v>3492515</v>
      </c>
    </row>
    <row r="80" spans="1:7">
      <c r="A80" s="237" t="s">
        <v>679</v>
      </c>
      <c r="B80" s="251">
        <v>390014</v>
      </c>
      <c r="C80" s="251">
        <v>467505</v>
      </c>
      <c r="D80" s="251">
        <v>455160</v>
      </c>
    </row>
    <row r="81" spans="1:7">
      <c r="A81" s="237" t="s">
        <v>680</v>
      </c>
      <c r="B81" s="252">
        <v>37524</v>
      </c>
      <c r="C81" s="252">
        <v>84381</v>
      </c>
      <c r="D81" s="252">
        <v>110826</v>
      </c>
    </row>
    <row r="82" spans="1:7">
      <c r="A82" s="239" t="s">
        <v>249</v>
      </c>
      <c r="B82" s="251">
        <v>3187014</v>
      </c>
      <c r="C82" s="251">
        <v>4229874</v>
      </c>
      <c r="D82" s="251">
        <v>4058501</v>
      </c>
    </row>
    <row r="84" spans="1:7">
      <c r="A84" s="266" t="s">
        <v>413</v>
      </c>
    </row>
    <row r="85" spans="1:7">
      <c r="A85" s="237" t="s">
        <v>681</v>
      </c>
      <c r="B85" s="251">
        <v>637568</v>
      </c>
      <c r="C85" s="251">
        <v>845941</v>
      </c>
      <c r="D85" s="251">
        <v>827224</v>
      </c>
      <c r="G85" s="256"/>
    </row>
    <row r="86" spans="1:7">
      <c r="A86" s="237" t="s">
        <v>682</v>
      </c>
      <c r="B86" s="252">
        <v>395588</v>
      </c>
      <c r="C86" s="252">
        <v>539737</v>
      </c>
      <c r="D86" s="252">
        <v>592497</v>
      </c>
    </row>
    <row r="87" spans="1:7">
      <c r="A87" s="239" t="s">
        <v>683</v>
      </c>
      <c r="B87" s="251">
        <v>1033156</v>
      </c>
      <c r="C87" s="251">
        <v>1385678</v>
      </c>
      <c r="D87" s="251">
        <v>1419721</v>
      </c>
    </row>
    <row r="88" spans="1:7">
      <c r="A88" s="237" t="s">
        <v>684</v>
      </c>
      <c r="B88" s="251">
        <v>213228</v>
      </c>
      <c r="C88" s="251">
        <v>332504</v>
      </c>
      <c r="D88" s="251">
        <v>321653</v>
      </c>
    </row>
    <row r="89" spans="1:7">
      <c r="A89" s="237" t="s">
        <v>679</v>
      </c>
      <c r="B89" s="251">
        <v>390014</v>
      </c>
      <c r="C89" s="251">
        <v>467505</v>
      </c>
      <c r="D89" s="251">
        <v>477146</v>
      </c>
    </row>
    <row r="90" spans="1:7">
      <c r="A90" s="237" t="s">
        <v>680</v>
      </c>
      <c r="B90" s="252">
        <v>37524</v>
      </c>
      <c r="C90" s="252">
        <v>70921</v>
      </c>
      <c r="D90" s="252">
        <v>98160</v>
      </c>
    </row>
    <row r="91" spans="1:7">
      <c r="A91" s="239" t="s">
        <v>414</v>
      </c>
      <c r="B91" s="251">
        <v>1673922</v>
      </c>
      <c r="C91" s="251">
        <v>2256608</v>
      </c>
      <c r="D91" s="251">
        <v>2316680</v>
      </c>
    </row>
    <row r="93" spans="1:7">
      <c r="A93" s="266" t="s">
        <v>26</v>
      </c>
    </row>
    <row r="94" spans="1:7">
      <c r="A94" s="237" t="s">
        <v>681</v>
      </c>
      <c r="B94" s="251">
        <v>429050</v>
      </c>
      <c r="C94" s="251">
        <v>557657</v>
      </c>
      <c r="D94" s="251">
        <v>574175</v>
      </c>
      <c r="E94" s="256"/>
      <c r="F94" s="256"/>
    </row>
    <row r="95" spans="1:7">
      <c r="A95" s="237" t="s">
        <v>682</v>
      </c>
      <c r="B95" s="252">
        <v>131156</v>
      </c>
      <c r="C95" s="252">
        <v>172598</v>
      </c>
      <c r="D95" s="252">
        <v>152413</v>
      </c>
      <c r="F95" s="256"/>
    </row>
    <row r="96" spans="1:7">
      <c r="A96" s="239" t="s">
        <v>683</v>
      </c>
      <c r="B96" s="251">
        <v>560206</v>
      </c>
      <c r="C96" s="251">
        <v>730255</v>
      </c>
      <c r="D96" s="251">
        <v>726588</v>
      </c>
    </row>
    <row r="97" spans="1:12">
      <c r="A97" s="237" t="s">
        <v>684</v>
      </c>
      <c r="B97" s="251">
        <v>0</v>
      </c>
      <c r="C97" s="251">
        <v>0</v>
      </c>
      <c r="D97" s="251">
        <v>0</v>
      </c>
    </row>
    <row r="98" spans="1:12">
      <c r="A98" s="237" t="s">
        <v>679</v>
      </c>
      <c r="B98" s="251">
        <v>190806</v>
      </c>
      <c r="C98" s="251">
        <v>241516</v>
      </c>
      <c r="D98" s="251">
        <v>234484</v>
      </c>
    </row>
    <row r="99" spans="1:12">
      <c r="A99" s="237" t="s">
        <v>680</v>
      </c>
      <c r="B99" s="252">
        <v>19916</v>
      </c>
      <c r="C99" s="252">
        <v>44740</v>
      </c>
      <c r="D99" s="252">
        <v>62103</v>
      </c>
    </row>
    <row r="100" spans="1:12">
      <c r="A100" s="239" t="s">
        <v>685</v>
      </c>
      <c r="B100" s="251">
        <v>770928</v>
      </c>
      <c r="C100" s="251">
        <v>1016511</v>
      </c>
      <c r="D100" s="251">
        <v>1023175</v>
      </c>
    </row>
    <row r="102" spans="1:12" ht="14">
      <c r="A102" s="240" t="s">
        <v>665</v>
      </c>
      <c r="B102" s="254">
        <f>+B100-B103</f>
        <v>818360</v>
      </c>
      <c r="C102" s="254">
        <f>+C100-C103</f>
        <v>1014872</v>
      </c>
      <c r="D102" s="254">
        <f>+D100-D103</f>
        <v>1121890</v>
      </c>
    </row>
    <row r="103" spans="1:12">
      <c r="A103" s="239" t="s">
        <v>666</v>
      </c>
      <c r="B103" s="251">
        <v>-47432</v>
      </c>
      <c r="C103" s="251">
        <v>1639</v>
      </c>
      <c r="D103" s="251">
        <v>-98715</v>
      </c>
    </row>
    <row r="104" spans="1:12">
      <c r="A104" s="237" t="s">
        <v>247</v>
      </c>
      <c r="B104" s="252">
        <v>291633</v>
      </c>
      <c r="C104" s="252">
        <v>196167</v>
      </c>
      <c r="D104" s="252">
        <v>244856</v>
      </c>
    </row>
    <row r="105" spans="1:12">
      <c r="A105" s="239" t="s">
        <v>28</v>
      </c>
      <c r="B105" s="251">
        <v>-339065</v>
      </c>
      <c r="C105" s="251">
        <v>-194528</v>
      </c>
      <c r="D105" s="251">
        <v>-343571</v>
      </c>
    </row>
    <row r="106" spans="1:12">
      <c r="A106" s="237"/>
      <c r="B106" s="251"/>
      <c r="C106" s="251"/>
      <c r="D106" s="251"/>
    </row>
    <row r="107" spans="1:12">
      <c r="A107" s="237" t="s">
        <v>31</v>
      </c>
      <c r="B107" s="252">
        <v>139995</v>
      </c>
      <c r="C107" s="252">
        <v>222812</v>
      </c>
      <c r="D107" s="252">
        <v>203347</v>
      </c>
    </row>
    <row r="108" spans="1:12">
      <c r="A108" s="239" t="s">
        <v>668</v>
      </c>
      <c r="B108" s="251">
        <f>+B105-B107</f>
        <v>-479060</v>
      </c>
      <c r="C108" s="251">
        <f>+C105-C107</f>
        <v>-417340</v>
      </c>
      <c r="D108" s="251">
        <f>+D105-D107</f>
        <v>-546918</v>
      </c>
    </row>
    <row r="109" spans="1:12" ht="13">
      <c r="A109" s="250" t="s">
        <v>686</v>
      </c>
    </row>
    <row r="111" spans="1:12" ht="13">
      <c r="A111" s="245" t="s">
        <v>687</v>
      </c>
    </row>
    <row r="112" spans="1:12" ht="28" customHeight="1">
      <c r="A112" s="240" t="s">
        <v>688</v>
      </c>
      <c r="B112" s="649" t="s">
        <v>689</v>
      </c>
      <c r="C112" s="650"/>
      <c r="D112" s="650"/>
      <c r="E112" s="650"/>
      <c r="F112" s="650"/>
      <c r="G112" s="650"/>
      <c r="H112" s="650"/>
      <c r="I112" s="650"/>
      <c r="J112" s="650"/>
      <c r="K112" s="650"/>
      <c r="L112" s="650"/>
    </row>
    <row r="113" spans="1:21" ht="13">
      <c r="A113" s="240" t="s">
        <v>690</v>
      </c>
      <c r="B113" s="649" t="s">
        <v>691</v>
      </c>
      <c r="C113" s="650"/>
      <c r="D113" s="650"/>
      <c r="E113" s="650"/>
      <c r="F113" s="650"/>
      <c r="G113" s="650"/>
      <c r="H113" s="650"/>
      <c r="I113" s="650"/>
      <c r="J113" s="650"/>
      <c r="K113" s="650"/>
      <c r="L113" s="650"/>
    </row>
    <row r="114" spans="1:21" ht="13">
      <c r="A114" s="240" t="s">
        <v>550</v>
      </c>
      <c r="B114" s="649" t="s">
        <v>692</v>
      </c>
      <c r="C114" s="650"/>
      <c r="D114" s="650"/>
      <c r="E114" s="650"/>
      <c r="F114" s="650"/>
      <c r="G114" s="650"/>
      <c r="H114" s="650"/>
      <c r="I114" s="650"/>
      <c r="J114" s="650"/>
      <c r="K114" s="650"/>
      <c r="L114" s="650"/>
    </row>
    <row r="115" spans="1:21" ht="13">
      <c r="A115" s="240" t="s">
        <v>551</v>
      </c>
      <c r="B115" s="649" t="s">
        <v>693</v>
      </c>
      <c r="C115" s="650"/>
      <c r="D115" s="650"/>
      <c r="E115" s="650"/>
      <c r="F115" s="650"/>
      <c r="G115" s="650"/>
      <c r="H115" s="650"/>
      <c r="I115" s="650"/>
      <c r="J115" s="650"/>
      <c r="K115" s="650"/>
      <c r="L115" s="650"/>
    </row>
    <row r="116" spans="1:21" ht="13">
      <c r="A116" s="240" t="s">
        <v>694</v>
      </c>
      <c r="B116" s="649" t="s">
        <v>695</v>
      </c>
      <c r="C116" s="650"/>
      <c r="D116" s="650"/>
      <c r="E116" s="650"/>
      <c r="F116" s="650"/>
      <c r="G116" s="650"/>
      <c r="H116" s="650"/>
      <c r="I116" s="650"/>
      <c r="J116" s="650"/>
      <c r="K116" s="650"/>
      <c r="L116" s="650"/>
    </row>
    <row r="117" spans="1:21" ht="13">
      <c r="A117" s="240" t="s">
        <v>696</v>
      </c>
      <c r="B117" s="649" t="s">
        <v>697</v>
      </c>
      <c r="C117" s="650"/>
      <c r="D117" s="650"/>
      <c r="E117" s="650"/>
      <c r="F117" s="650"/>
      <c r="G117" s="650"/>
      <c r="H117" s="650"/>
      <c r="I117" s="650"/>
      <c r="J117" s="650"/>
      <c r="K117" s="650"/>
      <c r="L117" s="650"/>
    </row>
    <row r="118" spans="1:21" ht="13">
      <c r="A118" s="240" t="s">
        <v>698</v>
      </c>
      <c r="B118" s="649" t="s">
        <v>699</v>
      </c>
      <c r="C118" s="650"/>
      <c r="D118" s="650"/>
      <c r="E118" s="650"/>
      <c r="F118" s="650"/>
      <c r="G118" s="650"/>
      <c r="H118" s="650"/>
      <c r="I118" s="650"/>
      <c r="J118" s="650"/>
      <c r="K118" s="650"/>
      <c r="L118" s="650"/>
    </row>
    <row r="119" spans="1:21" ht="13">
      <c r="A119" s="240" t="s">
        <v>553</v>
      </c>
      <c r="B119" s="649" t="s">
        <v>700</v>
      </c>
      <c r="C119" s="650"/>
      <c r="D119" s="650"/>
      <c r="E119" s="650"/>
      <c r="F119" s="650"/>
      <c r="G119" s="650"/>
      <c r="H119" s="650"/>
      <c r="I119" s="650"/>
      <c r="J119" s="650"/>
      <c r="K119" s="650"/>
      <c r="L119" s="650"/>
    </row>
    <row r="120" spans="1:21" ht="13">
      <c r="A120" s="240" t="s">
        <v>701</v>
      </c>
      <c r="B120" s="649" t="s">
        <v>702</v>
      </c>
      <c r="C120" s="650"/>
      <c r="D120" s="650"/>
      <c r="E120" s="650"/>
      <c r="F120" s="650"/>
      <c r="G120" s="650"/>
      <c r="H120" s="650"/>
      <c r="I120" s="650"/>
      <c r="J120" s="650"/>
      <c r="K120" s="650"/>
      <c r="L120" s="650"/>
    </row>
    <row r="121" spans="1:21" ht="28" customHeight="1">
      <c r="A121" s="240" t="s">
        <v>703</v>
      </c>
      <c r="B121" s="649" t="s">
        <v>704</v>
      </c>
      <c r="C121" s="650"/>
      <c r="D121" s="650"/>
      <c r="E121" s="650"/>
      <c r="F121" s="650"/>
      <c r="G121" s="650"/>
      <c r="H121" s="650"/>
      <c r="I121" s="650"/>
      <c r="J121" s="650"/>
      <c r="K121" s="650"/>
      <c r="L121" s="650"/>
    </row>
    <row r="122" spans="1:21" ht="13">
      <c r="A122" s="240" t="s">
        <v>556</v>
      </c>
      <c r="B122" s="649" t="s">
        <v>705</v>
      </c>
      <c r="C122" s="650"/>
      <c r="D122" s="650"/>
      <c r="E122" s="650"/>
      <c r="F122" s="650"/>
      <c r="G122" s="650"/>
      <c r="H122" s="650"/>
      <c r="I122" s="650"/>
      <c r="J122" s="650"/>
      <c r="K122" s="650"/>
      <c r="L122" s="650"/>
    </row>
    <row r="123" spans="1:21" ht="13">
      <c r="A123" s="240" t="s">
        <v>93</v>
      </c>
      <c r="B123" s="649" t="s">
        <v>706</v>
      </c>
      <c r="C123" s="650"/>
      <c r="D123" s="650"/>
      <c r="E123" s="650"/>
      <c r="F123" s="650"/>
      <c r="G123" s="650"/>
      <c r="H123" s="650"/>
      <c r="I123" s="650"/>
      <c r="J123" s="650"/>
      <c r="K123" s="650"/>
      <c r="L123" s="650"/>
    </row>
    <row r="124" spans="1:21" ht="25.5" customHeight="1">
      <c r="A124" s="240" t="s">
        <v>707</v>
      </c>
      <c r="B124" s="649" t="s">
        <v>708</v>
      </c>
      <c r="C124" s="650"/>
      <c r="D124" s="650"/>
      <c r="E124" s="650"/>
      <c r="F124" s="650"/>
      <c r="G124" s="650"/>
      <c r="H124" s="650"/>
      <c r="I124" s="650"/>
      <c r="J124" s="650"/>
      <c r="K124" s="650"/>
      <c r="L124" s="650"/>
      <c r="U124" s="280"/>
    </row>
    <row r="125" spans="1:21">
      <c r="A125" s="240" t="s">
        <v>709</v>
      </c>
      <c r="B125" s="240" t="s">
        <v>710</v>
      </c>
      <c r="U125" s="280"/>
    </row>
    <row r="126" spans="1:21">
      <c r="U126" s="280"/>
    </row>
    <row r="127" spans="1:21" ht="13">
      <c r="A127" s="245" t="s">
        <v>711</v>
      </c>
      <c r="U127" s="280"/>
    </row>
    <row r="128" spans="1:21" ht="42.65" customHeight="1">
      <c r="A128" s="240" t="s">
        <v>653</v>
      </c>
      <c r="B128" s="649" t="s">
        <v>712</v>
      </c>
      <c r="C128" s="650"/>
      <c r="D128" s="650"/>
      <c r="E128" s="650"/>
      <c r="F128" s="650"/>
      <c r="G128" s="650"/>
      <c r="H128" s="650"/>
      <c r="I128" s="650"/>
      <c r="J128" s="650"/>
      <c r="K128" s="650"/>
      <c r="L128" s="650"/>
      <c r="U128" s="280"/>
    </row>
    <row r="129" spans="1:21" ht="42" customHeight="1">
      <c r="A129" s="240" t="s">
        <v>713</v>
      </c>
      <c r="B129" s="649" t="s">
        <v>714</v>
      </c>
      <c r="C129" s="650"/>
      <c r="D129" s="650"/>
      <c r="E129" s="650"/>
      <c r="F129" s="650"/>
      <c r="G129" s="650"/>
      <c r="H129" s="650"/>
      <c r="I129" s="650"/>
      <c r="J129" s="650"/>
      <c r="K129" s="650"/>
      <c r="L129" s="650"/>
      <c r="U129" s="281"/>
    </row>
    <row r="130" spans="1:21" ht="87.65" customHeight="1">
      <c r="A130" s="240" t="s">
        <v>715</v>
      </c>
      <c r="B130" s="649" t="s">
        <v>716</v>
      </c>
      <c r="C130" s="650"/>
      <c r="D130" s="650"/>
      <c r="E130" s="650"/>
      <c r="F130" s="650"/>
      <c r="G130" s="650"/>
      <c r="H130" s="650"/>
      <c r="I130" s="650"/>
      <c r="J130" s="650"/>
      <c r="K130" s="650"/>
      <c r="L130" s="650"/>
    </row>
    <row r="131" spans="1:21" s="248" customFormat="1" ht="30" customHeight="1">
      <c r="A131" s="247" t="s">
        <v>717</v>
      </c>
      <c r="B131" s="651" t="s">
        <v>718</v>
      </c>
      <c r="C131" s="652"/>
      <c r="D131" s="652"/>
      <c r="E131" s="652"/>
      <c r="F131" s="652"/>
      <c r="G131" s="652"/>
      <c r="H131" s="652"/>
      <c r="I131" s="652"/>
      <c r="J131" s="652"/>
      <c r="K131" s="652"/>
      <c r="L131" s="652"/>
      <c r="U131" s="281"/>
    </row>
    <row r="132" spans="1:21" s="248" customFormat="1" ht="61" customHeight="1">
      <c r="A132" s="247" t="s">
        <v>719</v>
      </c>
      <c r="B132" s="651" t="s">
        <v>720</v>
      </c>
      <c r="C132" s="652"/>
      <c r="D132" s="652"/>
      <c r="E132" s="652"/>
      <c r="F132" s="652"/>
      <c r="G132" s="652"/>
      <c r="H132" s="652"/>
      <c r="I132" s="652"/>
      <c r="J132" s="652"/>
      <c r="K132" s="652"/>
      <c r="L132" s="652"/>
    </row>
    <row r="133" spans="1:21" ht="30.65" customHeight="1">
      <c r="A133" s="240" t="s">
        <v>721</v>
      </c>
      <c r="B133" s="649" t="s">
        <v>722</v>
      </c>
      <c r="C133" s="650"/>
      <c r="D133" s="650"/>
      <c r="E133" s="650"/>
      <c r="F133" s="650"/>
      <c r="G133" s="650"/>
      <c r="H133" s="650"/>
      <c r="I133" s="650"/>
      <c r="J133" s="650"/>
      <c r="K133" s="650"/>
      <c r="L133" s="650"/>
    </row>
    <row r="134" spans="1:21" ht="42" customHeight="1">
      <c r="A134" s="240" t="s">
        <v>723</v>
      </c>
      <c r="B134" s="649" t="s">
        <v>724</v>
      </c>
      <c r="C134" s="650"/>
      <c r="D134" s="650"/>
      <c r="E134" s="650"/>
      <c r="F134" s="650"/>
      <c r="G134" s="650"/>
      <c r="H134" s="650"/>
      <c r="I134" s="650"/>
      <c r="J134" s="650"/>
      <c r="K134" s="650"/>
      <c r="L134" s="650"/>
    </row>
    <row r="135" spans="1:21" ht="55" customHeight="1">
      <c r="A135" s="240" t="s">
        <v>725</v>
      </c>
      <c r="B135" s="649" t="s">
        <v>726</v>
      </c>
      <c r="C135" s="650"/>
      <c r="D135" s="650"/>
      <c r="E135" s="650"/>
      <c r="F135" s="650"/>
      <c r="G135" s="650"/>
      <c r="H135" s="650"/>
      <c r="I135" s="650"/>
      <c r="J135" s="650"/>
      <c r="K135" s="650"/>
      <c r="L135" s="650"/>
    </row>
    <row r="136" spans="1:21" ht="27.65" customHeight="1">
      <c r="A136" s="246" t="s">
        <v>727</v>
      </c>
      <c r="B136" s="649" t="s">
        <v>728</v>
      </c>
      <c r="C136" s="650"/>
      <c r="D136" s="650"/>
      <c r="E136" s="650"/>
      <c r="F136" s="650"/>
      <c r="G136" s="650"/>
      <c r="H136" s="650"/>
      <c r="I136" s="650"/>
      <c r="J136" s="650"/>
      <c r="K136" s="650"/>
      <c r="L136" s="650"/>
    </row>
    <row r="137" spans="1:21" ht="13">
      <c r="A137" s="240" t="s">
        <v>729</v>
      </c>
      <c r="B137" s="649" t="s">
        <v>730</v>
      </c>
      <c r="C137" s="650"/>
      <c r="D137" s="650"/>
      <c r="E137" s="650"/>
      <c r="F137" s="650"/>
      <c r="G137" s="650"/>
      <c r="H137" s="650"/>
      <c r="I137" s="650"/>
      <c r="J137" s="650"/>
      <c r="K137" s="650"/>
      <c r="L137" s="650"/>
    </row>
    <row r="138" spans="1:21" ht="13">
      <c r="A138" s="240" t="s">
        <v>731</v>
      </c>
      <c r="B138" s="649" t="s">
        <v>732</v>
      </c>
      <c r="C138" s="650"/>
      <c r="D138" s="650"/>
      <c r="E138" s="650"/>
      <c r="F138" s="650"/>
      <c r="G138" s="650"/>
      <c r="H138" s="650"/>
      <c r="I138" s="650"/>
      <c r="J138" s="650"/>
      <c r="K138" s="650"/>
      <c r="L138" s="650"/>
    </row>
    <row r="139" spans="1:21">
      <c r="A139" s="240" t="s">
        <v>709</v>
      </c>
      <c r="B139" s="240" t="s">
        <v>733</v>
      </c>
    </row>
  </sheetData>
  <mergeCells count="24">
    <mergeCell ref="B138:L138"/>
    <mergeCell ref="B124:L124"/>
    <mergeCell ref="B128:L128"/>
    <mergeCell ref="B129:L129"/>
    <mergeCell ref="B130:L130"/>
    <mergeCell ref="B131:L131"/>
    <mergeCell ref="B132:L132"/>
    <mergeCell ref="B133:L133"/>
    <mergeCell ref="B134:L134"/>
    <mergeCell ref="B135:L135"/>
    <mergeCell ref="B136:L136"/>
    <mergeCell ref="B137:L137"/>
    <mergeCell ref="B123:L123"/>
    <mergeCell ref="B112:L112"/>
    <mergeCell ref="B113:L113"/>
    <mergeCell ref="B114:L114"/>
    <mergeCell ref="B115:L115"/>
    <mergeCell ref="B116:L116"/>
    <mergeCell ref="B117:L117"/>
    <mergeCell ref="B118:L118"/>
    <mergeCell ref="B119:L119"/>
    <mergeCell ref="B120:L120"/>
    <mergeCell ref="B121:L121"/>
    <mergeCell ref="B122:L122"/>
  </mergeCells>
  <pageMargins left="0.3" right="0.3" top="0.3" bottom="0.3" header="0.3" footer="0.3"/>
  <pageSetup scale="50" fitToHeight="0" orientation="portrait" r:id="rId1"/>
  <headerFooter>
    <oddFooter>Page &amp;P of &amp;N</oddFooter>
  </headerFooter>
  <rowBreaks count="1" manualBreakCount="1">
    <brk id="108" max="11" man="1"/>
  </rowBreaks>
  <colBreaks count="1" manualBreakCount="1">
    <brk id="12" max="104857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38A86-C198-43BE-8DA1-03D46702CA62}">
  <sheetPr>
    <pageSetUpPr fitToPage="1"/>
  </sheetPr>
  <dimension ref="A1:Z109"/>
  <sheetViews>
    <sheetView view="pageBreakPreview" zoomScale="60" zoomScaleNormal="70" workbookViewId="0">
      <selection activeCell="A17" sqref="A17"/>
    </sheetView>
  </sheetViews>
  <sheetFormatPr defaultColWidth="8.7265625" defaultRowHeight="12.5"/>
  <cols>
    <col min="1" max="1" width="49.1796875" style="240" customWidth="1"/>
    <col min="2" max="2" width="10.1796875" style="240" bestFit="1" customWidth="1"/>
    <col min="3" max="4" width="12.54296875" style="240" customWidth="1"/>
    <col min="5" max="5" width="2.7265625" style="240" customWidth="1"/>
    <col min="6" max="9" width="8.81640625" style="240" bestFit="1" customWidth="1"/>
    <col min="10" max="11" width="8.7265625" style="240"/>
    <col min="12" max="12" width="46.81640625" style="240" customWidth="1"/>
    <col min="13" max="16384" width="8.7265625" style="240"/>
  </cols>
  <sheetData>
    <row r="1" spans="1:26" ht="13">
      <c r="A1" s="240" t="s">
        <v>0</v>
      </c>
      <c r="D1" s="241"/>
      <c r="I1" s="241"/>
      <c r="K1" s="242"/>
      <c r="L1" s="259">
        <f ca="1">TODAY()</f>
        <v>45797</v>
      </c>
      <c r="M1" s="242"/>
      <c r="N1" s="242"/>
      <c r="O1" s="242"/>
      <c r="P1" s="242"/>
    </row>
    <row r="2" spans="1:26" ht="13">
      <c r="A2" s="243" t="s">
        <v>645</v>
      </c>
      <c r="B2" s="244"/>
      <c r="C2" s="244"/>
      <c r="D2" s="244"/>
      <c r="E2" s="244"/>
      <c r="F2" s="244"/>
      <c r="G2" s="244"/>
      <c r="H2" s="244"/>
      <c r="I2" s="244"/>
      <c r="J2" s="244"/>
      <c r="K2" s="244"/>
      <c r="L2" s="244"/>
      <c r="M2" s="244"/>
      <c r="N2" s="244"/>
      <c r="O2" s="244"/>
      <c r="P2" s="244"/>
      <c r="Q2" s="244"/>
      <c r="R2" s="244"/>
      <c r="S2" s="244"/>
      <c r="T2" s="244"/>
      <c r="U2" s="244"/>
      <c r="V2" s="244"/>
      <c r="W2" s="244"/>
      <c r="X2" s="244"/>
      <c r="Y2" s="244"/>
      <c r="Z2" s="244"/>
    </row>
    <row r="3" spans="1:26" ht="13">
      <c r="A3" s="248" t="s">
        <v>192</v>
      </c>
      <c r="B3" s="241"/>
      <c r="C3" s="241"/>
      <c r="D3" s="241"/>
      <c r="E3" s="241"/>
      <c r="F3" s="241"/>
      <c r="G3" s="241"/>
      <c r="H3" s="241"/>
      <c r="I3" s="241"/>
      <c r="J3" s="241"/>
      <c r="K3" s="241"/>
      <c r="L3" s="241"/>
      <c r="M3" s="241"/>
      <c r="N3" s="241"/>
      <c r="O3" s="241"/>
      <c r="P3" s="241"/>
    </row>
    <row r="4" spans="1:26" ht="13">
      <c r="A4" s="248"/>
      <c r="B4" s="241"/>
      <c r="C4" s="241"/>
      <c r="D4" s="241"/>
      <c r="E4" s="241"/>
      <c r="F4" s="241"/>
      <c r="G4" s="241"/>
      <c r="H4" s="241"/>
      <c r="I4" s="241"/>
      <c r="J4" s="241"/>
      <c r="K4" s="241"/>
      <c r="L4" s="241"/>
      <c r="M4" s="241"/>
      <c r="N4" s="241"/>
      <c r="O4" s="241"/>
      <c r="P4" s="241"/>
    </row>
    <row r="5" spans="1:26" ht="16">
      <c r="A5" s="250" t="s">
        <v>646</v>
      </c>
      <c r="C5" s="249" t="s">
        <v>529</v>
      </c>
      <c r="D5" s="249" t="s">
        <v>647</v>
      </c>
      <c r="E5" s="249"/>
      <c r="F5" s="268" t="s">
        <v>648</v>
      </c>
      <c r="G5" s="44"/>
      <c r="H5" s="44"/>
      <c r="I5" s="43"/>
      <c r="J5" s="44"/>
      <c r="K5" s="44"/>
      <c r="L5" s="43"/>
      <c r="M5" s="241"/>
      <c r="N5" s="241"/>
      <c r="O5" s="241"/>
      <c r="P5" s="241"/>
    </row>
    <row r="6" spans="1:26">
      <c r="C6" s="241"/>
      <c r="D6" s="241"/>
      <c r="E6" s="241"/>
      <c r="F6" s="241"/>
      <c r="G6" s="241"/>
      <c r="H6" s="241"/>
      <c r="I6" s="241"/>
      <c r="J6" s="241"/>
      <c r="K6" s="241"/>
      <c r="L6" s="241"/>
      <c r="M6" s="241"/>
      <c r="N6" s="241"/>
      <c r="O6" s="241"/>
      <c r="P6" s="241"/>
    </row>
    <row r="7" spans="1:26" ht="13">
      <c r="A7" s="275" t="s">
        <v>747</v>
      </c>
      <c r="C7" s="241"/>
      <c r="D7" s="241"/>
      <c r="E7" s="241"/>
      <c r="F7" s="241"/>
      <c r="G7" s="241"/>
      <c r="H7" s="241"/>
      <c r="I7" s="241"/>
      <c r="J7" s="241"/>
      <c r="K7" s="241"/>
      <c r="L7" s="241"/>
      <c r="M7" s="241"/>
      <c r="N7" s="241"/>
      <c r="O7" s="241"/>
      <c r="P7" s="241"/>
    </row>
    <row r="8" spans="1:26" customFormat="1" ht="14.5">
      <c r="A8" s="237" t="s">
        <v>748</v>
      </c>
      <c r="B8" s="251"/>
      <c r="C8" s="251">
        <f>+D34</f>
        <v>279263.46024365618</v>
      </c>
      <c r="D8" s="251">
        <f>+'FTCH margin comp 2'!D7</f>
        <v>2517033.5345000001</v>
      </c>
      <c r="F8" s="271" t="str">
        <f>+'FTCH margin comp 2'!F7</f>
        <v>FTCH Fulfilment GMV included in full</v>
      </c>
    </row>
    <row r="9" spans="1:26" customFormat="1" ht="14.5">
      <c r="A9" s="237"/>
      <c r="B9" s="251"/>
      <c r="C9" s="251"/>
      <c r="D9" s="251"/>
      <c r="F9" s="115"/>
    </row>
    <row r="10" spans="1:26" customFormat="1" ht="14.5">
      <c r="A10" s="237" t="str">
        <f>+A36</f>
        <v>Gross Profit / Delivered Margin</v>
      </c>
      <c r="B10" s="251"/>
      <c r="C10" s="251">
        <f>+D36</f>
        <v>64125.255761920664</v>
      </c>
      <c r="D10" s="251"/>
    </row>
    <row r="11" spans="1:26" s="29" customFormat="1" ht="14.5">
      <c r="A11" s="238" t="s">
        <v>664</v>
      </c>
      <c r="B11" s="271"/>
      <c r="C11" s="270">
        <f>+C10/C8</f>
        <v>0.22962279313581394</v>
      </c>
      <c r="D11" s="272"/>
    </row>
    <row r="12" spans="1:26" customFormat="1" ht="14.5">
      <c r="A12" s="237"/>
      <c r="B12" s="251"/>
      <c r="C12" s="251"/>
      <c r="D12" s="251"/>
    </row>
    <row r="13" spans="1:26" customFormat="1" ht="14.5">
      <c r="A13" s="237" t="s">
        <v>749</v>
      </c>
      <c r="B13" s="251"/>
      <c r="C13" s="251"/>
      <c r="D13" s="251">
        <f>+D55</f>
        <v>827224</v>
      </c>
      <c r="F13" s="29" t="s">
        <v>750</v>
      </c>
    </row>
    <row r="14" spans="1:26" customFormat="1" ht="15">
      <c r="A14" s="237" t="s">
        <v>751</v>
      </c>
      <c r="B14" s="251"/>
      <c r="C14" s="251"/>
      <c r="D14" s="276">
        <v>-47873.058187499999</v>
      </c>
      <c r="F14" s="29" t="s">
        <v>752</v>
      </c>
    </row>
    <row r="15" spans="1:26" customFormat="1" ht="14.5">
      <c r="A15" s="239" t="s">
        <v>753</v>
      </c>
      <c r="B15" s="251"/>
      <c r="C15" s="251"/>
      <c r="D15" s="251">
        <f>+D14+D13</f>
        <v>779350.94181250001</v>
      </c>
      <c r="F15" s="29" t="s">
        <v>754</v>
      </c>
    </row>
    <row r="16" spans="1:26" customFormat="1" ht="14.5">
      <c r="A16" s="260" t="s">
        <v>664</v>
      </c>
      <c r="B16" s="271"/>
      <c r="C16" s="257"/>
      <c r="D16" s="270">
        <f>+D15/D8</f>
        <v>0.30963073440629202</v>
      </c>
    </row>
    <row r="17" spans="1:6" customFormat="1" ht="14.5"/>
    <row r="18" spans="1:6" customFormat="1" ht="14.5"/>
    <row r="19" spans="1:6" customFormat="1" ht="14.5">
      <c r="A19" s="275" t="s">
        <v>755</v>
      </c>
      <c r="B19" s="240"/>
      <c r="C19" s="241"/>
      <c r="D19" s="241"/>
    </row>
    <row r="20" spans="1:6" customFormat="1" ht="14.5">
      <c r="A20" s="237" t="s">
        <v>756</v>
      </c>
      <c r="B20" s="251"/>
      <c r="C20" s="251">
        <f>+D34</f>
        <v>279263.46024365618</v>
      </c>
      <c r="D20" s="251">
        <f>+'FTCH margin comp 1'!D7</f>
        <v>2900018</v>
      </c>
      <c r="F20" s="180" t="str">
        <f>+F8</f>
        <v>FTCH Fulfilment GMV included in full</v>
      </c>
    </row>
    <row r="21" spans="1:6" customFormat="1" ht="14.5">
      <c r="A21" s="237"/>
      <c r="B21" s="251"/>
      <c r="C21" s="251"/>
      <c r="D21" s="251"/>
    </row>
    <row r="22" spans="1:6" customFormat="1" ht="14.5">
      <c r="A22" s="237" t="str">
        <f>+A10</f>
        <v>Gross Profit / Delivered Margin</v>
      </c>
      <c r="B22" s="251"/>
      <c r="C22" s="251">
        <f>+D36</f>
        <v>64125.255761920664</v>
      </c>
      <c r="D22" s="251"/>
    </row>
    <row r="23" spans="1:6" customFormat="1" ht="14.5">
      <c r="A23" s="238" t="s">
        <v>664</v>
      </c>
      <c r="B23" s="271"/>
      <c r="C23" s="270">
        <f>+C22/C20</f>
        <v>0.22962279313581394</v>
      </c>
      <c r="D23" s="272"/>
    </row>
    <row r="24" spans="1:6" customFormat="1" ht="14.5">
      <c r="A24" s="237"/>
      <c r="B24" s="251"/>
      <c r="C24" s="251"/>
      <c r="D24" s="251"/>
    </row>
    <row r="25" spans="1:6" customFormat="1" ht="14.5">
      <c r="A25" s="237" t="s">
        <v>749</v>
      </c>
      <c r="B25" s="251"/>
      <c r="C25" s="251"/>
      <c r="D25" s="251">
        <f>+D13</f>
        <v>827224</v>
      </c>
      <c r="F25" s="29" t="s">
        <v>757</v>
      </c>
    </row>
    <row r="26" spans="1:6" customFormat="1" ht="14.5">
      <c r="A26" s="238" t="s">
        <v>664</v>
      </c>
      <c r="B26" s="271"/>
      <c r="C26" s="257"/>
      <c r="D26" s="270">
        <f>+D25/D20</f>
        <v>0.28524788466830203</v>
      </c>
    </row>
    <row r="27" spans="1:6" customFormat="1" ht="14.5"/>
    <row r="29" spans="1:6" ht="16">
      <c r="A29" s="250" t="s">
        <v>669</v>
      </c>
      <c r="B29" s="255" t="s">
        <v>105</v>
      </c>
      <c r="C29" s="44"/>
      <c r="D29" s="44"/>
    </row>
    <row r="30" spans="1:6" ht="16">
      <c r="B30" s="249" t="s">
        <v>670</v>
      </c>
      <c r="C30" s="249" t="s">
        <v>671</v>
      </c>
      <c r="D30" s="249" t="s">
        <v>672</v>
      </c>
    </row>
    <row r="32" spans="1:6">
      <c r="A32" s="240" t="str">
        <f>+'Detailed Disclosures - USD'!A8</f>
        <v>Gross Revenue</v>
      </c>
      <c r="B32" s="251">
        <f>+'Detailed Disclosures - USD'!AM8</f>
        <v>93415.182746478953</v>
      </c>
      <c r="C32" s="251">
        <f>+'Detailed Disclosures - USD'!AN8</f>
        <v>208865.40865411703</v>
      </c>
      <c r="D32" s="251">
        <f>+'Detailed Disclosures - USD'!AO8</f>
        <v>361738.72564476181</v>
      </c>
    </row>
    <row r="33" spans="1:4">
      <c r="B33" s="251"/>
      <c r="C33" s="251"/>
      <c r="D33" s="251"/>
    </row>
    <row r="34" spans="1:4">
      <c r="A34" s="240" t="s">
        <v>673</v>
      </c>
      <c r="B34" s="251">
        <f>+'Detailed Disclosures - USD'!AM17</f>
        <v>69295.450158141088</v>
      </c>
      <c r="C34" s="251">
        <f>+'Detailed Disclosures - USD'!AN17</f>
        <v>152335.69525294134</v>
      </c>
      <c r="D34" s="251">
        <f>+'Detailed Disclosures - USD'!AO17</f>
        <v>279263.46024365618</v>
      </c>
    </row>
    <row r="35" spans="1:4">
      <c r="D35" s="256"/>
    </row>
    <row r="36" spans="1:4">
      <c r="A36" s="240" t="s">
        <v>674</v>
      </c>
      <c r="B36" s="251">
        <f>+'Detailed Disclosures - USD'!AM39</f>
        <v>16396.602767294506</v>
      </c>
      <c r="C36" s="251">
        <f>+'Detailed Disclosures - USD'!AN39</f>
        <v>27170.855716618476</v>
      </c>
      <c r="D36" s="251">
        <f>+'Detailed Disclosures - USD'!AO39</f>
        <v>64125.255761920664</v>
      </c>
    </row>
    <row r="38" spans="1:4" ht="14">
      <c r="A38" s="240" t="s">
        <v>665</v>
      </c>
      <c r="B38" s="254">
        <f>+B36-B39</f>
        <v>14816.682314368232</v>
      </c>
      <c r="C38" s="254">
        <f>+C36-C39</f>
        <v>42736.585585094028</v>
      </c>
      <c r="D38" s="254">
        <f>+D36-D39</f>
        <v>44411.261887538487</v>
      </c>
    </row>
    <row r="39" spans="1:4">
      <c r="A39" s="239" t="s">
        <v>666</v>
      </c>
      <c r="B39" s="251">
        <f>+'Detailed Disclosures - USD'!AM67</f>
        <v>1579.9204529262738</v>
      </c>
      <c r="C39" s="251">
        <f>+'Detailed Disclosures - USD'!AN67</f>
        <v>-15565.729868475548</v>
      </c>
      <c r="D39" s="251">
        <f>+'Detailed Disclosures - USD'!AO67</f>
        <v>19713.993874382177</v>
      </c>
    </row>
    <row r="40" spans="1:4">
      <c r="A40" s="237" t="s">
        <v>247</v>
      </c>
      <c r="B40" s="252">
        <f>+'Detailed Disclosures - USD'!AM62</f>
        <v>49.34565043479904</v>
      </c>
      <c r="C40" s="252">
        <f>+'Detailed Disclosures - USD'!AN62</f>
        <v>299.53905802268571</v>
      </c>
      <c r="D40" s="252">
        <f>+'Detailed Disclosures - USD'!AO62</f>
        <v>297.99468663675452</v>
      </c>
    </row>
    <row r="41" spans="1:4">
      <c r="A41" s="239" t="s">
        <v>28</v>
      </c>
      <c r="B41" s="251">
        <f>+B39-B40</f>
        <v>1530.5748024914747</v>
      </c>
      <c r="C41" s="251">
        <f>+C39-C40</f>
        <v>-15865.268926498233</v>
      </c>
      <c r="D41" s="251">
        <f>+D39-D40</f>
        <v>19415.999187745423</v>
      </c>
    </row>
    <row r="42" spans="1:4">
      <c r="A42" s="237"/>
      <c r="B42" s="251"/>
      <c r="C42" s="251"/>
      <c r="D42" s="251"/>
    </row>
    <row r="43" spans="1:4">
      <c r="A43" s="237" t="s">
        <v>31</v>
      </c>
      <c r="B43" s="252">
        <f>+'Historical - USD'!T120*1000</f>
        <v>2034.7208621357233</v>
      </c>
      <c r="C43" s="252">
        <f>+'Historical - USD'!U120*1000</f>
        <v>6066.4968319692834</v>
      </c>
      <c r="D43" s="252">
        <f>+'Historical - USD'!V120*1000</f>
        <v>8098.4135817659853</v>
      </c>
    </row>
    <row r="44" spans="1:4">
      <c r="A44" s="239" t="s">
        <v>668</v>
      </c>
      <c r="B44" s="251">
        <f>+B41-B43</f>
        <v>-504.14605964424868</v>
      </c>
      <c r="C44" s="251">
        <f>+C41-C43</f>
        <v>-21931.765758467518</v>
      </c>
      <c r="D44" s="251">
        <f>+D41-D43</f>
        <v>11317.585605979439</v>
      </c>
    </row>
    <row r="46" spans="1:4" ht="16">
      <c r="A46" s="250" t="s">
        <v>675</v>
      </c>
      <c r="B46" s="255" t="s">
        <v>676</v>
      </c>
      <c r="C46" s="44"/>
      <c r="D46" s="44"/>
    </row>
    <row r="47" spans="1:4" ht="16">
      <c r="B47" s="249" t="s">
        <v>677</v>
      </c>
      <c r="C47" s="249" t="s">
        <v>670</v>
      </c>
      <c r="D47" s="249" t="s">
        <v>671</v>
      </c>
    </row>
    <row r="48" spans="1:4">
      <c r="A48" s="266" t="s">
        <v>653</v>
      </c>
    </row>
    <row r="49" spans="1:6">
      <c r="A49" s="237" t="s">
        <v>678</v>
      </c>
      <c r="B49" s="251">
        <v>2759476</v>
      </c>
      <c r="C49" s="251">
        <v>3677988</v>
      </c>
      <c r="D49" s="251">
        <v>3492515</v>
      </c>
    </row>
    <row r="50" spans="1:6">
      <c r="A50" s="237" t="s">
        <v>679</v>
      </c>
      <c r="B50" s="251">
        <v>390014</v>
      </c>
      <c r="C50" s="251">
        <v>467505</v>
      </c>
      <c r="D50" s="251">
        <v>455160</v>
      </c>
    </row>
    <row r="51" spans="1:6">
      <c r="A51" s="237" t="s">
        <v>680</v>
      </c>
      <c r="B51" s="252">
        <v>37524</v>
      </c>
      <c r="C51" s="252">
        <v>84381</v>
      </c>
      <c r="D51" s="252">
        <v>110826</v>
      </c>
    </row>
    <row r="52" spans="1:6">
      <c r="A52" s="239" t="s">
        <v>249</v>
      </c>
      <c r="B52" s="251">
        <v>3187014</v>
      </c>
      <c r="C52" s="251">
        <v>4229874</v>
      </c>
      <c r="D52" s="251">
        <v>4058501</v>
      </c>
    </row>
    <row r="54" spans="1:6">
      <c r="A54" s="266" t="s">
        <v>413</v>
      </c>
    </row>
    <row r="55" spans="1:6">
      <c r="A55" s="237" t="s">
        <v>681</v>
      </c>
      <c r="B55" s="251">
        <v>637568</v>
      </c>
      <c r="C55" s="251">
        <v>845941</v>
      </c>
      <c r="D55" s="251">
        <v>827224</v>
      </c>
    </row>
    <row r="56" spans="1:6">
      <c r="A56" s="237" t="s">
        <v>682</v>
      </c>
      <c r="B56" s="252">
        <v>395588</v>
      </c>
      <c r="C56" s="252">
        <v>539737</v>
      </c>
      <c r="D56" s="252">
        <v>592497</v>
      </c>
    </row>
    <row r="57" spans="1:6">
      <c r="A57" s="239" t="s">
        <v>683</v>
      </c>
      <c r="B57" s="251">
        <v>1033156</v>
      </c>
      <c r="C57" s="251">
        <v>1385678</v>
      </c>
      <c r="D57" s="251">
        <v>1419721</v>
      </c>
    </row>
    <row r="58" spans="1:6">
      <c r="A58" s="237" t="s">
        <v>684</v>
      </c>
      <c r="B58" s="251">
        <v>213228</v>
      </c>
      <c r="C58" s="251">
        <v>332504</v>
      </c>
      <c r="D58" s="251">
        <v>321653</v>
      </c>
    </row>
    <row r="59" spans="1:6">
      <c r="A59" s="237" t="s">
        <v>679</v>
      </c>
      <c r="B59" s="251">
        <v>390014</v>
      </c>
      <c r="C59" s="251">
        <v>467505</v>
      </c>
      <c r="D59" s="251">
        <v>477146</v>
      </c>
    </row>
    <row r="60" spans="1:6">
      <c r="A60" s="237" t="s">
        <v>680</v>
      </c>
      <c r="B60" s="252">
        <v>37524</v>
      </c>
      <c r="C60" s="252">
        <v>70921</v>
      </c>
      <c r="D60" s="252">
        <v>98160</v>
      </c>
    </row>
    <row r="61" spans="1:6">
      <c r="A61" s="239" t="s">
        <v>414</v>
      </c>
      <c r="B61" s="251">
        <v>1673922</v>
      </c>
      <c r="C61" s="251">
        <v>2256608</v>
      </c>
      <c r="D61" s="251">
        <v>2316680</v>
      </c>
    </row>
    <row r="63" spans="1:6">
      <c r="A63" s="266" t="s">
        <v>26</v>
      </c>
    </row>
    <row r="64" spans="1:6">
      <c r="A64" s="237" t="s">
        <v>681</v>
      </c>
      <c r="B64" s="251">
        <v>429050</v>
      </c>
      <c r="C64" s="251">
        <v>557657</v>
      </c>
      <c r="D64" s="251">
        <v>574175</v>
      </c>
      <c r="E64" s="256"/>
      <c r="F64" s="256"/>
    </row>
    <row r="65" spans="1:6">
      <c r="A65" s="237" t="s">
        <v>682</v>
      </c>
      <c r="B65" s="252">
        <v>131156</v>
      </c>
      <c r="C65" s="252">
        <v>172598</v>
      </c>
      <c r="D65" s="252">
        <v>152413</v>
      </c>
      <c r="E65" s="256"/>
      <c r="F65" s="256"/>
    </row>
    <row r="66" spans="1:6">
      <c r="A66" s="239" t="s">
        <v>683</v>
      </c>
      <c r="B66" s="251">
        <v>560206</v>
      </c>
      <c r="C66" s="251">
        <v>730255</v>
      </c>
      <c r="D66" s="251">
        <v>726588</v>
      </c>
    </row>
    <row r="67" spans="1:6">
      <c r="A67" s="237" t="s">
        <v>684</v>
      </c>
      <c r="B67" s="251">
        <v>0</v>
      </c>
      <c r="C67" s="251">
        <v>0</v>
      </c>
      <c r="D67" s="251">
        <v>0</v>
      </c>
    </row>
    <row r="68" spans="1:6">
      <c r="A68" s="237" t="s">
        <v>679</v>
      </c>
      <c r="B68" s="251">
        <v>190806</v>
      </c>
      <c r="C68" s="251">
        <v>241516</v>
      </c>
      <c r="D68" s="251">
        <v>234484</v>
      </c>
    </row>
    <row r="69" spans="1:6">
      <c r="A69" s="237" t="s">
        <v>680</v>
      </c>
      <c r="B69" s="252">
        <v>19916</v>
      </c>
      <c r="C69" s="252">
        <v>44740</v>
      </c>
      <c r="D69" s="252">
        <v>62103</v>
      </c>
    </row>
    <row r="70" spans="1:6">
      <c r="A70" s="239" t="s">
        <v>685</v>
      </c>
      <c r="B70" s="251">
        <v>770928</v>
      </c>
      <c r="C70" s="251">
        <v>1016511</v>
      </c>
      <c r="D70" s="251">
        <v>1023175</v>
      </c>
    </row>
    <row r="72" spans="1:6" ht="14">
      <c r="A72" s="240" t="s">
        <v>665</v>
      </c>
      <c r="B72" s="254">
        <f>+B70-B73</f>
        <v>818360</v>
      </c>
      <c r="C72" s="254">
        <f>+C70-C73</f>
        <v>1014872</v>
      </c>
      <c r="D72" s="254">
        <f>+D70-D73</f>
        <v>1121890</v>
      </c>
    </row>
    <row r="73" spans="1:6">
      <c r="A73" s="239" t="s">
        <v>666</v>
      </c>
      <c r="B73" s="251">
        <v>-47432</v>
      </c>
      <c r="C73" s="251">
        <v>1639</v>
      </c>
      <c r="D73" s="251">
        <v>-98715</v>
      </c>
    </row>
    <row r="74" spans="1:6">
      <c r="A74" s="237" t="s">
        <v>247</v>
      </c>
      <c r="B74" s="252">
        <v>291633</v>
      </c>
      <c r="C74" s="252">
        <v>196167</v>
      </c>
      <c r="D74" s="252">
        <v>244856</v>
      </c>
    </row>
    <row r="75" spans="1:6">
      <c r="A75" s="239" t="s">
        <v>28</v>
      </c>
      <c r="B75" s="251">
        <v>-339065</v>
      </c>
      <c r="C75" s="251">
        <v>-194528</v>
      </c>
      <c r="D75" s="251">
        <v>-343571</v>
      </c>
    </row>
    <row r="76" spans="1:6">
      <c r="A76" s="237"/>
      <c r="B76" s="251"/>
      <c r="C76" s="251"/>
      <c r="D76" s="251"/>
    </row>
    <row r="77" spans="1:6">
      <c r="A77" s="237" t="s">
        <v>31</v>
      </c>
      <c r="B77" s="252">
        <v>139995</v>
      </c>
      <c r="C77" s="252">
        <v>222812</v>
      </c>
      <c r="D77" s="252">
        <v>203347</v>
      </c>
    </row>
    <row r="78" spans="1:6">
      <c r="A78" s="239" t="s">
        <v>668</v>
      </c>
      <c r="B78" s="251">
        <f>+B75-B77</f>
        <v>-479060</v>
      </c>
      <c r="C78" s="251">
        <f>+C75-C77</f>
        <v>-417340</v>
      </c>
      <c r="D78" s="251">
        <f>+D75-D77</f>
        <v>-546918</v>
      </c>
    </row>
    <row r="79" spans="1:6" ht="13">
      <c r="A79" s="250" t="s">
        <v>686</v>
      </c>
    </row>
    <row r="81" spans="1:12" ht="13">
      <c r="A81" s="245" t="s">
        <v>687</v>
      </c>
    </row>
    <row r="82" spans="1:12" ht="28" customHeight="1">
      <c r="A82" s="240" t="s">
        <v>688</v>
      </c>
      <c r="B82" s="649" t="s">
        <v>689</v>
      </c>
      <c r="C82" s="650"/>
      <c r="D82" s="650"/>
      <c r="E82" s="650"/>
      <c r="F82" s="650"/>
      <c r="G82" s="650"/>
      <c r="H82" s="650"/>
      <c r="I82" s="650"/>
      <c r="J82" s="650"/>
      <c r="K82" s="650"/>
      <c r="L82" s="650"/>
    </row>
    <row r="83" spans="1:12" ht="13">
      <c r="A83" s="240" t="s">
        <v>690</v>
      </c>
      <c r="B83" s="649" t="s">
        <v>691</v>
      </c>
      <c r="C83" s="650"/>
      <c r="D83" s="650"/>
      <c r="E83" s="650"/>
      <c r="F83" s="650"/>
      <c r="G83" s="650"/>
      <c r="H83" s="650"/>
      <c r="I83" s="650"/>
      <c r="J83" s="650"/>
      <c r="K83" s="650"/>
      <c r="L83" s="650"/>
    </row>
    <row r="84" spans="1:12" ht="13">
      <c r="A84" s="240" t="s">
        <v>550</v>
      </c>
      <c r="B84" s="649" t="s">
        <v>692</v>
      </c>
      <c r="C84" s="650"/>
      <c r="D84" s="650"/>
      <c r="E84" s="650"/>
      <c r="F84" s="650"/>
      <c r="G84" s="650"/>
      <c r="H84" s="650"/>
      <c r="I84" s="650"/>
      <c r="J84" s="650"/>
      <c r="K84" s="650"/>
      <c r="L84" s="650"/>
    </row>
    <row r="85" spans="1:12" ht="13">
      <c r="A85" s="240" t="s">
        <v>551</v>
      </c>
      <c r="B85" s="649" t="s">
        <v>693</v>
      </c>
      <c r="C85" s="650"/>
      <c r="D85" s="650"/>
      <c r="E85" s="650"/>
      <c r="F85" s="650"/>
      <c r="G85" s="650"/>
      <c r="H85" s="650"/>
      <c r="I85" s="650"/>
      <c r="J85" s="650"/>
      <c r="K85" s="650"/>
      <c r="L85" s="650"/>
    </row>
    <row r="86" spans="1:12" ht="13">
      <c r="A86" s="240" t="s">
        <v>694</v>
      </c>
      <c r="B86" s="649" t="s">
        <v>695</v>
      </c>
      <c r="C86" s="650"/>
      <c r="D86" s="650"/>
      <c r="E86" s="650"/>
      <c r="F86" s="650"/>
      <c r="G86" s="650"/>
      <c r="H86" s="650"/>
      <c r="I86" s="650"/>
      <c r="J86" s="650"/>
      <c r="K86" s="650"/>
      <c r="L86" s="650"/>
    </row>
    <row r="87" spans="1:12" ht="13">
      <c r="A87" s="240" t="s">
        <v>696</v>
      </c>
      <c r="B87" s="649" t="s">
        <v>697</v>
      </c>
      <c r="C87" s="650"/>
      <c r="D87" s="650"/>
      <c r="E87" s="650"/>
      <c r="F87" s="650"/>
      <c r="G87" s="650"/>
      <c r="H87" s="650"/>
      <c r="I87" s="650"/>
      <c r="J87" s="650"/>
      <c r="K87" s="650"/>
      <c r="L87" s="650"/>
    </row>
    <row r="88" spans="1:12" ht="13">
      <c r="A88" s="240" t="s">
        <v>698</v>
      </c>
      <c r="B88" s="649" t="s">
        <v>699</v>
      </c>
      <c r="C88" s="650"/>
      <c r="D88" s="650"/>
      <c r="E88" s="650"/>
      <c r="F88" s="650"/>
      <c r="G88" s="650"/>
      <c r="H88" s="650"/>
      <c r="I88" s="650"/>
      <c r="J88" s="650"/>
      <c r="K88" s="650"/>
      <c r="L88" s="650"/>
    </row>
    <row r="89" spans="1:12" ht="13">
      <c r="A89" s="240" t="s">
        <v>553</v>
      </c>
      <c r="B89" s="649" t="s">
        <v>700</v>
      </c>
      <c r="C89" s="650"/>
      <c r="D89" s="650"/>
      <c r="E89" s="650"/>
      <c r="F89" s="650"/>
      <c r="G89" s="650"/>
      <c r="H89" s="650"/>
      <c r="I89" s="650"/>
      <c r="J89" s="650"/>
      <c r="K89" s="650"/>
      <c r="L89" s="650"/>
    </row>
    <row r="90" spans="1:12" ht="13">
      <c r="A90" s="240" t="s">
        <v>701</v>
      </c>
      <c r="B90" s="649" t="s">
        <v>702</v>
      </c>
      <c r="C90" s="650"/>
      <c r="D90" s="650"/>
      <c r="E90" s="650"/>
      <c r="F90" s="650"/>
      <c r="G90" s="650"/>
      <c r="H90" s="650"/>
      <c r="I90" s="650"/>
      <c r="J90" s="650"/>
      <c r="K90" s="650"/>
      <c r="L90" s="650"/>
    </row>
    <row r="91" spans="1:12" ht="28" customHeight="1">
      <c r="A91" s="240" t="s">
        <v>703</v>
      </c>
      <c r="B91" s="649" t="s">
        <v>704</v>
      </c>
      <c r="C91" s="650"/>
      <c r="D91" s="650"/>
      <c r="E91" s="650"/>
      <c r="F91" s="650"/>
      <c r="G91" s="650"/>
      <c r="H91" s="650"/>
      <c r="I91" s="650"/>
      <c r="J91" s="650"/>
      <c r="K91" s="650"/>
      <c r="L91" s="650"/>
    </row>
    <row r="92" spans="1:12" ht="13">
      <c r="A92" s="240" t="s">
        <v>556</v>
      </c>
      <c r="B92" s="649" t="s">
        <v>705</v>
      </c>
      <c r="C92" s="650"/>
      <c r="D92" s="650"/>
      <c r="E92" s="650"/>
      <c r="F92" s="650"/>
      <c r="G92" s="650"/>
      <c r="H92" s="650"/>
      <c r="I92" s="650"/>
      <c r="J92" s="650"/>
      <c r="K92" s="650"/>
      <c r="L92" s="650"/>
    </row>
    <row r="93" spans="1:12" ht="13">
      <c r="A93" s="240" t="s">
        <v>93</v>
      </c>
      <c r="B93" s="649" t="s">
        <v>706</v>
      </c>
      <c r="C93" s="650"/>
      <c r="D93" s="650"/>
      <c r="E93" s="650"/>
      <c r="F93" s="650"/>
      <c r="G93" s="650"/>
      <c r="H93" s="650"/>
      <c r="I93" s="650"/>
      <c r="J93" s="650"/>
      <c r="K93" s="650"/>
      <c r="L93" s="650"/>
    </row>
    <row r="94" spans="1:12" ht="25.5" customHeight="1">
      <c r="A94" s="240" t="s">
        <v>707</v>
      </c>
      <c r="B94" s="649" t="s">
        <v>708</v>
      </c>
      <c r="C94" s="650"/>
      <c r="D94" s="650"/>
      <c r="E94" s="650"/>
      <c r="F94" s="650"/>
      <c r="G94" s="650"/>
      <c r="H94" s="650"/>
      <c r="I94" s="650"/>
      <c r="J94" s="650"/>
      <c r="K94" s="650"/>
      <c r="L94" s="650"/>
    </row>
    <row r="95" spans="1:12">
      <c r="A95" s="240" t="s">
        <v>709</v>
      </c>
      <c r="B95" s="240" t="s">
        <v>710</v>
      </c>
    </row>
    <row r="97" spans="1:12" ht="13">
      <c r="A97" s="245" t="s">
        <v>711</v>
      </c>
    </row>
    <row r="98" spans="1:12" ht="42.65" customHeight="1">
      <c r="A98" s="240" t="s">
        <v>653</v>
      </c>
      <c r="B98" s="649" t="s">
        <v>712</v>
      </c>
      <c r="C98" s="650"/>
      <c r="D98" s="650"/>
      <c r="E98" s="650"/>
      <c r="F98" s="650"/>
      <c r="G98" s="650"/>
      <c r="H98" s="650"/>
      <c r="I98" s="650"/>
      <c r="J98" s="650"/>
      <c r="K98" s="650"/>
      <c r="L98" s="650"/>
    </row>
    <row r="99" spans="1:12" ht="42" customHeight="1">
      <c r="A99" s="240" t="s">
        <v>713</v>
      </c>
      <c r="B99" s="649" t="s">
        <v>714</v>
      </c>
      <c r="C99" s="650"/>
      <c r="D99" s="650"/>
      <c r="E99" s="650"/>
      <c r="F99" s="650"/>
      <c r="G99" s="650"/>
      <c r="H99" s="650"/>
      <c r="I99" s="650"/>
      <c r="J99" s="650"/>
      <c r="K99" s="650"/>
      <c r="L99" s="650"/>
    </row>
    <row r="100" spans="1:12" ht="87.65" customHeight="1">
      <c r="A100" s="240" t="s">
        <v>715</v>
      </c>
      <c r="B100" s="649" t="s">
        <v>716</v>
      </c>
      <c r="C100" s="650"/>
      <c r="D100" s="650"/>
      <c r="E100" s="650"/>
      <c r="F100" s="650"/>
      <c r="G100" s="650"/>
      <c r="H100" s="650"/>
      <c r="I100" s="650"/>
      <c r="J100" s="650"/>
      <c r="K100" s="650"/>
      <c r="L100" s="650"/>
    </row>
    <row r="101" spans="1:12" s="248" customFormat="1" ht="30" customHeight="1">
      <c r="A101" s="247" t="s">
        <v>717</v>
      </c>
      <c r="B101" s="651" t="s">
        <v>718</v>
      </c>
      <c r="C101" s="652"/>
      <c r="D101" s="652"/>
      <c r="E101" s="652"/>
      <c r="F101" s="652"/>
      <c r="G101" s="652"/>
      <c r="H101" s="652"/>
      <c r="I101" s="652"/>
      <c r="J101" s="652"/>
      <c r="K101" s="652"/>
      <c r="L101" s="652"/>
    </row>
    <row r="102" spans="1:12" s="248" customFormat="1" ht="61" customHeight="1">
      <c r="A102" s="247" t="s">
        <v>719</v>
      </c>
      <c r="B102" s="651" t="s">
        <v>720</v>
      </c>
      <c r="C102" s="652"/>
      <c r="D102" s="652"/>
      <c r="E102" s="652"/>
      <c r="F102" s="652"/>
      <c r="G102" s="652"/>
      <c r="H102" s="652"/>
      <c r="I102" s="652"/>
      <c r="J102" s="652"/>
      <c r="K102" s="652"/>
      <c r="L102" s="652"/>
    </row>
    <row r="103" spans="1:12" ht="30.65" customHeight="1">
      <c r="A103" s="240" t="s">
        <v>721</v>
      </c>
      <c r="B103" s="649" t="s">
        <v>722</v>
      </c>
      <c r="C103" s="650"/>
      <c r="D103" s="650"/>
      <c r="E103" s="650"/>
      <c r="F103" s="650"/>
      <c r="G103" s="650"/>
      <c r="H103" s="650"/>
      <c r="I103" s="650"/>
      <c r="J103" s="650"/>
      <c r="K103" s="650"/>
      <c r="L103" s="650"/>
    </row>
    <row r="104" spans="1:12" ht="42" customHeight="1">
      <c r="A104" s="240" t="s">
        <v>723</v>
      </c>
      <c r="B104" s="649" t="s">
        <v>724</v>
      </c>
      <c r="C104" s="650"/>
      <c r="D104" s="650"/>
      <c r="E104" s="650"/>
      <c r="F104" s="650"/>
      <c r="G104" s="650"/>
      <c r="H104" s="650"/>
      <c r="I104" s="650"/>
      <c r="J104" s="650"/>
      <c r="K104" s="650"/>
      <c r="L104" s="650"/>
    </row>
    <row r="105" spans="1:12" ht="55" customHeight="1">
      <c r="A105" s="240" t="s">
        <v>725</v>
      </c>
      <c r="B105" s="649" t="s">
        <v>726</v>
      </c>
      <c r="C105" s="650"/>
      <c r="D105" s="650"/>
      <c r="E105" s="650"/>
      <c r="F105" s="650"/>
      <c r="G105" s="650"/>
      <c r="H105" s="650"/>
      <c r="I105" s="650"/>
      <c r="J105" s="650"/>
      <c r="K105" s="650"/>
      <c r="L105" s="650"/>
    </row>
    <row r="106" spans="1:12" ht="27.65" customHeight="1">
      <c r="A106" s="246" t="s">
        <v>727</v>
      </c>
      <c r="B106" s="649" t="s">
        <v>728</v>
      </c>
      <c r="C106" s="650"/>
      <c r="D106" s="650"/>
      <c r="E106" s="650"/>
      <c r="F106" s="650"/>
      <c r="G106" s="650"/>
      <c r="H106" s="650"/>
      <c r="I106" s="650"/>
      <c r="J106" s="650"/>
      <c r="K106" s="650"/>
      <c r="L106" s="650"/>
    </row>
    <row r="107" spans="1:12" ht="13">
      <c r="A107" s="240" t="s">
        <v>729</v>
      </c>
      <c r="B107" s="649" t="s">
        <v>730</v>
      </c>
      <c r="C107" s="650"/>
      <c r="D107" s="650"/>
      <c r="E107" s="650"/>
      <c r="F107" s="650"/>
      <c r="G107" s="650"/>
      <c r="H107" s="650"/>
      <c r="I107" s="650"/>
      <c r="J107" s="650"/>
      <c r="K107" s="650"/>
      <c r="L107" s="650"/>
    </row>
    <row r="108" spans="1:12" ht="13">
      <c r="A108" s="240" t="s">
        <v>731</v>
      </c>
      <c r="B108" s="649" t="s">
        <v>732</v>
      </c>
      <c r="C108" s="650"/>
      <c r="D108" s="650"/>
      <c r="E108" s="650"/>
      <c r="F108" s="650"/>
      <c r="G108" s="650"/>
      <c r="H108" s="650"/>
      <c r="I108" s="650"/>
      <c r="J108" s="650"/>
      <c r="K108" s="650"/>
      <c r="L108" s="650"/>
    </row>
    <row r="109" spans="1:12">
      <c r="A109" s="240" t="s">
        <v>709</v>
      </c>
      <c r="B109" s="240" t="s">
        <v>733</v>
      </c>
    </row>
  </sheetData>
  <mergeCells count="24">
    <mergeCell ref="B93:L93"/>
    <mergeCell ref="B82:L82"/>
    <mergeCell ref="B83:L83"/>
    <mergeCell ref="B84:L84"/>
    <mergeCell ref="B85:L85"/>
    <mergeCell ref="B86:L86"/>
    <mergeCell ref="B87:L87"/>
    <mergeCell ref="B88:L88"/>
    <mergeCell ref="B89:L89"/>
    <mergeCell ref="B90:L90"/>
    <mergeCell ref="B91:L91"/>
    <mergeCell ref="B92:L92"/>
    <mergeCell ref="B108:L108"/>
    <mergeCell ref="B94:L94"/>
    <mergeCell ref="B98:L98"/>
    <mergeCell ref="B99:L99"/>
    <mergeCell ref="B100:L100"/>
    <mergeCell ref="B101:L101"/>
    <mergeCell ref="B102:L102"/>
    <mergeCell ref="B103:L103"/>
    <mergeCell ref="B104:L104"/>
    <mergeCell ref="B105:L105"/>
    <mergeCell ref="B106:L106"/>
    <mergeCell ref="B107:L107"/>
  </mergeCells>
  <pageMargins left="0.3" right="0.3" top="0.3" bottom="0.3" header="0.3" footer="0.3"/>
  <pageSetup scale="54" fitToHeight="0" orientation="portrait" r:id="rId1"/>
  <rowBreaks count="1" manualBreakCount="1">
    <brk id="78" max="11" man="1"/>
  </rowBreak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23D2D-11EF-48B1-A1AA-3DF4C88813D5}">
  <sheetPr>
    <pageSetUpPr fitToPage="1"/>
  </sheetPr>
  <dimension ref="A1:CT919"/>
  <sheetViews>
    <sheetView view="pageBreakPreview" zoomScale="55" zoomScaleNormal="85" zoomScaleSheetLayoutView="55" workbookViewId="0">
      <pane xSplit="1" ySplit="5" topLeftCell="AF13" activePane="bottomRight" state="frozen"/>
      <selection pane="topRight" activeCell="B6" sqref="B6"/>
      <selection pane="bottomLeft" activeCell="B6" sqref="B6"/>
      <selection pane="bottomRight" activeCell="AF13" sqref="AF13"/>
    </sheetView>
  </sheetViews>
  <sheetFormatPr defaultRowHeight="14.5" outlineLevelRow="2" outlineLevelCol="1"/>
  <cols>
    <col min="1" max="1" width="39.54296875" customWidth="1"/>
    <col min="2" max="23" width="10.54296875" hidden="1" customWidth="1" outlineLevel="1"/>
    <col min="24" max="26" width="11.54296875" hidden="1" customWidth="1" outlineLevel="1"/>
    <col min="27" max="27" width="10.54296875" hidden="1" customWidth="1" outlineLevel="1"/>
    <col min="28" max="31" width="11.54296875" hidden="1" customWidth="1" outlineLevel="1"/>
    <col min="32" max="32" width="11.54296875" customWidth="1" collapsed="1"/>
    <col min="33" max="40" width="11.54296875" customWidth="1"/>
    <col min="41" max="52" width="11.7265625" customWidth="1"/>
    <col min="53" max="53" width="5.26953125" customWidth="1" outlineLevel="1"/>
    <col min="54" max="66" width="11.7265625" customWidth="1" outlineLevel="1"/>
    <col min="67" max="67" width="3.54296875" customWidth="1"/>
    <col min="68" max="68" width="13.453125" customWidth="1" outlineLevel="1"/>
    <col min="69" max="70" width="13.453125" customWidth="1"/>
    <col min="72" max="77" width="13.453125" customWidth="1"/>
  </cols>
  <sheetData>
    <row r="1" spans="1:89">
      <c r="A1" t="s">
        <v>529</v>
      </c>
      <c r="AV1" s="155"/>
      <c r="AW1" s="155"/>
      <c r="AX1" s="155"/>
      <c r="AY1" s="155"/>
      <c r="AZ1" s="155">
        <f ca="1">TODAY()</f>
        <v>45797</v>
      </c>
    </row>
    <row r="2" spans="1:89" s="127" customFormat="1">
      <c r="A2" s="126" t="s">
        <v>758</v>
      </c>
    </row>
    <row r="4" spans="1:89" ht="16">
      <c r="BP4" s="24" t="s">
        <v>759</v>
      </c>
      <c r="BQ4" s="24" t="s">
        <v>759</v>
      </c>
      <c r="BR4" s="24"/>
    </row>
    <row r="5" spans="1:89" s="16" customFormat="1" ht="16">
      <c r="B5" s="16" t="s">
        <v>760</v>
      </c>
      <c r="C5" s="16" t="s">
        <v>761</v>
      </c>
      <c r="D5" s="16" t="s">
        <v>762</v>
      </c>
      <c r="E5" s="16" t="s">
        <v>763</v>
      </c>
      <c r="F5" s="16" t="s">
        <v>764</v>
      </c>
      <c r="G5" s="16" t="s">
        <v>765</v>
      </c>
      <c r="H5" s="16" t="s">
        <v>766</v>
      </c>
      <c r="I5" s="16" t="s">
        <v>767</v>
      </c>
      <c r="J5" s="16" t="s">
        <v>768</v>
      </c>
      <c r="K5" s="16" t="s">
        <v>769</v>
      </c>
      <c r="L5" s="16" t="s">
        <v>770</v>
      </c>
      <c r="M5" s="16" t="s">
        <v>771</v>
      </c>
      <c r="N5" s="16" t="s">
        <v>772</v>
      </c>
      <c r="O5" s="16" t="s">
        <v>773</v>
      </c>
      <c r="P5" s="16" t="s">
        <v>774</v>
      </c>
      <c r="Q5" s="16" t="s">
        <v>775</v>
      </c>
      <c r="R5" s="16" t="s">
        <v>776</v>
      </c>
      <c r="S5" s="16" t="s">
        <v>777</v>
      </c>
      <c r="T5" s="16" t="s">
        <v>778</v>
      </c>
      <c r="U5" s="16" t="s">
        <v>779</v>
      </c>
      <c r="V5" s="16" t="s">
        <v>780</v>
      </c>
      <c r="W5" s="16" t="s">
        <v>781</v>
      </c>
      <c r="X5" s="16" t="s">
        <v>782</v>
      </c>
      <c r="Y5" s="16" t="s">
        <v>783</v>
      </c>
      <c r="Z5" s="16" t="s">
        <v>784</v>
      </c>
      <c r="AA5" s="16" t="s">
        <v>785</v>
      </c>
      <c r="AB5" s="16" t="s">
        <v>786</v>
      </c>
      <c r="AC5" s="16" t="s">
        <v>787</v>
      </c>
      <c r="AD5" s="16" t="s">
        <v>788</v>
      </c>
      <c r="AE5" s="16" t="s">
        <v>789</v>
      </c>
      <c r="AF5" s="152">
        <v>44032</v>
      </c>
      <c r="AG5" s="152">
        <f>+AF5+30</f>
        <v>44062</v>
      </c>
      <c r="AH5" s="152">
        <f t="shared" ref="AH5:AV5" si="0">+AG5+30</f>
        <v>44092</v>
      </c>
      <c r="AI5" s="152">
        <f t="shared" si="0"/>
        <v>44122</v>
      </c>
      <c r="AJ5" s="152">
        <f t="shared" si="0"/>
        <v>44152</v>
      </c>
      <c r="AK5" s="152">
        <f t="shared" si="0"/>
        <v>44182</v>
      </c>
      <c r="AL5" s="152">
        <f t="shared" si="0"/>
        <v>44212</v>
      </c>
      <c r="AM5" s="152">
        <f t="shared" si="0"/>
        <v>44242</v>
      </c>
      <c r="AN5" s="152">
        <f t="shared" si="0"/>
        <v>44272</v>
      </c>
      <c r="AO5" s="152">
        <f t="shared" si="0"/>
        <v>44302</v>
      </c>
      <c r="AP5" s="152">
        <f t="shared" si="0"/>
        <v>44332</v>
      </c>
      <c r="AQ5" s="152">
        <f t="shared" si="0"/>
        <v>44362</v>
      </c>
      <c r="AR5" s="152">
        <f t="shared" si="0"/>
        <v>44392</v>
      </c>
      <c r="AS5" s="152">
        <f t="shared" si="0"/>
        <v>44422</v>
      </c>
      <c r="AT5" s="152">
        <f t="shared" si="0"/>
        <v>44452</v>
      </c>
      <c r="AU5" s="152">
        <f t="shared" si="0"/>
        <v>44482</v>
      </c>
      <c r="AV5" s="152">
        <f t="shared" si="0"/>
        <v>44512</v>
      </c>
      <c r="AW5" s="152">
        <f>+AV5+30</f>
        <v>44542</v>
      </c>
      <c r="AX5" s="152">
        <f t="shared" ref="AX5:AY5" si="1">+AW5+30</f>
        <v>44572</v>
      </c>
      <c r="AY5" s="152">
        <f t="shared" si="1"/>
        <v>44602</v>
      </c>
      <c r="AZ5" s="152">
        <f>+AY5+30</f>
        <v>44632</v>
      </c>
      <c r="BB5" s="16" t="s">
        <v>790</v>
      </c>
      <c r="BC5" s="16" t="s">
        <v>791</v>
      </c>
      <c r="BD5" s="16" t="s">
        <v>792</v>
      </c>
      <c r="BE5" s="16" t="s">
        <v>793</v>
      </c>
      <c r="BF5" s="16" t="s">
        <v>794</v>
      </c>
      <c r="BG5" s="16" t="s">
        <v>795</v>
      </c>
      <c r="BH5" s="16" t="s">
        <v>796</v>
      </c>
      <c r="BI5" s="16" t="s">
        <v>797</v>
      </c>
      <c r="BJ5" s="16" t="s">
        <v>622</v>
      </c>
      <c r="BK5" s="16" t="s">
        <v>623</v>
      </c>
      <c r="BL5" s="16" t="s">
        <v>624</v>
      </c>
      <c r="BM5" s="16" t="s">
        <v>625</v>
      </c>
      <c r="BN5" s="16" t="s">
        <v>626</v>
      </c>
      <c r="BP5" s="16" t="str">
        <f>+BK5</f>
        <v>2CQ20</v>
      </c>
      <c r="BQ5" s="16" t="s">
        <v>626</v>
      </c>
      <c r="BR5" s="16" t="s">
        <v>627</v>
      </c>
      <c r="BT5" s="16" t="s">
        <v>798</v>
      </c>
      <c r="BU5" s="16" t="s">
        <v>799</v>
      </c>
      <c r="BV5" s="16" t="s">
        <v>800</v>
      </c>
      <c r="BW5" s="16" t="s">
        <v>801</v>
      </c>
      <c r="BX5" s="16" t="s">
        <v>802</v>
      </c>
      <c r="BY5" s="16" t="s">
        <v>803</v>
      </c>
    </row>
    <row r="6" spans="1:89" hidden="1" outlineLevel="2">
      <c r="A6" t="s">
        <v>804</v>
      </c>
      <c r="B6" s="9">
        <v>17424</v>
      </c>
      <c r="C6" s="9">
        <v>29735</v>
      </c>
      <c r="D6" s="9">
        <v>14064</v>
      </c>
      <c r="E6" s="9">
        <v>19609</v>
      </c>
      <c r="F6" s="9">
        <v>60244</v>
      </c>
      <c r="G6" s="9">
        <v>54646</v>
      </c>
      <c r="H6" s="9">
        <v>59991</v>
      </c>
      <c r="I6" s="9">
        <v>47986</v>
      </c>
      <c r="J6" s="9">
        <v>52693</v>
      </c>
      <c r="K6" s="9">
        <v>56518</v>
      </c>
      <c r="L6" s="9">
        <v>59136</v>
      </c>
      <c r="M6" s="9">
        <v>68388</v>
      </c>
      <c r="N6" s="9">
        <v>85093</v>
      </c>
      <c r="O6" s="9">
        <v>56111</v>
      </c>
      <c r="P6" s="9">
        <v>80008</v>
      </c>
      <c r="Q6" s="9">
        <v>70592</v>
      </c>
      <c r="R6" s="9">
        <v>86029</v>
      </c>
      <c r="S6" s="9">
        <v>87927</v>
      </c>
      <c r="T6" s="9">
        <v>97885</v>
      </c>
      <c r="U6" s="9">
        <v>83716</v>
      </c>
      <c r="V6" s="9">
        <v>76959</v>
      </c>
      <c r="W6" s="9">
        <v>85178</v>
      </c>
      <c r="X6" s="9">
        <v>110324</v>
      </c>
      <c r="Y6" s="9">
        <v>143512</v>
      </c>
      <c r="Z6" s="9">
        <v>106819</v>
      </c>
      <c r="AA6" s="9">
        <v>94509</v>
      </c>
      <c r="AB6" s="9">
        <v>101410</v>
      </c>
      <c r="AC6" s="9">
        <v>131865</v>
      </c>
      <c r="AD6" s="9">
        <v>148165</v>
      </c>
      <c r="AE6" s="9">
        <v>141784</v>
      </c>
      <c r="AF6" s="9">
        <v>205043</v>
      </c>
      <c r="AG6" s="9">
        <v>237944</v>
      </c>
      <c r="AH6" s="9">
        <v>279367</v>
      </c>
      <c r="AI6" s="9">
        <v>291402</v>
      </c>
      <c r="AJ6" s="9">
        <v>395412</v>
      </c>
      <c r="AK6" s="9">
        <v>398908</v>
      </c>
      <c r="AL6" s="9">
        <v>358500</v>
      </c>
      <c r="AM6" s="9">
        <v>333033</v>
      </c>
      <c r="AN6" s="9">
        <v>354799</v>
      </c>
      <c r="AO6" s="9">
        <v>369955</v>
      </c>
      <c r="AP6" s="9">
        <v>437243</v>
      </c>
      <c r="AQ6" s="9"/>
      <c r="AR6" s="9"/>
      <c r="AS6" s="9"/>
      <c r="AT6" s="9"/>
      <c r="AU6" s="9"/>
      <c r="AV6" s="9"/>
      <c r="AW6" s="9"/>
      <c r="AX6" s="9"/>
      <c r="AY6" s="9"/>
      <c r="AZ6" s="9"/>
      <c r="BB6" s="9">
        <f>SUM(B6:D6)</f>
        <v>61223</v>
      </c>
      <c r="BC6" s="9">
        <f>SUM(E6:G6)</f>
        <v>134499</v>
      </c>
      <c r="BD6" s="9">
        <f>SUM(H6:J6)</f>
        <v>160670</v>
      </c>
      <c r="BE6" s="9">
        <f>SUM(K6:M6)</f>
        <v>184042</v>
      </c>
      <c r="BF6" s="9">
        <f>SUM(N6:P6)</f>
        <v>221212</v>
      </c>
      <c r="BG6" s="9">
        <f>SUM(Q6:S6)</f>
        <v>244548</v>
      </c>
      <c r="BH6" s="9">
        <f>SUM(T6:V6)</f>
        <v>258560</v>
      </c>
      <c r="BI6" s="9">
        <f>SUM(W6:Y6)</f>
        <v>339014</v>
      </c>
      <c r="BJ6" s="9">
        <f>SUM(Z6:AB6)</f>
        <v>302738</v>
      </c>
      <c r="BK6" s="9">
        <f>SUM(AC6:AE6)</f>
        <v>421814</v>
      </c>
      <c r="BL6" s="9">
        <f>SUM(AF6:AH6)</f>
        <v>722354</v>
      </c>
      <c r="BM6" s="9">
        <f>SUM(AI6:AK6)</f>
        <v>1085722</v>
      </c>
      <c r="BN6" s="9">
        <f>SUM(AL6:AN6)</f>
        <v>1046332</v>
      </c>
      <c r="BP6" s="17">
        <f>SUM(AC6:AD6)</f>
        <v>280030</v>
      </c>
      <c r="BQ6" s="17">
        <f>SUM(AL6:AM6)</f>
        <v>691533</v>
      </c>
      <c r="BR6" s="17">
        <f>SUM(AO6:AP6)</f>
        <v>807198</v>
      </c>
      <c r="BS6" s="17"/>
      <c r="BT6" s="17">
        <f>SUM(BB6:BC6)</f>
        <v>195722</v>
      </c>
      <c r="BU6" s="17">
        <f>SUM(BD6:BE6)</f>
        <v>344712</v>
      </c>
      <c r="BV6" s="17">
        <f>SUM(BF6:BG6)</f>
        <v>465760</v>
      </c>
      <c r="BW6" s="17">
        <f>SUM(BH6:BI6)</f>
        <v>597574</v>
      </c>
      <c r="BX6" s="17">
        <f>SUM(BJ6:BK6)</f>
        <v>724552</v>
      </c>
      <c r="BY6" s="17">
        <f>SUM(BL6:BM6)</f>
        <v>1808076</v>
      </c>
    </row>
    <row r="7" spans="1:89" s="29" customFormat="1" hidden="1" outlineLevel="2">
      <c r="A7" s="91" t="s">
        <v>224</v>
      </c>
      <c r="B7" s="7"/>
      <c r="C7" s="7">
        <f>+C6/B6-1</f>
        <v>0.70655417814508725</v>
      </c>
      <c r="D7" s="7">
        <f t="shared" ref="D7:AP7" si="2">+D6/C6-1</f>
        <v>-0.5270220279132336</v>
      </c>
      <c r="E7" s="7">
        <f t="shared" si="2"/>
        <v>0.39426905574516491</v>
      </c>
      <c r="F7" s="7">
        <f t="shared" si="2"/>
        <v>2.0722627364985464</v>
      </c>
      <c r="G7" s="7">
        <f t="shared" si="2"/>
        <v>-9.2922116725317028E-2</v>
      </c>
      <c r="H7" s="7">
        <f t="shared" si="2"/>
        <v>9.7811367712183905E-2</v>
      </c>
      <c r="I7" s="7">
        <f t="shared" si="2"/>
        <v>-0.20011335033588373</v>
      </c>
      <c r="J7" s="7">
        <f t="shared" si="2"/>
        <v>9.8091109907056273E-2</v>
      </c>
      <c r="K7" s="7">
        <f t="shared" si="2"/>
        <v>7.2590287134913556E-2</v>
      </c>
      <c r="L7" s="7">
        <f t="shared" si="2"/>
        <v>4.632152588555849E-2</v>
      </c>
      <c r="M7" s="7">
        <f t="shared" si="2"/>
        <v>0.15645292207792205</v>
      </c>
      <c r="N7" s="7">
        <f t="shared" si="2"/>
        <v>0.24426800023395923</v>
      </c>
      <c r="O7" s="7">
        <f t="shared" si="2"/>
        <v>-0.34059205810113635</v>
      </c>
      <c r="P7" s="7">
        <f t="shared" si="2"/>
        <v>0.42588797205539031</v>
      </c>
      <c r="Q7" s="7">
        <f t="shared" si="2"/>
        <v>-0.11768823117688232</v>
      </c>
      <c r="R7" s="7">
        <f t="shared" si="2"/>
        <v>0.21867917044424301</v>
      </c>
      <c r="S7" s="7">
        <f t="shared" si="2"/>
        <v>2.2062327819688754E-2</v>
      </c>
      <c r="T7" s="7">
        <f t="shared" si="2"/>
        <v>0.11325303945318277</v>
      </c>
      <c r="U7" s="7">
        <f t="shared" si="2"/>
        <v>-0.14475149410021959</v>
      </c>
      <c r="V7" s="7">
        <f t="shared" si="2"/>
        <v>-8.0713364231449147E-2</v>
      </c>
      <c r="W7" s="7">
        <f t="shared" si="2"/>
        <v>0.1067971257422784</v>
      </c>
      <c r="X7" s="7">
        <f t="shared" si="2"/>
        <v>0.29521707483152926</v>
      </c>
      <c r="Y7" s="7">
        <f t="shared" si="2"/>
        <v>0.30082303034697788</v>
      </c>
      <c r="Z7" s="7">
        <f t="shared" si="2"/>
        <v>-0.25567896761246445</v>
      </c>
      <c r="AA7" s="7">
        <f t="shared" si="2"/>
        <v>-0.11524167048933243</v>
      </c>
      <c r="AB7" s="7">
        <f t="shared" si="2"/>
        <v>7.3019500788284786E-2</v>
      </c>
      <c r="AC7" s="7">
        <f t="shared" si="2"/>
        <v>0.30031555073464156</v>
      </c>
      <c r="AD7" s="7">
        <f t="shared" si="2"/>
        <v>0.12361126910097453</v>
      </c>
      <c r="AE7" s="7">
        <f t="shared" si="2"/>
        <v>-4.3066851145682206E-2</v>
      </c>
      <c r="AF7" s="7">
        <f t="shared" si="2"/>
        <v>0.44616458838797035</v>
      </c>
      <c r="AG7" s="7">
        <f t="shared" si="2"/>
        <v>0.16045902566778669</v>
      </c>
      <c r="AH7" s="7">
        <f t="shared" si="2"/>
        <v>0.17408718017684843</v>
      </c>
      <c r="AI7" s="7">
        <f t="shared" si="2"/>
        <v>4.307953337366266E-2</v>
      </c>
      <c r="AJ7" s="7">
        <f t="shared" si="2"/>
        <v>0.35692960240492511</v>
      </c>
      <c r="AK7" s="7">
        <f t="shared" si="2"/>
        <v>8.8414109839862753E-3</v>
      </c>
      <c r="AL7" s="7">
        <f t="shared" si="2"/>
        <v>-0.10129653955297968</v>
      </c>
      <c r="AM7" s="7">
        <f t="shared" si="2"/>
        <v>-7.1037656903765733E-2</v>
      </c>
      <c r="AN7" s="7">
        <f t="shared" si="2"/>
        <v>6.5356886554785776E-2</v>
      </c>
      <c r="AO7" s="7">
        <f t="shared" si="2"/>
        <v>4.2717144073123103E-2</v>
      </c>
      <c r="AP7" s="7">
        <f t="shared" si="2"/>
        <v>0.18188158019218559</v>
      </c>
      <c r="AQ7" s="7"/>
      <c r="AR7" s="7"/>
      <c r="AS7" s="7"/>
      <c r="AT7" s="7"/>
      <c r="AU7" s="7"/>
      <c r="AV7" s="7"/>
      <c r="AW7" s="7"/>
      <c r="AX7" s="7"/>
      <c r="AY7" s="7"/>
      <c r="AZ7" s="7"/>
      <c r="BC7" s="7">
        <f t="shared" ref="BC7:BM7" si="3">+BC6/BB6-1</f>
        <v>1.1968704571811246</v>
      </c>
      <c r="BD7" s="7">
        <f t="shared" si="3"/>
        <v>0.19458137235221074</v>
      </c>
      <c r="BE7" s="7">
        <f t="shared" si="3"/>
        <v>0.14546586170411402</v>
      </c>
      <c r="BF7" s="7">
        <f t="shared" si="3"/>
        <v>0.2019647689114441</v>
      </c>
      <c r="BG7" s="7">
        <f t="shared" si="3"/>
        <v>0.10549156465291221</v>
      </c>
      <c r="BH7" s="7">
        <f t="shared" si="3"/>
        <v>5.72975448582691E-2</v>
      </c>
      <c r="BI7" s="7">
        <f t="shared" si="3"/>
        <v>0.31116181930693076</v>
      </c>
      <c r="BJ7" s="7">
        <f t="shared" si="3"/>
        <v>-0.10700443049549579</v>
      </c>
      <c r="BK7" s="7">
        <f t="shared" si="3"/>
        <v>0.39333020631701343</v>
      </c>
      <c r="BL7" s="7">
        <f t="shared" si="3"/>
        <v>0.7124941324849341</v>
      </c>
      <c r="BM7" s="7">
        <f t="shared" si="3"/>
        <v>0.50303313887650658</v>
      </c>
      <c r="BN7" s="7">
        <f>+BN6/BM6-1</f>
        <v>-3.6280005378909186E-2</v>
      </c>
      <c r="BR7" s="7">
        <f>+BR6/BQ6-1</f>
        <v>0.1672588292966497</v>
      </c>
      <c r="BU7" s="7">
        <f>+BU6/BT6-1</f>
        <v>0.76123276892735614</v>
      </c>
      <c r="BV7" s="7">
        <f t="shared" ref="BV7:BY7" si="4">+BV6/BU6-1</f>
        <v>0.35115690779549302</v>
      </c>
      <c r="BW7" s="7">
        <f t="shared" si="4"/>
        <v>0.28300841635176921</v>
      </c>
      <c r="BX7" s="7">
        <f t="shared" si="4"/>
        <v>0.21248916452188338</v>
      </c>
      <c r="BY7" s="7">
        <f t="shared" si="4"/>
        <v>1.4954399408186023</v>
      </c>
    </row>
    <row r="8" spans="1:89" hidden="1" outlineLevel="2">
      <c r="A8" s="91" t="s">
        <v>805</v>
      </c>
      <c r="BK8" s="129">
        <f>+'Q4 FY21e analysis'!K10/'Q4 FY21e analysis'!J10-1</f>
        <v>0.76545138888888897</v>
      </c>
      <c r="BN8" s="128"/>
      <c r="BR8" s="7"/>
      <c r="BV8" s="7"/>
      <c r="BW8" s="7"/>
      <c r="BX8" s="7"/>
      <c r="BY8" s="128">
        <f>+'Q4 FY21e analysis'!AI10/'Q4 FY21e analysis'!AH10-1</f>
        <v>1.495624332977588</v>
      </c>
    </row>
    <row r="9" spans="1:89" hidden="1" outlineLevel="2">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B9" s="9"/>
      <c r="BC9" s="9"/>
      <c r="BD9" s="9"/>
      <c r="BE9" s="9"/>
      <c r="BF9" s="9"/>
      <c r="BG9" s="9"/>
      <c r="BH9" s="9"/>
      <c r="BI9" s="9"/>
      <c r="BJ9" s="9"/>
      <c r="BK9" s="9"/>
      <c r="BL9" s="9"/>
      <c r="BM9" s="9"/>
      <c r="BN9" s="9"/>
      <c r="BR9" s="7"/>
      <c r="BV9" s="7"/>
      <c r="BW9" s="7"/>
      <c r="BX9" s="7"/>
      <c r="BY9" s="7"/>
    </row>
    <row r="10" spans="1:89" s="29" customFormat="1" hidden="1" outlineLevel="2">
      <c r="A10" s="91" t="s">
        <v>225</v>
      </c>
      <c r="B10" s="7"/>
      <c r="C10" s="7"/>
      <c r="D10" s="7"/>
      <c r="E10" s="7"/>
      <c r="F10" s="7"/>
      <c r="G10" s="7"/>
      <c r="H10" s="7"/>
      <c r="I10" s="7"/>
      <c r="J10" s="7"/>
      <c r="K10" s="7"/>
      <c r="L10" s="7"/>
      <c r="M10" s="7"/>
      <c r="N10" s="7">
        <f t="shared" ref="N10:AO10" si="5">+N6/B6-1</f>
        <v>3.8836662075298438</v>
      </c>
      <c r="O10" s="7">
        <f t="shared" si="5"/>
        <v>0.8870354800739868</v>
      </c>
      <c r="P10" s="7">
        <f t="shared" si="5"/>
        <v>4.6888509670079639</v>
      </c>
      <c r="Q10" s="7">
        <f t="shared" si="5"/>
        <v>2.599979601203529</v>
      </c>
      <c r="R10" s="7">
        <f t="shared" si="5"/>
        <v>0.42800942832481237</v>
      </c>
      <c r="S10" s="7">
        <f t="shared" si="5"/>
        <v>0.60902902316729501</v>
      </c>
      <c r="T10" s="7">
        <f t="shared" si="5"/>
        <v>0.63166141587904856</v>
      </c>
      <c r="U10" s="7">
        <f t="shared" si="5"/>
        <v>0.74459217271704237</v>
      </c>
      <c r="V10" s="7">
        <f t="shared" si="5"/>
        <v>0.46051657715446082</v>
      </c>
      <c r="W10" s="7">
        <f t="shared" si="5"/>
        <v>0.50709508475176057</v>
      </c>
      <c r="X10" s="7">
        <f t="shared" si="5"/>
        <v>0.86559794372294374</v>
      </c>
      <c r="Y10" s="7">
        <f t="shared" si="5"/>
        <v>1.0984968123062524</v>
      </c>
      <c r="Z10" s="7">
        <f t="shared" si="5"/>
        <v>0.2553206491720823</v>
      </c>
      <c r="AA10" s="7">
        <f t="shared" si="5"/>
        <v>0.68432214717256867</v>
      </c>
      <c r="AB10" s="7">
        <f t="shared" si="5"/>
        <v>0.26749825017498252</v>
      </c>
      <c r="AC10" s="7">
        <f t="shared" si="5"/>
        <v>0.86798787398005439</v>
      </c>
      <c r="AD10" s="7">
        <f t="shared" si="5"/>
        <v>0.72226807239419255</v>
      </c>
      <c r="AE10" s="7">
        <f t="shared" si="5"/>
        <v>0.61251947638381843</v>
      </c>
      <c r="AF10" s="7">
        <f t="shared" si="5"/>
        <v>1.0947336159779333</v>
      </c>
      <c r="AG10" s="7">
        <f t="shared" si="5"/>
        <v>1.84227626738019</v>
      </c>
      <c r="AH10" s="7">
        <f t="shared" si="5"/>
        <v>2.6300757546225912</v>
      </c>
      <c r="AI10" s="7">
        <f t="shared" si="5"/>
        <v>2.4210946488529901</v>
      </c>
      <c r="AJ10" s="7">
        <f t="shared" si="5"/>
        <v>2.58409774845002</v>
      </c>
      <c r="AK10" s="7">
        <f t="shared" si="5"/>
        <v>1.7796142482858577</v>
      </c>
      <c r="AL10" s="7">
        <f t="shared" si="5"/>
        <v>2.3561445061271873</v>
      </c>
      <c r="AM10" s="7">
        <f t="shared" si="5"/>
        <v>2.5238231279560677</v>
      </c>
      <c r="AN10" s="7">
        <f t="shared" si="5"/>
        <v>2.4986589093777734</v>
      </c>
      <c r="AO10" s="7">
        <f t="shared" si="5"/>
        <v>1.8055587153528228</v>
      </c>
      <c r="AP10" s="7">
        <f>+AP6/AD6-1</f>
        <v>1.951054567542942</v>
      </c>
      <c r="AQ10" s="7"/>
      <c r="AR10" s="7"/>
      <c r="AS10" s="7"/>
      <c r="AT10" s="7"/>
      <c r="AU10" s="7"/>
      <c r="AV10" s="7"/>
      <c r="AW10" s="7"/>
      <c r="AX10" s="7"/>
      <c r="AY10" s="7"/>
      <c r="AZ10" s="7"/>
      <c r="BF10" s="7">
        <f>+BF6/BB6-1</f>
        <v>2.613217254953204</v>
      </c>
      <c r="BG10" s="7">
        <f t="shared" ref="BG10:BN10" si="6">+BG6/BC6-1</f>
        <v>0.81821426181607304</v>
      </c>
      <c r="BH10" s="7">
        <f t="shared" si="6"/>
        <v>0.60926121864691596</v>
      </c>
      <c r="BI10" s="7">
        <f t="shared" si="6"/>
        <v>0.84204692407167925</v>
      </c>
      <c r="BJ10" s="7">
        <f t="shared" si="6"/>
        <v>0.36854239372185948</v>
      </c>
      <c r="BK10" s="7">
        <f t="shared" si="6"/>
        <v>0.72487200876719493</v>
      </c>
      <c r="BL10" s="7">
        <f t="shared" si="6"/>
        <v>1.7937577351485148</v>
      </c>
      <c r="BM10" s="7">
        <f t="shared" si="6"/>
        <v>2.2025875037609066</v>
      </c>
      <c r="BN10" s="7">
        <f t="shared" si="6"/>
        <v>2.4562294789554002</v>
      </c>
      <c r="BR10" s="7">
        <f>+BR6/BP6-1</f>
        <v>1.8825411563046814</v>
      </c>
      <c r="BV10" s="7">
        <f t="shared" ref="BV10:BX10" si="7">+BV6/BT6-1</f>
        <v>1.3797018219719805</v>
      </c>
      <c r="BW10" s="7">
        <f t="shared" si="7"/>
        <v>0.73354568451344893</v>
      </c>
      <c r="BX10" s="7">
        <f t="shared" si="7"/>
        <v>0.55563380281690145</v>
      </c>
      <c r="BY10" s="7">
        <f>+BY6/BW6-1</f>
        <v>2.0256938889576857</v>
      </c>
    </row>
    <row r="11" spans="1:89" hidden="1" outlineLevel="2">
      <c r="A11" s="91" t="s">
        <v>806</v>
      </c>
      <c r="BN11" s="7">
        <f>+'Q4 FY21e analysis'!N23</f>
        <v>3.25</v>
      </c>
      <c r="BY11" s="128">
        <f>+'Q4 FY21e analysis'!AI23</f>
        <v>3</v>
      </c>
    </row>
    <row r="12" spans="1:89" s="16" customFormat="1" ht="16" hidden="1" outlineLevel="2">
      <c r="D12"/>
      <c r="F12"/>
      <c r="G12"/>
      <c r="H12"/>
      <c r="I12"/>
      <c r="J12"/>
      <c r="K12"/>
      <c r="L12"/>
      <c r="M12"/>
      <c r="N12"/>
      <c r="O12"/>
      <c r="P12"/>
      <c r="Q12"/>
      <c r="R12"/>
      <c r="S12"/>
      <c r="T12"/>
      <c r="U12"/>
      <c r="V12"/>
      <c r="W12"/>
      <c r="X12"/>
      <c r="Y12"/>
      <c r="Z12"/>
      <c r="AA12"/>
      <c r="AB12"/>
      <c r="AC12"/>
      <c r="AD12"/>
      <c r="AE12"/>
      <c r="AF12"/>
      <c r="AG12"/>
      <c r="AH12"/>
      <c r="AI12"/>
      <c r="AJ12"/>
      <c r="AK12"/>
      <c r="AL12"/>
      <c r="AM12"/>
      <c r="AN12"/>
    </row>
    <row r="13" spans="1:89" outlineLevel="1" collapsed="1">
      <c r="A13" t="s">
        <v>807</v>
      </c>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150" t="s">
        <v>251</v>
      </c>
      <c r="AG13" s="150" t="s">
        <v>251</v>
      </c>
      <c r="AH13" s="150" t="s">
        <v>251</v>
      </c>
      <c r="AI13" s="150" t="s">
        <v>251</v>
      </c>
      <c r="AJ13" s="150" t="s">
        <v>251</v>
      </c>
      <c r="AK13" s="9">
        <v>1350000</v>
      </c>
      <c r="AL13" s="9">
        <v>1050000</v>
      </c>
      <c r="AM13" s="9">
        <v>730000</v>
      </c>
      <c r="AN13" s="9">
        <v>1050000</v>
      </c>
      <c r="AO13" s="9">
        <v>1150000</v>
      </c>
      <c r="AP13" s="9">
        <v>1700000</v>
      </c>
      <c r="AQ13" s="9">
        <v>1650000</v>
      </c>
      <c r="AR13" s="9">
        <v>1750000</v>
      </c>
      <c r="AS13" s="9">
        <v>1950000</v>
      </c>
      <c r="AT13" s="9">
        <v>2000000</v>
      </c>
      <c r="AU13" s="9">
        <v>2750000</v>
      </c>
      <c r="AV13" s="150">
        <v>4700000</v>
      </c>
      <c r="AW13" s="150">
        <v>4850000</v>
      </c>
      <c r="AX13" s="150">
        <v>2900000</v>
      </c>
      <c r="AY13" s="150">
        <v>2200000</v>
      </c>
      <c r="AZ13" s="150"/>
      <c r="BB13" s="9"/>
      <c r="BC13" s="9"/>
      <c r="BD13" s="9"/>
      <c r="BE13" s="9"/>
      <c r="BF13" s="9"/>
      <c r="BG13" s="9"/>
      <c r="BH13" s="9"/>
      <c r="BI13" s="9"/>
      <c r="BJ13" s="9"/>
      <c r="BK13" s="9"/>
      <c r="BL13" s="9"/>
      <c r="BM13" s="9"/>
      <c r="BN13" s="9"/>
      <c r="BP13" s="17"/>
      <c r="BQ13" s="17">
        <f>SUM(AL13:AM13)</f>
        <v>1780000</v>
      </c>
      <c r="BR13" s="17">
        <f>SUM(AO13:AP13)</f>
        <v>2850000</v>
      </c>
      <c r="BS13" s="17"/>
      <c r="BT13" s="17"/>
      <c r="BU13" s="17"/>
      <c r="BV13" s="17"/>
      <c r="BW13" s="17"/>
      <c r="BX13" s="17"/>
      <c r="BY13" s="17"/>
    </row>
    <row r="14" spans="1:89" outlineLevel="1">
      <c r="A14" s="91" t="s">
        <v>808</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153" t="s">
        <v>251</v>
      </c>
      <c r="AG14" s="153" t="s">
        <v>251</v>
      </c>
      <c r="AH14" s="153" t="s">
        <v>251</v>
      </c>
      <c r="AI14" s="153" t="s">
        <v>251</v>
      </c>
      <c r="AJ14" s="153" t="s">
        <v>251</v>
      </c>
      <c r="AK14" s="153" t="s">
        <v>251</v>
      </c>
      <c r="AL14" s="27">
        <f t="shared" ref="AL14:AN14" si="8">+AL13/AK13-1</f>
        <v>-0.22222222222222221</v>
      </c>
      <c r="AM14" s="27">
        <f t="shared" si="8"/>
        <v>-0.30476190476190479</v>
      </c>
      <c r="AN14" s="27">
        <f t="shared" si="8"/>
        <v>0.43835616438356162</v>
      </c>
      <c r="AO14" s="27">
        <f t="shared" ref="AO14" si="9">+AO13/AN13-1</f>
        <v>9.5238095238095344E-2</v>
      </c>
      <c r="AP14" s="27">
        <f t="shared" ref="AP14:AR14" si="10">+AP13/AO13-1</f>
        <v>0.47826086956521729</v>
      </c>
      <c r="AQ14" s="27">
        <f t="shared" si="10"/>
        <v>-2.9411764705882359E-2</v>
      </c>
      <c r="AR14" s="27">
        <f t="shared" si="10"/>
        <v>6.0606060606060552E-2</v>
      </c>
      <c r="AS14" s="27">
        <f t="shared" ref="AS14" si="11">+AS13/AR13-1</f>
        <v>0.11428571428571432</v>
      </c>
      <c r="AT14" s="27">
        <f t="shared" ref="AT14:AW14" si="12">+AT13/AS13-1</f>
        <v>2.564102564102555E-2</v>
      </c>
      <c r="AU14" s="27">
        <f t="shared" si="12"/>
        <v>0.375</v>
      </c>
      <c r="AV14" s="27">
        <f t="shared" si="12"/>
        <v>0.70909090909090899</v>
      </c>
      <c r="AW14" s="27">
        <f t="shared" si="12"/>
        <v>3.1914893617021267E-2</v>
      </c>
      <c r="AX14" s="27">
        <f t="shared" ref="AX14" si="13">+AX13/AW13-1</f>
        <v>-0.40206185567010311</v>
      </c>
      <c r="AY14" s="27">
        <f t="shared" ref="AY14" si="14">+AY13/AX13-1</f>
        <v>-0.24137931034482762</v>
      </c>
      <c r="AZ14" s="27"/>
      <c r="BA14" s="27"/>
      <c r="BB14" s="27"/>
      <c r="BC14" s="27"/>
      <c r="BD14" s="27"/>
      <c r="BE14" s="27"/>
      <c r="BF14" s="27"/>
      <c r="BG14" s="27"/>
      <c r="BH14" s="27"/>
      <c r="BI14" s="27"/>
      <c r="BJ14" s="27"/>
      <c r="BK14" s="27"/>
      <c r="BL14" s="27"/>
      <c r="BM14" s="27"/>
      <c r="BN14" s="27"/>
      <c r="BO14" s="27"/>
      <c r="BP14" s="27"/>
      <c r="BQ14" s="27"/>
      <c r="BR14" s="27">
        <f>+BR13/BQ13-1</f>
        <v>0.601123595505618</v>
      </c>
      <c r="BS14" s="27"/>
      <c r="BT14" s="27"/>
      <c r="BU14" s="27"/>
      <c r="BV14" s="27"/>
      <c r="BW14" s="27"/>
      <c r="BX14" s="27"/>
      <c r="BY14" s="27"/>
      <c r="BZ14" s="27"/>
      <c r="CA14" s="27"/>
      <c r="CB14" s="27"/>
      <c r="CC14" s="27"/>
      <c r="CD14" s="27"/>
      <c r="CE14" s="27"/>
      <c r="CF14" s="27"/>
      <c r="CG14" s="27"/>
      <c r="CH14" s="27"/>
      <c r="CI14" s="27"/>
      <c r="CJ14" s="27"/>
      <c r="CK14" s="27"/>
    </row>
    <row r="15" spans="1:89" outlineLevel="1">
      <c r="A15" s="91" t="s">
        <v>225</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153"/>
      <c r="AG15" s="153"/>
      <c r="AH15" s="153"/>
      <c r="AI15" s="153"/>
      <c r="AJ15" s="153"/>
      <c r="AK15" s="153"/>
      <c r="AL15" s="27"/>
      <c r="AM15" s="27"/>
      <c r="AN15" s="27"/>
      <c r="AO15" s="27"/>
      <c r="AP15" s="27"/>
      <c r="AQ15" s="27"/>
      <c r="AR15" s="27"/>
      <c r="AS15" s="27"/>
      <c r="AT15" s="27"/>
      <c r="AU15" s="27"/>
      <c r="AV15" s="27"/>
      <c r="AW15" s="27">
        <f>+AW13/AK13-1</f>
        <v>2.5925925925925926</v>
      </c>
      <c r="AX15" s="27">
        <f t="shared" ref="AX15" si="15">+AX13/AL13-1</f>
        <v>1.7619047619047619</v>
      </c>
      <c r="AY15" s="27">
        <f t="shared" ref="AY15" si="16">+AY13/AM13-1</f>
        <v>2.0136986301369864</v>
      </c>
      <c r="AZ15" s="27"/>
      <c r="BA15" s="27"/>
      <c r="BB15" s="27"/>
      <c r="BC15" s="27"/>
      <c r="BD15" s="27"/>
      <c r="BE15" s="27"/>
      <c r="BF15" s="27"/>
      <c r="BG15" s="27"/>
      <c r="BH15" s="27"/>
      <c r="BI15" s="27"/>
      <c r="BJ15" s="27"/>
      <c r="BK15" s="27"/>
      <c r="BL15" s="27"/>
      <c r="BM15" s="27"/>
      <c r="BN15" s="27"/>
      <c r="BO15" s="27"/>
      <c r="BP15" s="27"/>
      <c r="BQ15" s="27"/>
      <c r="BR15" s="27" t="e">
        <f t="shared" ref="BR15" si="17">+BR14/BQ14-1</f>
        <v>#DIV/0!</v>
      </c>
      <c r="BS15" s="27"/>
      <c r="BT15" s="27"/>
      <c r="BU15" s="27"/>
      <c r="BV15" s="27"/>
      <c r="BW15" s="27"/>
      <c r="BX15" s="27"/>
      <c r="BY15" s="27"/>
      <c r="BZ15" s="27"/>
      <c r="CA15" s="27"/>
      <c r="CB15" s="27"/>
      <c r="CC15" s="27"/>
      <c r="CD15" s="27"/>
      <c r="CE15" s="27"/>
      <c r="CF15" s="27"/>
      <c r="CG15" s="27"/>
      <c r="CH15" s="27"/>
      <c r="CI15" s="27"/>
      <c r="CJ15" s="27"/>
      <c r="CK15" s="27"/>
    </row>
    <row r="16" spans="1:89" hidden="1" outlineLevel="2">
      <c r="A16" s="91"/>
      <c r="AL16" s="27"/>
      <c r="AM16" s="27"/>
      <c r="AN16" s="27"/>
      <c r="AO16" s="27"/>
      <c r="AP16" s="27"/>
      <c r="AQ16" s="117">
        <f>+AQ30</f>
        <v>0.24722222222222223</v>
      </c>
      <c r="AR16" s="27"/>
      <c r="AS16" s="27"/>
      <c r="AT16" s="27"/>
      <c r="AU16" s="27"/>
      <c r="AV16" s="27"/>
      <c r="AW16" s="27"/>
      <c r="AX16" s="27"/>
      <c r="AY16" s="27"/>
      <c r="AZ16" s="27"/>
    </row>
    <row r="17" spans="1:89" hidden="1" outlineLevel="2">
      <c r="A17" s="91"/>
      <c r="AL17" s="27"/>
      <c r="AM17" s="27"/>
      <c r="AN17" s="27"/>
      <c r="AO17" s="27"/>
      <c r="AP17" s="27"/>
      <c r="AQ17" s="117">
        <f>+SUM(AO13:AQ13)/SUM(AL13:AN13)-1</f>
        <v>0.59010600706713778</v>
      </c>
      <c r="AR17" s="27"/>
      <c r="AS17" s="27"/>
      <c r="AT17" s="27"/>
      <c r="AU17" s="27"/>
      <c r="AV17" s="27"/>
      <c r="AW17" s="27"/>
      <c r="AX17" s="27"/>
      <c r="AY17" s="27"/>
      <c r="AZ17" s="27"/>
    </row>
    <row r="18" spans="1:89" outlineLevel="1" collapsed="1">
      <c r="A18" s="91"/>
      <c r="AL18" s="27"/>
      <c r="AM18" s="27"/>
      <c r="AN18" s="27"/>
      <c r="AO18" s="27"/>
      <c r="AP18" s="27"/>
      <c r="AQ18" s="117"/>
      <c r="AR18" s="27"/>
      <c r="AS18" s="27"/>
      <c r="AT18" s="27"/>
      <c r="AU18" s="27"/>
      <c r="AV18" s="27"/>
      <c r="AW18" s="27"/>
      <c r="AX18" s="27"/>
      <c r="AY18" s="27"/>
      <c r="AZ18" s="27"/>
    </row>
    <row r="19" spans="1:89" outlineLevel="1">
      <c r="A19" s="91" t="s">
        <v>809</v>
      </c>
      <c r="AL19" s="27"/>
      <c r="AM19" s="117"/>
      <c r="AN19" s="117"/>
      <c r="AO19" s="117"/>
      <c r="AP19" s="117"/>
      <c r="AQ19" s="117">
        <f>+AQ30</f>
        <v>0.24722222222222223</v>
      </c>
      <c r="AR19" s="117"/>
      <c r="AS19" s="117"/>
      <c r="AT19" s="117"/>
      <c r="AU19" s="117"/>
      <c r="AV19" s="117"/>
      <c r="AW19" s="117"/>
      <c r="AX19" s="117"/>
      <c r="AY19" s="117"/>
      <c r="AZ19" s="117"/>
    </row>
    <row r="20" spans="1:89" outlineLevel="1">
      <c r="A20" s="91" t="s">
        <v>810</v>
      </c>
      <c r="AL20" s="27"/>
      <c r="AM20" s="117"/>
      <c r="AN20" s="117"/>
      <c r="AO20" s="117"/>
      <c r="AP20" s="117"/>
      <c r="AQ20" s="117">
        <f>+SUM(AO13:AQ13)/SUM(AL13:AN13)-1</f>
        <v>0.59010600706713778</v>
      </c>
      <c r="AR20" s="117"/>
      <c r="AS20" s="117"/>
      <c r="AT20" s="117"/>
      <c r="AU20" s="117"/>
      <c r="AV20" s="117"/>
      <c r="AW20" s="117"/>
      <c r="AX20" s="117"/>
      <c r="AY20" s="117"/>
      <c r="AZ20" s="117"/>
    </row>
    <row r="21" spans="1:89" outlineLevel="1">
      <c r="A21" s="91"/>
      <c r="AL21" s="27"/>
      <c r="AM21" s="117"/>
      <c r="AN21" s="117"/>
      <c r="AO21" s="117"/>
      <c r="AP21" s="117"/>
      <c r="AQ21" s="117"/>
      <c r="AR21" s="117"/>
      <c r="AS21" s="117"/>
      <c r="AT21" s="117"/>
      <c r="AU21" s="117"/>
      <c r="AV21" s="117"/>
      <c r="AW21" s="117"/>
      <c r="AX21" s="117"/>
      <c r="AY21" s="117"/>
      <c r="AZ21" s="117"/>
    </row>
    <row r="22" spans="1:89" outlineLevel="1" collapsed="1">
      <c r="A22" t="s">
        <v>811</v>
      </c>
      <c r="B22" s="9">
        <v>8667</v>
      </c>
      <c r="C22" s="9">
        <v>11795</v>
      </c>
      <c r="D22" s="9">
        <v>3916</v>
      </c>
      <c r="E22" s="9">
        <v>11518</v>
      </c>
      <c r="F22" s="9">
        <v>53639</v>
      </c>
      <c r="G22" s="9">
        <v>52903</v>
      </c>
      <c r="H22" s="9">
        <v>42217</v>
      </c>
      <c r="I22" s="9">
        <v>54458</v>
      </c>
      <c r="J22" s="9">
        <v>80515</v>
      </c>
      <c r="K22" s="9">
        <v>109735</v>
      </c>
      <c r="L22" s="9">
        <v>83141</v>
      </c>
      <c r="M22" s="9">
        <v>63045</v>
      </c>
      <c r="N22" s="9">
        <v>102304</v>
      </c>
      <c r="O22" s="9">
        <v>63158</v>
      </c>
      <c r="P22" s="9">
        <v>75095</v>
      </c>
      <c r="Q22" s="9">
        <v>74163</v>
      </c>
      <c r="R22" s="9">
        <v>119018</v>
      </c>
      <c r="S22" s="9">
        <v>91641</v>
      </c>
      <c r="T22" s="9">
        <v>132716</v>
      </c>
      <c r="U22" s="9">
        <v>102366</v>
      </c>
      <c r="V22" s="9">
        <v>64396</v>
      </c>
      <c r="W22" s="9">
        <v>63609</v>
      </c>
      <c r="X22" s="9">
        <v>116180</v>
      </c>
      <c r="Y22" s="9">
        <v>101295</v>
      </c>
      <c r="Z22" s="9">
        <v>107465</v>
      </c>
      <c r="AA22" s="9">
        <v>71534</v>
      </c>
      <c r="AB22" s="9">
        <v>47914</v>
      </c>
      <c r="AC22" s="9">
        <v>45873</v>
      </c>
      <c r="AD22" s="9">
        <v>121284</v>
      </c>
      <c r="AE22" s="9">
        <v>130811</v>
      </c>
      <c r="AF22" s="9">
        <v>123987</v>
      </c>
      <c r="AG22" s="9">
        <v>155930</v>
      </c>
      <c r="AH22" s="9">
        <v>120043</v>
      </c>
      <c r="AI22" s="9">
        <v>270867</v>
      </c>
      <c r="AJ22" s="9">
        <v>346943</v>
      </c>
      <c r="AK22" s="9">
        <v>389790</v>
      </c>
      <c r="AL22" s="9">
        <v>299954</v>
      </c>
      <c r="AM22" s="9">
        <v>263841</v>
      </c>
      <c r="AN22" s="9">
        <v>265696</v>
      </c>
      <c r="AO22" s="9">
        <v>330396</v>
      </c>
      <c r="AP22" s="9">
        <v>405522</v>
      </c>
      <c r="AQ22" s="9">
        <v>468766</v>
      </c>
      <c r="AR22" s="9">
        <v>400629</v>
      </c>
      <c r="AS22" s="9">
        <v>504499</v>
      </c>
      <c r="AT22" s="9">
        <v>579216</v>
      </c>
      <c r="AU22" s="9">
        <v>702737</v>
      </c>
      <c r="AV22" s="150">
        <v>1061054</v>
      </c>
      <c r="AW22" s="150">
        <v>950928</v>
      </c>
      <c r="AX22" s="150"/>
      <c r="AY22" s="150"/>
      <c r="AZ22" s="150"/>
      <c r="BB22" s="9"/>
      <c r="BC22" s="9"/>
      <c r="BD22" s="9"/>
      <c r="BE22" s="9"/>
      <c r="BF22" s="9"/>
      <c r="BG22" s="9"/>
      <c r="BH22" s="9"/>
      <c r="BI22" s="9"/>
      <c r="BJ22" s="9"/>
      <c r="BK22" s="9"/>
      <c r="BL22" s="9"/>
      <c r="BM22" s="9"/>
      <c r="BN22" s="9"/>
      <c r="BP22" s="17"/>
      <c r="BQ22" s="17"/>
      <c r="BR22" s="17"/>
      <c r="BS22" s="17"/>
      <c r="BT22" s="17"/>
      <c r="BU22" s="17"/>
      <c r="BV22" s="17"/>
      <c r="BW22" s="17"/>
      <c r="BX22" s="17"/>
      <c r="BY22" s="17"/>
    </row>
    <row r="23" spans="1:89" outlineLevel="1">
      <c r="A23" s="91" t="s">
        <v>808</v>
      </c>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f t="shared" ref="AF23" si="18">+AF22/AE22-1</f>
        <v>-5.2166866700812609E-2</v>
      </c>
      <c r="AG23" s="27">
        <f t="shared" ref="AG23" si="19">+AG22/AF22-1</f>
        <v>0.25763184850024601</v>
      </c>
      <c r="AH23" s="27">
        <f t="shared" ref="AH23" si="20">+AH22/AG22-1</f>
        <v>-0.23014814339767842</v>
      </c>
      <c r="AI23" s="27">
        <f t="shared" ref="AI23" si="21">+AI22/AH22-1</f>
        <v>1.2564164507718067</v>
      </c>
      <c r="AJ23" s="27">
        <f t="shared" ref="AJ23" si="22">+AJ22/AI22-1</f>
        <v>0.28086108680644006</v>
      </c>
      <c r="AK23" s="27">
        <f t="shared" ref="AK23" si="23">+AK22/AJ22-1</f>
        <v>0.12349867269263259</v>
      </c>
      <c r="AL23" s="27">
        <f t="shared" ref="AL23" si="24">+AL22/AK22-1</f>
        <v>-0.23047281869724723</v>
      </c>
      <c r="AM23" s="27">
        <f t="shared" ref="AM23" si="25">+AM22/AL22-1</f>
        <v>-0.1203951272528454</v>
      </c>
      <c r="AN23" s="27">
        <f t="shared" ref="AN23" si="26">+AN22/AM22-1</f>
        <v>7.0307495802395259E-3</v>
      </c>
      <c r="AO23" s="27">
        <f t="shared" ref="AO23" si="27">+AO22/AN22-1</f>
        <v>0.24351138142839934</v>
      </c>
      <c r="AP23" s="27">
        <f t="shared" ref="AP23" si="28">+AP22/AO22-1</f>
        <v>0.22738168742962994</v>
      </c>
      <c r="AQ23" s="27">
        <f t="shared" ref="AQ23" si="29">+AQ22/AP22-1</f>
        <v>0.15595701342960422</v>
      </c>
      <c r="AR23" s="27">
        <f t="shared" ref="AR23" si="30">+AR22/AQ22-1</f>
        <v>-0.14535397191775856</v>
      </c>
      <c r="AS23" s="27">
        <f t="shared" ref="AS23" si="31">+AS22/AR22-1</f>
        <v>0.25926730216734195</v>
      </c>
      <c r="AT23" s="27">
        <f t="shared" ref="AT23" si="32">+AT22/AS22-1</f>
        <v>0.14810138374902637</v>
      </c>
      <c r="AU23" s="27">
        <f t="shared" ref="AU23" si="33">+AU22/AT22-1</f>
        <v>0.21325550399160242</v>
      </c>
      <c r="AV23" s="27">
        <f t="shared" ref="AV23" si="34">+AV22/AU22-1</f>
        <v>0.50988776740089103</v>
      </c>
      <c r="AW23" s="27">
        <f t="shared" ref="AW23" si="35">+AW22/AV22-1</f>
        <v>-0.10378925106545001</v>
      </c>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row>
    <row r="24" spans="1:89" outlineLevel="1">
      <c r="A24" s="91" t="s">
        <v>225</v>
      </c>
      <c r="AF24" s="27">
        <f t="shared" ref="AF24:AT24" si="36">+AF22/T22-1</f>
        <v>-6.577202447331143E-2</v>
      </c>
      <c r="AG24" s="27">
        <f t="shared" si="36"/>
        <v>0.52325967606431822</v>
      </c>
      <c r="AH24" s="27">
        <f t="shared" si="36"/>
        <v>0.86413752406981792</v>
      </c>
      <c r="AI24" s="27">
        <f t="shared" si="36"/>
        <v>3.258312502947696</v>
      </c>
      <c r="AJ24" s="27">
        <f t="shared" si="36"/>
        <v>1.9862540884833879</v>
      </c>
      <c r="AK24" s="27">
        <f t="shared" si="36"/>
        <v>2.8480675255442027</v>
      </c>
      <c r="AL24" s="27">
        <f t="shared" si="36"/>
        <v>1.7911785232401245</v>
      </c>
      <c r="AM24" s="27">
        <f t="shared" si="36"/>
        <v>2.6883300248832724</v>
      </c>
      <c r="AN24" s="27">
        <f t="shared" si="36"/>
        <v>4.5452686062528693</v>
      </c>
      <c r="AO24" s="27">
        <f t="shared" si="36"/>
        <v>6.202406644431365</v>
      </c>
      <c r="AP24" s="27">
        <f t="shared" si="36"/>
        <v>2.3435737607598695</v>
      </c>
      <c r="AQ24" s="27">
        <f t="shared" si="36"/>
        <v>2.5835365527363905</v>
      </c>
      <c r="AR24" s="27">
        <f t="shared" si="36"/>
        <v>2.2312177889617462</v>
      </c>
      <c r="AS24" s="27">
        <f t="shared" si="36"/>
        <v>2.2354197396267557</v>
      </c>
      <c r="AT24" s="27">
        <f t="shared" si="36"/>
        <v>3.8250710162191881</v>
      </c>
      <c r="AU24" s="27">
        <f>+AU22/AI22-1</f>
        <v>1.5943987270505451</v>
      </c>
      <c r="AV24" s="27">
        <f t="shared" ref="AV24" si="37">+AV22/AJ22-1</f>
        <v>2.0582948784094217</v>
      </c>
      <c r="AW24" s="27">
        <f t="shared" ref="AW24" si="38">+AW22/AK22-1</f>
        <v>1.4395905487570229</v>
      </c>
      <c r="AX24" s="27"/>
      <c r="AY24" s="27"/>
      <c r="AZ24" s="27"/>
    </row>
    <row r="25" spans="1:89" outlineLevel="1">
      <c r="A25" s="91"/>
      <c r="AL25" s="27"/>
      <c r="AM25" s="27"/>
      <c r="AN25" s="27"/>
      <c r="AO25" s="27"/>
      <c r="AP25" s="27"/>
      <c r="AQ25" s="27"/>
      <c r="AR25" s="27"/>
      <c r="AS25" s="27"/>
      <c r="AT25" s="27"/>
      <c r="AU25" s="27"/>
      <c r="AV25" s="27"/>
      <c r="AW25" s="27"/>
      <c r="AX25" s="27"/>
      <c r="AY25" s="27"/>
      <c r="AZ25" s="27"/>
    </row>
    <row r="26" spans="1:89" outlineLevel="1">
      <c r="A26" s="133" t="s">
        <v>812</v>
      </c>
      <c r="AL26" s="27"/>
      <c r="AM26" s="27"/>
      <c r="AN26" s="27"/>
      <c r="AO26" s="27"/>
      <c r="AP26" s="27"/>
      <c r="AQ26" s="27"/>
      <c r="AR26" s="27"/>
      <c r="AS26" s="27"/>
      <c r="AT26" s="27"/>
      <c r="AU26" s="27"/>
      <c r="AV26" s="27"/>
      <c r="AW26" s="27"/>
      <c r="AX26" s="27"/>
      <c r="AY26" s="27"/>
      <c r="AZ26" s="27"/>
    </row>
    <row r="27" spans="1:89" outlineLevel="1">
      <c r="A27" s="91" t="s">
        <v>813</v>
      </c>
      <c r="AL27" s="27"/>
      <c r="AM27" s="117"/>
      <c r="AN27" s="117">
        <f>+'Q4 FY21e analysis'!N23</f>
        <v>3.25</v>
      </c>
      <c r="AO27" s="117"/>
      <c r="AP27" s="117"/>
      <c r="AQ27" s="117"/>
      <c r="AR27" s="117"/>
      <c r="AS27" s="117"/>
      <c r="AT27" s="117"/>
      <c r="AU27" s="117"/>
      <c r="AV27" s="117"/>
      <c r="AW27" s="117"/>
      <c r="AX27" s="117"/>
      <c r="AY27" s="117"/>
      <c r="AZ27" s="117"/>
    </row>
    <row r="28" spans="1:89" outlineLevel="1">
      <c r="A28" s="91" t="s">
        <v>814</v>
      </c>
      <c r="AL28" s="27"/>
      <c r="AM28" s="117"/>
      <c r="AN28" s="117">
        <f>+SUM(AL22:AN22)/SUM(Z22:AB22)-1</f>
        <v>2.6555463988400843</v>
      </c>
      <c r="AO28" s="117"/>
      <c r="AP28" s="117"/>
      <c r="AQ28" s="117"/>
      <c r="AR28" s="117"/>
      <c r="AS28" s="117"/>
      <c r="AT28" s="117"/>
      <c r="AU28" s="117"/>
      <c r="AV28" s="117"/>
      <c r="AW28" s="117"/>
      <c r="AX28" s="117"/>
      <c r="AY28" s="117"/>
      <c r="AZ28" s="117"/>
    </row>
    <row r="29" spans="1:89" outlineLevel="1">
      <c r="A29" s="133"/>
      <c r="AL29" s="27"/>
      <c r="AM29" s="117"/>
      <c r="AN29" s="117"/>
      <c r="AO29" s="117"/>
      <c r="AP29" s="117"/>
      <c r="AQ29" s="117"/>
      <c r="AR29" s="117"/>
      <c r="AS29" s="117"/>
      <c r="AT29" s="117"/>
      <c r="AU29" s="117"/>
      <c r="AV29" s="117"/>
      <c r="AW29" s="117"/>
      <c r="AX29" s="117"/>
      <c r="AY29" s="117"/>
      <c r="AZ29" s="117"/>
    </row>
    <row r="30" spans="1:89" outlineLevel="1">
      <c r="A30" s="91" t="s">
        <v>809</v>
      </c>
      <c r="AL30" s="27"/>
      <c r="AM30" s="117"/>
      <c r="AN30" s="117"/>
      <c r="AO30" s="117"/>
      <c r="AP30" s="117"/>
      <c r="AQ30" s="117">
        <f>+'Q4 FY21e analysis'!O17</f>
        <v>0.24722222222222223</v>
      </c>
      <c r="AR30" s="117"/>
      <c r="AS30" s="117"/>
      <c r="AT30" s="117"/>
      <c r="AU30" s="117"/>
      <c r="AV30" s="117"/>
      <c r="AW30" s="117"/>
      <c r="AX30" s="117"/>
      <c r="AY30" s="117"/>
      <c r="AZ30" s="117"/>
    </row>
    <row r="31" spans="1:89" outlineLevel="1">
      <c r="A31" s="91" t="s">
        <v>814</v>
      </c>
      <c r="AL31" s="27"/>
      <c r="AM31" s="117"/>
      <c r="AN31" s="117"/>
      <c r="AO31" s="117"/>
      <c r="AP31" s="117"/>
      <c r="AQ31" s="117">
        <f>+SUM(AO22:AQ22)/SUM(AL22:AN22)-1</f>
        <v>0.45231714388703437</v>
      </c>
      <c r="AR31" s="117"/>
      <c r="AS31" s="117"/>
      <c r="AT31" s="117"/>
      <c r="AU31" s="117"/>
      <c r="AV31" s="117"/>
      <c r="AW31" s="117"/>
      <c r="AX31" s="117"/>
      <c r="AY31" s="117"/>
      <c r="AZ31" s="117"/>
    </row>
    <row r="32" spans="1:89" outlineLevel="1">
      <c r="A32" s="91"/>
      <c r="AL32" s="27"/>
      <c r="AM32" s="117"/>
      <c r="AN32" s="117"/>
      <c r="AO32" s="117"/>
      <c r="AP32" s="117"/>
      <c r="AQ32" s="117"/>
      <c r="AR32" s="117"/>
      <c r="AS32" s="117"/>
      <c r="AT32" s="117"/>
      <c r="AU32" s="117"/>
      <c r="AV32" s="117"/>
      <c r="AW32" s="117"/>
      <c r="AX32" s="117"/>
      <c r="AY32" s="117"/>
      <c r="AZ32" s="117"/>
    </row>
    <row r="33" spans="1:89" outlineLevel="1">
      <c r="A33" s="91" t="s">
        <v>815</v>
      </c>
      <c r="AL33" s="27"/>
      <c r="AM33" s="117"/>
      <c r="AN33" s="117"/>
      <c r="AO33" s="117"/>
      <c r="AP33" s="117"/>
      <c r="AQ33" s="117">
        <f>+'Q4 FY21e analysis'!O23</f>
        <v>2.0024584521585207</v>
      </c>
      <c r="AR33" s="117"/>
      <c r="AS33" s="117"/>
      <c r="AT33" s="117"/>
      <c r="AU33" s="117"/>
      <c r="AV33" s="117"/>
      <c r="AW33" s="117"/>
      <c r="AX33" s="117"/>
      <c r="AY33" s="117"/>
      <c r="AZ33" s="117"/>
    </row>
    <row r="34" spans="1:89" outlineLevel="1">
      <c r="A34" s="91" t="s">
        <v>814</v>
      </c>
      <c r="AL34" s="27"/>
      <c r="AM34" s="117"/>
      <c r="AN34" s="117"/>
      <c r="AO34" s="117"/>
      <c r="AP34" s="117"/>
      <c r="AQ34" s="117">
        <f>+SUM(AO22:AQ22)/SUM(AC22:AE22)-1</f>
        <v>3.0429979058153895</v>
      </c>
      <c r="AR34" s="117"/>
      <c r="AS34" s="117"/>
      <c r="AT34" s="117"/>
      <c r="AU34" s="117"/>
      <c r="AV34" s="117"/>
      <c r="AW34" s="117"/>
      <c r="AX34" s="117"/>
      <c r="AY34" s="117"/>
      <c r="AZ34" s="117"/>
    </row>
    <row r="35" spans="1:89" outlineLevel="1">
      <c r="A35" s="91"/>
      <c r="AL35" s="27"/>
      <c r="AM35" s="117"/>
      <c r="AN35" s="117"/>
      <c r="AO35" s="117"/>
      <c r="AP35" s="117"/>
      <c r="AQ35" s="117"/>
      <c r="AR35" s="117"/>
      <c r="AS35" s="117"/>
      <c r="AT35" s="117"/>
      <c r="AU35" s="117"/>
      <c r="AV35" s="117"/>
      <c r="AW35" s="117"/>
      <c r="AX35" s="117"/>
      <c r="AY35" s="117"/>
      <c r="AZ35" s="117"/>
    </row>
    <row r="36" spans="1:89" outlineLevel="1">
      <c r="A36" s="91" t="s">
        <v>816</v>
      </c>
      <c r="AL36" s="27"/>
      <c r="AM36" s="117"/>
      <c r="AN36" s="117"/>
      <c r="AO36" s="117"/>
      <c r="AP36" s="117"/>
      <c r="AQ36" s="117"/>
      <c r="AR36" s="117"/>
      <c r="AS36" s="117"/>
      <c r="AT36" s="117"/>
      <c r="AU36" s="117">
        <v>2.31</v>
      </c>
      <c r="AV36" s="117"/>
      <c r="AW36" s="117"/>
      <c r="AX36" s="117"/>
      <c r="AY36" s="117"/>
      <c r="AZ36" s="117"/>
    </row>
    <row r="37" spans="1:89" outlineLevel="1">
      <c r="A37" s="91" t="s">
        <v>814</v>
      </c>
      <c r="AL37" s="27"/>
      <c r="AM37" s="117"/>
      <c r="AN37" s="117"/>
      <c r="AO37" s="117"/>
      <c r="AP37" s="117"/>
      <c r="AQ37" s="117"/>
      <c r="AR37" s="117"/>
      <c r="AS37" s="117"/>
      <c r="AT37" s="117"/>
      <c r="AU37" s="117">
        <f>SUM(AR22:AU22)/SUM(AF22:AI22)-1</f>
        <v>2.2602757491871972</v>
      </c>
      <c r="AV37" s="117"/>
      <c r="AW37" s="117"/>
      <c r="AX37" s="117"/>
      <c r="AY37" s="117"/>
      <c r="AZ37" s="117"/>
    </row>
    <row r="38" spans="1:89" outlineLevel="1">
      <c r="A38" s="91"/>
      <c r="AL38" s="27"/>
      <c r="AM38" s="117"/>
      <c r="AN38" s="117"/>
      <c r="AO38" s="117"/>
      <c r="AP38" s="117"/>
      <c r="AQ38" s="117"/>
      <c r="AR38" s="117"/>
      <c r="AS38" s="117"/>
      <c r="AT38" s="117"/>
      <c r="AU38" s="117"/>
      <c r="AV38" s="117"/>
      <c r="AW38" s="117"/>
      <c r="AX38" s="117"/>
      <c r="AY38" s="117"/>
      <c r="AZ38" s="117"/>
    </row>
    <row r="39" spans="1:89" outlineLevel="1">
      <c r="A39" s="91" t="s">
        <v>817</v>
      </c>
      <c r="AL39" s="27"/>
      <c r="AM39" s="27"/>
      <c r="AN39" s="117"/>
      <c r="AO39" s="117"/>
      <c r="AP39" s="117"/>
      <c r="AQ39" s="117"/>
      <c r="AR39" s="117"/>
      <c r="AS39" s="117"/>
      <c r="AT39" s="117"/>
      <c r="AU39" s="117">
        <v>3.79</v>
      </c>
      <c r="AV39" s="117"/>
      <c r="AW39" s="117"/>
      <c r="AX39" s="117"/>
      <c r="AY39" s="117"/>
      <c r="AZ39" s="117"/>
    </row>
    <row r="40" spans="1:89" outlineLevel="1">
      <c r="A40" s="91" t="s">
        <v>814</v>
      </c>
      <c r="AL40" s="27"/>
      <c r="AM40" s="27"/>
      <c r="AN40" s="117"/>
      <c r="AO40" s="117"/>
      <c r="AP40" s="117"/>
      <c r="AQ40" s="117"/>
      <c r="AR40" s="117"/>
      <c r="AS40" s="117"/>
      <c r="AT40" s="117"/>
      <c r="AU40" s="117">
        <f>+AU24</f>
        <v>1.5943987270505451</v>
      </c>
      <c r="AV40" s="117"/>
      <c r="AW40" s="117"/>
      <c r="AX40" s="117"/>
      <c r="AY40" s="117"/>
      <c r="AZ40" s="117"/>
    </row>
    <row r="41" spans="1:89" outlineLevel="1">
      <c r="A41" s="91"/>
      <c r="AL41" s="27"/>
      <c r="AM41" s="117"/>
      <c r="AN41" s="117"/>
      <c r="AO41" s="117"/>
      <c r="AP41" s="117"/>
      <c r="AQ41" s="117"/>
      <c r="AR41" s="117"/>
      <c r="AS41" s="117"/>
      <c r="AT41" s="117"/>
      <c r="AU41" s="117"/>
      <c r="AV41" s="117"/>
      <c r="AW41" s="117"/>
      <c r="AX41" s="117"/>
      <c r="AY41" s="117"/>
      <c r="AZ41" s="117"/>
    </row>
    <row r="42" spans="1:89" outlineLevel="1">
      <c r="A42" s="91"/>
      <c r="AL42" s="27"/>
      <c r="AM42" s="117"/>
      <c r="AN42" s="117"/>
      <c r="AO42" s="117"/>
      <c r="AP42" s="117"/>
      <c r="AQ42" s="117"/>
      <c r="AR42" s="117"/>
      <c r="AS42" s="117"/>
      <c r="AT42" s="117"/>
      <c r="AU42" s="117"/>
      <c r="AV42" s="117"/>
      <c r="AW42" s="117"/>
      <c r="AX42" s="117"/>
      <c r="AY42" s="117"/>
      <c r="AZ42" s="117"/>
    </row>
    <row r="43" spans="1:89" outlineLevel="1" collapsed="1">
      <c r="A43" t="s">
        <v>818</v>
      </c>
      <c r="B43" s="9">
        <v>11622</v>
      </c>
      <c r="C43" s="9">
        <v>15604</v>
      </c>
      <c r="D43" s="9">
        <v>4807</v>
      </c>
      <c r="E43" s="9">
        <v>22957</v>
      </c>
      <c r="F43" s="9">
        <v>85193</v>
      </c>
      <c r="G43" s="9">
        <v>139159</v>
      </c>
      <c r="H43" s="9">
        <v>96826</v>
      </c>
      <c r="I43" s="9">
        <v>177838</v>
      </c>
      <c r="J43" s="9">
        <v>237513</v>
      </c>
      <c r="K43" s="9">
        <v>477744</v>
      </c>
      <c r="L43" s="9">
        <v>309368</v>
      </c>
      <c r="M43" s="9">
        <v>106167</v>
      </c>
      <c r="N43" s="9">
        <v>219345</v>
      </c>
      <c r="O43" s="9">
        <v>186901</v>
      </c>
      <c r="P43" s="9">
        <v>216312</v>
      </c>
      <c r="Q43" s="9">
        <v>356720</v>
      </c>
      <c r="R43" s="9">
        <v>567165</v>
      </c>
      <c r="S43" s="9">
        <v>195008</v>
      </c>
      <c r="T43" s="9">
        <v>563546</v>
      </c>
      <c r="U43" s="9">
        <v>573878</v>
      </c>
      <c r="V43" s="9">
        <v>179532</v>
      </c>
      <c r="W43" s="9">
        <v>189764</v>
      </c>
      <c r="X43" s="9">
        <v>1209305</v>
      </c>
      <c r="Y43" s="9">
        <v>336132</v>
      </c>
      <c r="Z43" s="9">
        <v>193608</v>
      </c>
      <c r="AA43" s="9">
        <v>102649</v>
      </c>
      <c r="AB43" s="9">
        <v>75067</v>
      </c>
      <c r="AC43" s="9">
        <v>90824</v>
      </c>
      <c r="AD43" s="9">
        <v>213055</v>
      </c>
      <c r="AE43" s="9">
        <v>231031</v>
      </c>
      <c r="AF43" s="9">
        <v>280659</v>
      </c>
      <c r="AG43" s="9">
        <v>312896</v>
      </c>
      <c r="AH43" s="9">
        <v>268270</v>
      </c>
      <c r="AI43" s="9">
        <v>569845</v>
      </c>
      <c r="AJ43" s="9">
        <v>1317515</v>
      </c>
      <c r="AK43" s="9">
        <v>2968973</v>
      </c>
      <c r="AL43" s="9">
        <v>745073</v>
      </c>
      <c r="AM43" s="9">
        <v>793131</v>
      </c>
      <c r="AN43" s="9">
        <v>671349</v>
      </c>
      <c r="AO43" s="9">
        <v>2652121</v>
      </c>
      <c r="AP43" s="9">
        <v>888945</v>
      </c>
      <c r="AQ43" s="9">
        <v>2036718</v>
      </c>
      <c r="AR43" s="9">
        <v>909266</v>
      </c>
      <c r="AS43" s="9">
        <v>1131288</v>
      </c>
      <c r="AT43" s="9">
        <v>1215220</v>
      </c>
      <c r="AU43" s="9">
        <v>1445528</v>
      </c>
      <c r="AV43" s="154" t="s">
        <v>251</v>
      </c>
      <c r="AW43" s="154"/>
      <c r="AX43" s="154"/>
      <c r="AY43" s="154"/>
      <c r="AZ43" s="154"/>
      <c r="BB43" s="9"/>
      <c r="BC43" s="9"/>
      <c r="BD43" s="9"/>
      <c r="BE43" s="9"/>
      <c r="BF43" s="9"/>
      <c r="BG43" s="9"/>
      <c r="BH43" s="9"/>
      <c r="BI43" s="9"/>
      <c r="BJ43" s="9"/>
      <c r="BK43" s="9"/>
      <c r="BL43" s="9"/>
      <c r="BM43" s="9"/>
      <c r="BN43" s="9"/>
      <c r="BP43" s="17"/>
      <c r="BQ43" s="17"/>
      <c r="BR43" s="17"/>
      <c r="BS43" s="17"/>
      <c r="BT43" s="17"/>
      <c r="BU43" s="17"/>
      <c r="BV43" s="17"/>
      <c r="BW43" s="17"/>
      <c r="BX43" s="17"/>
      <c r="BY43" s="17"/>
    </row>
    <row r="44" spans="1:89" outlineLevel="1">
      <c r="A44" s="91" t="s">
        <v>808</v>
      </c>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f t="shared" ref="AF44" si="39">+AF43/AE43-1</f>
        <v>0.21481099938969228</v>
      </c>
      <c r="AG44" s="27">
        <f t="shared" ref="AG44" si="40">+AG43/AF43-1</f>
        <v>0.11486180738903795</v>
      </c>
      <c r="AH44" s="27">
        <f t="shared" ref="AH44" si="41">+AH43/AG43-1</f>
        <v>-0.14262246880752705</v>
      </c>
      <c r="AI44" s="27">
        <f t="shared" ref="AI44" si="42">+AI43/AH43-1</f>
        <v>1.1241473142729341</v>
      </c>
      <c r="AJ44" s="27">
        <f t="shared" ref="AJ44" si="43">+AJ43/AI43-1</f>
        <v>1.3120585422351692</v>
      </c>
      <c r="AK44" s="27">
        <f t="shared" ref="AK44" si="44">+AK43/AJ43-1</f>
        <v>1.2534642869341148</v>
      </c>
      <c r="AL44" s="27">
        <f t="shared" ref="AL44" si="45">+AL43/AK43-1</f>
        <v>-0.74904689264604296</v>
      </c>
      <c r="AM44" s="27">
        <f t="shared" ref="AM44" si="46">+AM43/AL43-1</f>
        <v>6.4501062312015023E-2</v>
      </c>
      <c r="AN44" s="27">
        <f t="shared" ref="AN44" si="47">+AN43/AM43-1</f>
        <v>-0.1535458833408353</v>
      </c>
      <c r="AO44" s="27">
        <f t="shared" ref="AO44" si="48">+AO43/AN43-1</f>
        <v>2.950435615454853</v>
      </c>
      <c r="AP44" s="27">
        <f t="shared" ref="AP44" si="49">+AP43/AO43-1</f>
        <v>-0.66481732922442083</v>
      </c>
      <c r="AQ44" s="27">
        <f t="shared" ref="AQ44" si="50">+AQ43/AP43-1</f>
        <v>1.2911631203280294</v>
      </c>
      <c r="AR44" s="27">
        <f t="shared" ref="AR44" si="51">+AR43/AQ43-1</f>
        <v>-0.55356313441527005</v>
      </c>
      <c r="AS44" s="27">
        <f t="shared" ref="AS44" si="52">+AS43/AR43-1</f>
        <v>0.24417717147677354</v>
      </c>
      <c r="AT44" s="27">
        <f t="shared" ref="AT44" si="53">+AT43/AS43-1</f>
        <v>7.4191540969231529E-2</v>
      </c>
      <c r="AU44" s="27">
        <f t="shared" ref="AU44" si="54">+AU43/AT43-1</f>
        <v>0.18951959316008615</v>
      </c>
      <c r="AV44" s="151" t="s">
        <v>251</v>
      </c>
      <c r="AW44" s="151"/>
      <c r="AX44" s="151"/>
      <c r="AY44" s="151"/>
      <c r="AZ44" s="151"/>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row>
    <row r="45" spans="1:89" outlineLevel="1">
      <c r="A45" s="91" t="s">
        <v>225</v>
      </c>
      <c r="AF45" s="27">
        <f t="shared" ref="AF45" si="55">+AF43/T43-1</f>
        <v>-0.5019767685335359</v>
      </c>
      <c r="AG45" s="27">
        <f t="shared" ref="AG45" si="56">+AG43/U43-1</f>
        <v>-0.45476913211518821</v>
      </c>
      <c r="AH45" s="27">
        <f t="shared" ref="AH45" si="57">+AH43/V43-1</f>
        <v>0.49427400129224863</v>
      </c>
      <c r="AI45" s="27">
        <f t="shared" ref="AI45" si="58">+AI43/W43-1</f>
        <v>2.0029141459918636</v>
      </c>
      <c r="AJ45" s="27">
        <f t="shared" ref="AJ45" si="59">+AJ43/X43-1</f>
        <v>8.9481148262845256E-2</v>
      </c>
      <c r="AK45" s="27">
        <f t="shared" ref="AK45" si="60">+AK43/Y43-1</f>
        <v>7.8327591541418258</v>
      </c>
      <c r="AL45" s="27">
        <f t="shared" ref="AL45" si="61">+AL43/Z43-1</f>
        <v>2.848358538903351</v>
      </c>
      <c r="AM45" s="27">
        <f t="shared" ref="AM45" si="62">+AM43/AA43-1</f>
        <v>6.7266315307504216</v>
      </c>
      <c r="AN45" s="27">
        <f t="shared" ref="AN45" si="63">+AN43/AB43-1</f>
        <v>7.9433306246419857</v>
      </c>
      <c r="AO45" s="27">
        <f t="shared" ref="AO45" si="64">+AO43/AC43-1</f>
        <v>28.200662820399895</v>
      </c>
      <c r="AP45" s="27">
        <f t="shared" ref="AP45" si="65">+AP43/AD43-1</f>
        <v>3.1723733308300677</v>
      </c>
      <c r="AQ45" s="27">
        <f t="shared" ref="AQ45" si="66">+AQ43/AE43-1</f>
        <v>7.8157779691902824</v>
      </c>
      <c r="AR45" s="27">
        <f t="shared" ref="AR45" si="67">+AR43/AF43-1</f>
        <v>2.2397535799671489</v>
      </c>
      <c r="AS45" s="27">
        <f t="shared" ref="AS45" si="68">+AS43/AG43-1</f>
        <v>2.6155399877275518</v>
      </c>
      <c r="AT45" s="27">
        <f t="shared" ref="AT45" si="69">+AT43/AH43-1</f>
        <v>3.5298393409624635</v>
      </c>
      <c r="AU45" s="27">
        <f>+AU43/AI43-1</f>
        <v>1.5367038405180358</v>
      </c>
      <c r="AV45" s="151" t="s">
        <v>251</v>
      </c>
      <c r="AW45" s="151"/>
      <c r="AX45" s="151"/>
      <c r="AY45" s="151"/>
      <c r="AZ45" s="151"/>
    </row>
    <row r="46" spans="1:89" outlineLevel="1">
      <c r="A46" s="91"/>
      <c r="AL46" s="27"/>
      <c r="AM46" s="27"/>
      <c r="AN46" s="27"/>
      <c r="AO46" s="27"/>
      <c r="AP46" s="27"/>
      <c r="AQ46" s="27"/>
      <c r="AR46" s="27"/>
      <c r="AS46" s="27"/>
      <c r="AT46" s="27"/>
      <c r="AU46" s="27"/>
      <c r="AV46" s="27"/>
      <c r="AW46" s="27"/>
      <c r="AX46" s="27"/>
      <c r="AY46" s="27"/>
      <c r="AZ46" s="27"/>
    </row>
    <row r="47" spans="1:89" outlineLevel="1">
      <c r="A47" s="133" t="s">
        <v>812</v>
      </c>
      <c r="AL47" s="27"/>
      <c r="AM47" s="27"/>
      <c r="AN47" s="27"/>
      <c r="AO47" s="27"/>
      <c r="AP47" s="27"/>
      <c r="AQ47" s="27"/>
      <c r="AR47" s="27"/>
      <c r="AS47" s="27"/>
      <c r="AT47" s="27"/>
      <c r="AU47" s="27"/>
      <c r="AV47" s="27"/>
      <c r="AW47" s="27"/>
      <c r="AX47" s="27"/>
      <c r="AY47" s="27"/>
      <c r="AZ47" s="27"/>
    </row>
    <row r="48" spans="1:89" outlineLevel="1">
      <c r="A48" s="91" t="s">
        <v>813</v>
      </c>
      <c r="AL48" s="27"/>
      <c r="AM48" s="27"/>
      <c r="AN48" s="117">
        <f>+AN27</f>
        <v>3.25</v>
      </c>
      <c r="AO48" s="117"/>
      <c r="AP48" s="117"/>
      <c r="AQ48" s="117"/>
      <c r="AR48" s="117"/>
      <c r="AS48" s="117"/>
      <c r="AT48" s="117"/>
      <c r="AU48" s="117"/>
      <c r="AV48" s="117"/>
      <c r="AW48" s="117"/>
      <c r="AX48" s="117"/>
      <c r="AY48" s="117"/>
      <c r="AZ48" s="117"/>
    </row>
    <row r="49" spans="1:52" outlineLevel="1">
      <c r="A49" s="91" t="s">
        <v>814</v>
      </c>
      <c r="AL49" s="27"/>
      <c r="AM49" s="27"/>
      <c r="AN49" s="117">
        <f>+SUM(AL43:AN43)/SUM(Z43:AB43)-1</f>
        <v>4.9504718251446178</v>
      </c>
      <c r="AO49" s="117"/>
      <c r="AP49" s="117"/>
      <c r="AQ49" s="117"/>
      <c r="AR49" s="117"/>
      <c r="AS49" s="117"/>
      <c r="AT49" s="117"/>
      <c r="AU49" s="117"/>
      <c r="AV49" s="117"/>
      <c r="AW49" s="117"/>
      <c r="AX49" s="117"/>
      <c r="AY49" s="117"/>
      <c r="AZ49" s="117"/>
    </row>
    <row r="50" spans="1:52" outlineLevel="1">
      <c r="A50" s="133"/>
      <c r="AL50" s="27"/>
      <c r="AM50" s="27"/>
      <c r="AN50" s="117"/>
      <c r="AO50" s="117"/>
      <c r="AP50" s="117"/>
      <c r="AQ50" s="117"/>
      <c r="AR50" s="117"/>
      <c r="AS50" s="117"/>
      <c r="AT50" s="117"/>
      <c r="AU50" s="117"/>
      <c r="AV50" s="117"/>
      <c r="AW50" s="117"/>
      <c r="AX50" s="117"/>
      <c r="AY50" s="117"/>
      <c r="AZ50" s="117"/>
    </row>
    <row r="51" spans="1:52" outlineLevel="1">
      <c r="A51" s="91" t="s">
        <v>809</v>
      </c>
      <c r="AL51" s="27"/>
      <c r="AM51" s="27"/>
      <c r="AN51" s="117"/>
      <c r="AO51" s="117"/>
      <c r="AP51" s="117"/>
      <c r="AQ51" s="117">
        <f>+AQ30</f>
        <v>0.24722222222222223</v>
      </c>
      <c r="AR51" s="117"/>
      <c r="AS51" s="117"/>
      <c r="AT51" s="117"/>
      <c r="AU51" s="117"/>
      <c r="AV51" s="117"/>
      <c r="AW51" s="117"/>
      <c r="AX51" s="117"/>
      <c r="AY51" s="117"/>
      <c r="AZ51" s="117"/>
    </row>
    <row r="52" spans="1:52" outlineLevel="1">
      <c r="A52" s="91" t="s">
        <v>814</v>
      </c>
      <c r="AL52" s="27"/>
      <c r="AM52" s="27"/>
      <c r="AN52" s="117"/>
      <c r="AO52" s="117"/>
      <c r="AP52" s="117"/>
      <c r="AQ52" s="117">
        <f>+SUM(AO43:AQ43)/SUM(AL43:AN43)-1</f>
        <v>1.5243947531469035</v>
      </c>
      <c r="AR52" s="117"/>
      <c r="AS52" s="117"/>
      <c r="AT52" s="117"/>
      <c r="AU52" s="117"/>
      <c r="AV52" s="117"/>
      <c r="AW52" s="117"/>
      <c r="AX52" s="117"/>
      <c r="AY52" s="117"/>
      <c r="AZ52" s="117"/>
    </row>
    <row r="53" spans="1:52" outlineLevel="1">
      <c r="A53" s="91"/>
      <c r="AL53" s="27"/>
      <c r="AM53" s="27"/>
      <c r="AN53" s="117"/>
      <c r="AO53" s="117"/>
      <c r="AP53" s="117"/>
      <c r="AQ53" s="117"/>
      <c r="AR53" s="117"/>
      <c r="AS53" s="117"/>
      <c r="AT53" s="117"/>
      <c r="AU53" s="117"/>
      <c r="AV53" s="117"/>
      <c r="AW53" s="117"/>
      <c r="AX53" s="117"/>
      <c r="AY53" s="117"/>
      <c r="AZ53" s="117"/>
    </row>
    <row r="54" spans="1:52" outlineLevel="1">
      <c r="A54" s="91" t="s">
        <v>815</v>
      </c>
      <c r="AL54" s="27"/>
      <c r="AM54" s="27"/>
      <c r="AN54" s="117"/>
      <c r="AO54" s="117"/>
      <c r="AP54" s="117"/>
      <c r="AQ54" s="117">
        <f>+AQ33</f>
        <v>2.0024584521585207</v>
      </c>
      <c r="AR54" s="117"/>
      <c r="AS54" s="117"/>
      <c r="AT54" s="117"/>
      <c r="AU54" s="117"/>
      <c r="AV54" s="117"/>
      <c r="AW54" s="117"/>
      <c r="AX54" s="117"/>
      <c r="AY54" s="117"/>
      <c r="AZ54" s="117"/>
    </row>
    <row r="55" spans="1:52" outlineLevel="1">
      <c r="A55" s="91" t="s">
        <v>814</v>
      </c>
      <c r="AL55" s="27"/>
      <c r="AM55" s="27"/>
      <c r="AN55" s="117"/>
      <c r="AO55" s="117"/>
      <c r="AP55" s="117"/>
      <c r="AQ55" s="117">
        <f>+SUM(AO43:AQ43)/SUM(AC43:AE43)-1</f>
        <v>9.4275186479968589</v>
      </c>
      <c r="AR55" s="117"/>
      <c r="AS55" s="117"/>
      <c r="AT55" s="117"/>
      <c r="AU55" s="117"/>
      <c r="AV55" s="117"/>
      <c r="AW55" s="117"/>
      <c r="AX55" s="117"/>
      <c r="AY55" s="117"/>
      <c r="AZ55" s="117"/>
    </row>
    <row r="56" spans="1:52" outlineLevel="1">
      <c r="A56" s="91"/>
      <c r="AL56" s="27"/>
      <c r="AM56" s="27"/>
      <c r="AN56" s="117"/>
      <c r="AO56" s="117"/>
      <c r="AP56" s="117"/>
      <c r="AQ56" s="117"/>
      <c r="AR56" s="117"/>
      <c r="AS56" s="117"/>
      <c r="AT56" s="117"/>
      <c r="AU56" s="117"/>
      <c r="AV56" s="117"/>
      <c r="AW56" s="117"/>
      <c r="AX56" s="117"/>
      <c r="AY56" s="117"/>
      <c r="AZ56" s="117"/>
    </row>
    <row r="57" spans="1:52" outlineLevel="1">
      <c r="A57" s="91" t="s">
        <v>816</v>
      </c>
      <c r="AL57" s="27"/>
      <c r="AM57" s="27"/>
      <c r="AN57" s="117"/>
      <c r="AO57" s="117"/>
      <c r="AP57" s="117"/>
      <c r="AQ57" s="117"/>
      <c r="AR57" s="117"/>
      <c r="AS57" s="117"/>
      <c r="AT57" s="117"/>
      <c r="AU57" s="117">
        <f>+AU36</f>
        <v>2.31</v>
      </c>
      <c r="AV57" s="117"/>
      <c r="AW57" s="117"/>
      <c r="AX57" s="117"/>
      <c r="AY57" s="117"/>
      <c r="AZ57" s="117"/>
    </row>
    <row r="58" spans="1:52" outlineLevel="1">
      <c r="A58" s="91" t="s">
        <v>814</v>
      </c>
      <c r="AL58" s="27"/>
      <c r="AM58" s="27"/>
      <c r="AN58" s="117"/>
      <c r="AO58" s="117"/>
      <c r="AP58" s="117"/>
      <c r="AQ58" s="117"/>
      <c r="AR58" s="117"/>
      <c r="AS58" s="117"/>
      <c r="AT58" s="117"/>
      <c r="AU58" s="117">
        <f>SUM(AR43:AU43)/SUM(AF43:AI43)-1</f>
        <v>2.2837888619584121</v>
      </c>
      <c r="AV58" s="117"/>
      <c r="AW58" s="117"/>
      <c r="AX58" s="117"/>
      <c r="AY58" s="117"/>
      <c r="AZ58" s="117"/>
    </row>
    <row r="59" spans="1:52" outlineLevel="1">
      <c r="A59" s="91"/>
      <c r="AL59" s="27"/>
      <c r="AM59" s="27"/>
      <c r="AN59" s="117"/>
      <c r="AO59" s="117"/>
      <c r="AP59" s="117"/>
      <c r="AQ59" s="117"/>
      <c r="AR59" s="117"/>
      <c r="AS59" s="117"/>
      <c r="AT59" s="117"/>
      <c r="AU59" s="117"/>
      <c r="AV59" s="117"/>
      <c r="AW59" s="117"/>
      <c r="AX59" s="117"/>
      <c r="AY59" s="117"/>
      <c r="AZ59" s="117"/>
    </row>
    <row r="60" spans="1:52" outlineLevel="1">
      <c r="A60" s="91" t="s">
        <v>817</v>
      </c>
      <c r="AL60" s="27"/>
      <c r="AM60" s="27"/>
      <c r="AN60" s="117"/>
      <c r="AO60" s="117"/>
      <c r="AP60" s="117"/>
      <c r="AQ60" s="117"/>
      <c r="AR60" s="117"/>
      <c r="AS60" s="117"/>
      <c r="AT60" s="117"/>
      <c r="AU60" s="117">
        <v>3.79</v>
      </c>
      <c r="AV60" s="117"/>
      <c r="AW60" s="117"/>
      <c r="AX60" s="117"/>
      <c r="AY60" s="117"/>
      <c r="AZ60" s="117"/>
    </row>
    <row r="61" spans="1:52" outlineLevel="1">
      <c r="A61" s="91" t="s">
        <v>814</v>
      </c>
      <c r="AL61" s="27"/>
      <c r="AM61" s="27"/>
      <c r="AN61" s="117"/>
      <c r="AO61" s="117"/>
      <c r="AP61" s="117"/>
      <c r="AQ61" s="117"/>
      <c r="AR61" s="117"/>
      <c r="AS61" s="117"/>
      <c r="AT61" s="117"/>
      <c r="AU61" s="117">
        <f>+AU45</f>
        <v>1.5367038405180358</v>
      </c>
      <c r="AV61" s="117"/>
      <c r="AW61" s="117"/>
      <c r="AX61" s="117"/>
      <c r="AY61" s="117"/>
      <c r="AZ61" s="117"/>
    </row>
    <row r="62" spans="1:52" outlineLevel="1">
      <c r="A62" s="91"/>
      <c r="AL62" s="27"/>
      <c r="AM62" s="27"/>
      <c r="AN62" s="117"/>
      <c r="AO62" s="117"/>
      <c r="AP62" s="117"/>
      <c r="AQ62" s="117"/>
      <c r="AR62" s="117"/>
      <c r="AS62" s="117"/>
      <c r="AT62" s="117"/>
      <c r="AU62" s="117"/>
      <c r="AV62" s="117"/>
      <c r="AW62" s="117"/>
      <c r="AX62" s="117"/>
      <c r="AY62" s="117"/>
      <c r="AZ62" s="117"/>
    </row>
    <row r="63" spans="1:52" outlineLevel="1">
      <c r="A63" s="4" t="s">
        <v>819</v>
      </c>
      <c r="AL63" s="27"/>
      <c r="AM63" s="27"/>
      <c r="AN63" s="27"/>
      <c r="AO63" s="27"/>
      <c r="AP63" s="27"/>
      <c r="AQ63" s="27"/>
      <c r="AR63" s="27"/>
      <c r="AS63" s="27"/>
      <c r="AT63" s="27"/>
      <c r="AU63" s="27"/>
      <c r="AV63" s="27"/>
      <c r="AW63" s="27"/>
      <c r="AX63" s="27"/>
      <c r="AY63" s="27"/>
      <c r="AZ63" s="27"/>
    </row>
    <row r="64" spans="1:52" outlineLevel="1">
      <c r="A64" s="149" t="s">
        <v>820</v>
      </c>
      <c r="AL64" s="27"/>
      <c r="AM64" s="27"/>
      <c r="AN64" s="27"/>
      <c r="AO64" s="27"/>
      <c r="AP64" s="27"/>
      <c r="AQ64" s="27"/>
      <c r="AR64" s="27"/>
      <c r="AS64" s="27"/>
      <c r="AT64" s="27"/>
      <c r="AU64" s="27"/>
      <c r="AV64" s="27"/>
      <c r="AW64" s="27"/>
      <c r="AX64" s="27"/>
      <c r="AY64" s="27"/>
      <c r="AZ64" s="27"/>
    </row>
    <row r="65" spans="1:98" outlineLevel="1">
      <c r="A65" t="s">
        <v>615</v>
      </c>
      <c r="AL65" s="27"/>
      <c r="AM65" s="27"/>
      <c r="AN65" s="27"/>
      <c r="AO65" s="27"/>
      <c r="AP65" s="27"/>
      <c r="AQ65" s="27"/>
      <c r="AR65" s="27"/>
      <c r="AS65" s="27"/>
      <c r="AT65" s="27"/>
      <c r="AU65" s="27"/>
      <c r="AV65" s="27"/>
      <c r="AW65" s="27"/>
      <c r="AX65" s="27"/>
      <c r="AY65" s="27"/>
      <c r="AZ65" s="27"/>
    </row>
    <row r="66" spans="1:98" outlineLevel="1">
      <c r="AL66" s="27"/>
      <c r="AM66" s="27"/>
      <c r="AN66" s="27"/>
      <c r="AO66" s="27"/>
      <c r="AP66" s="27"/>
      <c r="AQ66" s="27"/>
      <c r="AR66" s="27"/>
      <c r="AS66" s="27"/>
      <c r="AT66" s="27"/>
      <c r="AU66" s="27"/>
      <c r="AV66" s="27"/>
      <c r="AW66" s="27"/>
      <c r="AX66" s="27"/>
      <c r="AY66" s="27"/>
      <c r="AZ66" s="27"/>
    </row>
    <row r="67" spans="1:98" outlineLevel="1">
      <c r="AL67" s="27"/>
      <c r="AM67" s="27"/>
      <c r="AN67" s="27"/>
      <c r="AO67" s="27"/>
      <c r="AP67" s="27"/>
      <c r="AQ67" s="27"/>
      <c r="AR67" s="27"/>
      <c r="AS67" s="27"/>
      <c r="AT67" s="27"/>
      <c r="AU67" s="27"/>
      <c r="AV67" s="27"/>
      <c r="AW67" s="27"/>
      <c r="AX67" s="27"/>
      <c r="AY67" s="27"/>
      <c r="AZ67" s="27"/>
    </row>
    <row r="68" spans="1:98" outlineLevel="1">
      <c r="AL68" s="27"/>
      <c r="AM68" s="27"/>
      <c r="AN68" s="27"/>
      <c r="AO68" s="27"/>
      <c r="AP68" s="27"/>
      <c r="AQ68" s="27"/>
      <c r="AR68" s="27"/>
      <c r="AS68" s="27"/>
      <c r="AT68" s="27"/>
      <c r="AU68" s="27"/>
      <c r="AV68" s="27"/>
      <c r="AW68" s="27"/>
      <c r="AX68" s="27"/>
      <c r="AY68" s="27"/>
      <c r="AZ68" s="27"/>
    </row>
    <row r="69" spans="1:98">
      <c r="A69" s="3" t="s">
        <v>821</v>
      </c>
    </row>
    <row r="70" spans="1:98">
      <c r="A70" t="s">
        <v>822</v>
      </c>
      <c r="AA70" s="9"/>
      <c r="AB70" s="9"/>
      <c r="AC70" s="9"/>
      <c r="AD70" s="9"/>
      <c r="AE70" s="9"/>
      <c r="AF70" s="157" t="s">
        <v>251</v>
      </c>
      <c r="AG70" s="9">
        <v>22</v>
      </c>
      <c r="AH70" s="9">
        <v>15</v>
      </c>
      <c r="AI70" s="9">
        <v>20</v>
      </c>
      <c r="AJ70" s="9">
        <v>26</v>
      </c>
      <c r="AK70" s="9">
        <v>45</v>
      </c>
      <c r="AL70" s="9">
        <v>47</v>
      </c>
      <c r="AM70" s="9">
        <v>42</v>
      </c>
      <c r="AN70" s="9">
        <v>27</v>
      </c>
      <c r="AO70" s="9">
        <v>19</v>
      </c>
      <c r="AP70" s="9">
        <v>28</v>
      </c>
      <c r="AQ70" s="9">
        <v>24</v>
      </c>
      <c r="AR70" s="9">
        <v>21</v>
      </c>
      <c r="AS70" s="9">
        <v>18</v>
      </c>
      <c r="AT70" s="9">
        <v>34</v>
      </c>
      <c r="AU70" s="9">
        <v>35</v>
      </c>
      <c r="AV70" s="9">
        <v>69</v>
      </c>
      <c r="AW70" s="9">
        <v>122</v>
      </c>
      <c r="AX70" s="9">
        <v>75</v>
      </c>
      <c r="AY70" s="9">
        <v>63</v>
      </c>
      <c r="AZ70" s="9">
        <v>40</v>
      </c>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row>
    <row r="71" spans="1:98">
      <c r="A71" t="s">
        <v>823</v>
      </c>
      <c r="AA71" s="9"/>
      <c r="AB71" s="9"/>
      <c r="AC71" s="9"/>
      <c r="AD71" s="9"/>
      <c r="AE71" s="9"/>
      <c r="AF71" s="157" t="s">
        <v>251</v>
      </c>
      <c r="AG71" s="9">
        <v>395</v>
      </c>
      <c r="AH71" s="9">
        <v>338</v>
      </c>
      <c r="AI71" s="9">
        <v>479</v>
      </c>
      <c r="AJ71" s="9">
        <v>650</v>
      </c>
      <c r="AK71" s="9">
        <v>710</v>
      </c>
      <c r="AL71" s="9">
        <v>427</v>
      </c>
      <c r="AM71" s="9">
        <v>432</v>
      </c>
      <c r="AN71" s="9">
        <v>573</v>
      </c>
      <c r="AO71" s="9">
        <v>774</v>
      </c>
      <c r="AP71" s="9">
        <v>972</v>
      </c>
      <c r="AQ71" s="9">
        <v>752</v>
      </c>
      <c r="AR71" s="9">
        <v>754</v>
      </c>
      <c r="AS71" s="9">
        <v>803</v>
      </c>
      <c r="AT71" s="9">
        <v>800</v>
      </c>
      <c r="AU71" s="9">
        <v>876</v>
      </c>
      <c r="AV71" s="9">
        <v>1445</v>
      </c>
      <c r="AW71" s="9">
        <v>1756</v>
      </c>
      <c r="AX71" s="9">
        <v>1358</v>
      </c>
      <c r="AY71" s="9">
        <v>999</v>
      </c>
      <c r="AZ71" s="9">
        <v>713</v>
      </c>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row>
    <row r="72" spans="1:98">
      <c r="A72" t="s">
        <v>824</v>
      </c>
      <c r="AA72" s="9"/>
      <c r="AB72" s="9"/>
      <c r="AC72" s="9"/>
      <c r="AD72" s="9"/>
      <c r="AE72" s="9"/>
      <c r="AF72" s="157" t="s">
        <v>251</v>
      </c>
      <c r="AG72" s="9">
        <v>79</v>
      </c>
      <c r="AH72" s="9">
        <v>105</v>
      </c>
      <c r="AI72" s="9">
        <v>122</v>
      </c>
      <c r="AJ72" s="9">
        <v>127</v>
      </c>
      <c r="AK72" s="9">
        <v>146</v>
      </c>
      <c r="AL72" s="9">
        <v>104</v>
      </c>
      <c r="AM72" s="9">
        <v>106</v>
      </c>
      <c r="AN72" s="9">
        <v>116</v>
      </c>
      <c r="AO72" s="9">
        <v>165</v>
      </c>
      <c r="AP72" s="9">
        <v>229</v>
      </c>
      <c r="AQ72" s="9">
        <v>222</v>
      </c>
      <c r="AR72" s="9">
        <v>208</v>
      </c>
      <c r="AS72" s="9">
        <v>203</v>
      </c>
      <c r="AT72" s="9">
        <v>184</v>
      </c>
      <c r="AU72" s="9">
        <v>176</v>
      </c>
      <c r="AV72" s="9">
        <v>217</v>
      </c>
      <c r="AW72" s="9">
        <v>244</v>
      </c>
      <c r="AX72" s="9">
        <v>231</v>
      </c>
      <c r="AY72" s="9">
        <v>142</v>
      </c>
      <c r="AZ72" s="9">
        <v>327</v>
      </c>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row>
    <row r="73" spans="1:98" s="4" customFormat="1" ht="16">
      <c r="A73" t="s">
        <v>825</v>
      </c>
      <c r="AA73" s="10"/>
      <c r="AB73" s="10"/>
      <c r="AC73" s="10"/>
      <c r="AD73" s="10"/>
      <c r="AE73" s="10"/>
      <c r="AF73" s="156" t="s">
        <v>251</v>
      </c>
      <c r="AG73" s="10">
        <v>0</v>
      </c>
      <c r="AH73" s="10">
        <v>0</v>
      </c>
      <c r="AI73" s="10">
        <v>0</v>
      </c>
      <c r="AJ73" s="10">
        <v>0</v>
      </c>
      <c r="AK73" s="10">
        <v>0</v>
      </c>
      <c r="AL73" s="10">
        <v>0</v>
      </c>
      <c r="AM73" s="10">
        <v>0</v>
      </c>
      <c r="AN73" s="10">
        <v>0</v>
      </c>
      <c r="AO73" s="10">
        <v>0</v>
      </c>
      <c r="AP73" s="10">
        <v>0</v>
      </c>
      <c r="AQ73" s="10">
        <v>0</v>
      </c>
      <c r="AR73" s="10">
        <v>0</v>
      </c>
      <c r="AS73" s="10">
        <v>0</v>
      </c>
      <c r="AT73" s="10">
        <v>0</v>
      </c>
      <c r="AU73" s="10">
        <v>0</v>
      </c>
      <c r="AV73" s="10">
        <v>0</v>
      </c>
      <c r="AW73" s="10">
        <v>0</v>
      </c>
      <c r="AX73" s="10">
        <v>0</v>
      </c>
      <c r="AY73" s="10">
        <v>0</v>
      </c>
      <c r="AZ73" s="10">
        <v>0</v>
      </c>
      <c r="BA73" s="10"/>
      <c r="BB73" s="10"/>
      <c r="BC73" s="10"/>
      <c r="BD73" s="10"/>
      <c r="BE73" s="10"/>
      <c r="BF73" s="10"/>
      <c r="BG73" s="10"/>
      <c r="BH73" s="10"/>
      <c r="BI73" s="10"/>
      <c r="BJ73" s="10" t="s">
        <v>826</v>
      </c>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row>
    <row r="74" spans="1:98" s="2" customFormat="1">
      <c r="A74" s="6" t="s">
        <v>827</v>
      </c>
      <c r="AA74" s="11"/>
      <c r="AB74" s="11"/>
      <c r="AC74" s="11"/>
      <c r="AD74" s="11"/>
      <c r="AE74" s="11"/>
      <c r="AF74" s="158" t="s">
        <v>251</v>
      </c>
      <c r="AG74" s="11">
        <f>+SUM(AG70:AG73)</f>
        <v>496</v>
      </c>
      <c r="AH74" s="11">
        <f>+SUM(AH70:AH73)</f>
        <v>458</v>
      </c>
      <c r="AI74" s="11">
        <f t="shared" ref="AI74:AP74" si="70">+SUM(AI70:AI73)</f>
        <v>621</v>
      </c>
      <c r="AJ74" s="11">
        <f t="shared" si="70"/>
        <v>803</v>
      </c>
      <c r="AK74" s="11">
        <f t="shared" si="70"/>
        <v>901</v>
      </c>
      <c r="AL74" s="11">
        <f t="shared" si="70"/>
        <v>578</v>
      </c>
      <c r="AM74" s="11">
        <f t="shared" si="70"/>
        <v>580</v>
      </c>
      <c r="AN74" s="11">
        <f t="shared" si="70"/>
        <v>716</v>
      </c>
      <c r="AO74" s="11">
        <f t="shared" si="70"/>
        <v>958</v>
      </c>
      <c r="AP74" s="11">
        <f t="shared" si="70"/>
        <v>1229</v>
      </c>
      <c r="AQ74" s="11">
        <f t="shared" ref="AQ74" si="71">+SUM(AQ70:AQ73)</f>
        <v>998</v>
      </c>
      <c r="AR74" s="11">
        <f t="shared" ref="AR74:AT74" si="72">+SUM(AR70:AR73)</f>
        <v>983</v>
      </c>
      <c r="AS74" s="11">
        <f t="shared" si="72"/>
        <v>1024</v>
      </c>
      <c r="AT74" s="11">
        <f t="shared" si="72"/>
        <v>1018</v>
      </c>
      <c r="AU74" s="11">
        <f t="shared" ref="AU74:AV74" si="73">+SUM(AU70:AU73)</f>
        <v>1087</v>
      </c>
      <c r="AV74" s="11">
        <f t="shared" si="73"/>
        <v>1731</v>
      </c>
      <c r="AW74" s="11">
        <f t="shared" ref="AW74:AX74" si="74">+SUM(AW70:AW73)</f>
        <v>2122</v>
      </c>
      <c r="AX74" s="11">
        <f t="shared" si="74"/>
        <v>1664</v>
      </c>
      <c r="AY74" s="11">
        <f t="shared" ref="AY74:AZ74" si="75">+SUM(AY70:AY73)</f>
        <v>1204</v>
      </c>
      <c r="AZ74" s="11">
        <f t="shared" si="75"/>
        <v>1080</v>
      </c>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row>
    <row r="76" spans="1:98" s="29" customFormat="1">
      <c r="A76" s="133" t="s">
        <v>808</v>
      </c>
    </row>
    <row r="77" spans="1:98" s="29" customFormat="1">
      <c r="A77" s="91" t="str">
        <f>+A70</f>
        <v>Organic Reviews</v>
      </c>
      <c r="AA77" s="111"/>
      <c r="AB77" s="111"/>
      <c r="AC77" s="111"/>
      <c r="AD77" s="111"/>
      <c r="AE77" s="111"/>
      <c r="AF77" s="27"/>
      <c r="AG77" s="27"/>
      <c r="AH77" s="27">
        <f>IFERROR(AH70/AG70-1,"-")</f>
        <v>-0.31818181818181823</v>
      </c>
      <c r="AI77" s="27">
        <f t="shared" ref="AI77:AR77" si="76">IFERROR(AI70/AH70-1,"-")</f>
        <v>0.33333333333333326</v>
      </c>
      <c r="AJ77" s="27">
        <f t="shared" si="76"/>
        <v>0.30000000000000004</v>
      </c>
      <c r="AK77" s="27">
        <f t="shared" si="76"/>
        <v>0.73076923076923084</v>
      </c>
      <c r="AL77" s="27">
        <f t="shared" si="76"/>
        <v>4.4444444444444509E-2</v>
      </c>
      <c r="AM77" s="27">
        <f t="shared" si="76"/>
        <v>-0.1063829787234043</v>
      </c>
      <c r="AN77" s="27">
        <f t="shared" si="76"/>
        <v>-0.3571428571428571</v>
      </c>
      <c r="AO77" s="27">
        <f t="shared" si="76"/>
        <v>-0.29629629629629628</v>
      </c>
      <c r="AP77" s="27">
        <f t="shared" si="76"/>
        <v>0.47368421052631571</v>
      </c>
      <c r="AQ77" s="27">
        <f t="shared" si="76"/>
        <v>-0.1428571428571429</v>
      </c>
      <c r="AR77" s="27">
        <f t="shared" si="76"/>
        <v>-0.125</v>
      </c>
      <c r="AS77" s="27">
        <f t="shared" ref="AS77:AS81" si="77">IFERROR(AS70/AR70-1,"-")</f>
        <v>-0.1428571428571429</v>
      </c>
      <c r="AT77" s="27">
        <f t="shared" ref="AT77:AT81" si="78">IFERROR(AT70/AS70-1,"-")</f>
        <v>0.88888888888888884</v>
      </c>
      <c r="AU77" s="27">
        <f t="shared" ref="AU77:AU81" si="79">IFERROR(AU70/AT70-1,"-")</f>
        <v>2.9411764705882248E-2</v>
      </c>
      <c r="AV77" s="27">
        <f t="shared" ref="AV77:AV81" si="80">IFERROR(AV70/AU70-1,"-")</f>
        <v>0.97142857142857153</v>
      </c>
      <c r="AW77" s="27">
        <f t="shared" ref="AW77:AW81" si="81">IFERROR(AW70/AV70-1,"-")</f>
        <v>0.76811594202898559</v>
      </c>
      <c r="AX77" s="27">
        <f t="shared" ref="AX77:AX81" si="82">IFERROR(AX70/AW70-1,"-")</f>
        <v>-0.38524590163934425</v>
      </c>
      <c r="AY77" s="27">
        <f t="shared" ref="AY77:AY81" si="83">IFERROR(AY70/AX70-1,"-")</f>
        <v>-0.16000000000000003</v>
      </c>
      <c r="AZ77" s="27">
        <f t="shared" ref="AZ77:AZ81" si="84">IFERROR(AZ70/AY70-1,"-")</f>
        <v>-0.36507936507936511</v>
      </c>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c r="CB77" s="111"/>
      <c r="CC77" s="111"/>
      <c r="CD77" s="111"/>
      <c r="CE77" s="111"/>
      <c r="CF77" s="111"/>
      <c r="CG77" s="111"/>
      <c r="CH77" s="111"/>
      <c r="CI77" s="111"/>
      <c r="CJ77" s="111"/>
      <c r="CK77" s="111"/>
      <c r="CL77" s="111"/>
      <c r="CM77" s="111"/>
      <c r="CN77" s="111"/>
      <c r="CO77" s="111"/>
      <c r="CP77" s="111"/>
      <c r="CQ77" s="111"/>
      <c r="CR77" s="111"/>
      <c r="CS77" s="111"/>
      <c r="CT77" s="111"/>
    </row>
    <row r="78" spans="1:98" s="29" customFormat="1">
      <c r="A78" s="91" t="str">
        <f t="shared" ref="A78:A81" si="85">+A71</f>
        <v>Automated  Invitations</v>
      </c>
      <c r="AA78" s="111"/>
      <c r="AB78" s="111"/>
      <c r="AC78" s="111"/>
      <c r="AD78" s="111"/>
      <c r="AE78" s="111"/>
      <c r="AF78" s="27"/>
      <c r="AG78" s="27"/>
      <c r="AH78" s="27">
        <f t="shared" ref="AH78:AR78" si="86">IFERROR(AH71/AG71-1,"-")</f>
        <v>-0.14430379746835442</v>
      </c>
      <c r="AI78" s="27">
        <f t="shared" si="86"/>
        <v>0.41715976331360949</v>
      </c>
      <c r="AJ78" s="27">
        <f t="shared" si="86"/>
        <v>0.35699373695198333</v>
      </c>
      <c r="AK78" s="27">
        <f t="shared" si="86"/>
        <v>9.2307692307692202E-2</v>
      </c>
      <c r="AL78" s="27">
        <f t="shared" si="86"/>
        <v>-0.39859154929577467</v>
      </c>
      <c r="AM78" s="27">
        <f t="shared" si="86"/>
        <v>1.1709601873536313E-2</v>
      </c>
      <c r="AN78" s="27">
        <f t="shared" si="86"/>
        <v>0.32638888888888884</v>
      </c>
      <c r="AO78" s="27">
        <f t="shared" si="86"/>
        <v>0.35078534031413611</v>
      </c>
      <c r="AP78" s="27">
        <f t="shared" si="86"/>
        <v>0.2558139534883721</v>
      </c>
      <c r="AQ78" s="27">
        <f t="shared" si="86"/>
        <v>-0.22633744855967075</v>
      </c>
      <c r="AR78" s="27">
        <f t="shared" si="86"/>
        <v>2.6595744680850686E-3</v>
      </c>
      <c r="AS78" s="27">
        <f t="shared" si="77"/>
        <v>6.4986737400530403E-2</v>
      </c>
      <c r="AT78" s="27">
        <f t="shared" si="78"/>
        <v>-3.7359900373599153E-3</v>
      </c>
      <c r="AU78" s="27">
        <f t="shared" si="79"/>
        <v>9.4999999999999973E-2</v>
      </c>
      <c r="AV78" s="27">
        <f t="shared" si="80"/>
        <v>0.64954337899543368</v>
      </c>
      <c r="AW78" s="27">
        <f t="shared" si="81"/>
        <v>0.21522491349480966</v>
      </c>
      <c r="AX78" s="27">
        <f t="shared" si="82"/>
        <v>-0.22665148063781326</v>
      </c>
      <c r="AY78" s="27">
        <f t="shared" si="83"/>
        <v>-0.26435935198821792</v>
      </c>
      <c r="AZ78" s="27">
        <f t="shared" si="84"/>
        <v>-0.28628628628628627</v>
      </c>
      <c r="BA78" s="111"/>
      <c r="BB78" s="111"/>
      <c r="BC78" s="111"/>
      <c r="BD78" s="111"/>
      <c r="BE78" s="111"/>
      <c r="BF78" s="111"/>
      <c r="BG78" s="111"/>
      <c r="BH78" s="111"/>
      <c r="BI78" s="111"/>
      <c r="BJ78" s="111"/>
      <c r="BK78" s="111"/>
      <c r="BL78" s="111"/>
      <c r="BM78" s="111"/>
      <c r="BN78" s="111"/>
      <c r="BO78" s="111"/>
      <c r="BP78" s="111"/>
      <c r="BQ78" s="111"/>
      <c r="BR78" s="111"/>
      <c r="BS78" s="111"/>
      <c r="BT78" s="111"/>
      <c r="BU78" s="111"/>
      <c r="BV78" s="111"/>
      <c r="BW78" s="111"/>
      <c r="BX78" s="111"/>
      <c r="BY78" s="111"/>
      <c r="BZ78" s="111"/>
      <c r="CA78" s="111"/>
      <c r="CB78" s="111"/>
      <c r="CC78" s="111"/>
      <c r="CD78" s="111"/>
      <c r="CE78" s="111"/>
      <c r="CF78" s="111"/>
      <c r="CG78" s="111"/>
      <c r="CH78" s="111"/>
      <c r="CI78" s="111"/>
      <c r="CJ78" s="111"/>
      <c r="CK78" s="111"/>
      <c r="CL78" s="111"/>
      <c r="CM78" s="111"/>
      <c r="CN78" s="111"/>
      <c r="CO78" s="111"/>
      <c r="CP78" s="111"/>
      <c r="CQ78" s="111"/>
      <c r="CR78" s="111"/>
      <c r="CS78" s="111"/>
      <c r="CT78" s="111"/>
    </row>
    <row r="79" spans="1:98" s="29" customFormat="1">
      <c r="A79" s="91" t="str">
        <f t="shared" si="85"/>
        <v>Manual Invitations</v>
      </c>
      <c r="AA79" s="111"/>
      <c r="AB79" s="111"/>
      <c r="AC79" s="111"/>
      <c r="AD79" s="111"/>
      <c r="AE79" s="111"/>
      <c r="AF79" s="27"/>
      <c r="AG79" s="27"/>
      <c r="AH79" s="27">
        <f t="shared" ref="AH79:AR79" si="87">IFERROR(AH72/AG72-1,"-")</f>
        <v>0.32911392405063289</v>
      </c>
      <c r="AI79" s="27">
        <f t="shared" si="87"/>
        <v>0.161904761904762</v>
      </c>
      <c r="AJ79" s="27">
        <f t="shared" si="87"/>
        <v>4.0983606557376984E-2</v>
      </c>
      <c r="AK79" s="27">
        <f t="shared" si="87"/>
        <v>0.14960629921259838</v>
      </c>
      <c r="AL79" s="27">
        <f t="shared" si="87"/>
        <v>-0.28767123287671237</v>
      </c>
      <c r="AM79" s="27">
        <f t="shared" si="87"/>
        <v>1.9230769230769162E-2</v>
      </c>
      <c r="AN79" s="27">
        <f t="shared" si="87"/>
        <v>9.4339622641509413E-2</v>
      </c>
      <c r="AO79" s="27">
        <f t="shared" si="87"/>
        <v>0.42241379310344818</v>
      </c>
      <c r="AP79" s="27">
        <f t="shared" si="87"/>
        <v>0.38787878787878793</v>
      </c>
      <c r="AQ79" s="27">
        <f t="shared" si="87"/>
        <v>-3.0567685589519611E-2</v>
      </c>
      <c r="AR79" s="27">
        <f t="shared" si="87"/>
        <v>-6.3063063063063085E-2</v>
      </c>
      <c r="AS79" s="27">
        <f t="shared" si="77"/>
        <v>-2.4038461538461564E-2</v>
      </c>
      <c r="AT79" s="27">
        <f t="shared" si="78"/>
        <v>-9.3596059113300489E-2</v>
      </c>
      <c r="AU79" s="27">
        <f t="shared" si="79"/>
        <v>-4.3478260869565188E-2</v>
      </c>
      <c r="AV79" s="27">
        <f t="shared" si="80"/>
        <v>0.23295454545454541</v>
      </c>
      <c r="AW79" s="27">
        <f t="shared" si="81"/>
        <v>0.12442396313364057</v>
      </c>
      <c r="AX79" s="27">
        <f t="shared" si="82"/>
        <v>-5.3278688524590168E-2</v>
      </c>
      <c r="AY79" s="27">
        <f t="shared" si="83"/>
        <v>-0.38528138528138534</v>
      </c>
      <c r="AZ79" s="27">
        <f t="shared" si="84"/>
        <v>1.3028169014084505</v>
      </c>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c r="CB79" s="111"/>
      <c r="CC79" s="111"/>
      <c r="CD79" s="111"/>
      <c r="CE79" s="111"/>
      <c r="CF79" s="111"/>
      <c r="CG79" s="111"/>
      <c r="CH79" s="111"/>
      <c r="CI79" s="111"/>
      <c r="CJ79" s="111"/>
      <c r="CK79" s="111"/>
      <c r="CL79" s="111"/>
      <c r="CM79" s="111"/>
      <c r="CN79" s="111"/>
      <c r="CO79" s="111"/>
      <c r="CP79" s="111"/>
      <c r="CQ79" s="111"/>
      <c r="CR79" s="111"/>
      <c r="CS79" s="111"/>
      <c r="CT79" s="111"/>
    </row>
    <row r="80" spans="1:98" s="120" customFormat="1" ht="16">
      <c r="A80" s="91" t="str">
        <f t="shared" si="85"/>
        <v>Redirected</v>
      </c>
      <c r="AA80" s="132"/>
      <c r="AB80" s="132"/>
      <c r="AC80" s="132"/>
      <c r="AD80" s="132"/>
      <c r="AE80" s="132"/>
      <c r="AF80" s="28"/>
      <c r="AG80" s="28"/>
      <c r="AH80" s="28" t="str">
        <f t="shared" ref="AH80:AR80" si="88">IFERROR(AH73/AG73-1,"-")</f>
        <v>-</v>
      </c>
      <c r="AI80" s="28" t="str">
        <f t="shared" si="88"/>
        <v>-</v>
      </c>
      <c r="AJ80" s="28" t="str">
        <f t="shared" si="88"/>
        <v>-</v>
      </c>
      <c r="AK80" s="28" t="str">
        <f t="shared" si="88"/>
        <v>-</v>
      </c>
      <c r="AL80" s="28" t="str">
        <f t="shared" si="88"/>
        <v>-</v>
      </c>
      <c r="AM80" s="28" t="str">
        <f t="shared" si="88"/>
        <v>-</v>
      </c>
      <c r="AN80" s="28" t="str">
        <f t="shared" si="88"/>
        <v>-</v>
      </c>
      <c r="AO80" s="28" t="str">
        <f t="shared" si="88"/>
        <v>-</v>
      </c>
      <c r="AP80" s="28" t="str">
        <f t="shared" si="88"/>
        <v>-</v>
      </c>
      <c r="AQ80" s="28" t="str">
        <f t="shared" si="88"/>
        <v>-</v>
      </c>
      <c r="AR80" s="28" t="str">
        <f t="shared" si="88"/>
        <v>-</v>
      </c>
      <c r="AS80" s="28" t="str">
        <f t="shared" si="77"/>
        <v>-</v>
      </c>
      <c r="AT80" s="28" t="str">
        <f t="shared" si="78"/>
        <v>-</v>
      </c>
      <c r="AU80" s="28" t="str">
        <f t="shared" si="79"/>
        <v>-</v>
      </c>
      <c r="AV80" s="28" t="str">
        <f t="shared" si="80"/>
        <v>-</v>
      </c>
      <c r="AW80" s="28" t="str">
        <f t="shared" si="81"/>
        <v>-</v>
      </c>
      <c r="AX80" s="28" t="str">
        <f t="shared" si="82"/>
        <v>-</v>
      </c>
      <c r="AY80" s="28" t="str">
        <f t="shared" si="83"/>
        <v>-</v>
      </c>
      <c r="AZ80" s="28" t="str">
        <f t="shared" si="84"/>
        <v>-</v>
      </c>
      <c r="BA80" s="132"/>
      <c r="BB80" s="132"/>
      <c r="BC80" s="132"/>
      <c r="BD80" s="132"/>
      <c r="BE80" s="132"/>
      <c r="BF80" s="132"/>
      <c r="BG80" s="132"/>
      <c r="BH80" s="132"/>
      <c r="BI80" s="132"/>
      <c r="BJ80" s="132"/>
      <c r="BK80" s="132"/>
      <c r="BL80" s="132"/>
      <c r="BM80" s="132"/>
      <c r="BN80" s="132"/>
      <c r="BO80" s="132"/>
      <c r="BP80" s="132"/>
      <c r="BQ80" s="132"/>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132"/>
      <c r="CR80" s="132"/>
      <c r="CS80" s="132"/>
      <c r="CT80" s="132"/>
    </row>
    <row r="81" spans="1:98" s="119" customFormat="1">
      <c r="A81" s="112" t="str">
        <f t="shared" si="85"/>
        <v>Total TrustPilot Reviews</v>
      </c>
      <c r="AA81" s="134"/>
      <c r="AB81" s="134"/>
      <c r="AC81" s="134"/>
      <c r="AD81" s="134"/>
      <c r="AE81" s="134"/>
      <c r="AF81" s="25"/>
      <c r="AG81" s="25"/>
      <c r="AH81" s="25">
        <f t="shared" ref="AH81:AR81" si="89">IFERROR(AH74/AG74-1,"-")</f>
        <v>-7.6612903225806495E-2</v>
      </c>
      <c r="AI81" s="25">
        <f t="shared" si="89"/>
        <v>0.35589519650655022</v>
      </c>
      <c r="AJ81" s="25">
        <f t="shared" si="89"/>
        <v>0.29307568438003218</v>
      </c>
      <c r="AK81" s="25">
        <f t="shared" si="89"/>
        <v>0.12204234122042346</v>
      </c>
      <c r="AL81" s="25">
        <f t="shared" si="89"/>
        <v>-0.35849056603773588</v>
      </c>
      <c r="AM81" s="25">
        <f t="shared" si="89"/>
        <v>3.4602076124568004E-3</v>
      </c>
      <c r="AN81" s="25">
        <f t="shared" si="89"/>
        <v>0.23448275862068968</v>
      </c>
      <c r="AO81" s="25">
        <f t="shared" si="89"/>
        <v>0.33798882681564235</v>
      </c>
      <c r="AP81" s="25">
        <f t="shared" si="89"/>
        <v>0.28288100208768263</v>
      </c>
      <c r="AQ81" s="25">
        <f t="shared" si="89"/>
        <v>-0.18795768917819367</v>
      </c>
      <c r="AR81" s="25">
        <f t="shared" si="89"/>
        <v>-1.503006012024044E-2</v>
      </c>
      <c r="AS81" s="25">
        <f t="shared" si="77"/>
        <v>4.1709053916581862E-2</v>
      </c>
      <c r="AT81" s="25">
        <f t="shared" si="78"/>
        <v>-5.859375E-3</v>
      </c>
      <c r="AU81" s="25">
        <f t="shared" si="79"/>
        <v>6.7779960707269105E-2</v>
      </c>
      <c r="AV81" s="25">
        <f t="shared" si="80"/>
        <v>0.59245630174793007</v>
      </c>
      <c r="AW81" s="25">
        <f t="shared" si="81"/>
        <v>0.22588099364529168</v>
      </c>
      <c r="AX81" s="25">
        <f t="shared" si="82"/>
        <v>-0.21583411875589065</v>
      </c>
      <c r="AY81" s="25">
        <f t="shared" si="83"/>
        <v>-0.27644230769230771</v>
      </c>
      <c r="AZ81" s="25">
        <f t="shared" si="84"/>
        <v>-0.10299003322259137</v>
      </c>
      <c r="BA81" s="134"/>
      <c r="BB81" s="134"/>
      <c r="BC81" s="134"/>
      <c r="BD81" s="134"/>
      <c r="BE81" s="134"/>
      <c r="BF81" s="134"/>
      <c r="BG81" s="134"/>
      <c r="BH81" s="134"/>
      <c r="BI81" s="134"/>
      <c r="BJ81" s="134"/>
      <c r="BK81" s="134"/>
      <c r="BL81" s="134"/>
      <c r="BM81" s="134"/>
      <c r="BN81" s="134"/>
      <c r="BO81" s="134"/>
      <c r="BP81" s="134"/>
      <c r="BQ81" s="134"/>
      <c r="BR81" s="134"/>
      <c r="BS81" s="134"/>
      <c r="BT81" s="134"/>
      <c r="BU81" s="134"/>
      <c r="BV81" s="134"/>
      <c r="BW81" s="134"/>
      <c r="BX81" s="134"/>
      <c r="BY81" s="134"/>
      <c r="BZ81" s="134"/>
      <c r="CA81" s="134"/>
      <c r="CB81" s="134"/>
      <c r="CC81" s="134"/>
      <c r="CD81" s="134"/>
      <c r="CE81" s="134"/>
      <c r="CF81" s="134"/>
      <c r="CG81" s="134"/>
      <c r="CH81" s="134"/>
      <c r="CI81" s="134"/>
      <c r="CJ81" s="134"/>
      <c r="CK81" s="134"/>
      <c r="CL81" s="134"/>
      <c r="CM81" s="134"/>
      <c r="CN81" s="134"/>
      <c r="CO81" s="134"/>
      <c r="CP81" s="134"/>
      <c r="CQ81" s="134"/>
      <c r="CR81" s="134"/>
      <c r="CS81" s="134"/>
      <c r="CT81" s="134"/>
    </row>
    <row r="83" spans="1:98" s="29" customFormat="1">
      <c r="A83" s="133" t="s">
        <v>225</v>
      </c>
    </row>
    <row r="84" spans="1:98" s="29" customFormat="1">
      <c r="A84" s="91" t="str">
        <f>+A77</f>
        <v>Organic Reviews</v>
      </c>
      <c r="AA84" s="111"/>
      <c r="AB84" s="111"/>
      <c r="AC84" s="111"/>
      <c r="AD84" s="111"/>
      <c r="AE84" s="111"/>
      <c r="AF84" s="27"/>
      <c r="AG84" s="27"/>
      <c r="AH84" s="27"/>
      <c r="AI84" s="27"/>
      <c r="AJ84" s="27"/>
      <c r="AK84" s="27"/>
      <c r="AL84" s="27"/>
      <c r="AM84" s="27"/>
      <c r="AN84" s="27"/>
      <c r="AO84" s="27"/>
      <c r="AP84" s="27"/>
      <c r="AQ84" s="27"/>
      <c r="AR84" s="27"/>
      <c r="AS84" s="27">
        <f>+AS70/AG70-1</f>
        <v>-0.18181818181818177</v>
      </c>
      <c r="AT84" s="27">
        <f t="shared" ref="AT84:AT88" si="90">+AT70/AH70-1</f>
        <v>1.2666666666666666</v>
      </c>
      <c r="AU84" s="27">
        <f t="shared" ref="AU84:AU86" si="91">+AU70/AI70-1</f>
        <v>0.75</v>
      </c>
      <c r="AV84" s="27">
        <f t="shared" ref="AV84:AV86" si="92">+AV70/AJ70-1</f>
        <v>1.6538461538461537</v>
      </c>
      <c r="AW84" s="27">
        <f t="shared" ref="AW84:AW86" si="93">+AW70/AK70-1</f>
        <v>1.7111111111111112</v>
      </c>
      <c r="AX84" s="27">
        <f t="shared" ref="AX84:AX86" si="94">+AX70/AL70-1</f>
        <v>0.5957446808510638</v>
      </c>
      <c r="AY84" s="27">
        <f t="shared" ref="AY84:AY86" si="95">+AY70/AM70-1</f>
        <v>0.5</v>
      </c>
      <c r="AZ84" s="27">
        <f t="shared" ref="AZ84:AZ86" si="96">+AZ70/AN70-1</f>
        <v>0.4814814814814814</v>
      </c>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c r="CB84" s="111"/>
      <c r="CC84" s="111"/>
      <c r="CD84" s="111"/>
      <c r="CE84" s="111"/>
      <c r="CF84" s="111"/>
      <c r="CG84" s="111"/>
      <c r="CH84" s="111"/>
      <c r="CI84" s="111"/>
      <c r="CJ84" s="111"/>
      <c r="CK84" s="111"/>
      <c r="CL84" s="111"/>
      <c r="CM84" s="111"/>
      <c r="CN84" s="111"/>
      <c r="CO84" s="111"/>
      <c r="CP84" s="111"/>
      <c r="CQ84" s="111"/>
      <c r="CR84" s="111"/>
      <c r="CS84" s="111"/>
      <c r="CT84" s="111"/>
    </row>
    <row r="85" spans="1:98" s="29" customFormat="1">
      <c r="A85" s="91" t="str">
        <f t="shared" ref="A85:A88" si="97">+A78</f>
        <v>Automated  Invitations</v>
      </c>
      <c r="AA85" s="111"/>
      <c r="AB85" s="111"/>
      <c r="AC85" s="111"/>
      <c r="AD85" s="111"/>
      <c r="AE85" s="111"/>
      <c r="AF85" s="27"/>
      <c r="AG85" s="27"/>
      <c r="AH85" s="27"/>
      <c r="AI85" s="27"/>
      <c r="AJ85" s="27"/>
      <c r="AK85" s="27"/>
      <c r="AL85" s="27"/>
      <c r="AM85" s="27"/>
      <c r="AN85" s="27"/>
      <c r="AO85" s="27"/>
      <c r="AP85" s="27"/>
      <c r="AQ85" s="27"/>
      <c r="AR85" s="27"/>
      <c r="AS85" s="27">
        <f t="shared" ref="AS85:AS88" si="98">+AS71/AG71-1</f>
        <v>1.0329113924050635</v>
      </c>
      <c r="AT85" s="27">
        <f t="shared" si="90"/>
        <v>1.3668639053254439</v>
      </c>
      <c r="AU85" s="27">
        <f t="shared" si="91"/>
        <v>0.82881002087682676</v>
      </c>
      <c r="AV85" s="27">
        <f t="shared" si="92"/>
        <v>1.2230769230769232</v>
      </c>
      <c r="AW85" s="27">
        <f t="shared" si="93"/>
        <v>1.4732394366197181</v>
      </c>
      <c r="AX85" s="27">
        <f t="shared" si="94"/>
        <v>2.180327868852459</v>
      </c>
      <c r="AY85" s="27">
        <f t="shared" si="95"/>
        <v>1.3125</v>
      </c>
      <c r="AZ85" s="27">
        <f t="shared" si="96"/>
        <v>0.2443280977312392</v>
      </c>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c r="CB85" s="111"/>
      <c r="CC85" s="111"/>
      <c r="CD85" s="111"/>
      <c r="CE85" s="111"/>
      <c r="CF85" s="111"/>
      <c r="CG85" s="111"/>
      <c r="CH85" s="111"/>
      <c r="CI85" s="111"/>
      <c r="CJ85" s="111"/>
      <c r="CK85" s="111"/>
      <c r="CL85" s="111"/>
      <c r="CM85" s="111"/>
      <c r="CN85" s="111"/>
      <c r="CO85" s="111"/>
      <c r="CP85" s="111"/>
      <c r="CQ85" s="111"/>
      <c r="CR85" s="111"/>
      <c r="CS85" s="111"/>
      <c r="CT85" s="111"/>
    </row>
    <row r="86" spans="1:98" s="29" customFormat="1">
      <c r="A86" s="91" t="str">
        <f t="shared" si="97"/>
        <v>Manual Invitations</v>
      </c>
      <c r="AA86" s="111"/>
      <c r="AB86" s="111"/>
      <c r="AC86" s="111"/>
      <c r="AD86" s="111"/>
      <c r="AE86" s="111"/>
      <c r="AF86" s="27"/>
      <c r="AG86" s="27"/>
      <c r="AH86" s="27"/>
      <c r="AI86" s="27"/>
      <c r="AJ86" s="27"/>
      <c r="AK86" s="27"/>
      <c r="AL86" s="27"/>
      <c r="AM86" s="27"/>
      <c r="AN86" s="27"/>
      <c r="AO86" s="27"/>
      <c r="AP86" s="27"/>
      <c r="AQ86" s="27"/>
      <c r="AR86" s="27"/>
      <c r="AS86" s="27">
        <f t="shared" si="98"/>
        <v>1.5696202531645569</v>
      </c>
      <c r="AT86" s="27">
        <f t="shared" si="90"/>
        <v>0.75238095238095237</v>
      </c>
      <c r="AU86" s="27">
        <f t="shared" si="91"/>
        <v>0.44262295081967218</v>
      </c>
      <c r="AV86" s="27">
        <f t="shared" si="92"/>
        <v>0.70866141732283472</v>
      </c>
      <c r="AW86" s="27">
        <f t="shared" si="93"/>
        <v>0.67123287671232879</v>
      </c>
      <c r="AX86" s="27">
        <f t="shared" si="94"/>
        <v>1.2211538461538463</v>
      </c>
      <c r="AY86" s="27">
        <f t="shared" si="95"/>
        <v>0.33962264150943389</v>
      </c>
      <c r="AZ86" s="27">
        <f t="shared" si="96"/>
        <v>1.8189655172413794</v>
      </c>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1"/>
      <c r="CE86" s="111"/>
      <c r="CF86" s="111"/>
      <c r="CG86" s="111"/>
      <c r="CH86" s="111"/>
      <c r="CI86" s="111"/>
      <c r="CJ86" s="111"/>
      <c r="CK86" s="111"/>
      <c r="CL86" s="111"/>
      <c r="CM86" s="111"/>
      <c r="CN86" s="111"/>
      <c r="CO86" s="111"/>
      <c r="CP86" s="111"/>
      <c r="CQ86" s="111"/>
      <c r="CR86" s="111"/>
      <c r="CS86" s="111"/>
      <c r="CT86" s="111"/>
    </row>
    <row r="87" spans="1:98" s="120" customFormat="1" ht="16">
      <c r="A87" s="91" t="str">
        <f t="shared" si="97"/>
        <v>Redirected</v>
      </c>
      <c r="AA87" s="132"/>
      <c r="AB87" s="132"/>
      <c r="AC87" s="132"/>
      <c r="AD87" s="132"/>
      <c r="AE87" s="132"/>
      <c r="AF87" s="28"/>
      <c r="AG87" s="28"/>
      <c r="AH87" s="28"/>
      <c r="AI87" s="28"/>
      <c r="AJ87" s="28"/>
      <c r="AK87" s="28"/>
      <c r="AL87" s="28"/>
      <c r="AM87" s="28"/>
      <c r="AN87" s="28"/>
      <c r="AO87" s="28"/>
      <c r="AP87" s="28"/>
      <c r="AQ87" s="28"/>
      <c r="AR87" s="28"/>
      <c r="AS87" s="28">
        <v>0</v>
      </c>
      <c r="AT87" s="28">
        <v>0</v>
      </c>
      <c r="AU87" s="28">
        <v>0</v>
      </c>
      <c r="AV87" s="28">
        <v>0</v>
      </c>
      <c r="AW87" s="28">
        <v>0</v>
      </c>
      <c r="AX87" s="28">
        <v>0</v>
      </c>
      <c r="AY87" s="28">
        <v>0</v>
      </c>
      <c r="AZ87" s="28">
        <v>0</v>
      </c>
      <c r="BA87" s="132"/>
      <c r="BB87" s="132"/>
      <c r="BC87" s="132"/>
      <c r="BD87" s="132"/>
      <c r="BE87" s="132"/>
      <c r="BF87" s="132"/>
      <c r="BG87" s="132"/>
      <c r="BH87" s="132"/>
      <c r="BI87" s="132"/>
      <c r="BJ87" s="132"/>
      <c r="BK87" s="132"/>
      <c r="BL87" s="132"/>
      <c r="BM87" s="132"/>
      <c r="BN87" s="132"/>
      <c r="BO87" s="132"/>
      <c r="BP87" s="132"/>
      <c r="BQ87" s="132"/>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132"/>
      <c r="CR87" s="132"/>
      <c r="CS87" s="132"/>
      <c r="CT87" s="132"/>
    </row>
    <row r="88" spans="1:98" s="119" customFormat="1">
      <c r="A88" s="112" t="str">
        <f t="shared" si="97"/>
        <v>Total TrustPilot Reviews</v>
      </c>
      <c r="AA88" s="134"/>
      <c r="AB88" s="134"/>
      <c r="AC88" s="134"/>
      <c r="AD88" s="134"/>
      <c r="AE88" s="134"/>
      <c r="AF88" s="25"/>
      <c r="AG88" s="25"/>
      <c r="AH88" s="25"/>
      <c r="AI88" s="25"/>
      <c r="AJ88" s="25"/>
      <c r="AK88" s="25"/>
      <c r="AL88" s="25"/>
      <c r="AM88" s="25"/>
      <c r="AN88" s="25"/>
      <c r="AO88" s="25"/>
      <c r="AP88" s="25"/>
      <c r="AQ88" s="25"/>
      <c r="AR88" s="25"/>
      <c r="AS88" s="25">
        <f t="shared" si="98"/>
        <v>1.064516129032258</v>
      </c>
      <c r="AT88" s="25">
        <f t="shared" si="90"/>
        <v>1.2227074235807862</v>
      </c>
      <c r="AU88" s="25">
        <f t="shared" ref="AU88" si="99">+AU74/AI74-1</f>
        <v>0.75040257648953301</v>
      </c>
      <c r="AV88" s="25">
        <f t="shared" ref="AV88" si="100">+AV74/AJ74-1</f>
        <v>1.1556662515566627</v>
      </c>
      <c r="AW88" s="25">
        <f t="shared" ref="AW88" si="101">+AW74/AK74-1</f>
        <v>1.3551609322974474</v>
      </c>
      <c r="AX88" s="25">
        <f t="shared" ref="AX88" si="102">+AX74/AL74-1</f>
        <v>1.878892733564014</v>
      </c>
      <c r="AY88" s="25">
        <f t="shared" ref="AY88" si="103">+AY74/AM74-1</f>
        <v>1.0758620689655172</v>
      </c>
      <c r="AZ88" s="25">
        <f t="shared" ref="AZ88" si="104">+AZ74/AN74-1</f>
        <v>0.5083798882681565</v>
      </c>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c r="CH88" s="134"/>
      <c r="CI88" s="134"/>
      <c r="CJ88" s="134"/>
      <c r="CK88" s="134"/>
      <c r="CL88" s="134"/>
      <c r="CM88" s="134"/>
      <c r="CN88" s="134"/>
      <c r="CO88" s="134"/>
      <c r="CP88" s="134"/>
      <c r="CQ88" s="134"/>
      <c r="CR88" s="134"/>
      <c r="CS88" s="134"/>
      <c r="CT88" s="134"/>
    </row>
    <row r="90" spans="1:98">
      <c r="A90" s="133" t="s">
        <v>828</v>
      </c>
      <c r="AL90" s="27"/>
      <c r="AM90" s="27"/>
      <c r="AN90" s="27"/>
      <c r="AO90" s="27"/>
      <c r="AP90" s="27"/>
      <c r="AQ90" s="27"/>
      <c r="AR90" s="27"/>
      <c r="AS90" s="27"/>
      <c r="AT90" s="27"/>
      <c r="AU90" s="27"/>
      <c r="AV90" s="27"/>
      <c r="AW90" s="27"/>
      <c r="AX90" s="27"/>
      <c r="AY90" s="27"/>
      <c r="AZ90" s="27"/>
    </row>
    <row r="91" spans="1:98">
      <c r="A91" s="91" t="s">
        <v>829</v>
      </c>
      <c r="AL91" s="27"/>
      <c r="AM91" s="27"/>
      <c r="AN91" s="117"/>
      <c r="AO91" s="117"/>
      <c r="AP91" s="117"/>
      <c r="AQ91" s="117">
        <f>+AQ51</f>
        <v>0.24722222222222223</v>
      </c>
      <c r="AR91" s="117"/>
      <c r="AS91" s="117"/>
      <c r="AT91" s="117"/>
      <c r="AU91" s="117"/>
      <c r="AV91" s="117"/>
      <c r="AW91" s="117"/>
      <c r="AX91" s="117"/>
      <c r="AY91" s="117"/>
      <c r="AZ91" s="117"/>
    </row>
    <row r="92" spans="1:98">
      <c r="A92" s="91" t="s">
        <v>830</v>
      </c>
      <c r="AL92" s="27"/>
      <c r="AM92" s="27"/>
      <c r="AN92" s="117"/>
      <c r="AO92" s="117"/>
      <c r="AP92" s="117"/>
      <c r="AQ92" s="117">
        <f>+SUM(AO74:AQ74)/SUM(AL74:AN74)-1</f>
        <v>0.69957310565635011</v>
      </c>
      <c r="AR92" s="117"/>
      <c r="AS92" s="117"/>
      <c r="AT92" s="117"/>
      <c r="AU92" s="117"/>
      <c r="AV92" s="117"/>
      <c r="AW92" s="117"/>
      <c r="AX92" s="117"/>
      <c r="AY92" s="117"/>
      <c r="AZ92" s="117"/>
    </row>
    <row r="93" spans="1:98">
      <c r="A93" s="91"/>
      <c r="AL93" s="27"/>
      <c r="AM93" s="27"/>
      <c r="AN93" s="117"/>
      <c r="AO93" s="117"/>
      <c r="AP93" s="117"/>
      <c r="AQ93" s="117"/>
      <c r="AR93" s="117"/>
      <c r="AS93" s="117"/>
      <c r="AT93" s="117"/>
      <c r="AU93" s="117"/>
      <c r="AV93" s="117"/>
      <c r="AW93" s="117"/>
      <c r="AX93" s="117"/>
      <c r="AY93" s="117"/>
      <c r="AZ93" s="117"/>
    </row>
    <row r="94" spans="1:98">
      <c r="A94" s="91" t="s">
        <v>831</v>
      </c>
      <c r="AL94" s="27"/>
      <c r="AM94" s="27"/>
      <c r="AN94" s="117"/>
      <c r="AO94" s="117"/>
      <c r="AP94" s="117"/>
      <c r="AQ94" s="117">
        <f>+'Q4 FY21e analysis'!O18</f>
        <v>0.83631874914277882</v>
      </c>
      <c r="AR94" s="117"/>
      <c r="AS94" s="117"/>
      <c r="AT94" s="117"/>
      <c r="AU94" s="117"/>
      <c r="AV94" s="117"/>
      <c r="AW94" s="117"/>
      <c r="AX94" s="117"/>
      <c r="AY94" s="117"/>
      <c r="AZ94" s="117"/>
      <c r="BA94" t="s">
        <v>832</v>
      </c>
    </row>
    <row r="95" spans="1:98">
      <c r="A95" s="91" t="s">
        <v>830</v>
      </c>
      <c r="AL95" s="27"/>
      <c r="AM95" s="27"/>
      <c r="AN95" s="117"/>
      <c r="AO95" s="117"/>
      <c r="AP95" s="117"/>
      <c r="AQ95" s="117">
        <f>+AQ92</f>
        <v>0.69957310565635011</v>
      </c>
      <c r="AR95" s="117"/>
      <c r="AS95" s="117"/>
      <c r="AT95" s="117"/>
      <c r="AU95" s="117"/>
      <c r="AV95" s="117"/>
      <c r="AW95" s="117"/>
      <c r="AX95" s="117"/>
      <c r="AY95" s="117"/>
      <c r="AZ95" s="117"/>
      <c r="BA95" t="s">
        <v>832</v>
      </c>
    </row>
    <row r="96" spans="1:98">
      <c r="A96" s="91"/>
      <c r="AL96" s="27"/>
      <c r="AM96" s="27"/>
      <c r="AN96" s="117"/>
      <c r="AO96" s="117"/>
      <c r="AP96" s="117"/>
      <c r="AQ96" s="117"/>
      <c r="AR96" s="117"/>
      <c r="AS96" s="117"/>
      <c r="AT96" s="117"/>
      <c r="AU96" s="117"/>
      <c r="AV96" s="117"/>
      <c r="AW96" s="117"/>
      <c r="AX96" s="117"/>
      <c r="AY96" s="117"/>
      <c r="AZ96" s="117"/>
    </row>
    <row r="97" spans="1:53">
      <c r="A97" s="91" t="s">
        <v>833</v>
      </c>
      <c r="AL97" s="27"/>
      <c r="AM97" s="27"/>
      <c r="AN97" s="117"/>
      <c r="AO97" s="117"/>
      <c r="AP97" s="117"/>
      <c r="AQ97" s="117">
        <f>+'Q4 FY21e analysis'!O20</f>
        <v>0.82839748126911572</v>
      </c>
      <c r="AR97" s="117"/>
      <c r="AS97" s="117"/>
      <c r="AT97" s="117"/>
      <c r="AU97" s="117"/>
      <c r="AV97" s="117"/>
      <c r="AW97" s="117"/>
      <c r="AX97" s="117"/>
      <c r="AY97" s="117"/>
      <c r="AZ97" s="117"/>
    </row>
    <row r="98" spans="1:53">
      <c r="A98" s="91" t="s">
        <v>830</v>
      </c>
      <c r="AL98" s="27"/>
      <c r="AM98" s="27"/>
      <c r="AN98" s="117"/>
      <c r="AO98" s="117"/>
      <c r="AP98" s="117"/>
      <c r="AQ98" s="117">
        <f>+AQ92</f>
        <v>0.69957310565635011</v>
      </c>
      <c r="AR98" s="117"/>
      <c r="AS98" s="117"/>
      <c r="AT98" s="117"/>
      <c r="AU98" s="117"/>
      <c r="AV98" s="117"/>
      <c r="AW98" s="117"/>
      <c r="AX98" s="117"/>
      <c r="AY98" s="117"/>
      <c r="AZ98" s="117"/>
    </row>
    <row r="99" spans="1:53">
      <c r="A99" s="91"/>
      <c r="AL99" s="27"/>
      <c r="AM99" s="27"/>
      <c r="AN99" s="117"/>
      <c r="AO99" s="117"/>
      <c r="AP99" s="117"/>
      <c r="AQ99" s="117"/>
      <c r="AR99" s="117"/>
      <c r="AS99" s="117"/>
      <c r="AT99" s="117"/>
      <c r="AU99" s="117"/>
      <c r="AV99" s="117"/>
      <c r="AW99" s="117"/>
      <c r="AX99" s="117"/>
      <c r="AY99" s="117"/>
      <c r="AZ99" s="117"/>
    </row>
    <row r="100" spans="1:53">
      <c r="A100" s="91" t="s">
        <v>834</v>
      </c>
      <c r="AL100" s="27"/>
      <c r="AM100" s="27"/>
      <c r="AN100" s="117"/>
      <c r="AO100" s="117"/>
      <c r="AP100" s="117"/>
      <c r="AQ100" s="117">
        <f>+'Q4 FY21e analysis'!O74</f>
        <v>0.79804836174548166</v>
      </c>
      <c r="AR100" s="117"/>
      <c r="AS100" s="117"/>
      <c r="AT100" s="117"/>
      <c r="AU100" s="117"/>
      <c r="AV100" s="117"/>
      <c r="AW100" s="117"/>
      <c r="AX100" s="117"/>
      <c r="AY100" s="117"/>
      <c r="AZ100" s="117"/>
    </row>
    <row r="101" spans="1:53">
      <c r="A101" s="91" t="s">
        <v>830</v>
      </c>
      <c r="AL101" s="27"/>
      <c r="AM101" s="27"/>
      <c r="AN101" s="117"/>
      <c r="AO101" s="117"/>
      <c r="AP101" s="117"/>
      <c r="AQ101" s="117">
        <f>+AQ98</f>
        <v>0.69957310565635011</v>
      </c>
      <c r="AR101" s="117"/>
      <c r="AS101" s="117"/>
      <c r="AT101" s="117"/>
      <c r="AU101" s="117"/>
      <c r="AV101" s="117"/>
      <c r="AW101" s="117"/>
      <c r="AX101" s="117"/>
      <c r="AY101" s="117"/>
      <c r="AZ101" s="117"/>
    </row>
    <row r="102" spans="1:53">
      <c r="A102" s="91"/>
      <c r="AL102" s="27"/>
      <c r="AM102" s="27"/>
      <c r="AN102" s="117"/>
      <c r="AO102" s="117"/>
      <c r="AP102" s="117"/>
      <c r="AQ102" s="117"/>
      <c r="AR102" s="117"/>
      <c r="AS102" s="117"/>
      <c r="AT102" s="117"/>
      <c r="AU102" s="117"/>
      <c r="AV102" s="117"/>
      <c r="AW102" s="117"/>
      <c r="AX102" s="117"/>
      <c r="AY102" s="117"/>
      <c r="AZ102" s="117"/>
    </row>
    <row r="103" spans="1:53">
      <c r="A103" s="91" t="s">
        <v>835</v>
      </c>
      <c r="AL103" s="27"/>
      <c r="AM103" s="27"/>
      <c r="AN103" s="117"/>
      <c r="AO103" s="117"/>
      <c r="AP103" s="117"/>
      <c r="AS103" s="117"/>
      <c r="AT103" s="117"/>
      <c r="AU103" s="117">
        <f>10.4/('Q4 FY21e analysis'!O10/1000)-1</f>
        <v>1.3162583518930959</v>
      </c>
      <c r="AV103" s="117"/>
      <c r="AW103" s="117"/>
      <c r="AX103" s="117"/>
      <c r="AY103" s="117"/>
      <c r="AZ103" s="117"/>
    </row>
    <row r="104" spans="1:53">
      <c r="A104" s="91" t="s">
        <v>830</v>
      </c>
      <c r="AL104" s="27"/>
      <c r="AM104" s="27"/>
      <c r="AN104" s="117"/>
      <c r="AO104" s="117"/>
      <c r="AP104" s="117"/>
      <c r="AS104" s="117"/>
      <c r="AT104" s="117"/>
      <c r="AU104" s="117">
        <f>SUM(AR74:AU74)/SUM(AO74:AQ74)-1</f>
        <v>0.29105180533751973</v>
      </c>
      <c r="AV104" s="117"/>
      <c r="AW104" s="117"/>
      <c r="AX104" s="117"/>
      <c r="AY104" s="117"/>
      <c r="AZ104" s="117"/>
    </row>
    <row r="105" spans="1:53">
      <c r="A105" s="91"/>
      <c r="AL105" s="27"/>
      <c r="AM105" s="27"/>
      <c r="AN105" s="117"/>
      <c r="AO105" s="117"/>
      <c r="AP105" s="117"/>
      <c r="AS105" s="117"/>
      <c r="AT105" s="117"/>
      <c r="AU105" s="117"/>
      <c r="AV105" s="117"/>
      <c r="AW105" s="117"/>
      <c r="AX105" s="117"/>
      <c r="AY105" s="117"/>
      <c r="AZ105" s="117"/>
    </row>
    <row r="106" spans="1:53">
      <c r="A106" s="91" t="s">
        <v>836</v>
      </c>
      <c r="AL106" s="27"/>
      <c r="AM106" s="27"/>
      <c r="AN106" s="117"/>
      <c r="AO106" s="117"/>
      <c r="AP106" s="117"/>
      <c r="AS106" s="117"/>
      <c r="AT106" s="117"/>
      <c r="AU106" s="117">
        <f>107676/('Q4 FY21e analysis'!O12)-1</f>
        <v>0.60847287991276167</v>
      </c>
      <c r="AV106" s="117"/>
      <c r="AW106" s="117"/>
      <c r="AX106" s="117"/>
      <c r="AY106" s="117"/>
      <c r="AZ106" s="117"/>
      <c r="BA106" t="s">
        <v>832</v>
      </c>
    </row>
    <row r="107" spans="1:53">
      <c r="A107" s="91" t="s">
        <v>830</v>
      </c>
      <c r="AL107" s="27"/>
      <c r="AM107" s="27"/>
      <c r="AN107" s="117"/>
      <c r="AO107" s="117"/>
      <c r="AP107" s="117"/>
      <c r="AS107" s="117"/>
      <c r="AT107" s="117"/>
      <c r="AU107" s="117">
        <f>+AU104</f>
        <v>0.29105180533751973</v>
      </c>
      <c r="AV107" s="117"/>
      <c r="AW107" s="117"/>
      <c r="AX107" s="117"/>
      <c r="AY107" s="117"/>
      <c r="AZ107" s="117"/>
      <c r="BA107" t="s">
        <v>832</v>
      </c>
    </row>
    <row r="108" spans="1:53">
      <c r="A108" s="91"/>
      <c r="AL108" s="27"/>
      <c r="AM108" s="27"/>
      <c r="AN108" s="117"/>
      <c r="AO108" s="117"/>
      <c r="AP108" s="117"/>
      <c r="AS108" s="117"/>
      <c r="AT108" s="117"/>
      <c r="AU108" s="117"/>
      <c r="AV108" s="117"/>
      <c r="AW108" s="117"/>
      <c r="AX108" s="117"/>
      <c r="AY108" s="117"/>
      <c r="AZ108" s="117"/>
    </row>
    <row r="109" spans="1:53">
      <c r="A109" s="91" t="s">
        <v>837</v>
      </c>
      <c r="AL109" s="27"/>
      <c r="AM109" s="27"/>
      <c r="AN109" s="117"/>
      <c r="AO109" s="117"/>
      <c r="AP109" s="117"/>
      <c r="AS109" s="117"/>
      <c r="AT109" s="117"/>
      <c r="AU109" s="117">
        <f>78.9/('Q4 FY21e analysis'!O14/1000)-1</f>
        <v>1.2082370782894234</v>
      </c>
      <c r="AV109" s="117"/>
      <c r="AW109" s="117"/>
      <c r="AX109" s="117"/>
      <c r="AY109" s="117"/>
      <c r="AZ109" s="117"/>
    </row>
    <row r="110" spans="1:53">
      <c r="A110" s="91" t="s">
        <v>830</v>
      </c>
      <c r="AL110" s="27"/>
      <c r="AM110" s="27"/>
      <c r="AN110" s="117"/>
      <c r="AO110" s="117"/>
      <c r="AP110" s="117"/>
      <c r="AS110" s="117"/>
      <c r="AT110" s="117"/>
      <c r="AU110" s="117">
        <f>+AU107</f>
        <v>0.29105180533751973</v>
      </c>
      <c r="AV110" s="117"/>
      <c r="AW110" s="117"/>
      <c r="AX110" s="117"/>
      <c r="AY110" s="117"/>
      <c r="AZ110" s="117"/>
    </row>
    <row r="111" spans="1:53">
      <c r="A111" s="91"/>
      <c r="AL111" s="27"/>
      <c r="AM111" s="27"/>
      <c r="AN111" s="117"/>
      <c r="AO111" s="117"/>
      <c r="AP111" s="117"/>
      <c r="AS111" s="117"/>
      <c r="AT111" s="117"/>
      <c r="AU111" s="117"/>
      <c r="AV111" s="117"/>
      <c r="AW111" s="117"/>
      <c r="AX111" s="117"/>
      <c r="AY111" s="117"/>
      <c r="AZ111" s="117"/>
    </row>
    <row r="112" spans="1:53">
      <c r="A112" s="91" t="s">
        <v>838</v>
      </c>
      <c r="AL112" s="27"/>
      <c r="AM112" s="27"/>
      <c r="AN112" s="117"/>
      <c r="AO112" s="117"/>
      <c r="AP112" s="117"/>
      <c r="AS112" s="117"/>
      <c r="AT112" s="117"/>
      <c r="AU112" s="117">
        <f>57.8/('Q4 FY21e analysis'!O54/1000)-1</f>
        <v>1.249648008349002</v>
      </c>
      <c r="AV112" s="117"/>
      <c r="AW112" s="117"/>
      <c r="AX112" s="117"/>
      <c r="AY112" s="117"/>
      <c r="AZ112" s="117"/>
    </row>
    <row r="113" spans="1:98">
      <c r="A113" s="91" t="s">
        <v>830</v>
      </c>
      <c r="AL113" s="27"/>
      <c r="AM113" s="27"/>
      <c r="AN113" s="117"/>
      <c r="AO113" s="117"/>
      <c r="AP113" s="117"/>
      <c r="AS113" s="117"/>
      <c r="AT113" s="117"/>
      <c r="AU113" s="117">
        <f>+AU110</f>
        <v>0.29105180533751973</v>
      </c>
      <c r="AV113" s="117"/>
      <c r="AW113" s="117"/>
      <c r="AX113" s="117"/>
      <c r="AY113" s="117"/>
      <c r="AZ113" s="117"/>
    </row>
    <row r="114" spans="1:98">
      <c r="A114" s="91"/>
      <c r="AL114" s="27"/>
      <c r="AM114" s="27"/>
      <c r="AN114" s="117"/>
      <c r="AO114" s="117"/>
      <c r="AP114" s="117"/>
      <c r="AQ114" s="117"/>
      <c r="AR114" s="117"/>
      <c r="AS114" s="117"/>
      <c r="AT114" s="117"/>
      <c r="AU114" s="117"/>
      <c r="AV114" s="117"/>
      <c r="AW114" s="117"/>
      <c r="AX114" s="117"/>
      <c r="AY114" s="117"/>
      <c r="AZ114" s="117"/>
    </row>
    <row r="115" spans="1:98">
      <c r="A115" s="120" t="s">
        <v>819</v>
      </c>
    </row>
    <row r="116" spans="1:98">
      <c r="A116" s="148" t="s">
        <v>839</v>
      </c>
    </row>
    <row r="117" spans="1:98">
      <c r="A117" s="147"/>
    </row>
    <row r="118" spans="1:98">
      <c r="A118" t="s">
        <v>529</v>
      </c>
    </row>
    <row r="119" spans="1:98" s="127" customFormat="1">
      <c r="A119" s="126" t="s">
        <v>840</v>
      </c>
    </row>
    <row r="121" spans="1:98">
      <c r="B121" s="137">
        <v>44410</v>
      </c>
      <c r="C121" s="137">
        <f>+B121+7</f>
        <v>44417</v>
      </c>
      <c r="D121" s="137">
        <f t="shared" ref="D121" si="105">+C121+7</f>
        <v>44424</v>
      </c>
      <c r="E121" s="137">
        <f t="shared" ref="E121" si="106">+D121+7</f>
        <v>44431</v>
      </c>
      <c r="F121" s="137">
        <f t="shared" ref="F121" si="107">+E121+7</f>
        <v>44438</v>
      </c>
      <c r="G121" s="137">
        <f t="shared" ref="G121" si="108">+F121+7</f>
        <v>44445</v>
      </c>
      <c r="H121" s="137">
        <f t="shared" ref="H121" si="109">+G121+7</f>
        <v>44452</v>
      </c>
      <c r="I121" s="137">
        <f t="shared" ref="I121" si="110">+H121+7</f>
        <v>44459</v>
      </c>
      <c r="J121" s="137">
        <f t="shared" ref="J121" si="111">+I121+7</f>
        <v>44466</v>
      </c>
      <c r="K121" s="137">
        <f t="shared" ref="K121" si="112">+J121+7</f>
        <v>44473</v>
      </c>
      <c r="L121" s="137">
        <f t="shared" ref="L121" si="113">+K121+7</f>
        <v>44480</v>
      </c>
      <c r="M121" s="137">
        <f t="shared" ref="M121" si="114">+L121+7</f>
        <v>44487</v>
      </c>
      <c r="N121" s="137">
        <f t="shared" ref="N121:P121" si="115">+M121+7</f>
        <v>44494</v>
      </c>
      <c r="O121" s="137">
        <f t="shared" si="115"/>
        <v>44501</v>
      </c>
      <c r="P121" s="137">
        <f t="shared" si="115"/>
        <v>44508</v>
      </c>
      <c r="Q121" s="137">
        <f t="shared" ref="Q121" si="116">+P121+7</f>
        <v>44515</v>
      </c>
    </row>
    <row r="122" spans="1:98">
      <c r="A122" s="3" t="s">
        <v>841</v>
      </c>
    </row>
    <row r="123" spans="1:98">
      <c r="A123" t="s">
        <v>842</v>
      </c>
      <c r="B123" s="9">
        <v>1074</v>
      </c>
      <c r="C123" s="9">
        <v>1081</v>
      </c>
      <c r="D123" s="9">
        <v>1109</v>
      </c>
      <c r="E123" s="9">
        <v>1102</v>
      </c>
      <c r="F123" s="9">
        <v>1128</v>
      </c>
      <c r="G123" s="9">
        <v>1156</v>
      </c>
      <c r="H123" s="9">
        <v>1132</v>
      </c>
      <c r="I123" s="9">
        <v>1152</v>
      </c>
      <c r="J123" s="9">
        <v>1157</v>
      </c>
      <c r="K123" s="9">
        <v>1159</v>
      </c>
      <c r="L123" s="9">
        <v>1135</v>
      </c>
      <c r="M123" s="9">
        <v>1141</v>
      </c>
      <c r="N123" s="9">
        <v>1165</v>
      </c>
      <c r="O123" s="9">
        <v>1135</v>
      </c>
      <c r="P123" s="9">
        <v>1145</v>
      </c>
      <c r="Q123" s="9">
        <v>1128</v>
      </c>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row>
    <row r="124" spans="1:98">
      <c r="A124" t="s">
        <v>843</v>
      </c>
      <c r="B124" s="9">
        <v>676</v>
      </c>
      <c r="C124" s="9">
        <v>676</v>
      </c>
      <c r="D124" s="9">
        <v>695</v>
      </c>
      <c r="E124" s="9">
        <v>678</v>
      </c>
      <c r="F124" s="9">
        <v>684</v>
      </c>
      <c r="G124" s="9">
        <v>709</v>
      </c>
      <c r="H124" s="9">
        <v>698</v>
      </c>
      <c r="I124" s="9">
        <v>717</v>
      </c>
      <c r="J124" s="9">
        <v>718</v>
      </c>
      <c r="K124" s="9">
        <v>725</v>
      </c>
      <c r="L124" s="9">
        <v>704</v>
      </c>
      <c r="M124" s="9">
        <v>715</v>
      </c>
      <c r="N124" s="9">
        <v>733</v>
      </c>
      <c r="O124" s="9">
        <v>717</v>
      </c>
      <c r="P124" s="9">
        <v>730</v>
      </c>
      <c r="Q124" s="9">
        <v>736</v>
      </c>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row>
    <row r="125" spans="1:98" s="4" customFormat="1">
      <c r="A125" t="s">
        <v>844</v>
      </c>
      <c r="B125" s="10">
        <v>80</v>
      </c>
      <c r="C125" s="10">
        <v>80</v>
      </c>
      <c r="D125" s="10">
        <v>81</v>
      </c>
      <c r="E125" s="10">
        <v>85</v>
      </c>
      <c r="F125" s="10">
        <v>93</v>
      </c>
      <c r="G125" s="10">
        <v>97</v>
      </c>
      <c r="H125" s="10">
        <v>100</v>
      </c>
      <c r="I125" s="10">
        <v>103</v>
      </c>
      <c r="J125" s="10">
        <v>108</v>
      </c>
      <c r="K125" s="10">
        <v>107</v>
      </c>
      <c r="L125" s="10">
        <v>110</v>
      </c>
      <c r="M125" s="10">
        <v>110</v>
      </c>
      <c r="N125" s="10">
        <v>114</v>
      </c>
      <c r="O125" s="10">
        <v>113</v>
      </c>
      <c r="P125" s="10">
        <v>113</v>
      </c>
      <c r="Q125" s="10">
        <v>112</v>
      </c>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row>
    <row r="126" spans="1:98">
      <c r="A126" s="5" t="s">
        <v>845</v>
      </c>
      <c r="B126" s="9">
        <f>+SUM(B123:B125)</f>
        <v>1830</v>
      </c>
      <c r="C126" s="9">
        <f>+SUM(C123:C125)</f>
        <v>1837</v>
      </c>
      <c r="D126" s="9">
        <f t="shared" ref="D126" si="117">+SUM(D123:D125)</f>
        <v>1885</v>
      </c>
      <c r="E126" s="9">
        <f t="shared" ref="E126:F126" si="118">+SUM(E123:E125)</f>
        <v>1865</v>
      </c>
      <c r="F126" s="9">
        <f t="shared" si="118"/>
        <v>1905</v>
      </c>
      <c r="G126" s="9">
        <f t="shared" ref="G126:H126" si="119">+SUM(G123:G125)</f>
        <v>1962</v>
      </c>
      <c r="H126" s="9">
        <f t="shared" si="119"/>
        <v>1930</v>
      </c>
      <c r="I126" s="9">
        <f t="shared" ref="I126:J126" si="120">+SUM(I123:I125)</f>
        <v>1972</v>
      </c>
      <c r="J126" s="9">
        <f t="shared" si="120"/>
        <v>1983</v>
      </c>
      <c r="K126" s="9">
        <f t="shared" ref="K126:L126" si="121">+SUM(K123:K125)</f>
        <v>1991</v>
      </c>
      <c r="L126" s="9">
        <f t="shared" si="121"/>
        <v>1949</v>
      </c>
      <c r="M126" s="9">
        <f t="shared" ref="M126:N126" si="122">+SUM(M123:M125)</f>
        <v>1966</v>
      </c>
      <c r="N126" s="9">
        <f t="shared" si="122"/>
        <v>2012</v>
      </c>
      <c r="O126" s="9">
        <f t="shared" ref="O126:P126" si="123">+SUM(O123:O125)</f>
        <v>1965</v>
      </c>
      <c r="P126" s="9">
        <f t="shared" si="123"/>
        <v>1988</v>
      </c>
      <c r="Q126" s="9">
        <f t="shared" ref="Q126" si="124">+SUM(Q123:Q125)</f>
        <v>1976</v>
      </c>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c r="CL126" s="135"/>
      <c r="CM126" s="135"/>
      <c r="CN126" s="135"/>
      <c r="CO126" s="135"/>
      <c r="CP126" s="135"/>
      <c r="CQ126" s="135"/>
      <c r="CR126" s="135"/>
      <c r="CS126" s="135"/>
      <c r="CT126" s="135"/>
    </row>
    <row r="127" spans="1:98" s="4" customFormat="1">
      <c r="A127" t="s">
        <v>846</v>
      </c>
      <c r="B127" s="136">
        <v>48</v>
      </c>
      <c r="C127" s="136">
        <v>48</v>
      </c>
      <c r="D127" s="136">
        <v>48</v>
      </c>
      <c r="E127" s="136">
        <v>48</v>
      </c>
      <c r="F127" s="136">
        <v>48</v>
      </c>
      <c r="G127" s="136">
        <v>48</v>
      </c>
      <c r="H127" s="136">
        <v>48</v>
      </c>
      <c r="I127" s="136">
        <v>48</v>
      </c>
      <c r="J127" s="136">
        <v>48</v>
      </c>
      <c r="K127" s="136">
        <v>48</v>
      </c>
      <c r="L127" s="136">
        <v>48</v>
      </c>
      <c r="M127" s="136">
        <v>48</v>
      </c>
      <c r="N127" s="136">
        <v>48</v>
      </c>
      <c r="O127" s="136">
        <v>48</v>
      </c>
      <c r="P127" s="136">
        <v>48</v>
      </c>
      <c r="Q127" s="136">
        <v>48</v>
      </c>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row>
    <row r="128" spans="1:98" s="2" customFormat="1">
      <c r="A128" s="6" t="s">
        <v>847</v>
      </c>
      <c r="B128" s="11">
        <f>+B127*B126</f>
        <v>87840</v>
      </c>
      <c r="C128" s="11">
        <f>+C127*C126</f>
        <v>88176</v>
      </c>
      <c r="D128" s="11">
        <f t="shared" ref="D128" si="125">+D127*D126</f>
        <v>90480</v>
      </c>
      <c r="E128" s="11">
        <f t="shared" ref="E128:F128" si="126">+E127*E126</f>
        <v>89520</v>
      </c>
      <c r="F128" s="11">
        <f t="shared" si="126"/>
        <v>91440</v>
      </c>
      <c r="G128" s="11">
        <f t="shared" ref="G128:H128" si="127">+G127*G126</f>
        <v>94176</v>
      </c>
      <c r="H128" s="11">
        <f t="shared" si="127"/>
        <v>92640</v>
      </c>
      <c r="I128" s="11">
        <f t="shared" ref="I128:J128" si="128">+I127*I126</f>
        <v>94656</v>
      </c>
      <c r="J128" s="11">
        <f t="shared" si="128"/>
        <v>95184</v>
      </c>
      <c r="K128" s="11">
        <f t="shared" ref="K128:L128" si="129">+K127*K126</f>
        <v>95568</v>
      </c>
      <c r="L128" s="11">
        <f t="shared" si="129"/>
        <v>93552</v>
      </c>
      <c r="M128" s="11">
        <f t="shared" ref="M128:N128" si="130">+M127*M126</f>
        <v>94368</v>
      </c>
      <c r="N128" s="11">
        <f t="shared" si="130"/>
        <v>96576</v>
      </c>
      <c r="O128" s="11">
        <f t="shared" ref="O128:P128" si="131">+O127*O126</f>
        <v>94320</v>
      </c>
      <c r="P128" s="11">
        <f t="shared" si="131"/>
        <v>95424</v>
      </c>
      <c r="Q128" s="11">
        <f t="shared" ref="Q128" si="132">+Q127*Q126</f>
        <v>94848</v>
      </c>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row>
    <row r="129" spans="1:17" s="119" customFormat="1">
      <c r="A129" s="112" t="s">
        <v>848</v>
      </c>
      <c r="B129" s="145"/>
      <c r="C129" s="145">
        <f>+C128/B128-1</f>
        <v>3.8251366120218844E-3</v>
      </c>
      <c r="D129" s="145">
        <f>+D128/C128-1</f>
        <v>2.6129559063690744E-2</v>
      </c>
      <c r="E129" s="145">
        <f t="shared" ref="E129" si="133">+E128/D128-1</f>
        <v>-1.0610079575596787E-2</v>
      </c>
      <c r="F129" s="145">
        <f t="shared" ref="F129" si="134">+F128/E128-1</f>
        <v>2.1447721179624679E-2</v>
      </c>
      <c r="G129" s="145">
        <f t="shared" ref="G129" si="135">+G128/F128-1</f>
        <v>2.9921259842519587E-2</v>
      </c>
      <c r="H129" s="145">
        <f t="shared" ref="H129" si="136">+H128/G128-1</f>
        <v>-1.6309887869520923E-2</v>
      </c>
      <c r="I129" s="145">
        <f t="shared" ref="I129" si="137">+I128/H128-1</f>
        <v>2.1761658031087983E-2</v>
      </c>
      <c r="J129" s="145">
        <f t="shared" ref="J129" si="138">+J128/I128-1</f>
        <v>5.5780933062881122E-3</v>
      </c>
      <c r="K129" s="145">
        <f t="shared" ref="K129" si="139">+K128/J128-1</f>
        <v>4.0342914775592931E-3</v>
      </c>
      <c r="L129" s="145">
        <f t="shared" ref="L129" si="140">+L128/K128-1</f>
        <v>-2.1094927172275235E-2</v>
      </c>
      <c r="M129" s="145">
        <f t="shared" ref="M129" si="141">+M128/L128-1</f>
        <v>8.7224217547459126E-3</v>
      </c>
      <c r="N129" s="145">
        <f t="shared" ref="N129" si="142">+N128/M128-1</f>
        <v>2.3397761953204421E-2</v>
      </c>
      <c r="O129" s="145">
        <f t="shared" ref="O129" si="143">+O128/N128-1</f>
        <v>-2.3359840954274347E-2</v>
      </c>
      <c r="P129" s="145">
        <f t="shared" ref="P129" si="144">+P128/O128-1</f>
        <v>1.1704834605597902E-2</v>
      </c>
      <c r="Q129" s="145">
        <f t="shared" ref="Q129" si="145">+Q128/P128-1</f>
        <v>-6.0362173038229772E-3</v>
      </c>
    </row>
    <row r="130" spans="1:17" s="119" customFormat="1">
      <c r="A130" s="112" t="s">
        <v>849</v>
      </c>
      <c r="B130" s="145"/>
      <c r="C130" s="145"/>
      <c r="D130" s="145"/>
      <c r="E130" s="145"/>
      <c r="F130" s="145">
        <f>+F128/B128-1</f>
        <v>4.0983606557376984E-2</v>
      </c>
      <c r="G130" s="145">
        <f>+G128/C128-1</f>
        <v>6.80457267283614E-2</v>
      </c>
      <c r="H130" s="145">
        <f t="shared" ref="H130:K130" si="146">+H128/D128-1</f>
        <v>2.3872679045092937E-2</v>
      </c>
      <c r="I130" s="145">
        <f t="shared" si="146"/>
        <v>5.7372654155495972E-2</v>
      </c>
      <c r="J130" s="145">
        <f t="shared" si="146"/>
        <v>4.0944881889763751E-2</v>
      </c>
      <c r="K130" s="145">
        <f t="shared" si="146"/>
        <v>1.4780835881753385E-2</v>
      </c>
      <c r="L130" s="145">
        <f t="shared" ref="L130" si="147">+L128/H128-1</f>
        <v>9.8445595854921297E-3</v>
      </c>
      <c r="M130" s="145">
        <f t="shared" ref="M130" si="148">+M128/I128-1</f>
        <v>-3.0425963488843744E-3</v>
      </c>
      <c r="N130" s="145">
        <f t="shared" ref="N130" si="149">+N128/J128-1</f>
        <v>1.4624306606152215E-2</v>
      </c>
      <c r="O130" s="145">
        <f t="shared" ref="O130" si="150">+O128/K128-1</f>
        <v>-1.3058764439979886E-2</v>
      </c>
      <c r="P130" s="145">
        <f t="shared" ref="P130" si="151">+P128/L128-1</f>
        <v>2.001026167265274E-2</v>
      </c>
      <c r="Q130" s="145">
        <f t="shared" ref="Q130" si="152">+Q128/M128-1</f>
        <v>5.0864699898269805E-3</v>
      </c>
    </row>
    <row r="132" spans="1:17" s="126" customFormat="1">
      <c r="A132" s="126" t="s">
        <v>850</v>
      </c>
      <c r="I132" s="141"/>
    </row>
    <row r="133" spans="1:17">
      <c r="J133" s="137">
        <v>44469</v>
      </c>
      <c r="K133" s="137">
        <f t="shared" ref="K133" si="153">+J133+7</f>
        <v>44476</v>
      </c>
      <c r="L133" s="137">
        <f>L121</f>
        <v>44480</v>
      </c>
      <c r="M133" s="137">
        <f>M121</f>
        <v>44487</v>
      </c>
      <c r="N133" s="137">
        <f>N121</f>
        <v>44494</v>
      </c>
      <c r="O133" s="137">
        <f>O121</f>
        <v>44501</v>
      </c>
      <c r="P133" s="137">
        <f>P121</f>
        <v>44508</v>
      </c>
      <c r="Q133" s="137">
        <f t="shared" ref="Q133" si="154">Q121</f>
        <v>44515</v>
      </c>
    </row>
    <row r="134" spans="1:17" s="2" customFormat="1">
      <c r="A134" s="2" t="s">
        <v>851</v>
      </c>
      <c r="O134"/>
      <c r="P134"/>
      <c r="Q134"/>
    </row>
    <row r="135" spans="1:17" ht="29">
      <c r="I135" s="144">
        <v>1</v>
      </c>
      <c r="J135" s="142" t="s">
        <v>852</v>
      </c>
      <c r="K135" s="142" t="s">
        <v>852</v>
      </c>
      <c r="L135" s="142" t="s">
        <v>852</v>
      </c>
      <c r="M135" s="142" t="s">
        <v>852</v>
      </c>
      <c r="N135" s="142" t="s">
        <v>852</v>
      </c>
      <c r="O135" s="142" t="s">
        <v>852</v>
      </c>
      <c r="P135" s="142" t="s">
        <v>852</v>
      </c>
      <c r="Q135" s="142" t="s">
        <v>852</v>
      </c>
    </row>
    <row r="136" spans="1:17" ht="29">
      <c r="I136" s="144">
        <f>I135+1</f>
        <v>2</v>
      </c>
      <c r="J136" s="142"/>
      <c r="K136" s="142"/>
      <c r="L136" s="142"/>
      <c r="M136" s="142"/>
      <c r="N136" s="142" t="s">
        <v>853</v>
      </c>
      <c r="O136" s="142"/>
      <c r="P136" s="142"/>
      <c r="Q136" s="142"/>
    </row>
    <row r="137" spans="1:17" ht="29">
      <c r="I137" s="144">
        <f t="shared" ref="I137:I202" si="155">I136+1</f>
        <v>3</v>
      </c>
      <c r="J137" s="142" t="s">
        <v>854</v>
      </c>
      <c r="K137" s="142" t="s">
        <v>854</v>
      </c>
      <c r="L137" s="142" t="s">
        <v>854</v>
      </c>
      <c r="M137" s="142" t="s">
        <v>854</v>
      </c>
      <c r="N137" s="142" t="s">
        <v>854</v>
      </c>
      <c r="O137" s="142" t="s">
        <v>854</v>
      </c>
      <c r="P137" s="142" t="s">
        <v>854</v>
      </c>
      <c r="Q137" s="142" t="s">
        <v>854</v>
      </c>
    </row>
    <row r="138" spans="1:17" ht="29">
      <c r="I138" s="144">
        <f t="shared" si="155"/>
        <v>4</v>
      </c>
      <c r="J138" s="142" t="s">
        <v>855</v>
      </c>
      <c r="K138" s="142" t="s">
        <v>855</v>
      </c>
      <c r="L138" s="142" t="s">
        <v>855</v>
      </c>
      <c r="M138" s="142" t="s">
        <v>855</v>
      </c>
      <c r="N138" s="142" t="s">
        <v>855</v>
      </c>
      <c r="O138" s="142" t="s">
        <v>855</v>
      </c>
      <c r="P138" s="142" t="s">
        <v>855</v>
      </c>
      <c r="Q138" s="142" t="s">
        <v>855</v>
      </c>
    </row>
    <row r="139" spans="1:17">
      <c r="I139" s="144">
        <f t="shared" si="155"/>
        <v>5</v>
      </c>
      <c r="J139" s="142">
        <v>424</v>
      </c>
      <c r="K139" s="142">
        <v>424</v>
      </c>
      <c r="L139" s="142">
        <v>424</v>
      </c>
      <c r="M139" s="142">
        <v>424</v>
      </c>
      <c r="N139" s="142">
        <v>424</v>
      </c>
      <c r="O139" s="142">
        <v>424</v>
      </c>
      <c r="P139" s="142">
        <v>424</v>
      </c>
      <c r="Q139" s="142">
        <v>424</v>
      </c>
    </row>
    <row r="140" spans="1:17" ht="29">
      <c r="I140" s="144">
        <f t="shared" si="155"/>
        <v>6</v>
      </c>
      <c r="J140" s="142" t="s">
        <v>856</v>
      </c>
      <c r="K140" s="142" t="s">
        <v>856</v>
      </c>
      <c r="L140" s="142" t="s">
        <v>856</v>
      </c>
      <c r="M140" s="142" t="s">
        <v>856</v>
      </c>
      <c r="N140" s="142" t="s">
        <v>856</v>
      </c>
      <c r="O140" s="142" t="s">
        <v>856</v>
      </c>
      <c r="P140" s="142" t="s">
        <v>856</v>
      </c>
      <c r="Q140" s="142" t="s">
        <v>856</v>
      </c>
    </row>
    <row r="141" spans="1:17" ht="29">
      <c r="I141" s="144">
        <f t="shared" si="155"/>
        <v>7</v>
      </c>
      <c r="J141" s="142"/>
      <c r="K141" s="142"/>
      <c r="L141" s="142" t="s">
        <v>857</v>
      </c>
      <c r="M141" s="142" t="s">
        <v>857</v>
      </c>
      <c r="N141" s="142" t="s">
        <v>857</v>
      </c>
      <c r="O141" s="142" t="s">
        <v>857</v>
      </c>
      <c r="P141" s="142" t="s">
        <v>857</v>
      </c>
      <c r="Q141" s="142" t="s">
        <v>857</v>
      </c>
    </row>
    <row r="142" spans="1:17" ht="29">
      <c r="I142" s="144">
        <f t="shared" si="155"/>
        <v>8</v>
      </c>
      <c r="J142" s="142" t="s">
        <v>858</v>
      </c>
      <c r="K142" s="142" t="s">
        <v>858</v>
      </c>
      <c r="L142" s="142" t="s">
        <v>858</v>
      </c>
      <c r="M142" s="142" t="s">
        <v>858</v>
      </c>
      <c r="N142" s="142" t="s">
        <v>858</v>
      </c>
      <c r="O142" s="142" t="s">
        <v>858</v>
      </c>
      <c r="P142" s="142" t="s">
        <v>858</v>
      </c>
      <c r="Q142" s="142" t="s">
        <v>858</v>
      </c>
    </row>
    <row r="143" spans="1:17" ht="43.5">
      <c r="I143" s="144">
        <f t="shared" si="155"/>
        <v>9</v>
      </c>
      <c r="J143" s="142" t="s">
        <v>859</v>
      </c>
      <c r="K143" s="142" t="s">
        <v>859</v>
      </c>
      <c r="L143" s="142" t="s">
        <v>859</v>
      </c>
      <c r="M143" s="142" t="s">
        <v>859</v>
      </c>
      <c r="N143" s="142" t="s">
        <v>859</v>
      </c>
      <c r="O143" s="142" t="s">
        <v>859</v>
      </c>
      <c r="P143" s="142" t="s">
        <v>859</v>
      </c>
      <c r="Q143" s="142" t="s">
        <v>859</v>
      </c>
    </row>
    <row r="144" spans="1:17" ht="35.5">
      <c r="I144" s="144">
        <f t="shared" si="155"/>
        <v>10</v>
      </c>
      <c r="J144" s="143" t="s">
        <v>860</v>
      </c>
      <c r="K144" s="143" t="s">
        <v>860</v>
      </c>
      <c r="L144" s="143" t="s">
        <v>860</v>
      </c>
      <c r="M144" s="143" t="s">
        <v>860</v>
      </c>
      <c r="N144" s="143" t="s">
        <v>860</v>
      </c>
      <c r="O144" s="143" t="s">
        <v>860</v>
      </c>
      <c r="P144" s="146" t="s">
        <v>860</v>
      </c>
      <c r="Q144" s="146" t="s">
        <v>860</v>
      </c>
    </row>
    <row r="145" spans="9:17" ht="29">
      <c r="I145" s="144">
        <f t="shared" si="155"/>
        <v>11</v>
      </c>
      <c r="J145" s="142" t="s">
        <v>861</v>
      </c>
      <c r="K145" s="142" t="s">
        <v>861</v>
      </c>
      <c r="L145" s="142" t="s">
        <v>861</v>
      </c>
      <c r="M145" s="142" t="s">
        <v>861</v>
      </c>
      <c r="N145" s="142" t="s">
        <v>861</v>
      </c>
      <c r="O145" s="142" t="s">
        <v>861</v>
      </c>
      <c r="P145" s="142" t="s">
        <v>861</v>
      </c>
      <c r="Q145" s="142" t="s">
        <v>861</v>
      </c>
    </row>
    <row r="146" spans="9:17">
      <c r="I146" s="144">
        <f t="shared" si="155"/>
        <v>12</v>
      </c>
      <c r="J146" s="142" t="s">
        <v>862</v>
      </c>
      <c r="K146" s="142" t="s">
        <v>862</v>
      </c>
      <c r="L146" s="142" t="s">
        <v>862</v>
      </c>
      <c r="M146" s="142" t="s">
        <v>862</v>
      </c>
      <c r="N146" s="142" t="s">
        <v>862</v>
      </c>
      <c r="O146" s="142" t="s">
        <v>862</v>
      </c>
      <c r="P146" s="142" t="s">
        <v>862</v>
      </c>
      <c r="Q146" s="142" t="s">
        <v>862</v>
      </c>
    </row>
    <row r="147" spans="9:17" ht="29">
      <c r="I147" s="144">
        <f t="shared" si="155"/>
        <v>13</v>
      </c>
      <c r="J147" s="142" t="s">
        <v>863</v>
      </c>
      <c r="K147" s="142" t="s">
        <v>863</v>
      </c>
      <c r="L147" s="142" t="s">
        <v>863</v>
      </c>
      <c r="M147" s="142" t="s">
        <v>863</v>
      </c>
      <c r="N147" s="142" t="s">
        <v>863</v>
      </c>
      <c r="O147" s="142" t="s">
        <v>863</v>
      </c>
      <c r="P147" s="142" t="s">
        <v>863</v>
      </c>
      <c r="Q147" s="142" t="s">
        <v>863</v>
      </c>
    </row>
    <row r="148" spans="9:17">
      <c r="I148" s="144">
        <f t="shared" si="155"/>
        <v>14</v>
      </c>
      <c r="J148" s="142" t="s">
        <v>864</v>
      </c>
      <c r="K148" s="142" t="s">
        <v>864</v>
      </c>
      <c r="L148" s="142" t="s">
        <v>864</v>
      </c>
      <c r="M148" s="142" t="s">
        <v>864</v>
      </c>
      <c r="N148" s="142" t="s">
        <v>864</v>
      </c>
      <c r="O148" s="142" t="s">
        <v>864</v>
      </c>
      <c r="P148" s="142" t="s">
        <v>864</v>
      </c>
      <c r="Q148" s="142" t="s">
        <v>864</v>
      </c>
    </row>
    <row r="149" spans="9:17" ht="29">
      <c r="I149" s="144">
        <f t="shared" si="155"/>
        <v>15</v>
      </c>
      <c r="J149" s="142" t="s">
        <v>865</v>
      </c>
      <c r="K149" s="142" t="s">
        <v>865</v>
      </c>
      <c r="L149" s="142" t="s">
        <v>865</v>
      </c>
      <c r="M149" s="142" t="s">
        <v>865</v>
      </c>
      <c r="N149" s="142" t="s">
        <v>865</v>
      </c>
      <c r="O149" s="142" t="s">
        <v>865</v>
      </c>
      <c r="P149" s="142" t="s">
        <v>865</v>
      </c>
      <c r="Q149" s="142" t="s">
        <v>865</v>
      </c>
    </row>
    <row r="150" spans="9:17">
      <c r="I150" s="144">
        <f t="shared" si="155"/>
        <v>16</v>
      </c>
      <c r="J150" s="142" t="s">
        <v>866</v>
      </c>
      <c r="K150" s="142" t="s">
        <v>866</v>
      </c>
      <c r="L150" s="142" t="s">
        <v>866</v>
      </c>
      <c r="M150" s="142" t="s">
        <v>866</v>
      </c>
      <c r="N150" s="142" t="s">
        <v>866</v>
      </c>
      <c r="O150" s="142" t="s">
        <v>866</v>
      </c>
      <c r="P150" s="142" t="s">
        <v>866</v>
      </c>
      <c r="Q150" s="142" t="s">
        <v>866</v>
      </c>
    </row>
    <row r="151" spans="9:17" ht="43.5">
      <c r="I151" s="144">
        <f t="shared" si="155"/>
        <v>17</v>
      </c>
      <c r="J151" s="142" t="s">
        <v>867</v>
      </c>
      <c r="K151" s="142" t="s">
        <v>867</v>
      </c>
      <c r="L151" s="142" t="s">
        <v>867</v>
      </c>
      <c r="M151" s="142" t="s">
        <v>867</v>
      </c>
      <c r="N151" s="142" t="s">
        <v>867</v>
      </c>
      <c r="O151" s="142" t="s">
        <v>867</v>
      </c>
      <c r="P151" s="142" t="s">
        <v>867</v>
      </c>
      <c r="Q151" s="142" t="s">
        <v>867</v>
      </c>
    </row>
    <row r="152" spans="9:17" ht="43.5">
      <c r="I152" s="144">
        <f t="shared" si="155"/>
        <v>18</v>
      </c>
      <c r="J152" s="142" t="s">
        <v>868</v>
      </c>
      <c r="K152" s="142" t="s">
        <v>868</v>
      </c>
      <c r="L152" s="142" t="s">
        <v>868</v>
      </c>
      <c r="M152" s="142" t="s">
        <v>868</v>
      </c>
      <c r="N152" s="142" t="s">
        <v>868</v>
      </c>
      <c r="O152" s="142" t="s">
        <v>868</v>
      </c>
      <c r="P152" s="142" t="s">
        <v>868</v>
      </c>
      <c r="Q152" s="142" t="s">
        <v>868</v>
      </c>
    </row>
    <row r="153" spans="9:17" ht="43.5">
      <c r="I153" s="144">
        <f t="shared" si="155"/>
        <v>19</v>
      </c>
      <c r="J153" s="142" t="s">
        <v>869</v>
      </c>
      <c r="K153" s="142" t="s">
        <v>869</v>
      </c>
      <c r="L153" s="142" t="s">
        <v>869</v>
      </c>
      <c r="M153" s="142" t="s">
        <v>869</v>
      </c>
      <c r="N153" s="142" t="s">
        <v>869</v>
      </c>
      <c r="O153" s="142" t="s">
        <v>869</v>
      </c>
      <c r="P153" s="142" t="s">
        <v>869</v>
      </c>
      <c r="Q153" s="142" t="s">
        <v>869</v>
      </c>
    </row>
    <row r="154" spans="9:17" ht="43.5">
      <c r="I154" s="144">
        <f t="shared" si="155"/>
        <v>20</v>
      </c>
      <c r="J154" s="142" t="s">
        <v>870</v>
      </c>
      <c r="K154" s="142" t="s">
        <v>870</v>
      </c>
      <c r="L154" s="142" t="s">
        <v>870</v>
      </c>
      <c r="M154" s="142" t="s">
        <v>871</v>
      </c>
      <c r="N154" s="142" t="s">
        <v>871</v>
      </c>
      <c r="O154" s="142" t="s">
        <v>870</v>
      </c>
      <c r="P154" s="142" t="s">
        <v>871</v>
      </c>
      <c r="Q154" s="142" t="s">
        <v>871</v>
      </c>
    </row>
    <row r="155" spans="9:17" ht="58">
      <c r="I155" s="144">
        <f t="shared" si="155"/>
        <v>21</v>
      </c>
      <c r="J155" s="142" t="s">
        <v>872</v>
      </c>
      <c r="K155" s="142" t="s">
        <v>872</v>
      </c>
      <c r="L155" s="142" t="s">
        <v>872</v>
      </c>
      <c r="M155" s="142" t="s">
        <v>872</v>
      </c>
      <c r="N155" s="142" t="s">
        <v>872</v>
      </c>
      <c r="O155" s="142" t="s">
        <v>872</v>
      </c>
      <c r="P155" s="142" t="s">
        <v>872</v>
      </c>
      <c r="Q155" s="142" t="s">
        <v>872</v>
      </c>
    </row>
    <row r="156" spans="9:17" ht="43.5">
      <c r="I156" s="144">
        <f t="shared" si="155"/>
        <v>22</v>
      </c>
      <c r="J156" s="142" t="s">
        <v>873</v>
      </c>
      <c r="K156" s="142" t="s">
        <v>873</v>
      </c>
      <c r="L156" s="142" t="s">
        <v>873</v>
      </c>
      <c r="M156" s="142" t="s">
        <v>873</v>
      </c>
      <c r="N156" s="142" t="s">
        <v>873</v>
      </c>
      <c r="O156" s="142" t="s">
        <v>873</v>
      </c>
      <c r="P156" s="142" t="s">
        <v>873</v>
      </c>
      <c r="Q156" s="142" t="s">
        <v>873</v>
      </c>
    </row>
    <row r="157" spans="9:17" ht="29">
      <c r="I157" s="144">
        <f t="shared" si="155"/>
        <v>23</v>
      </c>
      <c r="J157" s="142" t="s">
        <v>874</v>
      </c>
      <c r="K157" s="142" t="s">
        <v>874</v>
      </c>
      <c r="L157" s="142" t="s">
        <v>874</v>
      </c>
      <c r="M157" s="142" t="s">
        <v>874</v>
      </c>
      <c r="N157" s="142" t="s">
        <v>874</v>
      </c>
      <c r="O157" s="142" t="s">
        <v>874</v>
      </c>
      <c r="P157" s="142" t="s">
        <v>874</v>
      </c>
      <c r="Q157" s="142" t="s">
        <v>874</v>
      </c>
    </row>
    <row r="158" spans="9:17" ht="29">
      <c r="I158" s="144">
        <f t="shared" si="155"/>
        <v>24</v>
      </c>
      <c r="J158" s="142" t="s">
        <v>875</v>
      </c>
      <c r="K158" s="142" t="s">
        <v>875</v>
      </c>
      <c r="L158" s="142" t="s">
        <v>875</v>
      </c>
      <c r="M158" s="142" t="s">
        <v>875</v>
      </c>
      <c r="N158" s="142" t="s">
        <v>875</v>
      </c>
      <c r="O158" s="142" t="s">
        <v>875</v>
      </c>
      <c r="P158" s="142" t="s">
        <v>875</v>
      </c>
      <c r="Q158" s="142" t="s">
        <v>875</v>
      </c>
    </row>
    <row r="159" spans="9:17" ht="72.5">
      <c r="I159" s="144">
        <f t="shared" si="155"/>
        <v>25</v>
      </c>
      <c r="J159" s="142" t="s">
        <v>876</v>
      </c>
      <c r="K159" s="142" t="s">
        <v>876</v>
      </c>
      <c r="L159" s="142" t="s">
        <v>876</v>
      </c>
      <c r="M159" s="142" t="s">
        <v>876</v>
      </c>
      <c r="N159" s="142" t="s">
        <v>876</v>
      </c>
      <c r="O159" s="142" t="s">
        <v>876</v>
      </c>
      <c r="P159" s="142" t="s">
        <v>876</v>
      </c>
      <c r="Q159" s="142" t="s">
        <v>876</v>
      </c>
    </row>
    <row r="160" spans="9:17" ht="29">
      <c r="I160" s="144">
        <f t="shared" si="155"/>
        <v>26</v>
      </c>
      <c r="J160" s="142" t="s">
        <v>877</v>
      </c>
      <c r="K160" s="142" t="s">
        <v>877</v>
      </c>
      <c r="L160" s="142" t="s">
        <v>877</v>
      </c>
      <c r="M160" s="142" t="s">
        <v>877</v>
      </c>
      <c r="N160" s="142" t="s">
        <v>877</v>
      </c>
      <c r="O160" s="142" t="s">
        <v>877</v>
      </c>
      <c r="P160" s="142" t="s">
        <v>877</v>
      </c>
      <c r="Q160" s="142" t="s">
        <v>877</v>
      </c>
    </row>
    <row r="161" spans="9:17">
      <c r="I161" s="144">
        <f t="shared" si="155"/>
        <v>27</v>
      </c>
      <c r="J161" s="142" t="s">
        <v>878</v>
      </c>
      <c r="K161" s="142" t="s">
        <v>878</v>
      </c>
      <c r="L161" s="142" t="s">
        <v>878</v>
      </c>
      <c r="M161" s="142" t="s">
        <v>878</v>
      </c>
      <c r="N161" s="142" t="s">
        <v>878</v>
      </c>
      <c r="O161" s="142" t="s">
        <v>878</v>
      </c>
      <c r="P161" s="142" t="s">
        <v>878</v>
      </c>
      <c r="Q161" s="142" t="s">
        <v>878</v>
      </c>
    </row>
    <row r="162" spans="9:17">
      <c r="I162" s="144">
        <f t="shared" si="155"/>
        <v>28</v>
      </c>
      <c r="J162" s="142" t="s">
        <v>879</v>
      </c>
      <c r="K162" s="142" t="s">
        <v>879</v>
      </c>
      <c r="L162" s="142" t="s">
        <v>879</v>
      </c>
      <c r="M162" s="142" t="s">
        <v>879</v>
      </c>
      <c r="N162" s="142" t="s">
        <v>879</v>
      </c>
      <c r="O162" s="142" t="s">
        <v>879</v>
      </c>
      <c r="P162" s="142" t="s">
        <v>879</v>
      </c>
      <c r="Q162" s="142" t="s">
        <v>879</v>
      </c>
    </row>
    <row r="163" spans="9:17">
      <c r="I163" s="144">
        <f t="shared" si="155"/>
        <v>29</v>
      </c>
      <c r="J163" s="142" t="s">
        <v>880</v>
      </c>
      <c r="K163" s="142" t="s">
        <v>880</v>
      </c>
      <c r="L163" s="142" t="s">
        <v>880</v>
      </c>
      <c r="M163" s="142" t="s">
        <v>880</v>
      </c>
      <c r="N163" s="142" t="s">
        <v>880</v>
      </c>
      <c r="O163" s="142" t="s">
        <v>880</v>
      </c>
      <c r="P163" s="142" t="s">
        <v>880</v>
      </c>
      <c r="Q163" s="142" t="s">
        <v>880</v>
      </c>
    </row>
    <row r="164" spans="9:17">
      <c r="I164" s="144">
        <f t="shared" si="155"/>
        <v>30</v>
      </c>
      <c r="J164" s="142" t="s">
        <v>881</v>
      </c>
      <c r="K164" s="142" t="s">
        <v>881</v>
      </c>
      <c r="L164" s="142" t="s">
        <v>881</v>
      </c>
      <c r="M164" s="142" t="s">
        <v>881</v>
      </c>
      <c r="N164" s="142" t="s">
        <v>881</v>
      </c>
      <c r="O164" s="142" t="s">
        <v>881</v>
      </c>
      <c r="P164" s="142" t="s">
        <v>881</v>
      </c>
      <c r="Q164" s="142" t="s">
        <v>881</v>
      </c>
    </row>
    <row r="165" spans="9:17">
      <c r="I165" s="144">
        <f t="shared" si="155"/>
        <v>31</v>
      </c>
      <c r="J165" s="142" t="s">
        <v>882</v>
      </c>
      <c r="K165" s="142" t="s">
        <v>882</v>
      </c>
      <c r="L165" s="142" t="s">
        <v>882</v>
      </c>
      <c r="M165" s="142" t="s">
        <v>882</v>
      </c>
      <c r="N165" s="142" t="s">
        <v>882</v>
      </c>
      <c r="O165" s="142" t="s">
        <v>882</v>
      </c>
      <c r="P165" s="142" t="s">
        <v>882</v>
      </c>
      <c r="Q165" s="142" t="s">
        <v>882</v>
      </c>
    </row>
    <row r="166" spans="9:17" ht="29">
      <c r="I166" s="144">
        <f t="shared" si="155"/>
        <v>32</v>
      </c>
      <c r="J166" s="142" t="s">
        <v>883</v>
      </c>
      <c r="K166" s="142" t="s">
        <v>883</v>
      </c>
      <c r="L166" s="142" t="s">
        <v>883</v>
      </c>
      <c r="M166" s="142" t="s">
        <v>883</v>
      </c>
      <c r="N166" s="142" t="s">
        <v>883</v>
      </c>
      <c r="O166" s="142" t="s">
        <v>883</v>
      </c>
      <c r="P166" s="142" t="s">
        <v>883</v>
      </c>
      <c r="Q166" s="142" t="s">
        <v>883</v>
      </c>
    </row>
    <row r="167" spans="9:17" ht="43.5">
      <c r="I167" s="144">
        <f t="shared" si="155"/>
        <v>33</v>
      </c>
      <c r="J167" s="142" t="s">
        <v>884</v>
      </c>
      <c r="K167" s="142" t="s">
        <v>884</v>
      </c>
      <c r="L167" s="142" t="s">
        <v>884</v>
      </c>
      <c r="M167" s="142" t="s">
        <v>884</v>
      </c>
      <c r="N167" s="142" t="s">
        <v>884</v>
      </c>
      <c r="O167" s="142" t="s">
        <v>884</v>
      </c>
      <c r="P167" s="142" t="s">
        <v>884</v>
      </c>
      <c r="Q167" s="142" t="s">
        <v>884</v>
      </c>
    </row>
    <row r="168" spans="9:17" ht="29">
      <c r="I168" s="144">
        <f t="shared" si="155"/>
        <v>34</v>
      </c>
      <c r="J168" s="142" t="s">
        <v>885</v>
      </c>
      <c r="K168" s="142" t="s">
        <v>885</v>
      </c>
      <c r="L168" s="142" t="s">
        <v>885</v>
      </c>
      <c r="M168" s="142" t="s">
        <v>885</v>
      </c>
      <c r="N168" s="142" t="s">
        <v>885</v>
      </c>
      <c r="P168" s="142" t="s">
        <v>885</v>
      </c>
      <c r="Q168" s="142" t="s">
        <v>885</v>
      </c>
    </row>
    <row r="169" spans="9:17" ht="29">
      <c r="I169" s="144">
        <f t="shared" si="155"/>
        <v>35</v>
      </c>
      <c r="J169" s="142" t="s">
        <v>886</v>
      </c>
      <c r="K169" s="142" t="s">
        <v>886</v>
      </c>
      <c r="L169" s="142" t="s">
        <v>886</v>
      </c>
      <c r="M169" s="142" t="s">
        <v>886</v>
      </c>
      <c r="N169" s="142" t="s">
        <v>886</v>
      </c>
      <c r="O169" s="142" t="s">
        <v>886</v>
      </c>
      <c r="P169" s="142" t="s">
        <v>886</v>
      </c>
      <c r="Q169" s="142" t="s">
        <v>886</v>
      </c>
    </row>
    <row r="170" spans="9:17" ht="43.5">
      <c r="I170" s="144">
        <f t="shared" si="155"/>
        <v>36</v>
      </c>
      <c r="J170" s="142" t="s">
        <v>887</v>
      </c>
      <c r="K170" s="142" t="s">
        <v>887</v>
      </c>
      <c r="L170" s="142" t="s">
        <v>887</v>
      </c>
      <c r="M170" s="142"/>
      <c r="N170" s="142"/>
      <c r="O170" s="142"/>
      <c r="P170" s="142" t="s">
        <v>888</v>
      </c>
      <c r="Q170" s="142" t="s">
        <v>888</v>
      </c>
    </row>
    <row r="171" spans="9:17" ht="43.5">
      <c r="I171" s="144">
        <f t="shared" si="155"/>
        <v>37</v>
      </c>
      <c r="J171" s="142" t="s">
        <v>888</v>
      </c>
      <c r="K171" s="142" t="s">
        <v>888</v>
      </c>
      <c r="L171" s="142" t="s">
        <v>888</v>
      </c>
      <c r="M171" s="142" t="s">
        <v>888</v>
      </c>
      <c r="N171" s="142" t="s">
        <v>888</v>
      </c>
      <c r="O171" s="142" t="s">
        <v>888</v>
      </c>
      <c r="P171" s="142"/>
      <c r="Q171" s="142"/>
    </row>
    <row r="172" spans="9:17" ht="58">
      <c r="I172" s="144">
        <f t="shared" si="155"/>
        <v>38</v>
      </c>
      <c r="J172" s="142" t="s">
        <v>889</v>
      </c>
      <c r="K172" s="142" t="s">
        <v>889</v>
      </c>
      <c r="L172" s="142" t="s">
        <v>889</v>
      </c>
      <c r="M172" s="142" t="s">
        <v>889</v>
      </c>
      <c r="N172" s="142" t="s">
        <v>889</v>
      </c>
      <c r="O172" s="142" t="s">
        <v>889</v>
      </c>
      <c r="P172" s="142" t="s">
        <v>889</v>
      </c>
      <c r="Q172" s="142" t="s">
        <v>889</v>
      </c>
    </row>
    <row r="173" spans="9:17" ht="58">
      <c r="I173" s="144">
        <f t="shared" si="155"/>
        <v>39</v>
      </c>
      <c r="J173" s="142" t="s">
        <v>890</v>
      </c>
      <c r="K173" s="142" t="s">
        <v>890</v>
      </c>
      <c r="L173" s="142" t="s">
        <v>890</v>
      </c>
      <c r="M173" s="142" t="s">
        <v>890</v>
      </c>
      <c r="N173" s="142" t="s">
        <v>890</v>
      </c>
      <c r="O173" s="142" t="s">
        <v>890</v>
      </c>
      <c r="P173" s="142" t="s">
        <v>890</v>
      </c>
      <c r="Q173" s="142" t="s">
        <v>890</v>
      </c>
    </row>
    <row r="174" spans="9:17" ht="29">
      <c r="I174" s="144">
        <f t="shared" si="155"/>
        <v>40</v>
      </c>
      <c r="J174" s="142" t="s">
        <v>891</v>
      </c>
      <c r="K174" s="142" t="s">
        <v>891</v>
      </c>
      <c r="L174" s="142" t="s">
        <v>891</v>
      </c>
      <c r="M174" s="142" t="s">
        <v>891</v>
      </c>
      <c r="N174" s="142" t="s">
        <v>891</v>
      </c>
      <c r="O174" s="142" t="s">
        <v>891</v>
      </c>
      <c r="P174" s="142" t="s">
        <v>891</v>
      </c>
      <c r="Q174" s="142" t="s">
        <v>891</v>
      </c>
    </row>
    <row r="175" spans="9:17" ht="43.5">
      <c r="I175" s="144">
        <f t="shared" si="155"/>
        <v>41</v>
      </c>
      <c r="J175" s="142" t="s">
        <v>892</v>
      </c>
      <c r="K175" s="142" t="s">
        <v>892</v>
      </c>
      <c r="L175" s="142" t="s">
        <v>892</v>
      </c>
      <c r="M175" s="142" t="s">
        <v>892</v>
      </c>
      <c r="N175" s="142" t="s">
        <v>892</v>
      </c>
      <c r="O175" s="142" t="s">
        <v>892</v>
      </c>
      <c r="P175" s="142" t="s">
        <v>892</v>
      </c>
      <c r="Q175" s="142" t="s">
        <v>892</v>
      </c>
    </row>
    <row r="176" spans="9:17">
      <c r="I176" s="144">
        <f t="shared" si="155"/>
        <v>42</v>
      </c>
      <c r="J176" s="142"/>
      <c r="K176" s="142"/>
      <c r="L176" s="142" t="s">
        <v>893</v>
      </c>
      <c r="M176" s="142" t="s">
        <v>893</v>
      </c>
      <c r="N176" s="142" t="s">
        <v>893</v>
      </c>
      <c r="O176" s="142" t="s">
        <v>893</v>
      </c>
      <c r="P176" s="142" t="s">
        <v>893</v>
      </c>
      <c r="Q176" s="142" t="s">
        <v>893</v>
      </c>
    </row>
    <row r="177" spans="9:17" ht="29">
      <c r="I177" s="144">
        <f t="shared" si="155"/>
        <v>43</v>
      </c>
      <c r="J177" s="142" t="s">
        <v>894</v>
      </c>
      <c r="K177" s="142" t="s">
        <v>894</v>
      </c>
      <c r="L177" s="142" t="s">
        <v>894</v>
      </c>
      <c r="M177" s="142" t="s">
        <v>894</v>
      </c>
      <c r="N177" s="142" t="s">
        <v>894</v>
      </c>
      <c r="O177" s="142" t="s">
        <v>894</v>
      </c>
      <c r="P177" s="142" t="s">
        <v>894</v>
      </c>
      <c r="Q177" s="142" t="s">
        <v>894</v>
      </c>
    </row>
    <row r="178" spans="9:17">
      <c r="I178" s="144">
        <f t="shared" si="155"/>
        <v>44</v>
      </c>
      <c r="J178" s="142" t="s">
        <v>895</v>
      </c>
      <c r="K178" s="142" t="s">
        <v>895</v>
      </c>
      <c r="L178" s="142" t="s">
        <v>895</v>
      </c>
      <c r="M178" s="142" t="s">
        <v>895</v>
      </c>
      <c r="N178" s="142" t="s">
        <v>895</v>
      </c>
      <c r="O178" s="142" t="s">
        <v>895</v>
      </c>
      <c r="P178" s="142" t="s">
        <v>895</v>
      </c>
      <c r="Q178" s="142" t="s">
        <v>895</v>
      </c>
    </row>
    <row r="179" spans="9:17">
      <c r="I179" s="144">
        <f t="shared" si="155"/>
        <v>45</v>
      </c>
      <c r="J179" s="142" t="s">
        <v>896</v>
      </c>
      <c r="K179" s="142" t="s">
        <v>896</v>
      </c>
      <c r="L179" s="142" t="s">
        <v>896</v>
      </c>
      <c r="M179" s="142" t="s">
        <v>896</v>
      </c>
      <c r="N179" s="142" t="s">
        <v>896</v>
      </c>
      <c r="O179" s="142"/>
      <c r="P179" s="142" t="s">
        <v>896</v>
      </c>
      <c r="Q179" s="142" t="s">
        <v>896</v>
      </c>
    </row>
    <row r="180" spans="9:17">
      <c r="I180" s="144">
        <f t="shared" si="155"/>
        <v>46</v>
      </c>
      <c r="J180" s="142" t="s">
        <v>897</v>
      </c>
      <c r="K180" s="142" t="s">
        <v>897</v>
      </c>
      <c r="L180" s="142" t="s">
        <v>897</v>
      </c>
      <c r="M180" s="142" t="s">
        <v>897</v>
      </c>
      <c r="N180" s="142" t="s">
        <v>897</v>
      </c>
      <c r="O180" s="142" t="s">
        <v>897</v>
      </c>
      <c r="P180" s="142" t="s">
        <v>897</v>
      </c>
      <c r="Q180" s="142" t="s">
        <v>897</v>
      </c>
    </row>
    <row r="181" spans="9:17" ht="29">
      <c r="I181" s="144">
        <f t="shared" si="155"/>
        <v>47</v>
      </c>
      <c r="J181" s="142" t="s">
        <v>898</v>
      </c>
      <c r="K181" s="142" t="s">
        <v>898</v>
      </c>
      <c r="L181" s="142" t="s">
        <v>898</v>
      </c>
      <c r="M181" s="142" t="s">
        <v>898</v>
      </c>
      <c r="N181" s="142" t="s">
        <v>898</v>
      </c>
      <c r="O181" s="142" t="s">
        <v>898</v>
      </c>
      <c r="P181" s="142" t="s">
        <v>898</v>
      </c>
      <c r="Q181" s="142" t="s">
        <v>898</v>
      </c>
    </row>
    <row r="182" spans="9:17">
      <c r="I182" s="144">
        <f t="shared" si="155"/>
        <v>48</v>
      </c>
      <c r="J182" s="142" t="s">
        <v>899</v>
      </c>
      <c r="K182" s="142" t="s">
        <v>899</v>
      </c>
      <c r="L182" s="142" t="s">
        <v>899</v>
      </c>
      <c r="M182" s="142" t="s">
        <v>899</v>
      </c>
      <c r="N182" s="142" t="s">
        <v>899</v>
      </c>
      <c r="O182" s="142" t="s">
        <v>899</v>
      </c>
      <c r="P182" s="142" t="s">
        <v>899</v>
      </c>
      <c r="Q182" s="142" t="s">
        <v>899</v>
      </c>
    </row>
    <row r="183" spans="9:17" ht="43.5">
      <c r="I183" s="144">
        <f t="shared" si="155"/>
        <v>49</v>
      </c>
      <c r="J183" s="142" t="s">
        <v>900</v>
      </c>
      <c r="K183" s="142" t="s">
        <v>900</v>
      </c>
      <c r="L183" s="142" t="s">
        <v>900</v>
      </c>
      <c r="M183" s="142" t="s">
        <v>900</v>
      </c>
      <c r="N183" s="142" t="s">
        <v>900</v>
      </c>
      <c r="O183" s="142" t="s">
        <v>900</v>
      </c>
      <c r="P183" s="142" t="s">
        <v>900</v>
      </c>
      <c r="Q183" s="142" t="s">
        <v>900</v>
      </c>
    </row>
    <row r="184" spans="9:17" ht="29">
      <c r="I184" s="144"/>
      <c r="J184" s="142"/>
      <c r="K184" s="142"/>
      <c r="L184" s="142"/>
      <c r="M184" s="142"/>
      <c r="N184" s="142"/>
      <c r="O184" s="142" t="s">
        <v>901</v>
      </c>
      <c r="P184" s="142" t="s">
        <v>901</v>
      </c>
      <c r="Q184" s="142" t="s">
        <v>901</v>
      </c>
    </row>
    <row r="185" spans="9:17" ht="29">
      <c r="I185" s="144"/>
      <c r="J185" s="142"/>
      <c r="K185" s="142"/>
      <c r="L185" s="142"/>
      <c r="M185" s="142"/>
      <c r="N185" s="142"/>
      <c r="O185" s="142" t="s">
        <v>902</v>
      </c>
      <c r="P185" s="142" t="s">
        <v>902</v>
      </c>
      <c r="Q185" s="142" t="s">
        <v>902</v>
      </c>
    </row>
    <row r="186" spans="9:17" ht="29">
      <c r="I186" s="144">
        <f>I183+1</f>
        <v>50</v>
      </c>
      <c r="J186" s="142" t="s">
        <v>902</v>
      </c>
      <c r="K186" s="142" t="s">
        <v>902</v>
      </c>
      <c r="L186" s="142" t="s">
        <v>902</v>
      </c>
      <c r="M186" s="142" t="s">
        <v>902</v>
      </c>
      <c r="N186" s="142" t="s">
        <v>902</v>
      </c>
      <c r="O186" s="142" t="s">
        <v>903</v>
      </c>
      <c r="P186" s="142" t="s">
        <v>903</v>
      </c>
      <c r="Q186" s="142" t="s">
        <v>903</v>
      </c>
    </row>
    <row r="187" spans="9:17">
      <c r="I187" s="144">
        <f t="shared" si="155"/>
        <v>51</v>
      </c>
      <c r="J187" s="142" t="s">
        <v>903</v>
      </c>
      <c r="K187" s="142" t="s">
        <v>903</v>
      </c>
      <c r="L187" s="142" t="s">
        <v>903</v>
      </c>
      <c r="M187" s="142" t="s">
        <v>903</v>
      </c>
      <c r="N187" s="142" t="s">
        <v>903</v>
      </c>
      <c r="O187" s="142"/>
      <c r="P187" s="142"/>
      <c r="Q187" s="142"/>
    </row>
    <row r="188" spans="9:17" ht="43.5">
      <c r="I188" s="144">
        <f t="shared" si="155"/>
        <v>52</v>
      </c>
      <c r="J188" s="142" t="s">
        <v>904</v>
      </c>
      <c r="K188" s="142" t="s">
        <v>904</v>
      </c>
      <c r="L188" s="142" t="s">
        <v>904</v>
      </c>
      <c r="M188" s="142" t="s">
        <v>904</v>
      </c>
      <c r="N188" s="142" t="s">
        <v>904</v>
      </c>
      <c r="O188" s="142" t="s">
        <v>904</v>
      </c>
      <c r="P188" s="142" t="s">
        <v>904</v>
      </c>
      <c r="Q188" s="142" t="s">
        <v>904</v>
      </c>
    </row>
    <row r="189" spans="9:17" ht="29">
      <c r="I189" s="144">
        <f t="shared" si="155"/>
        <v>53</v>
      </c>
      <c r="J189" s="142" t="s">
        <v>905</v>
      </c>
      <c r="K189" s="142" t="s">
        <v>905</v>
      </c>
      <c r="L189" s="142" t="s">
        <v>905</v>
      </c>
      <c r="M189" s="142" t="s">
        <v>905</v>
      </c>
      <c r="N189" s="142" t="s">
        <v>905</v>
      </c>
      <c r="O189" s="142"/>
      <c r="P189" s="142" t="s">
        <v>905</v>
      </c>
      <c r="Q189" s="142" t="s">
        <v>905</v>
      </c>
    </row>
    <row r="190" spans="9:17" ht="43.5">
      <c r="I190" s="144">
        <f t="shared" si="155"/>
        <v>54</v>
      </c>
      <c r="J190" s="142" t="s">
        <v>906</v>
      </c>
      <c r="K190" s="142" t="s">
        <v>906</v>
      </c>
      <c r="L190" s="142" t="s">
        <v>906</v>
      </c>
      <c r="M190" s="142" t="s">
        <v>906</v>
      </c>
      <c r="N190" s="142" t="s">
        <v>906</v>
      </c>
      <c r="O190" s="142" t="s">
        <v>906</v>
      </c>
      <c r="P190" s="142" t="s">
        <v>906</v>
      </c>
      <c r="Q190" s="142" t="s">
        <v>906</v>
      </c>
    </row>
    <row r="191" spans="9:17">
      <c r="I191" s="144">
        <f t="shared" si="155"/>
        <v>55</v>
      </c>
      <c r="J191" s="142" t="s">
        <v>907</v>
      </c>
      <c r="K191" s="142" t="s">
        <v>907</v>
      </c>
      <c r="L191" s="142" t="s">
        <v>907</v>
      </c>
      <c r="M191" s="142" t="s">
        <v>907</v>
      </c>
      <c r="N191" s="142" t="s">
        <v>907</v>
      </c>
      <c r="O191" s="142" t="s">
        <v>907</v>
      </c>
      <c r="P191" s="142" t="s">
        <v>907</v>
      </c>
      <c r="Q191" s="142" t="s">
        <v>907</v>
      </c>
    </row>
    <row r="192" spans="9:17" ht="29">
      <c r="I192" s="144">
        <f t="shared" si="155"/>
        <v>56</v>
      </c>
      <c r="J192" s="142" t="s">
        <v>908</v>
      </c>
      <c r="K192" s="142" t="s">
        <v>908</v>
      </c>
      <c r="L192" s="142" t="s">
        <v>908</v>
      </c>
      <c r="M192" s="142" t="s">
        <v>908</v>
      </c>
      <c r="N192" s="142" t="s">
        <v>908</v>
      </c>
      <c r="O192" s="142" t="s">
        <v>908</v>
      </c>
      <c r="P192" s="142" t="s">
        <v>908</v>
      </c>
      <c r="Q192" s="142" t="s">
        <v>908</v>
      </c>
    </row>
    <row r="193" spans="9:17">
      <c r="I193" s="144">
        <f t="shared" si="155"/>
        <v>57</v>
      </c>
      <c r="J193" s="142" t="s">
        <v>909</v>
      </c>
      <c r="L193" s="142" t="s">
        <v>910</v>
      </c>
      <c r="M193" s="142" t="s">
        <v>910</v>
      </c>
      <c r="N193" s="142" t="s">
        <v>910</v>
      </c>
      <c r="O193" s="142" t="s">
        <v>910</v>
      </c>
      <c r="P193" s="142" t="s">
        <v>910</v>
      </c>
      <c r="Q193" s="142" t="s">
        <v>910</v>
      </c>
    </row>
    <row r="194" spans="9:17">
      <c r="I194" s="144">
        <f t="shared" si="155"/>
        <v>58</v>
      </c>
      <c r="J194" s="142" t="s">
        <v>911</v>
      </c>
      <c r="K194" s="142" t="s">
        <v>911</v>
      </c>
      <c r="L194" s="142" t="s">
        <v>911</v>
      </c>
      <c r="M194" s="142" t="s">
        <v>911</v>
      </c>
      <c r="N194" s="142" t="s">
        <v>911</v>
      </c>
      <c r="O194" s="142" t="s">
        <v>911</v>
      </c>
      <c r="P194" s="142" t="s">
        <v>911</v>
      </c>
      <c r="Q194" s="142" t="s">
        <v>911</v>
      </c>
    </row>
    <row r="195" spans="9:17">
      <c r="I195" s="144">
        <f t="shared" si="155"/>
        <v>59</v>
      </c>
      <c r="J195" s="142" t="s">
        <v>912</v>
      </c>
      <c r="K195" s="142" t="s">
        <v>912</v>
      </c>
      <c r="L195" s="142" t="s">
        <v>912</v>
      </c>
      <c r="M195" s="142" t="s">
        <v>912</v>
      </c>
      <c r="N195" s="142" t="s">
        <v>912</v>
      </c>
      <c r="O195" s="142" t="s">
        <v>912</v>
      </c>
      <c r="P195" s="142" t="s">
        <v>912</v>
      </c>
      <c r="Q195" s="142" t="s">
        <v>912</v>
      </c>
    </row>
    <row r="196" spans="9:17" ht="29">
      <c r="I196" s="144">
        <f t="shared" si="155"/>
        <v>60</v>
      </c>
      <c r="J196" s="142" t="s">
        <v>913</v>
      </c>
      <c r="K196" s="142" t="s">
        <v>913</v>
      </c>
      <c r="L196" s="142" t="s">
        <v>913</v>
      </c>
      <c r="M196" s="142" t="s">
        <v>913</v>
      </c>
      <c r="N196" s="142" t="s">
        <v>913</v>
      </c>
      <c r="O196" s="142" t="s">
        <v>913</v>
      </c>
      <c r="P196" s="142" t="s">
        <v>913</v>
      </c>
      <c r="Q196" s="142" t="s">
        <v>913</v>
      </c>
    </row>
    <row r="197" spans="9:17">
      <c r="I197" s="144">
        <f t="shared" si="155"/>
        <v>61</v>
      </c>
      <c r="J197" s="142" t="s">
        <v>914</v>
      </c>
      <c r="K197" s="142" t="s">
        <v>914</v>
      </c>
      <c r="L197" s="142" t="s">
        <v>914</v>
      </c>
      <c r="M197" s="142" t="s">
        <v>914</v>
      </c>
      <c r="N197" s="142" t="s">
        <v>914</v>
      </c>
      <c r="O197" s="142"/>
      <c r="P197" s="142" t="s">
        <v>914</v>
      </c>
      <c r="Q197" s="142" t="s">
        <v>914</v>
      </c>
    </row>
    <row r="198" spans="9:17" ht="29">
      <c r="I198" s="144">
        <f t="shared" si="155"/>
        <v>62</v>
      </c>
      <c r="J198" s="142" t="s">
        <v>915</v>
      </c>
      <c r="K198" s="142" t="s">
        <v>915</v>
      </c>
      <c r="L198" s="142" t="s">
        <v>915</v>
      </c>
      <c r="M198" s="142" t="s">
        <v>915</v>
      </c>
      <c r="N198" s="142" t="s">
        <v>915</v>
      </c>
      <c r="O198" s="142" t="s">
        <v>915</v>
      </c>
      <c r="P198" s="142" t="s">
        <v>915</v>
      </c>
      <c r="Q198" s="142" t="s">
        <v>915</v>
      </c>
    </row>
    <row r="199" spans="9:17">
      <c r="I199" s="144">
        <f t="shared" si="155"/>
        <v>63</v>
      </c>
      <c r="J199" s="142" t="s">
        <v>916</v>
      </c>
      <c r="K199" s="142" t="s">
        <v>916</v>
      </c>
      <c r="L199" s="142" t="s">
        <v>916</v>
      </c>
      <c r="M199" s="142" t="s">
        <v>916</v>
      </c>
      <c r="N199" s="142" t="s">
        <v>916</v>
      </c>
      <c r="O199" s="142" t="s">
        <v>916</v>
      </c>
      <c r="P199" s="142" t="s">
        <v>916</v>
      </c>
      <c r="Q199" s="142" t="s">
        <v>916</v>
      </c>
    </row>
    <row r="200" spans="9:17">
      <c r="I200" s="144">
        <f t="shared" si="155"/>
        <v>64</v>
      </c>
      <c r="J200" s="142" t="s">
        <v>917</v>
      </c>
      <c r="K200" s="142" t="s">
        <v>917</v>
      </c>
      <c r="L200" s="142" t="s">
        <v>917</v>
      </c>
      <c r="M200" s="142" t="s">
        <v>917</v>
      </c>
      <c r="N200" s="142" t="s">
        <v>917</v>
      </c>
      <c r="O200" s="142" t="s">
        <v>917</v>
      </c>
      <c r="P200" s="142" t="s">
        <v>917</v>
      </c>
      <c r="Q200" s="142" t="s">
        <v>917</v>
      </c>
    </row>
    <row r="201" spans="9:17">
      <c r="I201" s="144">
        <f t="shared" si="155"/>
        <v>65</v>
      </c>
      <c r="J201" s="142" t="s">
        <v>918</v>
      </c>
      <c r="K201" s="142" t="s">
        <v>918</v>
      </c>
      <c r="L201" s="142" t="s">
        <v>918</v>
      </c>
      <c r="M201" s="142" t="s">
        <v>918</v>
      </c>
      <c r="N201" s="142" t="s">
        <v>918</v>
      </c>
      <c r="O201" s="142" t="s">
        <v>918</v>
      </c>
      <c r="P201" s="142" t="s">
        <v>918</v>
      </c>
      <c r="Q201" s="142" t="s">
        <v>918</v>
      </c>
    </row>
    <row r="202" spans="9:17">
      <c r="I202" s="144">
        <f t="shared" si="155"/>
        <v>66</v>
      </c>
      <c r="J202" s="142" t="s">
        <v>919</v>
      </c>
      <c r="K202" s="142" t="s">
        <v>919</v>
      </c>
      <c r="L202" s="142" t="s">
        <v>919</v>
      </c>
      <c r="M202" s="142" t="s">
        <v>919</v>
      </c>
      <c r="N202" s="142" t="s">
        <v>919</v>
      </c>
      <c r="O202" s="142"/>
      <c r="P202" s="142"/>
      <c r="Q202" s="142"/>
    </row>
    <row r="203" spans="9:17" ht="29">
      <c r="I203" s="144">
        <f t="shared" ref="I203:I268" si="156">I202+1</f>
        <v>67</v>
      </c>
      <c r="J203" s="142" t="s">
        <v>920</v>
      </c>
      <c r="K203" s="142" t="s">
        <v>920</v>
      </c>
      <c r="L203" s="142" t="s">
        <v>920</v>
      </c>
      <c r="M203" s="142" t="s">
        <v>920</v>
      </c>
      <c r="N203" s="142" t="s">
        <v>920</v>
      </c>
      <c r="O203" s="142" t="s">
        <v>920</v>
      </c>
      <c r="P203" s="142" t="s">
        <v>920</v>
      </c>
      <c r="Q203" s="142" t="s">
        <v>920</v>
      </c>
    </row>
    <row r="204" spans="9:17">
      <c r="I204" s="144">
        <f t="shared" si="156"/>
        <v>68</v>
      </c>
      <c r="J204" s="142" t="s">
        <v>921</v>
      </c>
      <c r="K204" s="142" t="s">
        <v>921</v>
      </c>
      <c r="L204" s="142" t="s">
        <v>921</v>
      </c>
      <c r="M204" s="142" t="s">
        <v>921</v>
      </c>
      <c r="N204" s="142" t="s">
        <v>921</v>
      </c>
      <c r="O204" s="142" t="s">
        <v>921</v>
      </c>
      <c r="P204" s="142" t="s">
        <v>921</v>
      </c>
      <c r="Q204" s="142" t="s">
        <v>921</v>
      </c>
    </row>
    <row r="205" spans="9:17" ht="29">
      <c r="I205" s="144">
        <f t="shared" si="156"/>
        <v>69</v>
      </c>
      <c r="J205" s="142" t="s">
        <v>922</v>
      </c>
      <c r="K205" s="142" t="s">
        <v>922</v>
      </c>
      <c r="L205" s="142" t="s">
        <v>922</v>
      </c>
      <c r="M205" s="142" t="s">
        <v>922</v>
      </c>
      <c r="N205" s="142" t="s">
        <v>922</v>
      </c>
      <c r="O205" s="142" t="s">
        <v>922</v>
      </c>
      <c r="P205" s="142" t="s">
        <v>922</v>
      </c>
      <c r="Q205" s="142" t="s">
        <v>922</v>
      </c>
    </row>
    <row r="206" spans="9:17" ht="35.5">
      <c r="I206" s="144">
        <f t="shared" si="156"/>
        <v>70</v>
      </c>
      <c r="J206" s="143" t="s">
        <v>923</v>
      </c>
      <c r="K206" s="143" t="s">
        <v>923</v>
      </c>
      <c r="L206" s="143" t="s">
        <v>923</v>
      </c>
      <c r="M206" s="143" t="s">
        <v>923</v>
      </c>
      <c r="N206" s="143" t="s">
        <v>923</v>
      </c>
      <c r="O206" s="143" t="s">
        <v>923</v>
      </c>
      <c r="P206" s="146" t="s">
        <v>923</v>
      </c>
      <c r="Q206" s="146" t="s">
        <v>923</v>
      </c>
    </row>
    <row r="207" spans="9:17" ht="29">
      <c r="I207" s="144">
        <f t="shared" si="156"/>
        <v>71</v>
      </c>
      <c r="J207" s="142" t="s">
        <v>924</v>
      </c>
      <c r="K207" s="142" t="s">
        <v>924</v>
      </c>
      <c r="L207" s="142" t="s">
        <v>924</v>
      </c>
      <c r="M207" s="142" t="s">
        <v>924</v>
      </c>
      <c r="N207" s="142" t="s">
        <v>924</v>
      </c>
      <c r="O207" s="142" t="s">
        <v>925</v>
      </c>
      <c r="P207" s="142" t="s">
        <v>925</v>
      </c>
      <c r="Q207" s="142" t="s">
        <v>925</v>
      </c>
    </row>
    <row r="208" spans="9:17" ht="43.5">
      <c r="I208" s="144">
        <f t="shared" si="156"/>
        <v>72</v>
      </c>
      <c r="J208" s="142" t="s">
        <v>926</v>
      </c>
      <c r="K208" s="142" t="s">
        <v>926</v>
      </c>
      <c r="L208" s="142" t="s">
        <v>926</v>
      </c>
      <c r="M208" s="142" t="s">
        <v>926</v>
      </c>
      <c r="N208" s="142" t="s">
        <v>926</v>
      </c>
      <c r="O208" s="142" t="s">
        <v>924</v>
      </c>
      <c r="P208" s="142" t="s">
        <v>924</v>
      </c>
      <c r="Q208" s="142" t="s">
        <v>924</v>
      </c>
    </row>
    <row r="209" spans="9:17" ht="43.5">
      <c r="I209" s="144">
        <f t="shared" si="156"/>
        <v>73</v>
      </c>
      <c r="J209" s="142" t="s">
        <v>927</v>
      </c>
      <c r="K209" s="142" t="s">
        <v>927</v>
      </c>
      <c r="L209" s="142" t="s">
        <v>927</v>
      </c>
      <c r="M209" s="142" t="s">
        <v>927</v>
      </c>
      <c r="N209" s="142" t="s">
        <v>927</v>
      </c>
      <c r="O209" s="142" t="s">
        <v>926</v>
      </c>
      <c r="P209" s="142" t="s">
        <v>926</v>
      </c>
      <c r="Q209" s="142" t="s">
        <v>926</v>
      </c>
    </row>
    <row r="210" spans="9:17" ht="29">
      <c r="I210" s="144">
        <f t="shared" si="156"/>
        <v>74</v>
      </c>
      <c r="J210" s="142" t="s">
        <v>928</v>
      </c>
      <c r="K210" s="142" t="s">
        <v>928</v>
      </c>
      <c r="L210" s="142" t="s">
        <v>928</v>
      </c>
      <c r="M210" s="142" t="s">
        <v>928</v>
      </c>
      <c r="N210" s="142" t="s">
        <v>928</v>
      </c>
      <c r="O210" s="142" t="s">
        <v>927</v>
      </c>
      <c r="P210" s="142" t="s">
        <v>927</v>
      </c>
      <c r="Q210" s="142" t="s">
        <v>927</v>
      </c>
    </row>
    <row r="211" spans="9:17" ht="29">
      <c r="I211" s="144"/>
      <c r="J211" s="142"/>
      <c r="K211" s="142"/>
      <c r="L211" s="142"/>
      <c r="M211" s="142"/>
      <c r="N211" s="142"/>
      <c r="O211" s="142"/>
      <c r="P211" s="142" t="s">
        <v>928</v>
      </c>
      <c r="Q211" s="142" t="s">
        <v>928</v>
      </c>
    </row>
    <row r="212" spans="9:17">
      <c r="I212" s="144">
        <f>I210+1</f>
        <v>75</v>
      </c>
      <c r="J212" s="142" t="s">
        <v>929</v>
      </c>
      <c r="K212" s="142" t="s">
        <v>929</v>
      </c>
      <c r="L212" s="142" t="s">
        <v>929</v>
      </c>
      <c r="M212" s="142" t="s">
        <v>929</v>
      </c>
      <c r="N212" s="142" t="s">
        <v>929</v>
      </c>
      <c r="O212" s="142" t="s">
        <v>929</v>
      </c>
      <c r="P212" s="142" t="s">
        <v>929</v>
      </c>
      <c r="Q212" s="142" t="s">
        <v>929</v>
      </c>
    </row>
    <row r="213" spans="9:17">
      <c r="I213" s="144">
        <f t="shared" si="156"/>
        <v>76</v>
      </c>
      <c r="J213" s="142" t="s">
        <v>930</v>
      </c>
      <c r="K213" s="142" t="s">
        <v>930</v>
      </c>
      <c r="L213" s="142" t="s">
        <v>930</v>
      </c>
      <c r="M213" s="142" t="s">
        <v>930</v>
      </c>
      <c r="N213" s="142" t="s">
        <v>930</v>
      </c>
      <c r="O213" s="142" t="s">
        <v>930</v>
      </c>
      <c r="P213" s="142" t="s">
        <v>930</v>
      </c>
      <c r="Q213" s="142" t="s">
        <v>930</v>
      </c>
    </row>
    <row r="214" spans="9:17" ht="29">
      <c r="I214" s="144">
        <f t="shared" si="156"/>
        <v>77</v>
      </c>
      <c r="J214" s="142" t="s">
        <v>931</v>
      </c>
      <c r="K214" s="142" t="s">
        <v>931</v>
      </c>
      <c r="L214" s="142" t="s">
        <v>931</v>
      </c>
      <c r="M214" s="142" t="s">
        <v>931</v>
      </c>
      <c r="N214" s="142" t="s">
        <v>931</v>
      </c>
      <c r="O214" s="142" t="s">
        <v>931</v>
      </c>
      <c r="P214" s="142" t="s">
        <v>931</v>
      </c>
      <c r="Q214" s="142" t="s">
        <v>931</v>
      </c>
    </row>
    <row r="215" spans="9:17" ht="43.5">
      <c r="I215" s="144">
        <f t="shared" si="156"/>
        <v>78</v>
      </c>
      <c r="J215" s="142" t="s">
        <v>932</v>
      </c>
      <c r="K215" s="142" t="s">
        <v>932</v>
      </c>
      <c r="L215" s="142" t="s">
        <v>932</v>
      </c>
      <c r="M215" s="142" t="s">
        <v>932</v>
      </c>
      <c r="N215" s="142" t="s">
        <v>932</v>
      </c>
      <c r="O215" s="142" t="s">
        <v>932</v>
      </c>
      <c r="P215" s="142" t="s">
        <v>932</v>
      </c>
      <c r="Q215" s="142" t="s">
        <v>932</v>
      </c>
    </row>
    <row r="216" spans="9:17">
      <c r="I216" s="144">
        <f t="shared" si="156"/>
        <v>79</v>
      </c>
      <c r="J216" s="142" t="s">
        <v>933</v>
      </c>
      <c r="K216" s="142" t="s">
        <v>933</v>
      </c>
      <c r="L216" s="142" t="s">
        <v>933</v>
      </c>
      <c r="M216" s="142" t="s">
        <v>933</v>
      </c>
      <c r="N216" s="142" t="s">
        <v>933</v>
      </c>
      <c r="P216" s="142" t="s">
        <v>933</v>
      </c>
      <c r="Q216" s="142" t="s">
        <v>933</v>
      </c>
    </row>
    <row r="217" spans="9:17">
      <c r="I217" s="144">
        <f t="shared" si="156"/>
        <v>80</v>
      </c>
      <c r="J217" s="142" t="s">
        <v>934</v>
      </c>
      <c r="K217" s="142" t="s">
        <v>934</v>
      </c>
      <c r="L217" s="142" t="s">
        <v>934</v>
      </c>
      <c r="M217" s="142" t="s">
        <v>934</v>
      </c>
      <c r="N217" s="142" t="s">
        <v>934</v>
      </c>
      <c r="O217" s="142" t="s">
        <v>934</v>
      </c>
      <c r="P217" s="142" t="s">
        <v>934</v>
      </c>
      <c r="Q217" s="142" t="s">
        <v>934</v>
      </c>
    </row>
    <row r="218" spans="9:17">
      <c r="I218" s="144">
        <f t="shared" si="156"/>
        <v>81</v>
      </c>
      <c r="J218" s="142" t="s">
        <v>935</v>
      </c>
      <c r="K218" s="142" t="s">
        <v>935</v>
      </c>
      <c r="L218" s="142" t="s">
        <v>935</v>
      </c>
      <c r="M218" s="142" t="s">
        <v>935</v>
      </c>
      <c r="N218" s="142" t="s">
        <v>935</v>
      </c>
      <c r="O218" s="142" t="s">
        <v>935</v>
      </c>
      <c r="P218" s="142" t="s">
        <v>935</v>
      </c>
      <c r="Q218" s="142" t="s">
        <v>935</v>
      </c>
    </row>
    <row r="219" spans="9:17" ht="29">
      <c r="I219" s="144">
        <f t="shared" si="156"/>
        <v>82</v>
      </c>
      <c r="J219" s="142" t="s">
        <v>936</v>
      </c>
      <c r="K219" s="142" t="s">
        <v>936</v>
      </c>
      <c r="L219" s="142" t="s">
        <v>936</v>
      </c>
      <c r="M219" s="142" t="s">
        <v>936</v>
      </c>
      <c r="N219" s="142" t="s">
        <v>936</v>
      </c>
      <c r="P219" s="142" t="s">
        <v>936</v>
      </c>
      <c r="Q219" s="142" t="s">
        <v>936</v>
      </c>
    </row>
    <row r="220" spans="9:17">
      <c r="I220" s="144">
        <f t="shared" si="156"/>
        <v>83</v>
      </c>
      <c r="J220" s="142" t="s">
        <v>937</v>
      </c>
      <c r="K220" s="142" t="s">
        <v>937</v>
      </c>
      <c r="L220" s="142" t="s">
        <v>937</v>
      </c>
      <c r="M220" s="142" t="s">
        <v>937</v>
      </c>
      <c r="N220" s="142" t="s">
        <v>937</v>
      </c>
      <c r="O220" s="142" t="s">
        <v>937</v>
      </c>
      <c r="P220" s="142" t="s">
        <v>937</v>
      </c>
      <c r="Q220" s="142" t="s">
        <v>937</v>
      </c>
    </row>
    <row r="221" spans="9:17" ht="58">
      <c r="I221" s="144">
        <f t="shared" si="156"/>
        <v>84</v>
      </c>
      <c r="J221" s="142" t="s">
        <v>938</v>
      </c>
      <c r="K221" s="142" t="s">
        <v>938</v>
      </c>
      <c r="L221" s="142" t="s">
        <v>938</v>
      </c>
      <c r="M221" s="142" t="s">
        <v>938</v>
      </c>
      <c r="N221" s="142" t="s">
        <v>938</v>
      </c>
      <c r="O221" s="142" t="s">
        <v>938</v>
      </c>
      <c r="P221" s="142" t="s">
        <v>938</v>
      </c>
      <c r="Q221" s="142" t="s">
        <v>938</v>
      </c>
    </row>
    <row r="222" spans="9:17">
      <c r="I222" s="144">
        <f t="shared" si="156"/>
        <v>85</v>
      </c>
      <c r="J222" s="142" t="s">
        <v>939</v>
      </c>
      <c r="K222" s="142" t="s">
        <v>939</v>
      </c>
      <c r="L222" s="142" t="s">
        <v>939</v>
      </c>
      <c r="M222" s="142" t="s">
        <v>939</v>
      </c>
      <c r="N222" s="142" t="s">
        <v>939</v>
      </c>
      <c r="O222" s="142" t="s">
        <v>939</v>
      </c>
      <c r="P222" s="142" t="s">
        <v>939</v>
      </c>
      <c r="Q222" s="142" t="s">
        <v>939</v>
      </c>
    </row>
    <row r="223" spans="9:17">
      <c r="I223" s="144">
        <f t="shared" si="156"/>
        <v>86</v>
      </c>
      <c r="J223" s="142" t="s">
        <v>940</v>
      </c>
      <c r="K223" s="142" t="s">
        <v>940</v>
      </c>
      <c r="L223" s="142" t="s">
        <v>940</v>
      </c>
      <c r="M223" s="142" t="s">
        <v>940</v>
      </c>
      <c r="N223" s="142" t="s">
        <v>940</v>
      </c>
      <c r="O223" s="142" t="s">
        <v>940</v>
      </c>
      <c r="P223" s="142" t="s">
        <v>940</v>
      </c>
      <c r="Q223" s="142" t="s">
        <v>940</v>
      </c>
    </row>
    <row r="224" spans="9:17" ht="29">
      <c r="I224" s="144">
        <f t="shared" si="156"/>
        <v>87</v>
      </c>
      <c r="J224" s="142" t="s">
        <v>941</v>
      </c>
      <c r="K224" s="142" t="s">
        <v>941</v>
      </c>
      <c r="L224" s="142" t="s">
        <v>941</v>
      </c>
      <c r="M224" s="142" t="s">
        <v>941</v>
      </c>
      <c r="N224" s="142" t="s">
        <v>941</v>
      </c>
      <c r="O224" s="142" t="s">
        <v>941</v>
      </c>
      <c r="P224" s="142" t="s">
        <v>941</v>
      </c>
      <c r="Q224" s="142" t="s">
        <v>941</v>
      </c>
    </row>
    <row r="225" spans="9:17">
      <c r="I225" s="144">
        <f t="shared" si="156"/>
        <v>88</v>
      </c>
      <c r="J225" s="142" t="s">
        <v>942</v>
      </c>
      <c r="K225" s="142" t="s">
        <v>942</v>
      </c>
      <c r="L225" s="142" t="s">
        <v>942</v>
      </c>
      <c r="M225" s="142" t="s">
        <v>942</v>
      </c>
      <c r="N225" s="142" t="s">
        <v>942</v>
      </c>
      <c r="O225" s="142" t="s">
        <v>942</v>
      </c>
      <c r="P225" s="142" t="s">
        <v>942</v>
      </c>
      <c r="Q225" s="142" t="s">
        <v>942</v>
      </c>
    </row>
    <row r="226" spans="9:17" ht="29">
      <c r="I226" s="144">
        <f t="shared" si="156"/>
        <v>89</v>
      </c>
      <c r="J226" s="142" t="s">
        <v>943</v>
      </c>
      <c r="K226" s="142" t="s">
        <v>943</v>
      </c>
      <c r="L226" s="142" t="s">
        <v>943</v>
      </c>
      <c r="M226" s="142" t="s">
        <v>943</v>
      </c>
      <c r="N226" s="142" t="s">
        <v>943</v>
      </c>
      <c r="O226" s="142" t="s">
        <v>943</v>
      </c>
      <c r="P226" s="142" t="s">
        <v>943</v>
      </c>
      <c r="Q226" s="142" t="s">
        <v>943</v>
      </c>
    </row>
    <row r="227" spans="9:17" ht="29">
      <c r="I227" s="144">
        <f t="shared" si="156"/>
        <v>90</v>
      </c>
      <c r="J227" s="142" t="s">
        <v>944</v>
      </c>
      <c r="K227" s="142" t="s">
        <v>944</v>
      </c>
      <c r="L227" s="142" t="s">
        <v>944</v>
      </c>
      <c r="M227" s="142" t="s">
        <v>944</v>
      </c>
      <c r="N227" s="142" t="s">
        <v>944</v>
      </c>
      <c r="O227" s="142" t="s">
        <v>944</v>
      </c>
      <c r="P227" s="142" t="s">
        <v>944</v>
      </c>
      <c r="Q227" s="142" t="s">
        <v>944</v>
      </c>
    </row>
    <row r="228" spans="9:17" ht="29">
      <c r="I228" s="144">
        <f t="shared" si="156"/>
        <v>91</v>
      </c>
      <c r="J228" s="142" t="s">
        <v>945</v>
      </c>
      <c r="K228" s="142" t="s">
        <v>945</v>
      </c>
      <c r="L228" s="142" t="s">
        <v>945</v>
      </c>
      <c r="M228" s="142" t="s">
        <v>945</v>
      </c>
      <c r="N228" s="142" t="s">
        <v>945</v>
      </c>
      <c r="O228" s="142" t="s">
        <v>945</v>
      </c>
      <c r="P228" s="142" t="s">
        <v>945</v>
      </c>
      <c r="Q228" s="142" t="s">
        <v>945</v>
      </c>
    </row>
    <row r="229" spans="9:17">
      <c r="I229" s="144">
        <f t="shared" si="156"/>
        <v>92</v>
      </c>
      <c r="J229" s="142" t="s">
        <v>946</v>
      </c>
      <c r="L229" s="142"/>
      <c r="M229" s="142"/>
      <c r="N229" s="142"/>
      <c r="O229" s="142"/>
      <c r="P229" s="142"/>
    </row>
    <row r="230" spans="9:17">
      <c r="I230" s="144">
        <f t="shared" si="156"/>
        <v>93</v>
      </c>
      <c r="J230" s="142" t="s">
        <v>947</v>
      </c>
      <c r="K230" s="142" t="s">
        <v>947</v>
      </c>
      <c r="L230" s="142" t="s">
        <v>947</v>
      </c>
      <c r="M230" s="142" t="s">
        <v>947</v>
      </c>
      <c r="N230" s="142" t="s">
        <v>947</v>
      </c>
      <c r="O230" s="142" t="s">
        <v>947</v>
      </c>
      <c r="P230" s="142" t="s">
        <v>947</v>
      </c>
      <c r="Q230" s="142" t="s">
        <v>947</v>
      </c>
    </row>
    <row r="231" spans="9:17">
      <c r="I231" s="144">
        <f t="shared" si="156"/>
        <v>94</v>
      </c>
      <c r="J231" s="142" t="s">
        <v>948</v>
      </c>
      <c r="K231" s="142" t="s">
        <v>948</v>
      </c>
      <c r="L231" s="142" t="s">
        <v>948</v>
      </c>
      <c r="M231" s="142" t="s">
        <v>948</v>
      </c>
      <c r="N231" s="142" t="s">
        <v>948</v>
      </c>
      <c r="O231" s="142" t="s">
        <v>948</v>
      </c>
      <c r="P231" s="142" t="s">
        <v>948</v>
      </c>
      <c r="Q231" s="142" t="s">
        <v>948</v>
      </c>
    </row>
    <row r="232" spans="9:17">
      <c r="I232" s="144">
        <f t="shared" si="156"/>
        <v>95</v>
      </c>
      <c r="J232" s="142" t="s">
        <v>949</v>
      </c>
      <c r="K232" s="142" t="s">
        <v>949</v>
      </c>
      <c r="L232" s="142" t="s">
        <v>949</v>
      </c>
      <c r="M232" s="142" t="s">
        <v>949</v>
      </c>
      <c r="N232" s="142" t="s">
        <v>949</v>
      </c>
      <c r="O232" s="142" t="s">
        <v>949</v>
      </c>
      <c r="P232" s="142" t="s">
        <v>949</v>
      </c>
      <c r="Q232" s="142" t="s">
        <v>949</v>
      </c>
    </row>
    <row r="233" spans="9:17" ht="29">
      <c r="I233" s="144">
        <f t="shared" si="156"/>
        <v>96</v>
      </c>
      <c r="J233" s="142" t="s">
        <v>950</v>
      </c>
      <c r="K233" s="142" t="s">
        <v>950</v>
      </c>
      <c r="L233" s="142" t="s">
        <v>950</v>
      </c>
      <c r="M233" s="142" t="s">
        <v>950</v>
      </c>
      <c r="N233" s="142" t="s">
        <v>950</v>
      </c>
      <c r="O233" s="142" t="s">
        <v>950</v>
      </c>
      <c r="P233" s="142" t="s">
        <v>950</v>
      </c>
      <c r="Q233" s="142" t="s">
        <v>950</v>
      </c>
    </row>
    <row r="234" spans="9:17" ht="43.5">
      <c r="I234" s="144">
        <f t="shared" si="156"/>
        <v>97</v>
      </c>
      <c r="J234" s="142" t="s">
        <v>951</v>
      </c>
      <c r="K234" s="142" t="s">
        <v>951</v>
      </c>
      <c r="L234" s="142" t="s">
        <v>951</v>
      </c>
      <c r="M234" s="142" t="s">
        <v>951</v>
      </c>
      <c r="N234" s="142" t="s">
        <v>951</v>
      </c>
      <c r="O234" s="142" t="s">
        <v>951</v>
      </c>
      <c r="P234" s="142" t="s">
        <v>951</v>
      </c>
      <c r="Q234" s="142" t="s">
        <v>951</v>
      </c>
    </row>
    <row r="235" spans="9:17">
      <c r="I235" s="144">
        <f t="shared" si="156"/>
        <v>98</v>
      </c>
      <c r="J235" s="142" t="s">
        <v>952</v>
      </c>
      <c r="K235" s="142" t="s">
        <v>952</v>
      </c>
      <c r="L235" s="142" t="s">
        <v>952</v>
      </c>
      <c r="M235" s="142" t="s">
        <v>952</v>
      </c>
      <c r="N235" s="142" t="s">
        <v>952</v>
      </c>
      <c r="O235" s="142"/>
      <c r="P235" s="142" t="s">
        <v>952</v>
      </c>
      <c r="Q235" s="142" t="s">
        <v>952</v>
      </c>
    </row>
    <row r="236" spans="9:17" ht="29">
      <c r="I236" s="144">
        <f t="shared" si="156"/>
        <v>99</v>
      </c>
      <c r="J236" s="142" t="s">
        <v>953</v>
      </c>
      <c r="K236" s="142" t="s">
        <v>953</v>
      </c>
      <c r="L236" s="142" t="s">
        <v>953</v>
      </c>
      <c r="M236" s="142" t="s">
        <v>953</v>
      </c>
      <c r="N236" s="142" t="s">
        <v>953</v>
      </c>
      <c r="O236" s="142" t="s">
        <v>953</v>
      </c>
      <c r="P236" s="142" t="s">
        <v>953</v>
      </c>
      <c r="Q236" s="142" t="s">
        <v>953</v>
      </c>
    </row>
    <row r="237" spans="9:17">
      <c r="I237" s="144">
        <f t="shared" si="156"/>
        <v>100</v>
      </c>
      <c r="J237" s="142" t="s">
        <v>954</v>
      </c>
      <c r="K237" s="142" t="s">
        <v>954</v>
      </c>
      <c r="L237" s="142" t="s">
        <v>954</v>
      </c>
      <c r="M237" s="142" t="s">
        <v>954</v>
      </c>
      <c r="N237" s="142" t="s">
        <v>954</v>
      </c>
      <c r="O237" s="142" t="s">
        <v>954</v>
      </c>
      <c r="P237" s="142" t="s">
        <v>954</v>
      </c>
      <c r="Q237" s="142" t="s">
        <v>954</v>
      </c>
    </row>
    <row r="238" spans="9:17" ht="29">
      <c r="I238" s="144">
        <f t="shared" si="156"/>
        <v>101</v>
      </c>
      <c r="J238" s="142" t="s">
        <v>955</v>
      </c>
      <c r="K238" s="142" t="s">
        <v>955</v>
      </c>
      <c r="L238" s="142" t="s">
        <v>955</v>
      </c>
      <c r="M238" s="142" t="s">
        <v>955</v>
      </c>
      <c r="N238" s="142" t="s">
        <v>955</v>
      </c>
      <c r="P238" s="142" t="s">
        <v>955</v>
      </c>
      <c r="Q238" s="142" t="s">
        <v>955</v>
      </c>
    </row>
    <row r="239" spans="9:17" ht="29">
      <c r="I239" s="144">
        <f t="shared" si="156"/>
        <v>102</v>
      </c>
      <c r="J239" s="142" t="s">
        <v>956</v>
      </c>
      <c r="K239" s="142" t="s">
        <v>956</v>
      </c>
      <c r="L239" s="142" t="s">
        <v>956</v>
      </c>
      <c r="M239" s="142" t="s">
        <v>956</v>
      </c>
      <c r="N239" s="142" t="s">
        <v>956</v>
      </c>
      <c r="O239" s="142" t="s">
        <v>956</v>
      </c>
      <c r="P239" s="142" t="s">
        <v>956</v>
      </c>
      <c r="Q239" s="142" t="s">
        <v>956</v>
      </c>
    </row>
    <row r="240" spans="9:17" ht="43.5">
      <c r="I240" s="144">
        <f t="shared" si="156"/>
        <v>103</v>
      </c>
      <c r="J240" s="142" t="s">
        <v>957</v>
      </c>
      <c r="K240" s="142" t="s">
        <v>957</v>
      </c>
      <c r="L240" s="142" t="s">
        <v>957</v>
      </c>
      <c r="M240" s="142" t="s">
        <v>957</v>
      </c>
      <c r="N240" s="142" t="s">
        <v>957</v>
      </c>
      <c r="O240" s="142" t="s">
        <v>957</v>
      </c>
      <c r="P240" s="142" t="s">
        <v>957</v>
      </c>
      <c r="Q240" s="142" t="s">
        <v>957</v>
      </c>
    </row>
    <row r="241" spans="9:17" ht="29">
      <c r="I241" s="144">
        <f t="shared" si="156"/>
        <v>104</v>
      </c>
      <c r="J241" s="142" t="s">
        <v>958</v>
      </c>
      <c r="K241" s="142" t="s">
        <v>958</v>
      </c>
      <c r="L241" s="142" t="s">
        <v>958</v>
      </c>
      <c r="M241" s="142" t="s">
        <v>958</v>
      </c>
      <c r="N241" s="142" t="s">
        <v>958</v>
      </c>
      <c r="O241" s="142"/>
      <c r="P241" s="142" t="s">
        <v>958</v>
      </c>
      <c r="Q241" s="142" t="s">
        <v>958</v>
      </c>
    </row>
    <row r="242" spans="9:17">
      <c r="I242" s="144">
        <f t="shared" si="156"/>
        <v>105</v>
      </c>
      <c r="J242" s="142" t="s">
        <v>959</v>
      </c>
      <c r="K242" s="142" t="s">
        <v>959</v>
      </c>
      <c r="L242" s="142" t="s">
        <v>959</v>
      </c>
      <c r="M242" s="142" t="s">
        <v>959</v>
      </c>
      <c r="N242" s="142" t="s">
        <v>959</v>
      </c>
      <c r="O242" s="142" t="s">
        <v>959</v>
      </c>
      <c r="P242" s="142" t="s">
        <v>959</v>
      </c>
      <c r="Q242" s="142" t="s">
        <v>959</v>
      </c>
    </row>
    <row r="243" spans="9:17">
      <c r="I243" s="144">
        <f t="shared" si="156"/>
        <v>106</v>
      </c>
      <c r="J243" s="142" t="s">
        <v>960</v>
      </c>
      <c r="K243" s="142" t="s">
        <v>960</v>
      </c>
      <c r="L243" s="142" t="s">
        <v>960</v>
      </c>
      <c r="M243" s="142" t="s">
        <v>960</v>
      </c>
      <c r="N243" s="142" t="s">
        <v>960</v>
      </c>
      <c r="O243" s="142" t="s">
        <v>960</v>
      </c>
      <c r="P243" s="142" t="s">
        <v>960</v>
      </c>
      <c r="Q243" s="142" t="s">
        <v>960</v>
      </c>
    </row>
    <row r="244" spans="9:17" ht="29">
      <c r="I244" s="144">
        <f t="shared" si="156"/>
        <v>107</v>
      </c>
      <c r="J244" s="142" t="s">
        <v>961</v>
      </c>
      <c r="K244" s="142" t="s">
        <v>961</v>
      </c>
      <c r="L244" s="142" t="s">
        <v>961</v>
      </c>
      <c r="M244" s="142" t="s">
        <v>961</v>
      </c>
      <c r="N244" s="142" t="s">
        <v>961</v>
      </c>
      <c r="O244" s="142" t="s">
        <v>961</v>
      </c>
      <c r="P244" s="142" t="s">
        <v>961</v>
      </c>
      <c r="Q244" s="142" t="s">
        <v>961</v>
      </c>
    </row>
    <row r="245" spans="9:17" ht="29">
      <c r="I245" s="144">
        <f t="shared" si="156"/>
        <v>108</v>
      </c>
      <c r="J245" s="142" t="s">
        <v>962</v>
      </c>
      <c r="K245" s="142" t="s">
        <v>962</v>
      </c>
      <c r="L245" s="142" t="s">
        <v>962</v>
      </c>
      <c r="M245" s="142" t="s">
        <v>962</v>
      </c>
      <c r="N245" s="142" t="s">
        <v>962</v>
      </c>
      <c r="O245" s="142" t="s">
        <v>962</v>
      </c>
      <c r="P245" s="142" t="s">
        <v>962</v>
      </c>
      <c r="Q245" s="142" t="s">
        <v>962</v>
      </c>
    </row>
    <row r="246" spans="9:17">
      <c r="I246" s="144">
        <f t="shared" si="156"/>
        <v>109</v>
      </c>
      <c r="J246" s="142" t="s">
        <v>963</v>
      </c>
      <c r="K246" s="142" t="s">
        <v>963</v>
      </c>
      <c r="L246" s="142" t="s">
        <v>963</v>
      </c>
      <c r="M246" s="142" t="s">
        <v>963</v>
      </c>
      <c r="N246" s="142" t="s">
        <v>963</v>
      </c>
      <c r="O246" s="142" t="s">
        <v>963</v>
      </c>
      <c r="P246" s="142" t="s">
        <v>963</v>
      </c>
      <c r="Q246" s="142" t="s">
        <v>963</v>
      </c>
    </row>
    <row r="247" spans="9:17">
      <c r="I247" s="144">
        <f t="shared" si="156"/>
        <v>110</v>
      </c>
      <c r="J247" s="142" t="s">
        <v>964</v>
      </c>
      <c r="K247" s="142" t="s">
        <v>964</v>
      </c>
      <c r="L247" s="142" t="s">
        <v>964</v>
      </c>
      <c r="M247" s="142" t="s">
        <v>964</v>
      </c>
      <c r="N247" s="142" t="s">
        <v>964</v>
      </c>
      <c r="O247" s="142" t="s">
        <v>964</v>
      </c>
      <c r="P247" s="142" t="s">
        <v>964</v>
      </c>
      <c r="Q247" s="142" t="s">
        <v>964</v>
      </c>
    </row>
    <row r="248" spans="9:17">
      <c r="I248" s="144">
        <f t="shared" si="156"/>
        <v>111</v>
      </c>
      <c r="J248" s="142" t="s">
        <v>965</v>
      </c>
      <c r="K248" s="142" t="s">
        <v>965</v>
      </c>
      <c r="L248" s="142" t="s">
        <v>965</v>
      </c>
      <c r="M248" s="142" t="s">
        <v>965</v>
      </c>
      <c r="N248" s="142" t="s">
        <v>965</v>
      </c>
      <c r="O248" s="142" t="s">
        <v>965</v>
      </c>
      <c r="P248" s="142" t="s">
        <v>965</v>
      </c>
      <c r="Q248" s="142" t="s">
        <v>965</v>
      </c>
    </row>
    <row r="249" spans="9:17" ht="35.5">
      <c r="I249" s="144">
        <f t="shared" si="156"/>
        <v>112</v>
      </c>
      <c r="J249" s="143" t="s">
        <v>966</v>
      </c>
      <c r="K249" s="143" t="s">
        <v>966</v>
      </c>
      <c r="L249" s="143" t="s">
        <v>966</v>
      </c>
      <c r="M249" s="143" t="s">
        <v>966</v>
      </c>
      <c r="N249" s="143" t="s">
        <v>966</v>
      </c>
      <c r="O249" s="143" t="s">
        <v>966</v>
      </c>
      <c r="P249" s="146" t="s">
        <v>966</v>
      </c>
      <c r="Q249" s="146" t="s">
        <v>966</v>
      </c>
    </row>
    <row r="250" spans="9:17" ht="29">
      <c r="I250" s="144">
        <f t="shared" si="156"/>
        <v>113</v>
      </c>
      <c r="J250" s="142" t="s">
        <v>967</v>
      </c>
      <c r="K250" s="142" t="s">
        <v>967</v>
      </c>
      <c r="L250" s="142" t="s">
        <v>967</v>
      </c>
      <c r="M250" s="142" t="s">
        <v>967</v>
      </c>
      <c r="N250" s="142" t="s">
        <v>967</v>
      </c>
      <c r="O250" s="142" t="s">
        <v>967</v>
      </c>
      <c r="P250" s="142" t="s">
        <v>967</v>
      </c>
      <c r="Q250" s="142" t="s">
        <v>967</v>
      </c>
    </row>
    <row r="251" spans="9:17" ht="43.5">
      <c r="I251" s="144">
        <f t="shared" si="156"/>
        <v>114</v>
      </c>
      <c r="J251" s="142" t="s">
        <v>968</v>
      </c>
      <c r="K251" s="142" t="s">
        <v>968</v>
      </c>
      <c r="L251" s="142" t="s">
        <v>968</v>
      </c>
      <c r="M251" s="142" t="s">
        <v>968</v>
      </c>
      <c r="N251" s="142" t="s">
        <v>968</v>
      </c>
      <c r="O251" s="142" t="s">
        <v>968</v>
      </c>
      <c r="P251" s="142" t="s">
        <v>968</v>
      </c>
      <c r="Q251" s="142" t="s">
        <v>968</v>
      </c>
    </row>
    <row r="252" spans="9:17">
      <c r="I252" s="144">
        <f t="shared" si="156"/>
        <v>115</v>
      </c>
      <c r="J252" s="142" t="s">
        <v>969</v>
      </c>
      <c r="K252" s="142" t="s">
        <v>969</v>
      </c>
      <c r="L252" s="142" t="s">
        <v>969</v>
      </c>
      <c r="M252" s="142" t="s">
        <v>969</v>
      </c>
      <c r="N252" s="142" t="s">
        <v>969</v>
      </c>
      <c r="O252" s="142" t="s">
        <v>969</v>
      </c>
      <c r="P252" s="142" t="s">
        <v>969</v>
      </c>
      <c r="Q252" s="142" t="s">
        <v>969</v>
      </c>
    </row>
    <row r="253" spans="9:17" ht="29">
      <c r="I253" s="144">
        <f t="shared" si="156"/>
        <v>116</v>
      </c>
      <c r="J253" s="142" t="s">
        <v>970</v>
      </c>
      <c r="K253" s="142" t="s">
        <v>970</v>
      </c>
      <c r="L253" s="142" t="s">
        <v>970</v>
      </c>
      <c r="M253" s="142" t="s">
        <v>970</v>
      </c>
      <c r="N253" s="142" t="s">
        <v>970</v>
      </c>
      <c r="O253" s="142" t="s">
        <v>970</v>
      </c>
      <c r="P253" s="142" t="s">
        <v>970</v>
      </c>
      <c r="Q253" s="142" t="s">
        <v>970</v>
      </c>
    </row>
    <row r="254" spans="9:17" ht="58">
      <c r="I254" s="144">
        <f t="shared" si="156"/>
        <v>117</v>
      </c>
      <c r="J254" s="142" t="s">
        <v>971</v>
      </c>
      <c r="K254" s="142" t="s">
        <v>971</v>
      </c>
      <c r="L254" s="142" t="s">
        <v>971</v>
      </c>
      <c r="M254" s="142" t="s">
        <v>971</v>
      </c>
      <c r="N254" s="142" t="s">
        <v>971</v>
      </c>
      <c r="O254" s="142"/>
      <c r="P254" s="142" t="s">
        <v>971</v>
      </c>
      <c r="Q254" s="142" t="s">
        <v>971</v>
      </c>
    </row>
    <row r="255" spans="9:17" ht="29">
      <c r="I255" s="144">
        <f t="shared" si="156"/>
        <v>118</v>
      </c>
      <c r="J255" s="142" t="s">
        <v>972</v>
      </c>
      <c r="K255" s="142" t="s">
        <v>972</v>
      </c>
      <c r="L255" s="142" t="s">
        <v>972</v>
      </c>
      <c r="M255" s="142" t="s">
        <v>972</v>
      </c>
      <c r="N255" s="142" t="s">
        <v>972</v>
      </c>
      <c r="O255" s="142" t="s">
        <v>972</v>
      </c>
      <c r="P255" s="142" t="s">
        <v>972</v>
      </c>
      <c r="Q255" s="142" t="s">
        <v>972</v>
      </c>
    </row>
    <row r="256" spans="9:17" ht="43.5">
      <c r="I256" s="144">
        <f t="shared" si="156"/>
        <v>119</v>
      </c>
      <c r="J256" s="142" t="s">
        <v>973</v>
      </c>
      <c r="K256" s="142" t="s">
        <v>973</v>
      </c>
      <c r="L256" s="142" t="s">
        <v>973</v>
      </c>
      <c r="M256" s="142" t="s">
        <v>973</v>
      </c>
      <c r="N256" s="142" t="s">
        <v>973</v>
      </c>
      <c r="O256" s="142" t="s">
        <v>973</v>
      </c>
      <c r="P256" s="142" t="s">
        <v>973</v>
      </c>
      <c r="Q256" s="142" t="s">
        <v>973</v>
      </c>
    </row>
    <row r="257" spans="9:17">
      <c r="I257" s="144">
        <f t="shared" si="156"/>
        <v>120</v>
      </c>
      <c r="J257" s="142" t="s">
        <v>974</v>
      </c>
      <c r="K257" s="142" t="s">
        <v>974</v>
      </c>
      <c r="L257" s="142" t="s">
        <v>974</v>
      </c>
      <c r="M257" s="142" t="s">
        <v>974</v>
      </c>
      <c r="N257" s="142" t="s">
        <v>974</v>
      </c>
      <c r="O257" s="142" t="s">
        <v>974</v>
      </c>
      <c r="P257" s="142" t="s">
        <v>974</v>
      </c>
      <c r="Q257" s="142" t="s">
        <v>974</v>
      </c>
    </row>
    <row r="258" spans="9:17">
      <c r="I258" s="144">
        <f t="shared" si="156"/>
        <v>121</v>
      </c>
      <c r="J258" s="142" t="s">
        <v>975</v>
      </c>
      <c r="K258" s="142" t="s">
        <v>975</v>
      </c>
      <c r="L258" s="142" t="s">
        <v>975</v>
      </c>
      <c r="M258" s="142" t="s">
        <v>975</v>
      </c>
      <c r="N258" s="142" t="s">
        <v>975</v>
      </c>
      <c r="O258" s="142" t="s">
        <v>975</v>
      </c>
      <c r="P258" s="142" t="s">
        <v>975</v>
      </c>
      <c r="Q258" s="142" t="s">
        <v>975</v>
      </c>
    </row>
    <row r="259" spans="9:17">
      <c r="I259" s="144">
        <f t="shared" si="156"/>
        <v>122</v>
      </c>
      <c r="J259" s="142" t="s">
        <v>976</v>
      </c>
      <c r="K259" s="142" t="s">
        <v>976</v>
      </c>
      <c r="L259" s="142" t="s">
        <v>976</v>
      </c>
      <c r="M259" s="142" t="s">
        <v>976</v>
      </c>
      <c r="N259" s="142" t="s">
        <v>976</v>
      </c>
      <c r="O259" s="142" t="s">
        <v>976</v>
      </c>
      <c r="P259" s="142" t="s">
        <v>976</v>
      </c>
      <c r="Q259" s="142" t="s">
        <v>976</v>
      </c>
    </row>
    <row r="260" spans="9:17" ht="29">
      <c r="I260" s="144">
        <f t="shared" si="156"/>
        <v>123</v>
      </c>
      <c r="J260" s="142" t="s">
        <v>977</v>
      </c>
      <c r="K260" s="142" t="s">
        <v>977</v>
      </c>
      <c r="L260" s="142" t="s">
        <v>977</v>
      </c>
      <c r="M260" s="142" t="s">
        <v>977</v>
      </c>
      <c r="N260" s="142" t="s">
        <v>977</v>
      </c>
      <c r="O260" s="142" t="s">
        <v>977</v>
      </c>
      <c r="P260" s="142" t="s">
        <v>977</v>
      </c>
      <c r="Q260" s="142" t="s">
        <v>977</v>
      </c>
    </row>
    <row r="261" spans="9:17">
      <c r="I261" s="144">
        <f t="shared" si="156"/>
        <v>124</v>
      </c>
      <c r="J261" s="142" t="s">
        <v>978</v>
      </c>
      <c r="K261" s="142" t="s">
        <v>978</v>
      </c>
      <c r="L261" s="142" t="s">
        <v>978</v>
      </c>
      <c r="M261" s="142" t="s">
        <v>978</v>
      </c>
      <c r="N261" s="142" t="s">
        <v>978</v>
      </c>
      <c r="O261" s="142"/>
      <c r="P261" s="142" t="s">
        <v>978</v>
      </c>
      <c r="Q261" s="142" t="s">
        <v>978</v>
      </c>
    </row>
    <row r="262" spans="9:17">
      <c r="I262" s="144">
        <f t="shared" si="156"/>
        <v>125</v>
      </c>
      <c r="J262" s="142" t="s">
        <v>979</v>
      </c>
      <c r="K262" s="142" t="s">
        <v>979</v>
      </c>
      <c r="L262" s="142" t="s">
        <v>979</v>
      </c>
      <c r="M262" s="142" t="s">
        <v>979</v>
      </c>
      <c r="N262" s="142" t="s">
        <v>979</v>
      </c>
      <c r="O262" s="142" t="s">
        <v>979</v>
      </c>
      <c r="P262" s="142" t="s">
        <v>979</v>
      </c>
      <c r="Q262" s="142" t="s">
        <v>979</v>
      </c>
    </row>
    <row r="263" spans="9:17" ht="29">
      <c r="I263" s="144">
        <f t="shared" si="156"/>
        <v>126</v>
      </c>
      <c r="J263" s="142" t="s">
        <v>980</v>
      </c>
      <c r="K263" s="142" t="s">
        <v>980</v>
      </c>
      <c r="L263" s="142" t="s">
        <v>980</v>
      </c>
      <c r="M263" s="142" t="s">
        <v>980</v>
      </c>
      <c r="N263" s="142" t="s">
        <v>980</v>
      </c>
      <c r="O263" s="142"/>
      <c r="P263" s="142" t="s">
        <v>981</v>
      </c>
      <c r="Q263" s="142" t="s">
        <v>981</v>
      </c>
    </row>
    <row r="264" spans="9:17" ht="29">
      <c r="I264" s="144">
        <f t="shared" si="156"/>
        <v>127</v>
      </c>
      <c r="J264" s="142" t="s">
        <v>981</v>
      </c>
      <c r="K264" s="142" t="s">
        <v>981</v>
      </c>
      <c r="L264" s="142" t="s">
        <v>981</v>
      </c>
      <c r="M264" s="142" t="s">
        <v>981</v>
      </c>
      <c r="N264" s="142" t="s">
        <v>981</v>
      </c>
      <c r="O264" s="142" t="s">
        <v>981</v>
      </c>
      <c r="P264" s="142" t="s">
        <v>982</v>
      </c>
      <c r="Q264" s="142" t="s">
        <v>982</v>
      </c>
    </row>
    <row r="265" spans="9:17">
      <c r="I265" s="144"/>
      <c r="J265" s="142"/>
      <c r="K265" s="142"/>
      <c r="L265" s="142"/>
      <c r="M265" s="142"/>
      <c r="N265" s="142"/>
      <c r="O265" s="142" t="s">
        <v>982</v>
      </c>
      <c r="P265" s="142"/>
      <c r="Q265" s="142"/>
    </row>
    <row r="266" spans="9:17" ht="58">
      <c r="I266" s="144">
        <f>I264+1</f>
        <v>128</v>
      </c>
      <c r="J266" s="142" t="s">
        <v>983</v>
      </c>
      <c r="K266" s="142" t="s">
        <v>983</v>
      </c>
      <c r="L266" s="142" t="s">
        <v>983</v>
      </c>
      <c r="M266" s="142" t="s">
        <v>983</v>
      </c>
      <c r="N266" s="142" t="s">
        <v>983</v>
      </c>
      <c r="O266" s="142" t="s">
        <v>983</v>
      </c>
      <c r="P266" s="142" t="s">
        <v>983</v>
      </c>
      <c r="Q266" s="142" t="s">
        <v>983</v>
      </c>
    </row>
    <row r="267" spans="9:17" ht="29">
      <c r="I267" s="144">
        <f>I266+1</f>
        <v>129</v>
      </c>
      <c r="J267" s="142" t="s">
        <v>984</v>
      </c>
      <c r="K267" s="142" t="s">
        <v>984</v>
      </c>
      <c r="L267" s="142" t="s">
        <v>984</v>
      </c>
      <c r="M267" s="142" t="s">
        <v>984</v>
      </c>
      <c r="N267" s="142" t="s">
        <v>984</v>
      </c>
      <c r="O267" s="142" t="s">
        <v>984</v>
      </c>
      <c r="P267" s="142" t="s">
        <v>984</v>
      </c>
      <c r="Q267" s="142" t="s">
        <v>984</v>
      </c>
    </row>
    <row r="268" spans="9:17" ht="29">
      <c r="I268" s="144">
        <f t="shared" si="156"/>
        <v>130</v>
      </c>
      <c r="J268" s="142" t="s">
        <v>985</v>
      </c>
      <c r="K268" s="142" t="s">
        <v>985</v>
      </c>
      <c r="L268" s="142" t="s">
        <v>985</v>
      </c>
      <c r="M268" s="142" t="s">
        <v>985</v>
      </c>
      <c r="N268" s="142" t="s">
        <v>985</v>
      </c>
      <c r="O268" s="142"/>
      <c r="P268" s="142" t="s">
        <v>985</v>
      </c>
      <c r="Q268" s="142" t="s">
        <v>985</v>
      </c>
    </row>
    <row r="269" spans="9:17">
      <c r="I269" s="144">
        <f t="shared" ref="I269:I334" si="157">I268+1</f>
        <v>131</v>
      </c>
      <c r="J269" s="142" t="s">
        <v>986</v>
      </c>
      <c r="K269" s="142" t="s">
        <v>986</v>
      </c>
      <c r="L269" s="142" t="s">
        <v>986</v>
      </c>
      <c r="M269" s="142" t="s">
        <v>986</v>
      </c>
      <c r="N269" s="142" t="s">
        <v>986</v>
      </c>
      <c r="O269" s="142" t="s">
        <v>986</v>
      </c>
      <c r="P269" s="142" t="s">
        <v>986</v>
      </c>
      <c r="Q269" s="142" t="s">
        <v>986</v>
      </c>
    </row>
    <row r="270" spans="9:17" ht="29">
      <c r="I270" s="144">
        <f t="shared" si="157"/>
        <v>132</v>
      </c>
      <c r="J270" s="142" t="s">
        <v>987</v>
      </c>
      <c r="K270" s="142" t="s">
        <v>987</v>
      </c>
      <c r="L270" s="142" t="s">
        <v>987</v>
      </c>
      <c r="M270" s="142" t="s">
        <v>987</v>
      </c>
      <c r="N270" s="142" t="s">
        <v>987</v>
      </c>
      <c r="O270" s="142" t="s">
        <v>987</v>
      </c>
      <c r="P270" s="142" t="s">
        <v>987</v>
      </c>
      <c r="Q270" s="142" t="s">
        <v>987</v>
      </c>
    </row>
    <row r="271" spans="9:17" ht="43.5">
      <c r="I271" s="144">
        <f t="shared" si="157"/>
        <v>133</v>
      </c>
      <c r="J271" s="142" t="s">
        <v>988</v>
      </c>
      <c r="K271" s="142" t="s">
        <v>988</v>
      </c>
      <c r="L271" s="142" t="s">
        <v>988</v>
      </c>
      <c r="M271" s="142" t="s">
        <v>988</v>
      </c>
      <c r="N271" s="142" t="s">
        <v>988</v>
      </c>
      <c r="O271" s="142" t="s">
        <v>988</v>
      </c>
      <c r="P271" s="142" t="s">
        <v>988</v>
      </c>
      <c r="Q271" s="142" t="s">
        <v>988</v>
      </c>
    </row>
    <row r="272" spans="9:17" ht="29">
      <c r="I272" s="144">
        <f t="shared" si="157"/>
        <v>134</v>
      </c>
      <c r="J272" s="142" t="s">
        <v>989</v>
      </c>
      <c r="K272" s="142" t="s">
        <v>989</v>
      </c>
      <c r="L272" s="142" t="s">
        <v>989</v>
      </c>
      <c r="M272" s="142" t="s">
        <v>989</v>
      </c>
      <c r="N272" s="142" t="s">
        <v>989</v>
      </c>
      <c r="O272" s="142" t="s">
        <v>989</v>
      </c>
      <c r="P272" s="142" t="s">
        <v>989</v>
      </c>
      <c r="Q272" s="142" t="s">
        <v>989</v>
      </c>
    </row>
    <row r="273" spans="9:17" ht="29">
      <c r="I273" s="144"/>
      <c r="J273" s="142"/>
      <c r="K273" s="142"/>
      <c r="L273" s="142"/>
      <c r="M273" s="142"/>
      <c r="N273" s="142"/>
      <c r="O273" s="142"/>
      <c r="P273" s="142" t="s">
        <v>990</v>
      </c>
      <c r="Q273" s="142" t="s">
        <v>990</v>
      </c>
    </row>
    <row r="274" spans="9:17">
      <c r="I274" s="144">
        <f>I272+1</f>
        <v>135</v>
      </c>
      <c r="J274" s="142" t="s">
        <v>991</v>
      </c>
      <c r="K274" s="142" t="s">
        <v>991</v>
      </c>
      <c r="L274" s="142" t="s">
        <v>991</v>
      </c>
      <c r="M274" s="142" t="s">
        <v>991</v>
      </c>
      <c r="N274" s="142" t="s">
        <v>991</v>
      </c>
      <c r="O274" s="142" t="s">
        <v>991</v>
      </c>
      <c r="P274" s="142" t="s">
        <v>991</v>
      </c>
      <c r="Q274" s="142" t="s">
        <v>991</v>
      </c>
    </row>
    <row r="275" spans="9:17" ht="29">
      <c r="I275" s="144">
        <f>I274+1</f>
        <v>136</v>
      </c>
      <c r="J275" s="142" t="s">
        <v>992</v>
      </c>
      <c r="K275" s="142" t="s">
        <v>992</v>
      </c>
      <c r="L275" s="142" t="s">
        <v>992</v>
      </c>
      <c r="M275" s="142" t="s">
        <v>992</v>
      </c>
      <c r="N275" s="142" t="s">
        <v>992</v>
      </c>
      <c r="O275" s="142" t="s">
        <v>992</v>
      </c>
      <c r="P275" s="142" t="s">
        <v>992</v>
      </c>
      <c r="Q275" s="142" t="s">
        <v>992</v>
      </c>
    </row>
    <row r="276" spans="9:17" ht="29">
      <c r="I276" s="144">
        <f t="shared" si="157"/>
        <v>137</v>
      </c>
      <c r="J276" s="142" t="s">
        <v>993</v>
      </c>
      <c r="K276" s="142" t="s">
        <v>993</v>
      </c>
      <c r="L276" s="142" t="s">
        <v>993</v>
      </c>
      <c r="M276" s="142" t="s">
        <v>993</v>
      </c>
      <c r="N276" s="142" t="s">
        <v>993</v>
      </c>
      <c r="O276" s="142" t="s">
        <v>993</v>
      </c>
      <c r="P276" s="142" t="s">
        <v>993</v>
      </c>
      <c r="Q276" s="142" t="s">
        <v>993</v>
      </c>
    </row>
    <row r="277" spans="9:17" ht="29">
      <c r="I277" s="144">
        <f t="shared" si="157"/>
        <v>138</v>
      </c>
      <c r="J277" s="142" t="s">
        <v>994</v>
      </c>
      <c r="K277" s="142" t="s">
        <v>994</v>
      </c>
      <c r="L277" s="142" t="s">
        <v>994</v>
      </c>
      <c r="M277" s="142" t="s">
        <v>994</v>
      </c>
      <c r="N277" s="142" t="s">
        <v>994</v>
      </c>
      <c r="O277" s="142" t="s">
        <v>994</v>
      </c>
      <c r="P277" s="142" t="s">
        <v>994</v>
      </c>
      <c r="Q277" s="142" t="s">
        <v>994</v>
      </c>
    </row>
    <row r="278" spans="9:17" ht="29">
      <c r="I278" s="144">
        <f t="shared" si="157"/>
        <v>139</v>
      </c>
      <c r="J278" s="142" t="s">
        <v>995</v>
      </c>
      <c r="K278" s="142" t="s">
        <v>995</v>
      </c>
      <c r="L278" s="142" t="s">
        <v>995</v>
      </c>
      <c r="M278" s="142" t="s">
        <v>995</v>
      </c>
      <c r="N278" s="142" t="s">
        <v>995</v>
      </c>
      <c r="O278" s="142" t="s">
        <v>995</v>
      </c>
      <c r="P278" s="142" t="s">
        <v>995</v>
      </c>
      <c r="Q278" s="142" t="s">
        <v>995</v>
      </c>
    </row>
    <row r="279" spans="9:17" ht="43.5">
      <c r="I279" s="144">
        <f t="shared" si="157"/>
        <v>140</v>
      </c>
      <c r="J279" s="142" t="s">
        <v>996</v>
      </c>
      <c r="K279" s="142" t="s">
        <v>996</v>
      </c>
      <c r="L279" s="142" t="s">
        <v>996</v>
      </c>
      <c r="M279" s="142" t="s">
        <v>996</v>
      </c>
      <c r="N279" s="142" t="s">
        <v>996</v>
      </c>
      <c r="O279" s="142" t="s">
        <v>996</v>
      </c>
      <c r="P279" s="142" t="s">
        <v>996</v>
      </c>
      <c r="Q279" s="142" t="s">
        <v>996</v>
      </c>
    </row>
    <row r="280" spans="9:17">
      <c r="I280" s="144">
        <f t="shared" si="157"/>
        <v>141</v>
      </c>
      <c r="J280" s="142" t="s">
        <v>997</v>
      </c>
      <c r="K280" s="142" t="s">
        <v>997</v>
      </c>
      <c r="L280" s="142" t="s">
        <v>997</v>
      </c>
      <c r="M280" s="142" t="s">
        <v>997</v>
      </c>
      <c r="N280" s="142" t="s">
        <v>997</v>
      </c>
      <c r="O280" s="142" t="s">
        <v>997</v>
      </c>
      <c r="P280" s="142" t="s">
        <v>997</v>
      </c>
      <c r="Q280" s="142" t="s">
        <v>997</v>
      </c>
    </row>
    <row r="281" spans="9:17" ht="29">
      <c r="I281" s="144">
        <f t="shared" si="157"/>
        <v>142</v>
      </c>
      <c r="J281" s="142" t="s">
        <v>998</v>
      </c>
      <c r="K281" s="142" t="s">
        <v>998</v>
      </c>
      <c r="L281" s="142"/>
      <c r="M281" s="142"/>
      <c r="N281" s="142"/>
      <c r="O281" s="142"/>
      <c r="P281" s="142"/>
      <c r="Q281" s="142"/>
    </row>
    <row r="282" spans="9:17" ht="43.5">
      <c r="I282" s="144">
        <f t="shared" si="157"/>
        <v>143</v>
      </c>
      <c r="J282" s="142" t="s">
        <v>999</v>
      </c>
      <c r="K282" s="142" t="s">
        <v>999</v>
      </c>
      <c r="L282" s="142" t="s">
        <v>999</v>
      </c>
      <c r="M282" s="142" t="s">
        <v>999</v>
      </c>
      <c r="N282" s="142" t="s">
        <v>999</v>
      </c>
      <c r="O282" s="142" t="s">
        <v>999</v>
      </c>
      <c r="P282" s="142" t="s">
        <v>999</v>
      </c>
      <c r="Q282" s="142" t="s">
        <v>999</v>
      </c>
    </row>
    <row r="283" spans="9:17">
      <c r="I283" s="144">
        <f t="shared" si="157"/>
        <v>144</v>
      </c>
      <c r="J283" s="142" t="s">
        <v>1000</v>
      </c>
      <c r="K283" s="142" t="s">
        <v>1000</v>
      </c>
      <c r="L283" s="142" t="s">
        <v>1000</v>
      </c>
      <c r="M283" s="142" t="s">
        <v>1000</v>
      </c>
      <c r="N283" s="142" t="s">
        <v>1000</v>
      </c>
      <c r="O283" s="142" t="s">
        <v>1000</v>
      </c>
      <c r="P283" s="142" t="s">
        <v>1000</v>
      </c>
      <c r="Q283" s="142" t="s">
        <v>1000</v>
      </c>
    </row>
    <row r="284" spans="9:17">
      <c r="I284" s="144">
        <f t="shared" si="157"/>
        <v>145</v>
      </c>
      <c r="J284" s="142" t="s">
        <v>1001</v>
      </c>
      <c r="K284" s="142" t="s">
        <v>1001</v>
      </c>
      <c r="L284" s="142" t="s">
        <v>1001</v>
      </c>
      <c r="M284" s="142" t="s">
        <v>1001</v>
      </c>
      <c r="N284" s="142" t="s">
        <v>1001</v>
      </c>
      <c r="O284" s="142" t="s">
        <v>1001</v>
      </c>
      <c r="P284" s="142" t="s">
        <v>1001</v>
      </c>
      <c r="Q284" s="142" t="s">
        <v>1001</v>
      </c>
    </row>
    <row r="285" spans="9:17">
      <c r="I285" s="144">
        <f t="shared" si="157"/>
        <v>146</v>
      </c>
      <c r="J285" s="142" t="s">
        <v>1002</v>
      </c>
      <c r="K285" s="142" t="s">
        <v>1002</v>
      </c>
      <c r="L285" s="142" t="s">
        <v>1002</v>
      </c>
      <c r="M285" s="142" t="s">
        <v>1002</v>
      </c>
      <c r="N285" s="142" t="s">
        <v>1002</v>
      </c>
      <c r="O285" s="142" t="s">
        <v>1002</v>
      </c>
      <c r="P285" s="142" t="s">
        <v>1002</v>
      </c>
      <c r="Q285" s="142" t="s">
        <v>1002</v>
      </c>
    </row>
    <row r="286" spans="9:17" ht="29">
      <c r="I286" s="144">
        <f t="shared" si="157"/>
        <v>147</v>
      </c>
      <c r="J286" s="142" t="s">
        <v>1003</v>
      </c>
      <c r="K286" s="142" t="s">
        <v>1003</v>
      </c>
      <c r="L286" s="142" t="s">
        <v>1003</v>
      </c>
      <c r="M286" s="142" t="s">
        <v>1003</v>
      </c>
      <c r="N286" s="142" t="s">
        <v>1003</v>
      </c>
      <c r="O286" s="142" t="s">
        <v>1003</v>
      </c>
      <c r="P286" s="142" t="s">
        <v>1003</v>
      </c>
      <c r="Q286" s="142" t="s">
        <v>1003</v>
      </c>
    </row>
    <row r="287" spans="9:17" ht="43.5">
      <c r="I287" s="144">
        <f t="shared" si="157"/>
        <v>148</v>
      </c>
      <c r="J287" s="142" t="s">
        <v>1004</v>
      </c>
      <c r="K287" s="142" t="s">
        <v>1004</v>
      </c>
      <c r="L287" s="142" t="s">
        <v>1004</v>
      </c>
      <c r="M287" s="142" t="s">
        <v>1004</v>
      </c>
      <c r="N287" s="142" t="s">
        <v>1004</v>
      </c>
      <c r="O287" s="142" t="s">
        <v>1004</v>
      </c>
      <c r="P287" s="142" t="s">
        <v>1004</v>
      </c>
      <c r="Q287" s="142" t="s">
        <v>1004</v>
      </c>
    </row>
    <row r="288" spans="9:17" ht="87">
      <c r="I288" s="144">
        <f t="shared" si="157"/>
        <v>149</v>
      </c>
      <c r="J288" s="142" t="s">
        <v>1005</v>
      </c>
      <c r="K288" s="142" t="s">
        <v>1005</v>
      </c>
      <c r="L288" s="142" t="s">
        <v>1005</v>
      </c>
      <c r="M288" s="142" t="s">
        <v>1005</v>
      </c>
      <c r="N288" s="142" t="s">
        <v>1005</v>
      </c>
      <c r="O288" s="142" t="s">
        <v>1005</v>
      </c>
      <c r="P288" s="142" t="s">
        <v>1005</v>
      </c>
      <c r="Q288" s="142" t="s">
        <v>1005</v>
      </c>
    </row>
    <row r="289" spans="9:17" ht="58">
      <c r="I289" s="144">
        <f t="shared" si="157"/>
        <v>150</v>
      </c>
      <c r="J289" s="142" t="s">
        <v>1006</v>
      </c>
      <c r="K289" s="142" t="s">
        <v>1006</v>
      </c>
      <c r="L289" s="142" t="s">
        <v>1006</v>
      </c>
      <c r="M289" s="142" t="s">
        <v>1006</v>
      </c>
      <c r="N289" s="142" t="s">
        <v>1006</v>
      </c>
      <c r="O289" s="142" t="s">
        <v>1006</v>
      </c>
      <c r="P289" s="142" t="s">
        <v>1006</v>
      </c>
      <c r="Q289" s="142" t="s">
        <v>1006</v>
      </c>
    </row>
    <row r="290" spans="9:17" ht="72.5">
      <c r="I290" s="144">
        <f t="shared" si="157"/>
        <v>151</v>
      </c>
      <c r="J290" s="142" t="s">
        <v>1007</v>
      </c>
      <c r="K290" s="142" t="s">
        <v>1007</v>
      </c>
      <c r="L290" s="142" t="s">
        <v>1007</v>
      </c>
      <c r="M290" s="142" t="s">
        <v>1007</v>
      </c>
      <c r="N290" s="142" t="s">
        <v>1008</v>
      </c>
      <c r="O290" s="142" t="s">
        <v>1007</v>
      </c>
      <c r="P290" s="142" t="s">
        <v>1007</v>
      </c>
      <c r="Q290" s="142" t="s">
        <v>1007</v>
      </c>
    </row>
    <row r="291" spans="9:17" ht="72.5">
      <c r="I291" s="144">
        <f t="shared" si="157"/>
        <v>152</v>
      </c>
      <c r="J291" s="142" t="s">
        <v>1009</v>
      </c>
      <c r="K291" s="142" t="s">
        <v>1009</v>
      </c>
      <c r="L291" s="142" t="s">
        <v>1009</v>
      </c>
      <c r="M291" s="142" t="s">
        <v>1009</v>
      </c>
      <c r="N291" s="142" t="s">
        <v>1009</v>
      </c>
      <c r="O291" s="142" t="s">
        <v>1009</v>
      </c>
      <c r="P291" s="142" t="s">
        <v>1009</v>
      </c>
      <c r="Q291" s="142" t="s">
        <v>1009</v>
      </c>
    </row>
    <row r="292" spans="9:17" ht="58">
      <c r="I292" s="144">
        <f t="shared" si="157"/>
        <v>153</v>
      </c>
      <c r="J292" s="142" t="s">
        <v>1010</v>
      </c>
      <c r="K292" s="142" t="s">
        <v>1010</v>
      </c>
      <c r="L292" s="142" t="s">
        <v>1010</v>
      </c>
      <c r="M292" s="142" t="s">
        <v>1010</v>
      </c>
      <c r="N292" s="142" t="s">
        <v>1010</v>
      </c>
      <c r="O292" s="142" t="s">
        <v>1010</v>
      </c>
      <c r="P292" s="142" t="s">
        <v>1010</v>
      </c>
      <c r="Q292" s="142" t="s">
        <v>1010</v>
      </c>
    </row>
    <row r="293" spans="9:17" ht="58">
      <c r="I293" s="144">
        <f t="shared" si="157"/>
        <v>154</v>
      </c>
      <c r="J293" s="142" t="s">
        <v>1011</v>
      </c>
      <c r="K293" s="142" t="s">
        <v>1011</v>
      </c>
      <c r="L293" s="142" t="s">
        <v>1011</v>
      </c>
      <c r="M293" s="142" t="s">
        <v>1011</v>
      </c>
      <c r="N293" s="142" t="s">
        <v>1011</v>
      </c>
      <c r="O293" s="142" t="s">
        <v>1012</v>
      </c>
      <c r="P293" s="142" t="s">
        <v>1012</v>
      </c>
      <c r="Q293" s="142" t="s">
        <v>1011</v>
      </c>
    </row>
    <row r="294" spans="9:17" ht="58">
      <c r="I294" s="144">
        <f t="shared" si="157"/>
        <v>155</v>
      </c>
      <c r="J294" s="142" t="s">
        <v>1013</v>
      </c>
      <c r="K294" s="142" t="s">
        <v>1013</v>
      </c>
      <c r="L294" s="142" t="s">
        <v>1013</v>
      </c>
      <c r="M294" s="142" t="s">
        <v>1013</v>
      </c>
      <c r="N294" s="142" t="s">
        <v>1013</v>
      </c>
      <c r="O294" s="142" t="s">
        <v>1013</v>
      </c>
      <c r="P294" s="142" t="s">
        <v>1013</v>
      </c>
      <c r="Q294" s="142" t="s">
        <v>1013</v>
      </c>
    </row>
    <row r="295" spans="9:17" ht="58">
      <c r="I295" s="144">
        <f t="shared" si="157"/>
        <v>156</v>
      </c>
      <c r="J295" s="142" t="s">
        <v>1014</v>
      </c>
      <c r="K295" s="142" t="s">
        <v>1014</v>
      </c>
      <c r="L295" s="142" t="s">
        <v>1014</v>
      </c>
      <c r="M295" s="142" t="s">
        <v>1014</v>
      </c>
      <c r="N295" s="142" t="s">
        <v>1014</v>
      </c>
      <c r="O295" s="142"/>
      <c r="P295" s="142" t="s">
        <v>1014</v>
      </c>
      <c r="Q295" s="142" t="s">
        <v>1014</v>
      </c>
    </row>
    <row r="296" spans="9:17" ht="58">
      <c r="I296" s="144">
        <f t="shared" si="157"/>
        <v>157</v>
      </c>
      <c r="J296" s="142" t="s">
        <v>1015</v>
      </c>
      <c r="K296" s="142" t="s">
        <v>1015</v>
      </c>
      <c r="L296" s="142" t="s">
        <v>1015</v>
      </c>
      <c r="M296" s="142" t="s">
        <v>1015</v>
      </c>
      <c r="N296" s="142" t="s">
        <v>1015</v>
      </c>
      <c r="O296" s="142" t="s">
        <v>1015</v>
      </c>
      <c r="P296" s="142" t="s">
        <v>1015</v>
      </c>
      <c r="Q296" s="142" t="s">
        <v>1015</v>
      </c>
    </row>
    <row r="297" spans="9:17" ht="29">
      <c r="I297" s="144">
        <f t="shared" si="157"/>
        <v>158</v>
      </c>
      <c r="J297" s="142" t="s">
        <v>1016</v>
      </c>
      <c r="K297" s="142" t="s">
        <v>1016</v>
      </c>
      <c r="L297" s="142" t="s">
        <v>1016</v>
      </c>
      <c r="M297" s="142" t="s">
        <v>1016</v>
      </c>
      <c r="N297" s="142" t="s">
        <v>1016</v>
      </c>
      <c r="O297" s="142" t="s">
        <v>1016</v>
      </c>
      <c r="P297" s="142" t="s">
        <v>1016</v>
      </c>
      <c r="Q297" s="142" t="s">
        <v>1016</v>
      </c>
    </row>
    <row r="298" spans="9:17">
      <c r="I298" s="144">
        <f t="shared" si="157"/>
        <v>159</v>
      </c>
      <c r="J298" s="142" t="s">
        <v>1017</v>
      </c>
      <c r="K298" s="142" t="s">
        <v>1017</v>
      </c>
      <c r="L298" s="142" t="s">
        <v>1017</v>
      </c>
      <c r="M298" s="142" t="s">
        <v>1017</v>
      </c>
      <c r="N298" s="142" t="s">
        <v>1017</v>
      </c>
      <c r="O298" s="142" t="s">
        <v>1017</v>
      </c>
      <c r="P298" s="142" t="s">
        <v>1017</v>
      </c>
      <c r="Q298" s="142" t="s">
        <v>1017</v>
      </c>
    </row>
    <row r="299" spans="9:17">
      <c r="I299" s="144">
        <f t="shared" si="157"/>
        <v>160</v>
      </c>
      <c r="J299" s="142" t="s">
        <v>1018</v>
      </c>
      <c r="K299" s="142" t="s">
        <v>1018</v>
      </c>
      <c r="L299" s="142" t="s">
        <v>1018</v>
      </c>
      <c r="M299" s="142" t="s">
        <v>1018</v>
      </c>
      <c r="N299" s="142" t="s">
        <v>1018</v>
      </c>
      <c r="O299" s="142" t="s">
        <v>1018</v>
      </c>
      <c r="P299" s="142" t="s">
        <v>1018</v>
      </c>
      <c r="Q299" s="142" t="s">
        <v>1018</v>
      </c>
    </row>
    <row r="300" spans="9:17" ht="29">
      <c r="I300" s="144">
        <f t="shared" si="157"/>
        <v>161</v>
      </c>
      <c r="J300" s="142" t="s">
        <v>1019</v>
      </c>
      <c r="K300" s="142" t="s">
        <v>1019</v>
      </c>
      <c r="L300" s="142" t="s">
        <v>1019</v>
      </c>
      <c r="M300" s="142" t="s">
        <v>1019</v>
      </c>
      <c r="N300" s="142" t="s">
        <v>1019</v>
      </c>
      <c r="O300" s="142" t="s">
        <v>1019</v>
      </c>
      <c r="P300" s="142" t="s">
        <v>1019</v>
      </c>
      <c r="Q300" s="142" t="s">
        <v>1019</v>
      </c>
    </row>
    <row r="301" spans="9:17" ht="43.5">
      <c r="I301" s="144">
        <f t="shared" si="157"/>
        <v>162</v>
      </c>
      <c r="J301" s="142" t="s">
        <v>1020</v>
      </c>
      <c r="K301" s="142" t="s">
        <v>1020</v>
      </c>
      <c r="L301" s="142" t="s">
        <v>1020</v>
      </c>
      <c r="M301" s="142" t="s">
        <v>1020</v>
      </c>
      <c r="N301" s="142" t="s">
        <v>1020</v>
      </c>
      <c r="O301" s="142" t="s">
        <v>1020</v>
      </c>
      <c r="P301" s="142" t="s">
        <v>1020</v>
      </c>
      <c r="Q301" s="142" t="s">
        <v>1020</v>
      </c>
    </row>
    <row r="302" spans="9:17" ht="29">
      <c r="I302" s="144">
        <f t="shared" si="157"/>
        <v>163</v>
      </c>
      <c r="J302" s="142" t="s">
        <v>1021</v>
      </c>
      <c r="K302" s="142" t="s">
        <v>1021</v>
      </c>
      <c r="L302" s="142" t="s">
        <v>1021</v>
      </c>
      <c r="M302" s="142" t="s">
        <v>1021</v>
      </c>
      <c r="N302" s="142" t="s">
        <v>1021</v>
      </c>
      <c r="O302" s="142" t="s">
        <v>1021</v>
      </c>
      <c r="P302" s="142" t="s">
        <v>1021</v>
      </c>
      <c r="Q302" s="142" t="s">
        <v>1021</v>
      </c>
    </row>
    <row r="303" spans="9:17">
      <c r="I303" s="144">
        <f t="shared" si="157"/>
        <v>164</v>
      </c>
      <c r="J303" s="142" t="s">
        <v>1022</v>
      </c>
      <c r="K303" s="142" t="s">
        <v>1022</v>
      </c>
      <c r="L303" s="142" t="s">
        <v>1022</v>
      </c>
      <c r="M303" s="142" t="s">
        <v>1022</v>
      </c>
      <c r="N303" s="142" t="s">
        <v>1022</v>
      </c>
      <c r="O303" s="142" t="s">
        <v>1022</v>
      </c>
      <c r="P303" s="142" t="s">
        <v>1022</v>
      </c>
      <c r="Q303" s="142" t="s">
        <v>1022</v>
      </c>
    </row>
    <row r="304" spans="9:17" ht="29">
      <c r="I304" s="144">
        <f t="shared" si="157"/>
        <v>165</v>
      </c>
      <c r="J304" s="142" t="s">
        <v>1023</v>
      </c>
      <c r="K304" s="142" t="s">
        <v>1023</v>
      </c>
      <c r="L304" s="142" t="s">
        <v>1023</v>
      </c>
      <c r="M304" s="142" t="s">
        <v>1023</v>
      </c>
      <c r="N304" s="142" t="s">
        <v>1023</v>
      </c>
      <c r="O304" s="142"/>
      <c r="P304" s="142" t="s">
        <v>1023</v>
      </c>
      <c r="Q304" s="142" t="s">
        <v>1023</v>
      </c>
    </row>
    <row r="305" spans="9:17" ht="29">
      <c r="I305" s="144">
        <f t="shared" si="157"/>
        <v>166</v>
      </c>
      <c r="J305" s="142" t="s">
        <v>1024</v>
      </c>
      <c r="K305" s="142" t="s">
        <v>1024</v>
      </c>
      <c r="L305" s="142" t="s">
        <v>1024</v>
      </c>
      <c r="M305" s="142" t="s">
        <v>1024</v>
      </c>
      <c r="N305" s="142" t="s">
        <v>1024</v>
      </c>
      <c r="O305" s="142" t="s">
        <v>1024</v>
      </c>
      <c r="P305" s="142" t="s">
        <v>1024</v>
      </c>
      <c r="Q305" s="142" t="s">
        <v>1024</v>
      </c>
    </row>
    <row r="306" spans="9:17" ht="35.5">
      <c r="I306" s="144">
        <f t="shared" si="157"/>
        <v>167</v>
      </c>
      <c r="J306" s="143" t="s">
        <v>1025</v>
      </c>
      <c r="K306" s="143" t="s">
        <v>1025</v>
      </c>
      <c r="L306" s="143" t="s">
        <v>1025</v>
      </c>
      <c r="M306" s="143" t="s">
        <v>1025</v>
      </c>
      <c r="N306" s="143" t="s">
        <v>1025</v>
      </c>
      <c r="O306" s="143" t="s">
        <v>1025</v>
      </c>
      <c r="P306" s="146" t="s">
        <v>1025</v>
      </c>
      <c r="Q306" s="146" t="s">
        <v>1025</v>
      </c>
    </row>
    <row r="307" spans="9:17" ht="29">
      <c r="I307" s="144">
        <f t="shared" si="157"/>
        <v>168</v>
      </c>
      <c r="J307" s="142" t="s">
        <v>1026</v>
      </c>
      <c r="K307" s="142" t="s">
        <v>1026</v>
      </c>
      <c r="L307" s="142" t="s">
        <v>1026</v>
      </c>
      <c r="M307" s="142" t="s">
        <v>1026</v>
      </c>
      <c r="N307" s="142" t="s">
        <v>1026</v>
      </c>
      <c r="O307" s="142" t="s">
        <v>1026</v>
      </c>
      <c r="P307" s="142" t="s">
        <v>1026</v>
      </c>
      <c r="Q307" s="142" t="s">
        <v>1026</v>
      </c>
    </row>
    <row r="308" spans="9:17" ht="29">
      <c r="I308" s="144">
        <f t="shared" si="157"/>
        <v>169</v>
      </c>
      <c r="J308" s="142" t="s">
        <v>1027</v>
      </c>
      <c r="K308" s="142" t="s">
        <v>1027</v>
      </c>
      <c r="L308" s="142" t="s">
        <v>1027</v>
      </c>
      <c r="M308" s="142" t="s">
        <v>1027</v>
      </c>
      <c r="N308" s="142" t="s">
        <v>1027</v>
      </c>
      <c r="O308" s="142" t="s">
        <v>1027</v>
      </c>
      <c r="P308" s="142" t="s">
        <v>1027</v>
      </c>
      <c r="Q308" s="142" t="s">
        <v>1027</v>
      </c>
    </row>
    <row r="309" spans="9:17">
      <c r="I309" s="144"/>
      <c r="J309" s="142"/>
      <c r="K309" s="142"/>
      <c r="L309" s="142"/>
      <c r="M309" s="142"/>
      <c r="N309" s="142" t="s">
        <v>1028</v>
      </c>
      <c r="O309" s="142" t="s">
        <v>1028</v>
      </c>
      <c r="P309" s="142" t="s">
        <v>1028</v>
      </c>
      <c r="Q309" s="142" t="s">
        <v>1028</v>
      </c>
    </row>
    <row r="310" spans="9:17" ht="29">
      <c r="I310" s="144">
        <f>I308+1</f>
        <v>170</v>
      </c>
      <c r="J310" s="142" t="s">
        <v>1029</v>
      </c>
      <c r="K310" s="142" t="s">
        <v>1029</v>
      </c>
      <c r="L310" s="142" t="s">
        <v>1029</v>
      </c>
      <c r="M310" s="142" t="s">
        <v>1029</v>
      </c>
      <c r="N310" s="142" t="s">
        <v>1029</v>
      </c>
      <c r="O310" s="142" t="s">
        <v>1029</v>
      </c>
      <c r="P310" s="142" t="s">
        <v>1029</v>
      </c>
      <c r="Q310" s="142" t="s">
        <v>1029</v>
      </c>
    </row>
    <row r="311" spans="9:17" ht="29">
      <c r="I311" s="144">
        <f>I310+1</f>
        <v>171</v>
      </c>
      <c r="J311" s="142" t="s">
        <v>1030</v>
      </c>
      <c r="K311" s="142" t="s">
        <v>1030</v>
      </c>
      <c r="L311" s="142" t="s">
        <v>1030</v>
      </c>
      <c r="M311" s="142" t="s">
        <v>1030</v>
      </c>
      <c r="N311" s="142" t="s">
        <v>1030</v>
      </c>
      <c r="O311" s="142"/>
      <c r="P311" s="142" t="s">
        <v>1030</v>
      </c>
      <c r="Q311" s="142" t="s">
        <v>1030</v>
      </c>
    </row>
    <row r="312" spans="9:17">
      <c r="I312" s="144">
        <f t="shared" si="157"/>
        <v>172</v>
      </c>
      <c r="J312" s="142" t="s">
        <v>1031</v>
      </c>
      <c r="K312" s="142" t="s">
        <v>1031</v>
      </c>
      <c r="L312" s="142" t="s">
        <v>1031</v>
      </c>
      <c r="M312" s="142" t="s">
        <v>1031</v>
      </c>
      <c r="N312" s="142" t="s">
        <v>1031</v>
      </c>
      <c r="O312" s="142" t="s">
        <v>1031</v>
      </c>
      <c r="P312" s="142" t="s">
        <v>1031</v>
      </c>
      <c r="Q312" s="142" t="s">
        <v>1031</v>
      </c>
    </row>
    <row r="313" spans="9:17" ht="58">
      <c r="I313" s="144">
        <f t="shared" si="157"/>
        <v>173</v>
      </c>
      <c r="J313" s="142" t="s">
        <v>1032</v>
      </c>
      <c r="K313" s="142" t="s">
        <v>1032</v>
      </c>
      <c r="L313" s="142" t="s">
        <v>1032</v>
      </c>
      <c r="M313" s="142" t="s">
        <v>1032</v>
      </c>
      <c r="N313" s="142" t="s">
        <v>1032</v>
      </c>
      <c r="O313" s="142" t="s">
        <v>1032</v>
      </c>
      <c r="P313" s="142" t="s">
        <v>1032</v>
      </c>
      <c r="Q313" s="142" t="s">
        <v>1032</v>
      </c>
    </row>
    <row r="314" spans="9:17">
      <c r="I314" s="144">
        <f t="shared" si="157"/>
        <v>174</v>
      </c>
      <c r="J314" s="142" t="s">
        <v>1033</v>
      </c>
      <c r="K314" s="142" t="s">
        <v>1033</v>
      </c>
      <c r="L314" s="142" t="s">
        <v>1033</v>
      </c>
      <c r="M314" s="142" t="s">
        <v>1033</v>
      </c>
      <c r="N314" s="142" t="s">
        <v>1033</v>
      </c>
      <c r="O314" s="142" t="s">
        <v>1033</v>
      </c>
      <c r="P314" s="142" t="s">
        <v>1033</v>
      </c>
      <c r="Q314" s="142" t="s">
        <v>1033</v>
      </c>
    </row>
    <row r="315" spans="9:17">
      <c r="I315" s="144">
        <f t="shared" si="157"/>
        <v>175</v>
      </c>
      <c r="J315" s="142" t="s">
        <v>1034</v>
      </c>
      <c r="K315" s="142" t="s">
        <v>1034</v>
      </c>
      <c r="L315" s="142" t="s">
        <v>1034</v>
      </c>
      <c r="M315" s="142" t="s">
        <v>1034</v>
      </c>
      <c r="N315" s="142" t="s">
        <v>1034</v>
      </c>
      <c r="O315" s="142" t="s">
        <v>1034</v>
      </c>
      <c r="P315" s="142" t="s">
        <v>1034</v>
      </c>
      <c r="Q315" s="142" t="s">
        <v>1034</v>
      </c>
    </row>
    <row r="316" spans="9:17" ht="43.5">
      <c r="I316" s="144">
        <f t="shared" si="157"/>
        <v>176</v>
      </c>
      <c r="J316" s="142" t="s">
        <v>1035</v>
      </c>
      <c r="K316" s="142" t="s">
        <v>1035</v>
      </c>
      <c r="L316" s="142" t="s">
        <v>1035</v>
      </c>
      <c r="M316" s="142" t="s">
        <v>1035</v>
      </c>
      <c r="N316" s="142" t="s">
        <v>1035</v>
      </c>
      <c r="O316" s="142"/>
      <c r="P316" s="142"/>
      <c r="Q316" s="142"/>
    </row>
    <row r="317" spans="9:17" ht="29">
      <c r="I317" s="144">
        <f t="shared" si="157"/>
        <v>177</v>
      </c>
      <c r="J317" s="142" t="s">
        <v>1036</v>
      </c>
      <c r="K317" s="142" t="s">
        <v>1036</v>
      </c>
      <c r="L317" s="142" t="s">
        <v>1036</v>
      </c>
      <c r="M317" s="142" t="s">
        <v>1036</v>
      </c>
      <c r="N317" s="142" t="s">
        <v>1036</v>
      </c>
      <c r="O317" s="142" t="s">
        <v>1036</v>
      </c>
      <c r="P317" s="142" t="s">
        <v>1036</v>
      </c>
      <c r="Q317" s="142" t="s">
        <v>1036</v>
      </c>
    </row>
    <row r="318" spans="9:17" ht="29">
      <c r="I318" s="144">
        <f t="shared" si="157"/>
        <v>178</v>
      </c>
      <c r="J318" s="142" t="s">
        <v>1037</v>
      </c>
      <c r="K318" s="142" t="s">
        <v>1037</v>
      </c>
      <c r="L318" s="142" t="s">
        <v>1037</v>
      </c>
      <c r="M318" s="142" t="s">
        <v>1037</v>
      </c>
      <c r="N318" s="142" t="s">
        <v>1037</v>
      </c>
      <c r="O318" s="142" t="s">
        <v>1037</v>
      </c>
      <c r="P318" s="142" t="s">
        <v>1037</v>
      </c>
      <c r="Q318" s="142" t="s">
        <v>1037</v>
      </c>
    </row>
    <row r="319" spans="9:17">
      <c r="I319" s="144">
        <f t="shared" si="157"/>
        <v>179</v>
      </c>
      <c r="J319" s="142" t="s">
        <v>1038</v>
      </c>
      <c r="K319" s="142" t="s">
        <v>1038</v>
      </c>
      <c r="L319" s="142" t="s">
        <v>1038</v>
      </c>
      <c r="M319" s="142" t="s">
        <v>1038</v>
      </c>
      <c r="N319" s="142" t="s">
        <v>1038</v>
      </c>
      <c r="O319" s="142" t="s">
        <v>1038</v>
      </c>
      <c r="P319" s="142" t="s">
        <v>1038</v>
      </c>
      <c r="Q319" s="142" t="s">
        <v>1038</v>
      </c>
    </row>
    <row r="320" spans="9:17" ht="29">
      <c r="I320" s="144">
        <f t="shared" si="157"/>
        <v>180</v>
      </c>
      <c r="J320" s="142" t="s">
        <v>1039</v>
      </c>
      <c r="K320" s="142" t="s">
        <v>1039</v>
      </c>
      <c r="L320" s="142" t="s">
        <v>1039</v>
      </c>
      <c r="M320" s="142" t="s">
        <v>1039</v>
      </c>
      <c r="N320" s="142" t="s">
        <v>1039</v>
      </c>
      <c r="O320" s="142" t="s">
        <v>1039</v>
      </c>
      <c r="P320" s="142" t="s">
        <v>1039</v>
      </c>
      <c r="Q320" s="142" t="s">
        <v>1039</v>
      </c>
    </row>
    <row r="321" spans="9:17" ht="29">
      <c r="I321" s="144">
        <f t="shared" si="157"/>
        <v>181</v>
      </c>
      <c r="J321" s="142" t="s">
        <v>1040</v>
      </c>
      <c r="K321" s="142" t="s">
        <v>1040</v>
      </c>
      <c r="L321" s="142" t="s">
        <v>1040</v>
      </c>
      <c r="M321" s="142" t="s">
        <v>1040</v>
      </c>
      <c r="N321" s="142" t="s">
        <v>1040</v>
      </c>
      <c r="O321" s="142" t="s">
        <v>1040</v>
      </c>
      <c r="P321" s="142" t="s">
        <v>1040</v>
      </c>
      <c r="Q321" s="142" t="s">
        <v>1040</v>
      </c>
    </row>
    <row r="322" spans="9:17" ht="29">
      <c r="I322" s="144">
        <f t="shared" si="157"/>
        <v>182</v>
      </c>
      <c r="J322" s="142" t="s">
        <v>1041</v>
      </c>
      <c r="K322" s="142" t="s">
        <v>1041</v>
      </c>
      <c r="L322" s="142" t="s">
        <v>1041</v>
      </c>
      <c r="M322" s="142" t="s">
        <v>1041</v>
      </c>
      <c r="N322" s="142" t="s">
        <v>1041</v>
      </c>
      <c r="O322" s="142" t="s">
        <v>1041</v>
      </c>
      <c r="P322" s="142" t="s">
        <v>1041</v>
      </c>
      <c r="Q322" s="142" t="s">
        <v>1041</v>
      </c>
    </row>
    <row r="323" spans="9:17" ht="29">
      <c r="I323" s="144">
        <f t="shared" si="157"/>
        <v>183</v>
      </c>
      <c r="J323" s="142" t="s">
        <v>1042</v>
      </c>
      <c r="K323" s="142" t="s">
        <v>1042</v>
      </c>
      <c r="L323" s="142" t="s">
        <v>1042</v>
      </c>
      <c r="M323" s="142" t="s">
        <v>1042</v>
      </c>
      <c r="N323" s="142" t="s">
        <v>1042</v>
      </c>
      <c r="O323" s="142" t="s">
        <v>1042</v>
      </c>
      <c r="P323" s="142" t="s">
        <v>1042</v>
      </c>
      <c r="Q323" s="142" t="s">
        <v>1042</v>
      </c>
    </row>
    <row r="324" spans="9:17" ht="29">
      <c r="I324" s="144">
        <f t="shared" si="157"/>
        <v>184</v>
      </c>
      <c r="J324" s="142" t="s">
        <v>1043</v>
      </c>
      <c r="K324" s="142" t="s">
        <v>1043</v>
      </c>
      <c r="L324" s="142" t="s">
        <v>1043</v>
      </c>
      <c r="M324" s="142" t="s">
        <v>1043</v>
      </c>
      <c r="N324" s="142" t="s">
        <v>1043</v>
      </c>
      <c r="O324" s="142" t="s">
        <v>1043</v>
      </c>
      <c r="P324" s="142" t="s">
        <v>1043</v>
      </c>
      <c r="Q324" s="142" t="s">
        <v>1043</v>
      </c>
    </row>
    <row r="325" spans="9:17" ht="29">
      <c r="I325" s="144">
        <f t="shared" si="157"/>
        <v>185</v>
      </c>
      <c r="J325" s="142" t="s">
        <v>1044</v>
      </c>
      <c r="K325" s="142" t="s">
        <v>1044</v>
      </c>
      <c r="L325" s="142" t="s">
        <v>1044</v>
      </c>
      <c r="M325" s="142" t="s">
        <v>1044</v>
      </c>
      <c r="N325" s="142" t="s">
        <v>1044</v>
      </c>
      <c r="O325" s="142" t="s">
        <v>1044</v>
      </c>
      <c r="P325" s="142" t="s">
        <v>1044</v>
      </c>
      <c r="Q325" s="142" t="s">
        <v>1044</v>
      </c>
    </row>
    <row r="326" spans="9:17" ht="43.5">
      <c r="I326" s="144">
        <f t="shared" si="157"/>
        <v>186</v>
      </c>
      <c r="J326" s="142" t="s">
        <v>1045</v>
      </c>
      <c r="K326" s="142" t="s">
        <v>1045</v>
      </c>
      <c r="L326" s="142" t="s">
        <v>1045</v>
      </c>
      <c r="M326" s="142" t="s">
        <v>1045</v>
      </c>
      <c r="N326" s="142" t="s">
        <v>1045</v>
      </c>
      <c r="O326" s="142" t="s">
        <v>1045</v>
      </c>
      <c r="P326" s="142" t="s">
        <v>1045</v>
      </c>
      <c r="Q326" s="142" t="s">
        <v>1045</v>
      </c>
    </row>
    <row r="327" spans="9:17" ht="43.5">
      <c r="I327" s="144">
        <f t="shared" si="157"/>
        <v>187</v>
      </c>
      <c r="J327" s="142" t="s">
        <v>1046</v>
      </c>
      <c r="K327" s="142" t="s">
        <v>1046</v>
      </c>
      <c r="L327" s="142" t="s">
        <v>1046</v>
      </c>
      <c r="M327" s="142" t="s">
        <v>1046</v>
      </c>
      <c r="N327" s="142" t="s">
        <v>1046</v>
      </c>
      <c r="O327" s="142" t="s">
        <v>1046</v>
      </c>
      <c r="P327" s="142" t="s">
        <v>1046</v>
      </c>
      <c r="Q327" s="142" t="s">
        <v>1046</v>
      </c>
    </row>
    <row r="328" spans="9:17" ht="29">
      <c r="I328" s="144">
        <f t="shared" si="157"/>
        <v>188</v>
      </c>
      <c r="J328" s="142" t="s">
        <v>1047</v>
      </c>
      <c r="K328" s="142" t="s">
        <v>1047</v>
      </c>
      <c r="L328" s="142" t="s">
        <v>1047</v>
      </c>
      <c r="M328" s="142" t="s">
        <v>1047</v>
      </c>
      <c r="N328" s="142" t="s">
        <v>1047</v>
      </c>
      <c r="O328" s="142" t="s">
        <v>1047</v>
      </c>
      <c r="P328" s="142" t="s">
        <v>1047</v>
      </c>
      <c r="Q328" s="142" t="s">
        <v>1047</v>
      </c>
    </row>
    <row r="329" spans="9:17" ht="29">
      <c r="I329" s="144">
        <f t="shared" si="157"/>
        <v>189</v>
      </c>
      <c r="J329" s="142" t="s">
        <v>1048</v>
      </c>
      <c r="K329" s="142" t="s">
        <v>1048</v>
      </c>
      <c r="L329" s="142" t="s">
        <v>1048</v>
      </c>
      <c r="M329" s="142" t="s">
        <v>1048</v>
      </c>
      <c r="N329" s="142" t="s">
        <v>1048</v>
      </c>
      <c r="O329" s="142" t="s">
        <v>1048</v>
      </c>
      <c r="P329" s="142" t="s">
        <v>1048</v>
      </c>
      <c r="Q329" s="142" t="s">
        <v>1048</v>
      </c>
    </row>
    <row r="330" spans="9:17" ht="29">
      <c r="I330" s="144">
        <f t="shared" si="157"/>
        <v>190</v>
      </c>
      <c r="J330" s="142" t="s">
        <v>1049</v>
      </c>
      <c r="K330" s="142" t="s">
        <v>1049</v>
      </c>
      <c r="L330" s="142" t="s">
        <v>1049</v>
      </c>
      <c r="M330" s="142" t="s">
        <v>1049</v>
      </c>
      <c r="N330" s="142" t="s">
        <v>1049</v>
      </c>
      <c r="O330" s="142" t="s">
        <v>1049</v>
      </c>
      <c r="P330" s="142" t="s">
        <v>1049</v>
      </c>
      <c r="Q330" s="142" t="s">
        <v>1049</v>
      </c>
    </row>
    <row r="331" spans="9:17" ht="43.5">
      <c r="I331" s="144">
        <f t="shared" si="157"/>
        <v>191</v>
      </c>
      <c r="J331" s="142" t="s">
        <v>1050</v>
      </c>
      <c r="K331" s="142" t="s">
        <v>1050</v>
      </c>
      <c r="L331" s="142" t="s">
        <v>1050</v>
      </c>
      <c r="M331" s="142" t="s">
        <v>1050</v>
      </c>
      <c r="N331" s="142" t="s">
        <v>1050</v>
      </c>
      <c r="P331" s="142" t="s">
        <v>1050</v>
      </c>
      <c r="Q331" s="142" t="s">
        <v>1050</v>
      </c>
    </row>
    <row r="332" spans="9:17" ht="29">
      <c r="I332" s="144">
        <f t="shared" si="157"/>
        <v>192</v>
      </c>
      <c r="J332" s="142" t="s">
        <v>1051</v>
      </c>
      <c r="K332" s="142" t="s">
        <v>1051</v>
      </c>
      <c r="L332" s="142" t="s">
        <v>1051</v>
      </c>
      <c r="M332" s="142" t="s">
        <v>1051</v>
      </c>
      <c r="N332" s="142" t="s">
        <v>1051</v>
      </c>
      <c r="O332" s="142" t="s">
        <v>1051</v>
      </c>
      <c r="P332" s="142" t="s">
        <v>1051</v>
      </c>
      <c r="Q332" s="142" t="s">
        <v>1051</v>
      </c>
    </row>
    <row r="333" spans="9:17">
      <c r="I333" s="144">
        <f t="shared" si="157"/>
        <v>193</v>
      </c>
      <c r="J333" s="142" t="s">
        <v>1052</v>
      </c>
      <c r="K333" s="142" t="s">
        <v>1052</v>
      </c>
      <c r="L333" s="142" t="s">
        <v>1052</v>
      </c>
      <c r="M333" s="142" t="s">
        <v>1052</v>
      </c>
      <c r="N333" s="142" t="s">
        <v>1052</v>
      </c>
      <c r="O333" s="142"/>
      <c r="P333" s="142"/>
      <c r="Q333" s="142"/>
    </row>
    <row r="334" spans="9:17" ht="35.5">
      <c r="I334" s="144">
        <f t="shared" si="157"/>
        <v>194</v>
      </c>
      <c r="J334" s="143" t="s">
        <v>1053</v>
      </c>
      <c r="K334" s="143" t="s">
        <v>1053</v>
      </c>
      <c r="L334" s="143" t="s">
        <v>1053</v>
      </c>
      <c r="M334" s="143" t="s">
        <v>1053</v>
      </c>
      <c r="N334" s="143" t="s">
        <v>1053</v>
      </c>
      <c r="O334" s="143" t="s">
        <v>1053</v>
      </c>
      <c r="P334" s="146" t="s">
        <v>1053</v>
      </c>
      <c r="Q334" s="146" t="s">
        <v>1053</v>
      </c>
    </row>
    <row r="335" spans="9:17" ht="43.5">
      <c r="I335" s="144">
        <f t="shared" ref="I335:I401" si="158">I334+1</f>
        <v>195</v>
      </c>
      <c r="J335" s="142" t="s">
        <v>1054</v>
      </c>
      <c r="K335" s="142" t="s">
        <v>1054</v>
      </c>
      <c r="L335" s="142" t="s">
        <v>1054</v>
      </c>
      <c r="M335" s="142" t="s">
        <v>1054</v>
      </c>
      <c r="N335" s="142" t="s">
        <v>1054</v>
      </c>
      <c r="O335" s="142" t="s">
        <v>1054</v>
      </c>
      <c r="P335" s="142" t="s">
        <v>1054</v>
      </c>
      <c r="Q335" s="142" t="s">
        <v>1054</v>
      </c>
    </row>
    <row r="336" spans="9:17">
      <c r="I336" s="144">
        <f t="shared" si="158"/>
        <v>196</v>
      </c>
      <c r="J336" s="142" t="s">
        <v>1055</v>
      </c>
      <c r="K336" s="142" t="s">
        <v>1055</v>
      </c>
      <c r="L336" s="142" t="s">
        <v>1055</v>
      </c>
      <c r="M336" s="142" t="s">
        <v>1055</v>
      </c>
      <c r="N336" s="142" t="s">
        <v>1055</v>
      </c>
      <c r="O336" s="142" t="s">
        <v>1055</v>
      </c>
      <c r="P336" s="142" t="s">
        <v>1055</v>
      </c>
      <c r="Q336" s="142" t="s">
        <v>1055</v>
      </c>
    </row>
    <row r="337" spans="9:17" ht="29">
      <c r="I337" s="144">
        <f t="shared" si="158"/>
        <v>197</v>
      </c>
      <c r="J337" s="142" t="s">
        <v>1056</v>
      </c>
      <c r="K337" s="142" t="s">
        <v>1056</v>
      </c>
      <c r="L337" s="142" t="s">
        <v>1056</v>
      </c>
      <c r="M337" s="142" t="s">
        <v>1056</v>
      </c>
      <c r="N337" s="142" t="s">
        <v>1056</v>
      </c>
      <c r="O337" s="142" t="s">
        <v>1056</v>
      </c>
      <c r="P337" s="142" t="s">
        <v>1056</v>
      </c>
      <c r="Q337" s="142" t="s">
        <v>1056</v>
      </c>
    </row>
    <row r="338" spans="9:17" ht="43.5">
      <c r="I338" s="144">
        <f t="shared" si="158"/>
        <v>198</v>
      </c>
      <c r="J338" s="142" t="s">
        <v>1057</v>
      </c>
      <c r="K338" s="142" t="s">
        <v>1057</v>
      </c>
      <c r="L338" s="142" t="s">
        <v>1057</v>
      </c>
      <c r="M338" s="142" t="s">
        <v>1057</v>
      </c>
      <c r="N338" s="142" t="s">
        <v>1057</v>
      </c>
      <c r="O338" s="142" t="s">
        <v>1057</v>
      </c>
      <c r="P338" s="142" t="s">
        <v>1057</v>
      </c>
      <c r="Q338" s="142" t="s">
        <v>1057</v>
      </c>
    </row>
    <row r="339" spans="9:17" ht="29">
      <c r="I339" s="144">
        <f t="shared" si="158"/>
        <v>199</v>
      </c>
      <c r="J339" s="142" t="s">
        <v>1058</v>
      </c>
      <c r="K339" s="142" t="s">
        <v>1058</v>
      </c>
      <c r="L339" s="142" t="s">
        <v>1058</v>
      </c>
      <c r="M339" s="142" t="s">
        <v>1058</v>
      </c>
      <c r="N339" s="142" t="s">
        <v>1058</v>
      </c>
      <c r="O339" s="142" t="s">
        <v>1058</v>
      </c>
      <c r="P339" s="142" t="s">
        <v>1058</v>
      </c>
      <c r="Q339" s="142" t="s">
        <v>1058</v>
      </c>
    </row>
    <row r="340" spans="9:17" ht="29">
      <c r="I340" s="144">
        <f t="shared" si="158"/>
        <v>200</v>
      </c>
      <c r="J340" s="142" t="s">
        <v>1059</v>
      </c>
      <c r="K340" s="142" t="s">
        <v>1059</v>
      </c>
      <c r="L340" s="142" t="s">
        <v>1059</v>
      </c>
      <c r="M340" s="142" t="s">
        <v>1059</v>
      </c>
      <c r="N340" s="142" t="s">
        <v>1059</v>
      </c>
      <c r="O340" s="142" t="s">
        <v>1059</v>
      </c>
      <c r="P340" s="142" t="s">
        <v>1059</v>
      </c>
      <c r="Q340" s="142" t="s">
        <v>1059</v>
      </c>
    </row>
    <row r="341" spans="9:17" ht="29">
      <c r="I341" s="144">
        <f t="shared" si="158"/>
        <v>201</v>
      </c>
      <c r="J341" s="142" t="s">
        <v>1060</v>
      </c>
      <c r="K341" s="142" t="s">
        <v>1060</v>
      </c>
      <c r="L341" s="142" t="s">
        <v>1060</v>
      </c>
      <c r="M341" s="142" t="s">
        <v>1060</v>
      </c>
      <c r="N341" s="142" t="s">
        <v>1060</v>
      </c>
      <c r="O341" s="142" t="s">
        <v>1060</v>
      </c>
      <c r="P341" s="142" t="s">
        <v>1060</v>
      </c>
      <c r="Q341" s="142" t="s">
        <v>1060</v>
      </c>
    </row>
    <row r="342" spans="9:17" ht="29">
      <c r="I342" s="144">
        <f t="shared" si="158"/>
        <v>202</v>
      </c>
      <c r="J342" s="142" t="s">
        <v>1061</v>
      </c>
      <c r="K342" s="142" t="s">
        <v>1061</v>
      </c>
      <c r="L342" s="142" t="s">
        <v>1061</v>
      </c>
      <c r="M342" s="142" t="s">
        <v>1061</v>
      </c>
      <c r="N342" s="142" t="s">
        <v>1061</v>
      </c>
      <c r="O342" s="142" t="s">
        <v>1061</v>
      </c>
      <c r="P342" s="142" t="s">
        <v>1061</v>
      </c>
      <c r="Q342" s="142" t="s">
        <v>1061</v>
      </c>
    </row>
    <row r="343" spans="9:17" ht="43.5">
      <c r="I343" s="144">
        <f t="shared" si="158"/>
        <v>203</v>
      </c>
      <c r="J343" s="142" t="s">
        <v>1062</v>
      </c>
      <c r="K343" s="142" t="s">
        <v>1062</v>
      </c>
      <c r="L343" s="142" t="s">
        <v>1062</v>
      </c>
      <c r="M343" s="142" t="s">
        <v>1062</v>
      </c>
      <c r="N343" s="142" t="s">
        <v>1062</v>
      </c>
      <c r="O343" s="142" t="s">
        <v>1063</v>
      </c>
      <c r="P343" s="142" t="s">
        <v>1063</v>
      </c>
      <c r="Q343" s="142" t="s">
        <v>1063</v>
      </c>
    </row>
    <row r="344" spans="9:17" ht="43.5">
      <c r="I344" s="144">
        <f t="shared" si="158"/>
        <v>204</v>
      </c>
      <c r="J344" s="142" t="s">
        <v>1064</v>
      </c>
      <c r="K344" s="142" t="s">
        <v>1064</v>
      </c>
      <c r="L344" s="142" t="s">
        <v>1064</v>
      </c>
      <c r="M344" s="142" t="s">
        <v>1064</v>
      </c>
      <c r="N344" s="142" t="s">
        <v>1064</v>
      </c>
      <c r="O344" s="142" t="s">
        <v>1062</v>
      </c>
      <c r="P344" s="142" t="s">
        <v>1062</v>
      </c>
      <c r="Q344" s="142" t="s">
        <v>1062</v>
      </c>
    </row>
    <row r="345" spans="9:17" ht="43.5">
      <c r="I345" s="144">
        <f t="shared" si="158"/>
        <v>205</v>
      </c>
      <c r="J345" s="142" t="s">
        <v>1065</v>
      </c>
      <c r="K345" s="142" t="s">
        <v>1065</v>
      </c>
      <c r="L345" s="142" t="s">
        <v>1065</v>
      </c>
      <c r="M345" s="142" t="s">
        <v>1065</v>
      </c>
      <c r="N345" s="142" t="s">
        <v>1065</v>
      </c>
      <c r="O345" s="142" t="s">
        <v>1064</v>
      </c>
      <c r="P345" s="142" t="s">
        <v>1064</v>
      </c>
      <c r="Q345" s="142" t="s">
        <v>1064</v>
      </c>
    </row>
    <row r="346" spans="9:17" ht="43.5">
      <c r="I346" s="144">
        <f t="shared" si="158"/>
        <v>206</v>
      </c>
      <c r="J346" s="142" t="s">
        <v>1066</v>
      </c>
      <c r="K346" s="142" t="s">
        <v>1066</v>
      </c>
      <c r="L346" s="142" t="s">
        <v>1066</v>
      </c>
      <c r="M346" s="142" t="s">
        <v>1066</v>
      </c>
      <c r="N346" s="142" t="s">
        <v>1066</v>
      </c>
      <c r="O346" s="142" t="s">
        <v>1065</v>
      </c>
      <c r="P346" s="142" t="s">
        <v>1065</v>
      </c>
      <c r="Q346" s="142" t="s">
        <v>1065</v>
      </c>
    </row>
    <row r="347" spans="9:17" ht="43.5">
      <c r="I347" s="144">
        <f t="shared" si="158"/>
        <v>207</v>
      </c>
      <c r="J347" s="142" t="s">
        <v>1067</v>
      </c>
      <c r="K347" s="142" t="s">
        <v>1067</v>
      </c>
      <c r="L347" s="142" t="s">
        <v>1067</v>
      </c>
      <c r="M347" s="142" t="s">
        <v>1067</v>
      </c>
      <c r="N347" s="142" t="s">
        <v>1067</v>
      </c>
      <c r="O347" s="142" t="s">
        <v>1067</v>
      </c>
      <c r="P347" s="142" t="s">
        <v>1066</v>
      </c>
      <c r="Q347" s="142" t="s">
        <v>1066</v>
      </c>
    </row>
    <row r="348" spans="9:17" ht="43.5">
      <c r="I348" s="144"/>
      <c r="J348" s="142"/>
      <c r="K348" s="142"/>
      <c r="L348" s="142"/>
      <c r="M348" s="142"/>
      <c r="N348" s="142"/>
      <c r="O348" s="142"/>
      <c r="P348" s="142" t="s">
        <v>1067</v>
      </c>
      <c r="Q348" s="142" t="s">
        <v>1067</v>
      </c>
    </row>
    <row r="349" spans="9:17" ht="29">
      <c r="I349" s="144"/>
      <c r="J349" s="142"/>
      <c r="K349" s="142"/>
      <c r="L349" s="142"/>
      <c r="M349" s="142"/>
      <c r="N349" s="142"/>
      <c r="O349" s="142"/>
      <c r="P349" s="142"/>
      <c r="Q349" s="142" t="s">
        <v>1068</v>
      </c>
    </row>
    <row r="350" spans="9:17" ht="29">
      <c r="I350" s="144">
        <f>I347+1</f>
        <v>208</v>
      </c>
      <c r="J350" s="142" t="s">
        <v>1069</v>
      </c>
      <c r="K350" s="142" t="s">
        <v>1069</v>
      </c>
      <c r="L350" s="142" t="s">
        <v>1069</v>
      </c>
      <c r="M350" s="142" t="s">
        <v>1069</v>
      </c>
      <c r="N350" s="142" t="s">
        <v>1069</v>
      </c>
      <c r="O350" s="142" t="s">
        <v>1069</v>
      </c>
      <c r="P350" s="142" t="s">
        <v>1069</v>
      </c>
      <c r="Q350" s="142" t="s">
        <v>1069</v>
      </c>
    </row>
    <row r="351" spans="9:17" ht="29">
      <c r="I351" s="144">
        <f t="shared" si="158"/>
        <v>209</v>
      </c>
      <c r="J351" s="142"/>
      <c r="K351" s="142"/>
      <c r="L351" s="142" t="s">
        <v>1070</v>
      </c>
      <c r="M351" s="142" t="s">
        <v>1070</v>
      </c>
      <c r="N351" s="142" t="s">
        <v>1070</v>
      </c>
      <c r="O351" s="142" t="s">
        <v>1070</v>
      </c>
      <c r="P351" s="142" t="s">
        <v>1070</v>
      </c>
      <c r="Q351" s="142" t="s">
        <v>1070</v>
      </c>
    </row>
    <row r="352" spans="9:17" ht="29">
      <c r="I352" s="144">
        <f t="shared" si="158"/>
        <v>210</v>
      </c>
      <c r="J352" s="142" t="s">
        <v>1071</v>
      </c>
      <c r="K352" s="142" t="s">
        <v>1071</v>
      </c>
      <c r="L352" s="142" t="s">
        <v>1071</v>
      </c>
      <c r="M352" s="142" t="s">
        <v>1071</v>
      </c>
      <c r="N352" s="142" t="s">
        <v>1071</v>
      </c>
      <c r="O352" s="142" t="s">
        <v>1071</v>
      </c>
      <c r="P352" s="142" t="s">
        <v>1071</v>
      </c>
      <c r="Q352" s="142" t="s">
        <v>1071</v>
      </c>
    </row>
    <row r="353" spans="9:17" ht="29">
      <c r="I353" s="144">
        <f t="shared" si="158"/>
        <v>211</v>
      </c>
      <c r="J353" s="142" t="s">
        <v>1072</v>
      </c>
      <c r="K353" s="142" t="s">
        <v>1072</v>
      </c>
      <c r="L353" s="142" t="s">
        <v>1072</v>
      </c>
      <c r="M353" s="142" t="s">
        <v>1072</v>
      </c>
      <c r="N353" s="142" t="s">
        <v>1072</v>
      </c>
      <c r="O353" s="142" t="s">
        <v>1072</v>
      </c>
      <c r="P353" s="142" t="s">
        <v>1072</v>
      </c>
      <c r="Q353" s="142" t="s">
        <v>1072</v>
      </c>
    </row>
    <row r="354" spans="9:17">
      <c r="I354" s="144">
        <f t="shared" si="158"/>
        <v>212</v>
      </c>
      <c r="J354" s="142" t="s">
        <v>1073</v>
      </c>
      <c r="K354" s="142" t="s">
        <v>1073</v>
      </c>
      <c r="L354" s="142" t="s">
        <v>1073</v>
      </c>
      <c r="M354" s="142" t="s">
        <v>1073</v>
      </c>
      <c r="N354" s="142" t="s">
        <v>1073</v>
      </c>
      <c r="O354" s="142" t="s">
        <v>1073</v>
      </c>
      <c r="P354" s="142" t="s">
        <v>1073</v>
      </c>
      <c r="Q354" s="142" t="s">
        <v>1073</v>
      </c>
    </row>
    <row r="355" spans="9:17" ht="29">
      <c r="I355" s="144">
        <f t="shared" si="158"/>
        <v>213</v>
      </c>
      <c r="J355" s="142" t="s">
        <v>1074</v>
      </c>
      <c r="K355" s="142" t="s">
        <v>1074</v>
      </c>
      <c r="L355" s="142" t="s">
        <v>1074</v>
      </c>
      <c r="M355" s="142" t="s">
        <v>1074</v>
      </c>
      <c r="N355" s="142" t="s">
        <v>1074</v>
      </c>
      <c r="O355" s="142" t="s">
        <v>1074</v>
      </c>
      <c r="P355" s="142" t="s">
        <v>1074</v>
      </c>
      <c r="Q355" s="142" t="s">
        <v>1074</v>
      </c>
    </row>
    <row r="356" spans="9:17" ht="43.5">
      <c r="I356" s="144">
        <f t="shared" si="158"/>
        <v>214</v>
      </c>
      <c r="J356" s="142" t="s">
        <v>1075</v>
      </c>
      <c r="K356" s="142" t="s">
        <v>1075</v>
      </c>
      <c r="L356" s="142" t="s">
        <v>1075</v>
      </c>
      <c r="M356" s="142" t="s">
        <v>1075</v>
      </c>
      <c r="N356" s="142" t="s">
        <v>1075</v>
      </c>
      <c r="O356" s="142" t="s">
        <v>1075</v>
      </c>
      <c r="P356" s="142" t="s">
        <v>1075</v>
      </c>
      <c r="Q356" s="142" t="s">
        <v>1075</v>
      </c>
    </row>
    <row r="357" spans="9:17" ht="29">
      <c r="I357" s="144">
        <f t="shared" si="158"/>
        <v>215</v>
      </c>
      <c r="J357" s="142" t="s">
        <v>1076</v>
      </c>
      <c r="K357" s="142" t="s">
        <v>1076</v>
      </c>
      <c r="L357" s="142" t="s">
        <v>1076</v>
      </c>
      <c r="M357" s="142" t="s">
        <v>1076</v>
      </c>
      <c r="N357" s="142" t="s">
        <v>1076</v>
      </c>
      <c r="O357" s="142" t="s">
        <v>1076</v>
      </c>
      <c r="P357" s="142" t="s">
        <v>1076</v>
      </c>
      <c r="Q357" s="142" t="s">
        <v>1076</v>
      </c>
    </row>
    <row r="358" spans="9:17">
      <c r="I358" s="144">
        <f t="shared" si="158"/>
        <v>216</v>
      </c>
      <c r="J358" s="142" t="s">
        <v>1077</v>
      </c>
      <c r="K358" s="142" t="s">
        <v>1077</v>
      </c>
      <c r="L358" s="142" t="s">
        <v>1077</v>
      </c>
      <c r="M358" s="142" t="s">
        <v>1077</v>
      </c>
      <c r="N358" s="142" t="s">
        <v>1077</v>
      </c>
      <c r="O358" s="142" t="s">
        <v>1077</v>
      </c>
      <c r="P358" s="142" t="s">
        <v>1077</v>
      </c>
      <c r="Q358" s="142" t="s">
        <v>1077</v>
      </c>
    </row>
    <row r="359" spans="9:17" ht="35.5">
      <c r="I359" s="144">
        <f t="shared" si="158"/>
        <v>217</v>
      </c>
      <c r="J359" s="143" t="s">
        <v>1078</v>
      </c>
      <c r="K359" s="143" t="s">
        <v>1078</v>
      </c>
      <c r="L359" s="143" t="s">
        <v>1078</v>
      </c>
      <c r="M359" s="143" t="s">
        <v>1078</v>
      </c>
      <c r="N359" s="143" t="s">
        <v>1078</v>
      </c>
      <c r="O359" s="143" t="s">
        <v>1078</v>
      </c>
      <c r="P359" s="146" t="s">
        <v>1078</v>
      </c>
      <c r="Q359" s="146" t="s">
        <v>1078</v>
      </c>
    </row>
    <row r="360" spans="9:17" ht="29">
      <c r="I360" s="144">
        <f t="shared" si="158"/>
        <v>218</v>
      </c>
      <c r="J360" s="142" t="s">
        <v>1079</v>
      </c>
      <c r="K360" s="142" t="s">
        <v>1079</v>
      </c>
      <c r="L360" s="142" t="s">
        <v>1079</v>
      </c>
      <c r="M360" s="142" t="s">
        <v>1079</v>
      </c>
      <c r="N360" s="142" t="s">
        <v>1079</v>
      </c>
      <c r="O360" s="142" t="s">
        <v>1079</v>
      </c>
      <c r="P360" s="142" t="s">
        <v>1079</v>
      </c>
      <c r="Q360" s="142" t="s">
        <v>1079</v>
      </c>
    </row>
    <row r="361" spans="9:17">
      <c r="I361" s="144">
        <f t="shared" si="158"/>
        <v>219</v>
      </c>
      <c r="J361" s="142" t="s">
        <v>1080</v>
      </c>
      <c r="K361" s="142" t="s">
        <v>1080</v>
      </c>
      <c r="L361" s="142" t="s">
        <v>1080</v>
      </c>
      <c r="M361" s="142" t="s">
        <v>1080</v>
      </c>
      <c r="N361" s="142" t="s">
        <v>1080</v>
      </c>
      <c r="O361" s="142" t="s">
        <v>1080</v>
      </c>
      <c r="P361" s="142" t="s">
        <v>1080</v>
      </c>
      <c r="Q361" s="142" t="s">
        <v>1080</v>
      </c>
    </row>
    <row r="362" spans="9:17" ht="43.5">
      <c r="I362" s="144">
        <f t="shared" si="158"/>
        <v>220</v>
      </c>
      <c r="J362" s="142" t="s">
        <v>1081</v>
      </c>
      <c r="K362" s="142" t="s">
        <v>1081</v>
      </c>
      <c r="L362" s="142" t="s">
        <v>1081</v>
      </c>
      <c r="M362" s="142" t="s">
        <v>1081</v>
      </c>
      <c r="N362" s="142" t="s">
        <v>1081</v>
      </c>
      <c r="O362" s="142" t="s">
        <v>1081</v>
      </c>
      <c r="P362" s="142" t="s">
        <v>1081</v>
      </c>
      <c r="Q362" s="142" t="s">
        <v>1081</v>
      </c>
    </row>
    <row r="363" spans="9:17">
      <c r="I363" s="144">
        <f t="shared" si="158"/>
        <v>221</v>
      </c>
      <c r="J363" s="142" t="s">
        <v>1082</v>
      </c>
      <c r="K363" s="142" t="s">
        <v>1082</v>
      </c>
      <c r="L363" s="142" t="s">
        <v>1082</v>
      </c>
      <c r="M363" s="142" t="s">
        <v>1082</v>
      </c>
      <c r="N363" s="142" t="s">
        <v>1082</v>
      </c>
      <c r="O363" s="142" t="s">
        <v>1082</v>
      </c>
      <c r="P363" s="142" t="s">
        <v>1082</v>
      </c>
      <c r="Q363" s="142" t="s">
        <v>1082</v>
      </c>
    </row>
    <row r="364" spans="9:17">
      <c r="I364" s="144">
        <f t="shared" si="158"/>
        <v>222</v>
      </c>
      <c r="J364" s="142" t="s">
        <v>1083</v>
      </c>
      <c r="K364" s="142" t="s">
        <v>1083</v>
      </c>
      <c r="L364" s="142" t="s">
        <v>1083</v>
      </c>
      <c r="M364" s="142" t="s">
        <v>1083</v>
      </c>
      <c r="N364" s="142" t="s">
        <v>1083</v>
      </c>
      <c r="O364" s="142" t="s">
        <v>1083</v>
      </c>
      <c r="P364" s="142" t="s">
        <v>1083</v>
      </c>
      <c r="Q364" s="142" t="s">
        <v>1083</v>
      </c>
    </row>
    <row r="365" spans="9:17" ht="29">
      <c r="I365" s="144">
        <f t="shared" si="158"/>
        <v>223</v>
      </c>
      <c r="J365" s="142" t="s">
        <v>1084</v>
      </c>
      <c r="K365" s="142" t="s">
        <v>1084</v>
      </c>
      <c r="L365" s="142" t="s">
        <v>1084</v>
      </c>
      <c r="M365" s="142" t="s">
        <v>1084</v>
      </c>
      <c r="N365" s="142" t="s">
        <v>1084</v>
      </c>
      <c r="O365" s="142" t="s">
        <v>1084</v>
      </c>
      <c r="P365" s="142" t="s">
        <v>1084</v>
      </c>
      <c r="Q365" s="142" t="s">
        <v>1084</v>
      </c>
    </row>
    <row r="366" spans="9:17">
      <c r="I366" s="144">
        <f t="shared" si="158"/>
        <v>224</v>
      </c>
      <c r="J366" s="142" t="s">
        <v>1085</v>
      </c>
      <c r="K366" s="142" t="s">
        <v>1085</v>
      </c>
      <c r="L366" s="142" t="s">
        <v>1085</v>
      </c>
      <c r="M366" s="142" t="s">
        <v>1085</v>
      </c>
      <c r="N366" s="142" t="s">
        <v>1085</v>
      </c>
      <c r="O366" s="142" t="s">
        <v>1085</v>
      </c>
      <c r="P366" s="142" t="s">
        <v>1085</v>
      </c>
      <c r="Q366" s="142" t="s">
        <v>1085</v>
      </c>
    </row>
    <row r="367" spans="9:17" ht="29">
      <c r="I367" s="144">
        <f t="shared" si="158"/>
        <v>225</v>
      </c>
      <c r="J367" s="142" t="s">
        <v>1086</v>
      </c>
      <c r="K367" s="142" t="s">
        <v>1086</v>
      </c>
      <c r="L367" s="142" t="s">
        <v>1086</v>
      </c>
      <c r="M367" s="142" t="s">
        <v>1086</v>
      </c>
      <c r="N367" s="142" t="s">
        <v>1086</v>
      </c>
      <c r="O367" s="142" t="s">
        <v>1086</v>
      </c>
      <c r="P367" s="142" t="s">
        <v>1086</v>
      </c>
      <c r="Q367" s="142" t="s">
        <v>1086</v>
      </c>
    </row>
    <row r="368" spans="9:17" ht="29">
      <c r="I368" s="144">
        <f t="shared" si="158"/>
        <v>226</v>
      </c>
      <c r="J368" s="142" t="s">
        <v>1087</v>
      </c>
      <c r="K368" s="142" t="s">
        <v>1087</v>
      </c>
      <c r="L368" s="142" t="s">
        <v>1087</v>
      </c>
      <c r="M368" s="142" t="s">
        <v>1087</v>
      </c>
      <c r="N368" s="142" t="s">
        <v>1087</v>
      </c>
      <c r="O368" s="142" t="s">
        <v>1087</v>
      </c>
      <c r="P368" s="142" t="s">
        <v>1087</v>
      </c>
      <c r="Q368" s="142" t="s">
        <v>1087</v>
      </c>
    </row>
    <row r="369" spans="9:17" ht="43.5">
      <c r="I369" s="144">
        <f t="shared" si="158"/>
        <v>227</v>
      </c>
      <c r="J369" s="142" t="s">
        <v>1088</v>
      </c>
      <c r="K369" s="142" t="s">
        <v>1088</v>
      </c>
      <c r="L369" s="142" t="s">
        <v>1088</v>
      </c>
      <c r="M369" s="142" t="s">
        <v>1088</v>
      </c>
      <c r="N369" s="142" t="s">
        <v>1088</v>
      </c>
      <c r="O369" s="142" t="s">
        <v>1088</v>
      </c>
      <c r="P369" s="142" t="s">
        <v>1088</v>
      </c>
      <c r="Q369" s="142" t="s">
        <v>1088</v>
      </c>
    </row>
    <row r="370" spans="9:17" ht="29">
      <c r="I370" s="144">
        <f t="shared" si="158"/>
        <v>228</v>
      </c>
      <c r="J370" s="142" t="s">
        <v>1089</v>
      </c>
      <c r="K370" s="142" t="s">
        <v>1089</v>
      </c>
      <c r="L370" s="142" t="s">
        <v>1089</v>
      </c>
      <c r="M370" s="142" t="s">
        <v>1089</v>
      </c>
      <c r="N370" s="142" t="s">
        <v>1089</v>
      </c>
      <c r="O370" s="142"/>
      <c r="P370" s="142" t="s">
        <v>1089</v>
      </c>
      <c r="Q370" s="142" t="s">
        <v>1089</v>
      </c>
    </row>
    <row r="371" spans="9:17">
      <c r="I371" s="144">
        <f t="shared" si="158"/>
        <v>229</v>
      </c>
      <c r="J371" s="142" t="s">
        <v>1090</v>
      </c>
      <c r="K371" s="142" t="s">
        <v>1090</v>
      </c>
      <c r="L371" s="142" t="s">
        <v>1090</v>
      </c>
      <c r="M371" s="142" t="s">
        <v>1090</v>
      </c>
      <c r="N371" s="142" t="s">
        <v>1090</v>
      </c>
      <c r="O371" s="142" t="s">
        <v>1090</v>
      </c>
      <c r="P371" s="142" t="s">
        <v>1090</v>
      </c>
      <c r="Q371" s="142" t="s">
        <v>1090</v>
      </c>
    </row>
    <row r="372" spans="9:17" ht="43.5">
      <c r="I372" s="144">
        <f t="shared" si="158"/>
        <v>230</v>
      </c>
      <c r="J372" s="142" t="s">
        <v>1091</v>
      </c>
      <c r="K372" s="142" t="s">
        <v>1091</v>
      </c>
      <c r="L372" s="142" t="s">
        <v>1091</v>
      </c>
      <c r="M372" s="142" t="s">
        <v>1091</v>
      </c>
      <c r="N372" s="142" t="s">
        <v>1091</v>
      </c>
      <c r="O372" s="142" t="s">
        <v>1091</v>
      </c>
      <c r="P372" s="142" t="s">
        <v>1091</v>
      </c>
      <c r="Q372" s="142" t="s">
        <v>1091</v>
      </c>
    </row>
    <row r="373" spans="9:17" ht="43.5">
      <c r="I373" s="144">
        <f t="shared" si="158"/>
        <v>231</v>
      </c>
      <c r="J373" s="142" t="s">
        <v>1092</v>
      </c>
      <c r="K373" s="142" t="s">
        <v>1092</v>
      </c>
      <c r="L373" s="142" t="s">
        <v>1092</v>
      </c>
      <c r="M373" s="142" t="s">
        <v>1092</v>
      </c>
      <c r="N373" s="142"/>
      <c r="O373" s="142"/>
      <c r="P373" s="142"/>
      <c r="Q373" s="142"/>
    </row>
    <row r="374" spans="9:17" ht="43.5">
      <c r="I374" s="144">
        <f t="shared" si="158"/>
        <v>232</v>
      </c>
      <c r="J374" s="142" t="s">
        <v>1093</v>
      </c>
      <c r="K374" s="142" t="s">
        <v>1093</v>
      </c>
      <c r="L374" s="142" t="s">
        <v>1093</v>
      </c>
      <c r="M374" s="142" t="s">
        <v>1093</v>
      </c>
      <c r="N374" s="142" t="s">
        <v>1093</v>
      </c>
      <c r="O374" s="142"/>
      <c r="P374" s="142" t="s">
        <v>1093</v>
      </c>
      <c r="Q374" s="142" t="s">
        <v>1093</v>
      </c>
    </row>
    <row r="375" spans="9:17" ht="29">
      <c r="I375" s="144">
        <f t="shared" si="158"/>
        <v>233</v>
      </c>
      <c r="J375" s="142" t="s">
        <v>1094</v>
      </c>
      <c r="K375" s="142" t="s">
        <v>1094</v>
      </c>
      <c r="L375" s="142" t="s">
        <v>1094</v>
      </c>
      <c r="M375" s="142" t="s">
        <v>1094</v>
      </c>
      <c r="N375" s="142" t="s">
        <v>1094</v>
      </c>
      <c r="O375" s="142" t="s">
        <v>1094</v>
      </c>
      <c r="P375" s="142" t="s">
        <v>1094</v>
      </c>
      <c r="Q375" s="142" t="s">
        <v>1094</v>
      </c>
    </row>
    <row r="376" spans="9:17">
      <c r="I376" s="144">
        <f t="shared" si="158"/>
        <v>234</v>
      </c>
      <c r="J376" s="142" t="s">
        <v>1095</v>
      </c>
      <c r="K376" s="142" t="s">
        <v>1095</v>
      </c>
      <c r="L376" s="142" t="s">
        <v>1095</v>
      </c>
      <c r="M376" s="142" t="s">
        <v>1095</v>
      </c>
      <c r="N376" s="142" t="s">
        <v>1095</v>
      </c>
      <c r="O376" s="142" t="s">
        <v>1095</v>
      </c>
      <c r="P376" s="142" t="s">
        <v>1095</v>
      </c>
      <c r="Q376" s="142" t="s">
        <v>1095</v>
      </c>
    </row>
    <row r="377" spans="9:17" ht="29">
      <c r="I377" s="144">
        <f t="shared" si="158"/>
        <v>235</v>
      </c>
      <c r="J377" s="142" t="s">
        <v>1096</v>
      </c>
      <c r="K377" s="142" t="s">
        <v>1096</v>
      </c>
      <c r="L377" s="142" t="s">
        <v>1096</v>
      </c>
      <c r="M377" s="142" t="s">
        <v>1096</v>
      </c>
      <c r="N377" s="142" t="s">
        <v>1096</v>
      </c>
      <c r="O377" s="142" t="s">
        <v>1096</v>
      </c>
      <c r="P377" s="142" t="s">
        <v>1096</v>
      </c>
      <c r="Q377" s="142" t="s">
        <v>1096</v>
      </c>
    </row>
    <row r="378" spans="9:17" ht="29">
      <c r="I378" s="144">
        <f t="shared" si="158"/>
        <v>236</v>
      </c>
      <c r="J378" s="142" t="s">
        <v>1097</v>
      </c>
      <c r="K378" s="142" t="s">
        <v>1097</v>
      </c>
      <c r="L378" s="142" t="s">
        <v>1097</v>
      </c>
      <c r="M378" s="142" t="s">
        <v>1097</v>
      </c>
      <c r="N378" s="142" t="s">
        <v>1097</v>
      </c>
      <c r="O378" s="142" t="s">
        <v>1097</v>
      </c>
      <c r="P378" s="142" t="s">
        <v>1097</v>
      </c>
      <c r="Q378" s="142" t="s">
        <v>1097</v>
      </c>
    </row>
    <row r="379" spans="9:17" ht="29">
      <c r="I379" s="144">
        <f t="shared" si="158"/>
        <v>237</v>
      </c>
      <c r="J379" s="142" t="s">
        <v>1098</v>
      </c>
      <c r="K379" s="142" t="s">
        <v>1098</v>
      </c>
      <c r="L379" s="142" t="s">
        <v>1098</v>
      </c>
      <c r="M379" s="142" t="s">
        <v>1098</v>
      </c>
      <c r="N379" s="142" t="s">
        <v>1098</v>
      </c>
      <c r="O379" s="142" t="s">
        <v>1098</v>
      </c>
      <c r="P379" s="142" t="s">
        <v>1098</v>
      </c>
      <c r="Q379" s="142" t="s">
        <v>1098</v>
      </c>
    </row>
    <row r="380" spans="9:17">
      <c r="I380" s="144">
        <f t="shared" si="158"/>
        <v>238</v>
      </c>
      <c r="J380" s="142" t="s">
        <v>1099</v>
      </c>
      <c r="K380" s="142" t="s">
        <v>1099</v>
      </c>
      <c r="L380" s="142" t="s">
        <v>1099</v>
      </c>
      <c r="M380" s="142" t="s">
        <v>1099</v>
      </c>
      <c r="N380" s="142" t="s">
        <v>1099</v>
      </c>
      <c r="O380" s="142" t="s">
        <v>1099</v>
      </c>
      <c r="P380" s="142" t="s">
        <v>1099</v>
      </c>
      <c r="Q380" s="142" t="s">
        <v>1099</v>
      </c>
    </row>
    <row r="381" spans="9:17" ht="35.5">
      <c r="I381" s="144">
        <f t="shared" si="158"/>
        <v>239</v>
      </c>
      <c r="J381" s="143" t="s">
        <v>1100</v>
      </c>
      <c r="K381" s="143" t="s">
        <v>1100</v>
      </c>
      <c r="L381" s="143" t="s">
        <v>1100</v>
      </c>
      <c r="M381" s="143" t="s">
        <v>1100</v>
      </c>
      <c r="N381" s="143" t="s">
        <v>1100</v>
      </c>
      <c r="O381" s="143" t="s">
        <v>1100</v>
      </c>
      <c r="P381" s="146" t="s">
        <v>1100</v>
      </c>
      <c r="Q381" s="146" t="s">
        <v>1100</v>
      </c>
    </row>
    <row r="382" spans="9:17" ht="29">
      <c r="I382" s="144">
        <f t="shared" si="158"/>
        <v>240</v>
      </c>
      <c r="J382" s="142" t="s">
        <v>1101</v>
      </c>
      <c r="K382" s="142" t="s">
        <v>1101</v>
      </c>
      <c r="L382" s="142" t="s">
        <v>1101</v>
      </c>
      <c r="M382" s="142" t="s">
        <v>1101</v>
      </c>
      <c r="N382" s="142" t="s">
        <v>1101</v>
      </c>
      <c r="O382" s="142" t="s">
        <v>1101</v>
      </c>
      <c r="P382" s="142" t="s">
        <v>1101</v>
      </c>
      <c r="Q382" s="142" t="s">
        <v>1101</v>
      </c>
    </row>
    <row r="383" spans="9:17" ht="29">
      <c r="I383" s="144">
        <f t="shared" si="158"/>
        <v>241</v>
      </c>
      <c r="J383" s="142" t="s">
        <v>1102</v>
      </c>
      <c r="K383" s="142" t="s">
        <v>1102</v>
      </c>
      <c r="L383" s="142" t="s">
        <v>1102</v>
      </c>
      <c r="M383" s="142" t="s">
        <v>1102</v>
      </c>
      <c r="N383" s="142" t="s">
        <v>1102</v>
      </c>
      <c r="O383" s="142" t="s">
        <v>1102</v>
      </c>
      <c r="P383" s="142" t="s">
        <v>1102</v>
      </c>
      <c r="Q383" s="142" t="s">
        <v>1102</v>
      </c>
    </row>
    <row r="384" spans="9:17">
      <c r="I384" s="144">
        <f t="shared" si="158"/>
        <v>242</v>
      </c>
      <c r="J384" s="142" t="s">
        <v>1103</v>
      </c>
      <c r="K384" s="142" t="s">
        <v>1103</v>
      </c>
      <c r="L384" s="142" t="s">
        <v>1103</v>
      </c>
      <c r="M384" s="142" t="s">
        <v>1103</v>
      </c>
      <c r="N384" s="142" t="s">
        <v>1103</v>
      </c>
      <c r="O384" s="142" t="s">
        <v>1103</v>
      </c>
      <c r="P384" s="142" t="s">
        <v>1103</v>
      </c>
      <c r="Q384" s="142" t="s">
        <v>1103</v>
      </c>
    </row>
    <row r="385" spans="9:17" ht="29">
      <c r="I385" s="144">
        <f t="shared" si="158"/>
        <v>243</v>
      </c>
      <c r="J385" s="142" t="s">
        <v>1104</v>
      </c>
      <c r="K385" s="142" t="s">
        <v>1104</v>
      </c>
      <c r="L385" s="142" t="s">
        <v>1104</v>
      </c>
      <c r="M385" s="142" t="s">
        <v>1104</v>
      </c>
      <c r="N385" s="142" t="s">
        <v>1104</v>
      </c>
      <c r="O385" s="142" t="s">
        <v>1104</v>
      </c>
      <c r="P385" s="142" t="s">
        <v>1104</v>
      </c>
      <c r="Q385" s="142" t="s">
        <v>1104</v>
      </c>
    </row>
    <row r="386" spans="9:17">
      <c r="I386" s="144"/>
      <c r="J386" s="142"/>
      <c r="K386" s="142"/>
      <c r="L386" s="142"/>
      <c r="M386" s="142"/>
      <c r="N386" s="142"/>
      <c r="O386" s="142"/>
      <c r="P386" s="142" t="s">
        <v>1105</v>
      </c>
      <c r="Q386" s="142" t="s">
        <v>1105</v>
      </c>
    </row>
    <row r="387" spans="9:17">
      <c r="I387" s="144">
        <f>I385+1</f>
        <v>244</v>
      </c>
      <c r="J387" s="142" t="s">
        <v>1106</v>
      </c>
      <c r="K387" s="142" t="s">
        <v>1106</v>
      </c>
      <c r="L387" s="142" t="s">
        <v>1106</v>
      </c>
      <c r="M387" s="142" t="s">
        <v>1106</v>
      </c>
      <c r="N387" s="142" t="s">
        <v>1106</v>
      </c>
      <c r="O387" s="142" t="s">
        <v>1106</v>
      </c>
      <c r="P387" s="142" t="s">
        <v>1106</v>
      </c>
      <c r="Q387" s="142" t="s">
        <v>1106</v>
      </c>
    </row>
    <row r="388" spans="9:17" ht="29">
      <c r="I388" s="144">
        <f t="shared" si="158"/>
        <v>245</v>
      </c>
      <c r="J388" s="142" t="s">
        <v>1107</v>
      </c>
      <c r="K388" s="142" t="s">
        <v>1107</v>
      </c>
      <c r="L388" s="142" t="s">
        <v>1107</v>
      </c>
      <c r="M388" s="142" t="s">
        <v>1107</v>
      </c>
      <c r="N388" s="142" t="s">
        <v>1107</v>
      </c>
      <c r="O388" s="142" t="s">
        <v>1107</v>
      </c>
      <c r="P388" s="142" t="s">
        <v>1107</v>
      </c>
      <c r="Q388" s="142" t="s">
        <v>1107</v>
      </c>
    </row>
    <row r="389" spans="9:17" ht="43.5">
      <c r="I389" s="144">
        <f t="shared" si="158"/>
        <v>246</v>
      </c>
      <c r="J389" s="142" t="s">
        <v>1108</v>
      </c>
      <c r="K389" s="142" t="s">
        <v>1108</v>
      </c>
      <c r="L389" s="142" t="s">
        <v>1108</v>
      </c>
      <c r="M389" s="142" t="s">
        <v>1108</v>
      </c>
      <c r="N389" s="142" t="s">
        <v>1108</v>
      </c>
      <c r="O389" s="142" t="s">
        <v>1108</v>
      </c>
      <c r="P389" s="142" t="s">
        <v>1108</v>
      </c>
      <c r="Q389" s="142" t="s">
        <v>1109</v>
      </c>
    </row>
    <row r="390" spans="9:17" ht="43.5">
      <c r="I390" s="144">
        <f t="shared" si="158"/>
        <v>247</v>
      </c>
      <c r="J390" s="142" t="s">
        <v>1110</v>
      </c>
      <c r="K390" s="142" t="s">
        <v>1110</v>
      </c>
      <c r="L390" s="142" t="s">
        <v>1111</v>
      </c>
      <c r="M390" s="142" t="s">
        <v>1111</v>
      </c>
      <c r="N390" s="142" t="s">
        <v>1111</v>
      </c>
      <c r="O390" s="142" t="s">
        <v>1111</v>
      </c>
      <c r="P390" s="142" t="s">
        <v>1111</v>
      </c>
      <c r="Q390" s="142" t="s">
        <v>1108</v>
      </c>
    </row>
    <row r="391" spans="9:17" ht="29">
      <c r="I391" s="144">
        <f t="shared" si="158"/>
        <v>248</v>
      </c>
      <c r="J391" s="142" t="s">
        <v>1111</v>
      </c>
      <c r="K391" s="142" t="s">
        <v>1111</v>
      </c>
      <c r="L391" s="142"/>
      <c r="M391" s="142"/>
      <c r="N391" s="142"/>
      <c r="O391" s="142"/>
      <c r="P391" s="142"/>
      <c r="Q391" s="142" t="s">
        <v>1111</v>
      </c>
    </row>
    <row r="392" spans="9:17" ht="29">
      <c r="I392" s="144">
        <f t="shared" si="158"/>
        <v>249</v>
      </c>
      <c r="J392" s="142" t="s">
        <v>1112</v>
      </c>
      <c r="K392" s="142" t="s">
        <v>1112</v>
      </c>
      <c r="L392" s="142" t="s">
        <v>1112</v>
      </c>
      <c r="M392" s="142" t="s">
        <v>1112</v>
      </c>
      <c r="N392" s="142" t="s">
        <v>1112</v>
      </c>
      <c r="O392" s="142" t="s">
        <v>1112</v>
      </c>
      <c r="P392" s="142" t="s">
        <v>1112</v>
      </c>
      <c r="Q392" s="142" t="s">
        <v>1112</v>
      </c>
    </row>
    <row r="393" spans="9:17">
      <c r="I393" s="144">
        <f t="shared" si="158"/>
        <v>250</v>
      </c>
      <c r="J393" s="142" t="s">
        <v>1113</v>
      </c>
      <c r="K393" s="142" t="s">
        <v>1113</v>
      </c>
      <c r="L393" s="142" t="s">
        <v>1113</v>
      </c>
      <c r="M393" s="142" t="s">
        <v>1113</v>
      </c>
      <c r="N393" s="142" t="s">
        <v>1113</v>
      </c>
      <c r="O393" s="142" t="s">
        <v>1113</v>
      </c>
      <c r="P393" s="142" t="s">
        <v>1113</v>
      </c>
      <c r="Q393" s="142" t="s">
        <v>1113</v>
      </c>
    </row>
    <row r="394" spans="9:17" ht="29">
      <c r="I394" s="144">
        <f t="shared" si="158"/>
        <v>251</v>
      </c>
      <c r="J394" s="142" t="s">
        <v>1114</v>
      </c>
      <c r="K394" s="142" t="s">
        <v>1114</v>
      </c>
      <c r="L394" s="142" t="s">
        <v>1114</v>
      </c>
      <c r="M394" s="142" t="s">
        <v>1114</v>
      </c>
      <c r="N394" s="142" t="s">
        <v>1114</v>
      </c>
      <c r="O394" s="142"/>
      <c r="P394" s="142" t="s">
        <v>1114</v>
      </c>
      <c r="Q394" s="142" t="s">
        <v>1114</v>
      </c>
    </row>
    <row r="395" spans="9:17" ht="29">
      <c r="I395" s="144">
        <f t="shared" si="158"/>
        <v>252</v>
      </c>
      <c r="J395" s="142" t="s">
        <v>1115</v>
      </c>
      <c r="K395" s="142" t="s">
        <v>1115</v>
      </c>
      <c r="L395" s="142" t="s">
        <v>1115</v>
      </c>
      <c r="M395" s="142" t="s">
        <v>1115</v>
      </c>
      <c r="N395" s="142" t="s">
        <v>1115</v>
      </c>
      <c r="O395" s="142" t="s">
        <v>1115</v>
      </c>
      <c r="P395" s="142" t="s">
        <v>1115</v>
      </c>
      <c r="Q395" s="142" t="s">
        <v>1115</v>
      </c>
    </row>
    <row r="396" spans="9:17" ht="58">
      <c r="I396" s="144">
        <f t="shared" si="158"/>
        <v>253</v>
      </c>
      <c r="J396" s="142" t="s">
        <v>1116</v>
      </c>
      <c r="K396" s="142" t="s">
        <v>1116</v>
      </c>
      <c r="L396" s="142" t="s">
        <v>1116</v>
      </c>
      <c r="M396" s="142" t="s">
        <v>1116</v>
      </c>
      <c r="N396" s="142" t="s">
        <v>1116</v>
      </c>
      <c r="O396" s="142" t="s">
        <v>1116</v>
      </c>
      <c r="P396" s="142" t="s">
        <v>1116</v>
      </c>
      <c r="Q396" s="142" t="s">
        <v>1116</v>
      </c>
    </row>
    <row r="397" spans="9:17" ht="43.5">
      <c r="I397" s="144">
        <f t="shared" si="158"/>
        <v>254</v>
      </c>
      <c r="J397" s="142" t="s">
        <v>1117</v>
      </c>
      <c r="K397" s="142" t="s">
        <v>1117</v>
      </c>
      <c r="L397" s="142" t="s">
        <v>1117</v>
      </c>
      <c r="M397" s="142" t="s">
        <v>1117</v>
      </c>
      <c r="N397" s="142" t="s">
        <v>1117</v>
      </c>
      <c r="O397" s="142" t="s">
        <v>1117</v>
      </c>
      <c r="P397" s="142" t="s">
        <v>1117</v>
      </c>
      <c r="Q397" s="142" t="s">
        <v>1117</v>
      </c>
    </row>
    <row r="398" spans="9:17" ht="29">
      <c r="I398" s="144">
        <f t="shared" si="158"/>
        <v>255</v>
      </c>
      <c r="J398" s="142" t="s">
        <v>1118</v>
      </c>
      <c r="K398" s="142" t="s">
        <v>1118</v>
      </c>
      <c r="L398" s="142" t="s">
        <v>1118</v>
      </c>
      <c r="M398" s="142" t="s">
        <v>1118</v>
      </c>
      <c r="N398" s="142" t="s">
        <v>1118</v>
      </c>
      <c r="O398" s="142" t="s">
        <v>1118</v>
      </c>
      <c r="P398" s="142" t="s">
        <v>1118</v>
      </c>
      <c r="Q398" s="142" t="s">
        <v>1118</v>
      </c>
    </row>
    <row r="399" spans="9:17">
      <c r="I399" s="144">
        <f t="shared" si="158"/>
        <v>256</v>
      </c>
      <c r="J399" s="142" t="s">
        <v>1119</v>
      </c>
      <c r="K399" s="142" t="s">
        <v>1119</v>
      </c>
      <c r="L399" s="142" t="s">
        <v>1119</v>
      </c>
      <c r="M399" s="142" t="s">
        <v>1119</v>
      </c>
      <c r="N399" s="142" t="s">
        <v>1119</v>
      </c>
      <c r="O399" s="142" t="s">
        <v>1119</v>
      </c>
      <c r="P399" s="142" t="s">
        <v>1119</v>
      </c>
      <c r="Q399" s="142" t="s">
        <v>1119</v>
      </c>
    </row>
    <row r="400" spans="9:17">
      <c r="I400" s="144">
        <f t="shared" si="158"/>
        <v>257</v>
      </c>
      <c r="J400" s="142" t="s">
        <v>1120</v>
      </c>
      <c r="K400" s="142" t="s">
        <v>1120</v>
      </c>
      <c r="L400" s="142" t="s">
        <v>1120</v>
      </c>
      <c r="M400" s="142" t="s">
        <v>1120</v>
      </c>
      <c r="N400" s="142" t="s">
        <v>1120</v>
      </c>
      <c r="O400" s="142" t="s">
        <v>1120</v>
      </c>
      <c r="P400" s="142" t="s">
        <v>1120</v>
      </c>
      <c r="Q400" s="142" t="s">
        <v>1120</v>
      </c>
    </row>
    <row r="401" spans="9:17" ht="29">
      <c r="I401" s="144">
        <f t="shared" si="158"/>
        <v>258</v>
      </c>
      <c r="J401" s="142" t="s">
        <v>1121</v>
      </c>
      <c r="K401" s="142" t="s">
        <v>1121</v>
      </c>
      <c r="L401" s="142" t="s">
        <v>1121</v>
      </c>
      <c r="M401" s="142" t="s">
        <v>1121</v>
      </c>
      <c r="N401" s="142" t="s">
        <v>1121</v>
      </c>
      <c r="O401" s="142" t="s">
        <v>1121</v>
      </c>
      <c r="P401" s="142" t="s">
        <v>1121</v>
      </c>
      <c r="Q401" s="142" t="s">
        <v>1121</v>
      </c>
    </row>
    <row r="402" spans="9:17">
      <c r="I402" s="144">
        <f t="shared" ref="I402:I466" si="159">I401+1</f>
        <v>259</v>
      </c>
      <c r="J402" s="142" t="s">
        <v>1122</v>
      </c>
      <c r="K402" s="142" t="s">
        <v>1122</v>
      </c>
      <c r="L402" s="142" t="s">
        <v>1122</v>
      </c>
      <c r="M402" s="142" t="s">
        <v>1122</v>
      </c>
      <c r="N402" s="142" t="s">
        <v>1122</v>
      </c>
      <c r="O402" s="142" t="s">
        <v>1122</v>
      </c>
      <c r="P402" s="142" t="s">
        <v>1122</v>
      </c>
      <c r="Q402" s="142" t="s">
        <v>1122</v>
      </c>
    </row>
    <row r="403" spans="9:17">
      <c r="I403" s="144">
        <f t="shared" si="159"/>
        <v>260</v>
      </c>
      <c r="J403" s="142" t="s">
        <v>1123</v>
      </c>
      <c r="K403" s="142" t="s">
        <v>1123</v>
      </c>
      <c r="L403" s="142" t="s">
        <v>1123</v>
      </c>
      <c r="M403" s="142" t="s">
        <v>1123</v>
      </c>
      <c r="N403" s="142" t="s">
        <v>1123</v>
      </c>
      <c r="O403" s="142" t="s">
        <v>1123</v>
      </c>
      <c r="P403" s="142" t="s">
        <v>1123</v>
      </c>
      <c r="Q403" s="142" t="s">
        <v>1123</v>
      </c>
    </row>
    <row r="404" spans="9:17" ht="35.5">
      <c r="I404" s="144">
        <f t="shared" si="159"/>
        <v>261</v>
      </c>
      <c r="J404" s="143" t="s">
        <v>1124</v>
      </c>
      <c r="K404" s="143" t="s">
        <v>1124</v>
      </c>
      <c r="L404" s="143" t="s">
        <v>1124</v>
      </c>
      <c r="M404" s="143" t="s">
        <v>1124</v>
      </c>
      <c r="N404" s="143" t="s">
        <v>1124</v>
      </c>
      <c r="O404" s="143" t="s">
        <v>1124</v>
      </c>
      <c r="P404" s="146" t="s">
        <v>1124</v>
      </c>
      <c r="Q404" s="146" t="s">
        <v>1124</v>
      </c>
    </row>
    <row r="405" spans="9:17" ht="43.5">
      <c r="I405" s="144">
        <f t="shared" si="159"/>
        <v>262</v>
      </c>
      <c r="J405" s="142" t="s">
        <v>1125</v>
      </c>
      <c r="K405" s="142" t="s">
        <v>1125</v>
      </c>
      <c r="L405" s="142" t="s">
        <v>1125</v>
      </c>
      <c r="M405" s="142" t="s">
        <v>1125</v>
      </c>
      <c r="N405" s="142" t="s">
        <v>1125</v>
      </c>
      <c r="O405" s="142" t="s">
        <v>1125</v>
      </c>
      <c r="P405" s="142" t="s">
        <v>1125</v>
      </c>
      <c r="Q405" s="142" t="s">
        <v>1125</v>
      </c>
    </row>
    <row r="406" spans="9:17" ht="43.5">
      <c r="I406" s="144">
        <f t="shared" si="159"/>
        <v>263</v>
      </c>
      <c r="J406" s="142" t="s">
        <v>1126</v>
      </c>
      <c r="K406" s="142" t="s">
        <v>1126</v>
      </c>
      <c r="L406" s="142" t="s">
        <v>1126</v>
      </c>
      <c r="M406" s="142" t="s">
        <v>1126</v>
      </c>
      <c r="N406" s="142" t="s">
        <v>1126</v>
      </c>
      <c r="O406" s="142" t="s">
        <v>1126</v>
      </c>
      <c r="P406" s="142" t="s">
        <v>1126</v>
      </c>
      <c r="Q406" s="142" t="s">
        <v>1126</v>
      </c>
    </row>
    <row r="407" spans="9:17" ht="29">
      <c r="I407" s="144">
        <f t="shared" si="159"/>
        <v>264</v>
      </c>
      <c r="J407" s="142" t="s">
        <v>1127</v>
      </c>
      <c r="K407" s="142" t="s">
        <v>1127</v>
      </c>
      <c r="L407" s="142" t="s">
        <v>1127</v>
      </c>
      <c r="M407" s="142" t="s">
        <v>1127</v>
      </c>
      <c r="N407" s="142" t="s">
        <v>1127</v>
      </c>
      <c r="O407" s="142" t="s">
        <v>1127</v>
      </c>
      <c r="P407" s="142" t="s">
        <v>1127</v>
      </c>
      <c r="Q407" s="142" t="s">
        <v>1127</v>
      </c>
    </row>
    <row r="408" spans="9:17">
      <c r="I408" s="144">
        <f t="shared" si="159"/>
        <v>265</v>
      </c>
      <c r="J408" s="142" t="s">
        <v>1128</v>
      </c>
      <c r="K408" s="142" t="s">
        <v>1128</v>
      </c>
      <c r="L408" s="142" t="s">
        <v>1128</v>
      </c>
      <c r="M408" s="142" t="s">
        <v>1128</v>
      </c>
      <c r="N408" s="142" t="s">
        <v>1128</v>
      </c>
      <c r="O408" s="142" t="s">
        <v>1128</v>
      </c>
      <c r="P408" s="142" t="s">
        <v>1128</v>
      </c>
      <c r="Q408" s="142" t="s">
        <v>1128</v>
      </c>
    </row>
    <row r="409" spans="9:17">
      <c r="I409" s="144">
        <f t="shared" si="159"/>
        <v>266</v>
      </c>
      <c r="J409" s="142" t="s">
        <v>1129</v>
      </c>
      <c r="K409" s="142" t="s">
        <v>1129</v>
      </c>
      <c r="L409" s="142" t="s">
        <v>1129</v>
      </c>
      <c r="M409" s="142" t="s">
        <v>1129</v>
      </c>
      <c r="N409" s="142" t="s">
        <v>1129</v>
      </c>
      <c r="O409" s="142" t="s">
        <v>1129</v>
      </c>
      <c r="P409" s="142" t="s">
        <v>1129</v>
      </c>
      <c r="Q409" s="142" t="s">
        <v>1129</v>
      </c>
    </row>
    <row r="410" spans="9:17" ht="29">
      <c r="I410" s="144">
        <f t="shared" si="159"/>
        <v>267</v>
      </c>
      <c r="J410" s="142" t="s">
        <v>1130</v>
      </c>
      <c r="K410" s="142" t="s">
        <v>1130</v>
      </c>
      <c r="L410" s="142" t="s">
        <v>1130</v>
      </c>
      <c r="M410" s="142" t="s">
        <v>1130</v>
      </c>
      <c r="N410" s="142" t="s">
        <v>1130</v>
      </c>
      <c r="O410" s="142" t="s">
        <v>1130</v>
      </c>
      <c r="P410" s="142" t="s">
        <v>1130</v>
      </c>
      <c r="Q410" s="142" t="s">
        <v>1130</v>
      </c>
    </row>
    <row r="411" spans="9:17" ht="29">
      <c r="I411" s="144">
        <f t="shared" si="159"/>
        <v>268</v>
      </c>
      <c r="J411" s="142" t="s">
        <v>1131</v>
      </c>
      <c r="K411" s="142" t="s">
        <v>1131</v>
      </c>
      <c r="L411" s="142" t="s">
        <v>1131</v>
      </c>
      <c r="M411" s="142" t="s">
        <v>1131</v>
      </c>
      <c r="N411" s="142" t="s">
        <v>1131</v>
      </c>
      <c r="O411" s="142" t="s">
        <v>1131</v>
      </c>
      <c r="P411" s="142" t="s">
        <v>1131</v>
      </c>
      <c r="Q411" s="142" t="s">
        <v>1131</v>
      </c>
    </row>
    <row r="412" spans="9:17" ht="43.5">
      <c r="I412" s="144">
        <f t="shared" si="159"/>
        <v>269</v>
      </c>
      <c r="J412" s="142" t="s">
        <v>1132</v>
      </c>
      <c r="K412" s="142" t="s">
        <v>1132</v>
      </c>
      <c r="L412" s="142" t="s">
        <v>1132</v>
      </c>
      <c r="M412" s="142" t="s">
        <v>1132</v>
      </c>
      <c r="N412" s="142" t="s">
        <v>1132</v>
      </c>
      <c r="O412" s="142"/>
      <c r="P412" s="142" t="s">
        <v>1132</v>
      </c>
      <c r="Q412" s="142" t="s">
        <v>1132</v>
      </c>
    </row>
    <row r="413" spans="9:17">
      <c r="I413" s="144">
        <f t="shared" si="159"/>
        <v>270</v>
      </c>
      <c r="J413" s="142" t="s">
        <v>1133</v>
      </c>
      <c r="K413" s="142" t="s">
        <v>1133</v>
      </c>
      <c r="L413" s="142" t="s">
        <v>1133</v>
      </c>
      <c r="M413" s="142" t="s">
        <v>1133</v>
      </c>
      <c r="N413" s="142" t="s">
        <v>1133</v>
      </c>
      <c r="O413" s="142" t="s">
        <v>1133</v>
      </c>
      <c r="P413" s="142" t="s">
        <v>1133</v>
      </c>
      <c r="Q413" s="142" t="s">
        <v>1133</v>
      </c>
    </row>
    <row r="414" spans="9:17" ht="29">
      <c r="I414" s="144">
        <f t="shared" si="159"/>
        <v>271</v>
      </c>
      <c r="J414" s="142" t="s">
        <v>1134</v>
      </c>
      <c r="K414" s="142" t="s">
        <v>1134</v>
      </c>
      <c r="L414" s="142" t="s">
        <v>1134</v>
      </c>
      <c r="M414" s="142" t="s">
        <v>1134</v>
      </c>
      <c r="N414" s="142" t="s">
        <v>1134</v>
      </c>
      <c r="O414" s="142" t="s">
        <v>1134</v>
      </c>
      <c r="P414" s="142" t="s">
        <v>1134</v>
      </c>
      <c r="Q414" s="142" t="s">
        <v>1134</v>
      </c>
    </row>
    <row r="415" spans="9:17" ht="29">
      <c r="I415" s="144">
        <f t="shared" si="159"/>
        <v>272</v>
      </c>
      <c r="J415" s="142" t="s">
        <v>1135</v>
      </c>
      <c r="K415" s="142" t="s">
        <v>1135</v>
      </c>
      <c r="L415" s="142" t="s">
        <v>1135</v>
      </c>
      <c r="M415" s="142" t="s">
        <v>1135</v>
      </c>
      <c r="N415" s="142" t="s">
        <v>1135</v>
      </c>
      <c r="O415" s="142" t="s">
        <v>1135</v>
      </c>
      <c r="P415" s="142" t="s">
        <v>1135</v>
      </c>
      <c r="Q415" s="142" t="s">
        <v>1135</v>
      </c>
    </row>
    <row r="416" spans="9:17" ht="29">
      <c r="I416" s="144">
        <f t="shared" si="159"/>
        <v>273</v>
      </c>
      <c r="J416" s="142" t="s">
        <v>1136</v>
      </c>
      <c r="K416" s="142" t="s">
        <v>1136</v>
      </c>
      <c r="L416" s="142" t="s">
        <v>1136</v>
      </c>
      <c r="M416" s="142" t="s">
        <v>1136</v>
      </c>
      <c r="N416" s="142" t="s">
        <v>1136</v>
      </c>
      <c r="O416" s="142" t="s">
        <v>1136</v>
      </c>
      <c r="P416" s="142" t="s">
        <v>1136</v>
      </c>
      <c r="Q416" s="142" t="s">
        <v>1136</v>
      </c>
    </row>
    <row r="417" spans="9:17" ht="58">
      <c r="I417" s="144">
        <f t="shared" si="159"/>
        <v>274</v>
      </c>
      <c r="J417" s="142" t="s">
        <v>1137</v>
      </c>
      <c r="K417" s="142" t="s">
        <v>1137</v>
      </c>
      <c r="L417" s="142" t="s">
        <v>1137</v>
      </c>
      <c r="M417" s="142" t="s">
        <v>1137</v>
      </c>
      <c r="N417" s="142" t="s">
        <v>1137</v>
      </c>
      <c r="O417" s="142" t="s">
        <v>1137</v>
      </c>
      <c r="P417" s="142" t="s">
        <v>1137</v>
      </c>
      <c r="Q417" s="142" t="s">
        <v>1137</v>
      </c>
    </row>
    <row r="418" spans="9:17" ht="43.5">
      <c r="I418" s="144">
        <f t="shared" si="159"/>
        <v>275</v>
      </c>
      <c r="J418" s="142" t="s">
        <v>1138</v>
      </c>
      <c r="K418" s="142" t="s">
        <v>1138</v>
      </c>
      <c r="L418" s="142" t="s">
        <v>1138</v>
      </c>
      <c r="M418" s="142" t="s">
        <v>1138</v>
      </c>
      <c r="N418" s="142" t="s">
        <v>1138</v>
      </c>
      <c r="O418" s="142" t="s">
        <v>1138</v>
      </c>
      <c r="P418" s="142" t="s">
        <v>1138</v>
      </c>
      <c r="Q418" s="142" t="s">
        <v>1138</v>
      </c>
    </row>
    <row r="419" spans="9:17">
      <c r="I419" s="144">
        <f t="shared" si="159"/>
        <v>276</v>
      </c>
      <c r="J419" s="142" t="s">
        <v>1139</v>
      </c>
      <c r="K419" s="142" t="s">
        <v>1139</v>
      </c>
      <c r="L419" s="142" t="s">
        <v>1139</v>
      </c>
      <c r="M419" s="142" t="s">
        <v>1139</v>
      </c>
      <c r="N419" s="142" t="s">
        <v>1139</v>
      </c>
      <c r="O419" s="142" t="s">
        <v>1139</v>
      </c>
      <c r="P419" s="142" t="s">
        <v>1139</v>
      </c>
      <c r="Q419" s="142" t="s">
        <v>1139</v>
      </c>
    </row>
    <row r="420" spans="9:17" ht="29">
      <c r="I420" s="144">
        <f t="shared" si="159"/>
        <v>277</v>
      </c>
      <c r="J420" s="142" t="s">
        <v>1140</v>
      </c>
      <c r="K420" s="142" t="s">
        <v>1140</v>
      </c>
      <c r="L420" s="142" t="s">
        <v>1140</v>
      </c>
      <c r="M420" s="142" t="s">
        <v>1140</v>
      </c>
      <c r="N420" s="142" t="s">
        <v>1140</v>
      </c>
      <c r="O420" s="142" t="s">
        <v>1140</v>
      </c>
      <c r="P420" s="142" t="s">
        <v>1140</v>
      </c>
      <c r="Q420" s="142" t="s">
        <v>1140</v>
      </c>
    </row>
    <row r="421" spans="9:17" ht="35.5">
      <c r="I421" s="144">
        <f t="shared" si="159"/>
        <v>278</v>
      </c>
      <c r="J421" s="143" t="s">
        <v>1141</v>
      </c>
      <c r="K421" s="143" t="s">
        <v>1141</v>
      </c>
      <c r="L421" s="143" t="s">
        <v>1141</v>
      </c>
      <c r="M421" s="143" t="s">
        <v>1141</v>
      </c>
      <c r="N421" s="143" t="s">
        <v>1141</v>
      </c>
      <c r="O421" s="143" t="s">
        <v>1141</v>
      </c>
      <c r="P421" s="146" t="s">
        <v>1141</v>
      </c>
      <c r="Q421" s="146" t="s">
        <v>1141</v>
      </c>
    </row>
    <row r="422" spans="9:17" ht="29">
      <c r="I422" s="144">
        <f t="shared" si="159"/>
        <v>279</v>
      </c>
      <c r="J422" s="142" t="s">
        <v>1142</v>
      </c>
      <c r="K422" s="142" t="s">
        <v>1142</v>
      </c>
      <c r="L422" s="142" t="s">
        <v>1142</v>
      </c>
      <c r="M422" s="142" t="s">
        <v>1142</v>
      </c>
      <c r="N422" s="142" t="s">
        <v>1142</v>
      </c>
      <c r="O422" s="142" t="s">
        <v>1142</v>
      </c>
      <c r="P422" s="142" t="s">
        <v>1142</v>
      </c>
      <c r="Q422" s="142" t="s">
        <v>1142</v>
      </c>
    </row>
    <row r="423" spans="9:17" ht="29">
      <c r="I423" s="144">
        <f t="shared" si="159"/>
        <v>280</v>
      </c>
      <c r="J423" s="142" t="s">
        <v>1143</v>
      </c>
      <c r="K423" s="142" t="s">
        <v>1143</v>
      </c>
      <c r="L423" s="142" t="s">
        <v>1143</v>
      </c>
      <c r="M423" s="142" t="s">
        <v>1143</v>
      </c>
      <c r="N423" s="142" t="s">
        <v>1143</v>
      </c>
      <c r="O423" s="142" t="s">
        <v>1143</v>
      </c>
      <c r="P423" s="142" t="s">
        <v>1143</v>
      </c>
      <c r="Q423" s="142" t="s">
        <v>1143</v>
      </c>
    </row>
    <row r="424" spans="9:17">
      <c r="I424" s="144">
        <f t="shared" si="159"/>
        <v>281</v>
      </c>
      <c r="J424" s="142" t="s">
        <v>1144</v>
      </c>
      <c r="K424" s="142" t="s">
        <v>1144</v>
      </c>
      <c r="L424" s="142" t="s">
        <v>1144</v>
      </c>
      <c r="M424" s="142"/>
      <c r="N424" s="142"/>
      <c r="O424" s="142"/>
      <c r="P424" s="142"/>
      <c r="Q424" s="142"/>
    </row>
    <row r="425" spans="9:17">
      <c r="I425" s="144">
        <f t="shared" si="159"/>
        <v>282</v>
      </c>
      <c r="J425" s="142" t="s">
        <v>1145</v>
      </c>
      <c r="K425" s="142" t="s">
        <v>1145</v>
      </c>
      <c r="L425" s="142" t="s">
        <v>1145</v>
      </c>
      <c r="M425" s="142" t="s">
        <v>1145</v>
      </c>
      <c r="N425" s="142" t="s">
        <v>1145</v>
      </c>
      <c r="O425" s="142" t="s">
        <v>1145</v>
      </c>
      <c r="P425" s="142" t="s">
        <v>1145</v>
      </c>
      <c r="Q425" s="142" t="s">
        <v>1145</v>
      </c>
    </row>
    <row r="426" spans="9:17" ht="43.5">
      <c r="I426" s="144">
        <f t="shared" si="159"/>
        <v>283</v>
      </c>
      <c r="J426" s="142" t="s">
        <v>1146</v>
      </c>
      <c r="K426" s="142" t="s">
        <v>1146</v>
      </c>
      <c r="L426" s="142" t="s">
        <v>1146</v>
      </c>
      <c r="M426" s="142" t="s">
        <v>1146</v>
      </c>
      <c r="N426" s="142" t="s">
        <v>1146</v>
      </c>
      <c r="O426" s="142"/>
      <c r="P426" s="142" t="s">
        <v>1146</v>
      </c>
      <c r="Q426" s="142" t="s">
        <v>1146</v>
      </c>
    </row>
    <row r="427" spans="9:17">
      <c r="I427" s="144">
        <f t="shared" si="159"/>
        <v>284</v>
      </c>
      <c r="J427" s="142" t="s">
        <v>1147</v>
      </c>
      <c r="K427" s="142" t="s">
        <v>1147</v>
      </c>
      <c r="L427" s="142" t="s">
        <v>1147</v>
      </c>
      <c r="M427" s="142" t="s">
        <v>1147</v>
      </c>
      <c r="N427" s="142" t="s">
        <v>1147</v>
      </c>
      <c r="O427" s="142"/>
      <c r="P427" s="142" t="s">
        <v>1147</v>
      </c>
      <c r="Q427" s="142" t="s">
        <v>1147</v>
      </c>
    </row>
    <row r="428" spans="9:17" ht="29">
      <c r="I428" s="144">
        <f t="shared" si="159"/>
        <v>285</v>
      </c>
      <c r="J428" s="142" t="s">
        <v>1148</v>
      </c>
      <c r="K428" s="142" t="s">
        <v>1148</v>
      </c>
      <c r="L428" s="142" t="s">
        <v>1148</v>
      </c>
      <c r="M428" s="142" t="s">
        <v>1148</v>
      </c>
      <c r="N428" s="142" t="s">
        <v>1148</v>
      </c>
      <c r="O428" s="142" t="s">
        <v>1148</v>
      </c>
      <c r="P428" s="142" t="s">
        <v>1148</v>
      </c>
      <c r="Q428" s="142" t="s">
        <v>1148</v>
      </c>
    </row>
    <row r="429" spans="9:17" ht="43.5">
      <c r="I429" s="144">
        <f t="shared" si="159"/>
        <v>286</v>
      </c>
      <c r="J429" s="142" t="s">
        <v>1149</v>
      </c>
      <c r="K429" s="142" t="s">
        <v>1149</v>
      </c>
      <c r="L429" s="142" t="s">
        <v>1149</v>
      </c>
      <c r="M429" s="142" t="s">
        <v>1149</v>
      </c>
      <c r="N429" s="142" t="s">
        <v>1149</v>
      </c>
      <c r="O429" s="142" t="s">
        <v>1149</v>
      </c>
      <c r="P429" s="142" t="s">
        <v>1149</v>
      </c>
      <c r="Q429" s="142" t="s">
        <v>1149</v>
      </c>
    </row>
    <row r="430" spans="9:17">
      <c r="I430" s="144">
        <f t="shared" si="159"/>
        <v>287</v>
      </c>
      <c r="J430" s="142" t="s">
        <v>1150</v>
      </c>
      <c r="K430" s="142" t="s">
        <v>1150</v>
      </c>
      <c r="L430" s="142" t="s">
        <v>1150</v>
      </c>
      <c r="M430" s="142" t="s">
        <v>1150</v>
      </c>
      <c r="N430" s="142" t="s">
        <v>1150</v>
      </c>
      <c r="O430" s="142" t="s">
        <v>1150</v>
      </c>
      <c r="P430" s="142" t="s">
        <v>1150</v>
      </c>
      <c r="Q430" s="142" t="s">
        <v>1150</v>
      </c>
    </row>
    <row r="431" spans="9:17" ht="29">
      <c r="I431" s="144">
        <f t="shared" si="159"/>
        <v>288</v>
      </c>
      <c r="J431" s="142" t="s">
        <v>1151</v>
      </c>
      <c r="K431" s="142" t="s">
        <v>1151</v>
      </c>
      <c r="L431" s="142" t="s">
        <v>1151</v>
      </c>
      <c r="M431" s="142" t="s">
        <v>1151</v>
      </c>
      <c r="N431" s="142" t="s">
        <v>1151</v>
      </c>
      <c r="O431" s="142" t="s">
        <v>1151</v>
      </c>
      <c r="P431" s="142" t="s">
        <v>1151</v>
      </c>
      <c r="Q431" s="142" t="s">
        <v>1151</v>
      </c>
    </row>
    <row r="432" spans="9:17" ht="43.5">
      <c r="I432" s="144">
        <f t="shared" si="159"/>
        <v>289</v>
      </c>
      <c r="J432" s="142" t="s">
        <v>1152</v>
      </c>
      <c r="K432" s="142" t="s">
        <v>1152</v>
      </c>
      <c r="L432" s="142" t="s">
        <v>1152</v>
      </c>
      <c r="M432" s="142" t="s">
        <v>1152</v>
      </c>
      <c r="N432" s="142" t="s">
        <v>1152</v>
      </c>
      <c r="O432" s="142"/>
      <c r="P432" s="142" t="s">
        <v>1152</v>
      </c>
      <c r="Q432" s="142" t="s">
        <v>1152</v>
      </c>
    </row>
    <row r="433" spans="9:17" ht="35.5">
      <c r="I433" s="144">
        <f t="shared" si="159"/>
        <v>290</v>
      </c>
      <c r="J433" s="143" t="s">
        <v>1153</v>
      </c>
      <c r="K433" s="143" t="s">
        <v>1153</v>
      </c>
      <c r="L433" s="143" t="s">
        <v>1153</v>
      </c>
      <c r="M433" s="143" t="s">
        <v>1153</v>
      </c>
      <c r="N433" s="143" t="s">
        <v>1153</v>
      </c>
      <c r="O433" s="143" t="s">
        <v>1153</v>
      </c>
      <c r="P433" s="146" t="s">
        <v>1153</v>
      </c>
      <c r="Q433" s="146" t="s">
        <v>1153</v>
      </c>
    </row>
    <row r="434" spans="9:17">
      <c r="I434" s="144">
        <f t="shared" si="159"/>
        <v>291</v>
      </c>
      <c r="J434" s="142" t="s">
        <v>1154</v>
      </c>
      <c r="K434" s="142" t="s">
        <v>1154</v>
      </c>
      <c r="L434" s="142" t="s">
        <v>1154</v>
      </c>
      <c r="M434" s="142" t="s">
        <v>1154</v>
      </c>
      <c r="N434" s="142" t="s">
        <v>1154</v>
      </c>
      <c r="O434" s="142" t="s">
        <v>1154</v>
      </c>
      <c r="P434" s="142" t="s">
        <v>1154</v>
      </c>
      <c r="Q434" s="142" t="s">
        <v>1154</v>
      </c>
    </row>
    <row r="435" spans="9:17" ht="29">
      <c r="I435" s="144">
        <f t="shared" si="159"/>
        <v>292</v>
      </c>
      <c r="J435" s="142" t="s">
        <v>1155</v>
      </c>
      <c r="K435" s="142" t="s">
        <v>1155</v>
      </c>
      <c r="L435" s="142" t="s">
        <v>1155</v>
      </c>
      <c r="M435" s="142" t="s">
        <v>1155</v>
      </c>
      <c r="N435" s="142" t="s">
        <v>1155</v>
      </c>
      <c r="O435" s="142" t="s">
        <v>1155</v>
      </c>
      <c r="P435" s="142" t="s">
        <v>1155</v>
      </c>
      <c r="Q435" s="142" t="s">
        <v>1155</v>
      </c>
    </row>
    <row r="436" spans="9:17" ht="43.5">
      <c r="I436" s="144">
        <f t="shared" si="159"/>
        <v>293</v>
      </c>
      <c r="J436" s="142" t="s">
        <v>1156</v>
      </c>
      <c r="K436" s="142" t="s">
        <v>1156</v>
      </c>
      <c r="L436" s="142" t="s">
        <v>1156</v>
      </c>
      <c r="M436" s="142" t="s">
        <v>1156</v>
      </c>
      <c r="N436" s="142" t="s">
        <v>1156</v>
      </c>
      <c r="O436" s="142" t="s">
        <v>1156</v>
      </c>
      <c r="P436" s="142" t="s">
        <v>1156</v>
      </c>
      <c r="Q436" s="142" t="s">
        <v>1156</v>
      </c>
    </row>
    <row r="437" spans="9:17">
      <c r="I437" s="144">
        <f t="shared" si="159"/>
        <v>294</v>
      </c>
      <c r="J437" s="142" t="s">
        <v>1157</v>
      </c>
      <c r="K437" s="142" t="s">
        <v>1157</v>
      </c>
      <c r="L437" s="142" t="s">
        <v>1157</v>
      </c>
      <c r="M437" s="142" t="s">
        <v>1157</v>
      </c>
      <c r="N437" s="142" t="s">
        <v>1157</v>
      </c>
      <c r="O437" s="142" t="s">
        <v>1157</v>
      </c>
      <c r="P437" s="142" t="s">
        <v>1157</v>
      </c>
      <c r="Q437" s="142" t="s">
        <v>1157</v>
      </c>
    </row>
    <row r="438" spans="9:17" ht="29">
      <c r="I438" s="144">
        <f t="shared" si="159"/>
        <v>295</v>
      </c>
      <c r="J438" s="142" t="s">
        <v>1158</v>
      </c>
      <c r="K438" s="142" t="s">
        <v>1158</v>
      </c>
      <c r="L438" s="142" t="s">
        <v>1158</v>
      </c>
      <c r="M438" s="142" t="s">
        <v>1158</v>
      </c>
      <c r="N438" s="142" t="s">
        <v>1158</v>
      </c>
      <c r="O438" s="142"/>
      <c r="P438" s="142" t="s">
        <v>1158</v>
      </c>
      <c r="Q438" s="142" t="s">
        <v>1158</v>
      </c>
    </row>
    <row r="439" spans="9:17">
      <c r="I439" s="144">
        <f t="shared" si="159"/>
        <v>296</v>
      </c>
      <c r="J439" s="142" t="s">
        <v>1159</v>
      </c>
      <c r="K439" s="142" t="s">
        <v>1159</v>
      </c>
      <c r="L439" s="142" t="s">
        <v>1159</v>
      </c>
      <c r="M439" s="142" t="s">
        <v>1159</v>
      </c>
      <c r="N439" s="142" t="s">
        <v>1159</v>
      </c>
      <c r="O439" s="142" t="s">
        <v>1159</v>
      </c>
      <c r="P439" s="142" t="s">
        <v>1159</v>
      </c>
      <c r="Q439" s="142" t="s">
        <v>1159</v>
      </c>
    </row>
    <row r="440" spans="9:17" ht="29">
      <c r="I440" s="144">
        <f t="shared" si="159"/>
        <v>297</v>
      </c>
      <c r="J440" s="142" t="s">
        <v>1160</v>
      </c>
      <c r="K440" s="142" t="s">
        <v>1160</v>
      </c>
      <c r="L440" s="142" t="s">
        <v>1160</v>
      </c>
      <c r="M440" s="142" t="s">
        <v>1160</v>
      </c>
      <c r="N440" s="142" t="s">
        <v>1160</v>
      </c>
      <c r="O440" s="142" t="s">
        <v>1160</v>
      </c>
      <c r="P440" s="142" t="s">
        <v>1160</v>
      </c>
      <c r="Q440" s="142" t="s">
        <v>1160</v>
      </c>
    </row>
    <row r="441" spans="9:17" ht="43.5">
      <c r="I441" s="144">
        <f t="shared" si="159"/>
        <v>298</v>
      </c>
      <c r="J441" s="142" t="s">
        <v>1161</v>
      </c>
      <c r="K441" s="142" t="s">
        <v>1161</v>
      </c>
      <c r="L441" s="142" t="s">
        <v>1161</v>
      </c>
      <c r="M441" s="142" t="s">
        <v>1161</v>
      </c>
      <c r="N441" s="142" t="s">
        <v>1161</v>
      </c>
      <c r="O441" s="142" t="s">
        <v>1161</v>
      </c>
      <c r="P441" s="142" t="s">
        <v>1161</v>
      </c>
      <c r="Q441" s="142" t="s">
        <v>1161</v>
      </c>
    </row>
    <row r="442" spans="9:17" ht="29">
      <c r="I442" s="144">
        <f t="shared" si="159"/>
        <v>299</v>
      </c>
      <c r="J442" s="142" t="s">
        <v>1162</v>
      </c>
      <c r="K442" s="142" t="s">
        <v>1162</v>
      </c>
      <c r="L442" s="142" t="s">
        <v>1162</v>
      </c>
      <c r="M442" s="142" t="s">
        <v>1162</v>
      </c>
      <c r="N442" s="142" t="s">
        <v>1162</v>
      </c>
      <c r="O442" s="142" t="s">
        <v>1162</v>
      </c>
      <c r="P442" s="142" t="s">
        <v>1162</v>
      </c>
      <c r="Q442" s="142" t="s">
        <v>1162</v>
      </c>
    </row>
    <row r="443" spans="9:17" ht="29">
      <c r="I443" s="144">
        <f t="shared" si="159"/>
        <v>300</v>
      </c>
      <c r="J443" s="142" t="s">
        <v>1163</v>
      </c>
      <c r="K443" s="142" t="s">
        <v>1163</v>
      </c>
      <c r="L443" s="142" t="s">
        <v>1163</v>
      </c>
      <c r="M443" s="142" t="s">
        <v>1163</v>
      </c>
      <c r="N443" s="142" t="s">
        <v>1163</v>
      </c>
      <c r="O443" s="142" t="s">
        <v>1163</v>
      </c>
      <c r="P443" s="142" t="s">
        <v>1163</v>
      </c>
      <c r="Q443" s="142" t="s">
        <v>1163</v>
      </c>
    </row>
    <row r="444" spans="9:17" ht="29">
      <c r="I444" s="144">
        <f t="shared" si="159"/>
        <v>301</v>
      </c>
      <c r="J444" s="142" t="s">
        <v>1164</v>
      </c>
      <c r="K444" s="142" t="s">
        <v>1164</v>
      </c>
      <c r="L444" s="142" t="s">
        <v>1164</v>
      </c>
      <c r="M444" s="142" t="s">
        <v>1164</v>
      </c>
      <c r="N444" s="142" t="s">
        <v>1164</v>
      </c>
      <c r="O444" s="142" t="s">
        <v>1164</v>
      </c>
      <c r="P444" s="142" t="s">
        <v>1164</v>
      </c>
      <c r="Q444" s="142" t="s">
        <v>1164</v>
      </c>
    </row>
    <row r="445" spans="9:17" ht="43.5">
      <c r="I445" s="144">
        <f t="shared" si="159"/>
        <v>302</v>
      </c>
      <c r="J445" s="142" t="s">
        <v>1165</v>
      </c>
      <c r="K445" s="142" t="s">
        <v>1165</v>
      </c>
      <c r="L445" s="142" t="s">
        <v>1165</v>
      </c>
      <c r="M445" s="142" t="s">
        <v>1165</v>
      </c>
      <c r="N445" s="142" t="s">
        <v>1165</v>
      </c>
      <c r="O445" s="142" t="s">
        <v>1165</v>
      </c>
      <c r="P445" s="142" t="s">
        <v>1165</v>
      </c>
      <c r="Q445" s="142" t="s">
        <v>1165</v>
      </c>
    </row>
    <row r="446" spans="9:17" ht="72.5">
      <c r="I446" s="144">
        <f t="shared" si="159"/>
        <v>303</v>
      </c>
      <c r="J446" s="142" t="s">
        <v>1166</v>
      </c>
      <c r="K446" s="142" t="s">
        <v>1166</v>
      </c>
      <c r="L446" s="142" t="s">
        <v>1166</v>
      </c>
      <c r="M446" s="142" t="s">
        <v>1166</v>
      </c>
      <c r="N446" s="142" t="s">
        <v>1166</v>
      </c>
      <c r="O446" s="142" t="s">
        <v>1166</v>
      </c>
      <c r="P446" s="142" t="s">
        <v>1166</v>
      </c>
      <c r="Q446" s="142" t="s">
        <v>1166</v>
      </c>
    </row>
    <row r="447" spans="9:17" ht="43.5">
      <c r="I447" s="144">
        <f t="shared" si="159"/>
        <v>304</v>
      </c>
      <c r="J447" s="142" t="s">
        <v>1167</v>
      </c>
      <c r="K447" s="142" t="s">
        <v>1167</v>
      </c>
      <c r="L447" s="142" t="s">
        <v>1167</v>
      </c>
      <c r="M447" s="142" t="s">
        <v>1167</v>
      </c>
      <c r="N447" s="142" t="s">
        <v>1167</v>
      </c>
      <c r="O447" s="142" t="s">
        <v>1167</v>
      </c>
      <c r="P447" s="142" t="s">
        <v>1167</v>
      </c>
      <c r="Q447" s="142" t="s">
        <v>1167</v>
      </c>
    </row>
    <row r="448" spans="9:17">
      <c r="I448" s="144">
        <f t="shared" si="159"/>
        <v>305</v>
      </c>
      <c r="J448" s="142" t="s">
        <v>1168</v>
      </c>
      <c r="K448" s="142" t="s">
        <v>1168</v>
      </c>
      <c r="L448" s="142" t="s">
        <v>1168</v>
      </c>
      <c r="M448" s="142" t="s">
        <v>1168</v>
      </c>
      <c r="N448" s="142" t="s">
        <v>1168</v>
      </c>
      <c r="O448" s="142" t="s">
        <v>1168</v>
      </c>
      <c r="P448" s="142" t="s">
        <v>1168</v>
      </c>
      <c r="Q448" s="142" t="s">
        <v>1168</v>
      </c>
    </row>
    <row r="449" spans="9:17">
      <c r="I449" s="144">
        <f t="shared" si="159"/>
        <v>306</v>
      </c>
      <c r="J449" s="142" t="s">
        <v>1169</v>
      </c>
      <c r="K449" s="142" t="s">
        <v>1169</v>
      </c>
      <c r="L449" s="142" t="s">
        <v>1169</v>
      </c>
      <c r="M449" s="142" t="s">
        <v>1169</v>
      </c>
      <c r="N449" s="142" t="s">
        <v>1169</v>
      </c>
      <c r="O449" s="142" t="s">
        <v>1169</v>
      </c>
      <c r="P449" s="142" t="s">
        <v>1169</v>
      </c>
      <c r="Q449" s="142" t="s">
        <v>1169</v>
      </c>
    </row>
    <row r="450" spans="9:17" ht="29">
      <c r="I450" s="144">
        <f t="shared" si="159"/>
        <v>307</v>
      </c>
      <c r="J450" s="142" t="s">
        <v>1170</v>
      </c>
      <c r="K450" s="142" t="s">
        <v>1170</v>
      </c>
      <c r="L450" s="142" t="s">
        <v>1170</v>
      </c>
      <c r="M450" s="142" t="s">
        <v>1170</v>
      </c>
      <c r="N450" s="142" t="s">
        <v>1170</v>
      </c>
      <c r="O450" s="142" t="s">
        <v>1170</v>
      </c>
      <c r="P450" s="142" t="s">
        <v>1170</v>
      </c>
      <c r="Q450" s="142" t="s">
        <v>1170</v>
      </c>
    </row>
    <row r="451" spans="9:17" ht="35.5">
      <c r="I451" s="144">
        <f t="shared" si="159"/>
        <v>308</v>
      </c>
      <c r="J451" s="143" t="s">
        <v>1171</v>
      </c>
      <c r="K451" s="143" t="s">
        <v>1171</v>
      </c>
      <c r="L451" s="143" t="s">
        <v>1171</v>
      </c>
      <c r="M451" s="143" t="s">
        <v>1171</v>
      </c>
      <c r="N451" s="143" t="s">
        <v>1171</v>
      </c>
      <c r="O451" s="143" t="s">
        <v>1171</v>
      </c>
      <c r="P451" s="146" t="s">
        <v>1171</v>
      </c>
      <c r="Q451" s="146" t="s">
        <v>1171</v>
      </c>
    </row>
    <row r="452" spans="9:17" ht="23">
      <c r="I452" s="144"/>
      <c r="J452" s="143"/>
      <c r="K452" s="143"/>
      <c r="L452" s="143"/>
      <c r="M452" s="143"/>
      <c r="N452" s="142" t="s">
        <v>1172</v>
      </c>
      <c r="O452" s="142" t="s">
        <v>1172</v>
      </c>
      <c r="P452" s="142" t="s">
        <v>1172</v>
      </c>
      <c r="Q452" s="142" t="s">
        <v>1172</v>
      </c>
    </row>
    <row r="453" spans="9:17">
      <c r="I453" s="144">
        <f>I451+1</f>
        <v>309</v>
      </c>
      <c r="J453" s="142" t="s">
        <v>1173</v>
      </c>
      <c r="K453" s="142" t="s">
        <v>1173</v>
      </c>
      <c r="L453" s="142" t="s">
        <v>1173</v>
      </c>
      <c r="M453" s="142" t="s">
        <v>1173</v>
      </c>
      <c r="N453" s="142" t="s">
        <v>1173</v>
      </c>
      <c r="O453" s="142" t="s">
        <v>1173</v>
      </c>
      <c r="P453" s="142" t="s">
        <v>1173</v>
      </c>
      <c r="Q453" s="142" t="s">
        <v>1173</v>
      </c>
    </row>
    <row r="454" spans="9:17" ht="29">
      <c r="I454" s="144">
        <f t="shared" si="159"/>
        <v>310</v>
      </c>
      <c r="J454" s="142" t="s">
        <v>1174</v>
      </c>
      <c r="K454" s="142" t="s">
        <v>1174</v>
      </c>
      <c r="L454" s="142" t="s">
        <v>1174</v>
      </c>
      <c r="M454" s="142" t="s">
        <v>1174</v>
      </c>
      <c r="N454" s="142" t="s">
        <v>1174</v>
      </c>
      <c r="O454" s="142" t="s">
        <v>1174</v>
      </c>
      <c r="P454" s="142" t="s">
        <v>1174</v>
      </c>
      <c r="Q454" s="142" t="s">
        <v>1174</v>
      </c>
    </row>
    <row r="455" spans="9:17">
      <c r="I455" s="144">
        <f t="shared" si="159"/>
        <v>311</v>
      </c>
      <c r="J455" s="142" t="s">
        <v>1175</v>
      </c>
      <c r="K455" s="142" t="s">
        <v>1175</v>
      </c>
      <c r="L455" s="142" t="s">
        <v>1175</v>
      </c>
      <c r="M455" s="142" t="s">
        <v>1175</v>
      </c>
      <c r="N455" s="142" t="s">
        <v>1175</v>
      </c>
      <c r="O455" s="142" t="s">
        <v>1175</v>
      </c>
      <c r="P455" s="142" t="s">
        <v>1175</v>
      </c>
      <c r="Q455" s="142" t="s">
        <v>1175</v>
      </c>
    </row>
    <row r="456" spans="9:17" ht="29">
      <c r="I456" s="144">
        <f t="shared" si="159"/>
        <v>312</v>
      </c>
      <c r="J456" s="142" t="s">
        <v>1176</v>
      </c>
      <c r="K456" s="142" t="s">
        <v>1176</v>
      </c>
      <c r="L456" s="142" t="s">
        <v>1176</v>
      </c>
      <c r="M456" s="142" t="s">
        <v>1176</v>
      </c>
      <c r="N456" s="142" t="s">
        <v>1176</v>
      </c>
      <c r="O456" s="142" t="s">
        <v>1176</v>
      </c>
      <c r="P456" s="142" t="s">
        <v>1176</v>
      </c>
      <c r="Q456" s="142" t="s">
        <v>1176</v>
      </c>
    </row>
    <row r="457" spans="9:17" ht="43.5">
      <c r="I457" s="144">
        <f t="shared" si="159"/>
        <v>313</v>
      </c>
      <c r="J457" s="142" t="s">
        <v>1177</v>
      </c>
      <c r="K457" s="142" t="s">
        <v>1177</v>
      </c>
      <c r="L457" s="142" t="s">
        <v>1177</v>
      </c>
      <c r="M457" s="142" t="s">
        <v>1177</v>
      </c>
      <c r="N457" s="142" t="s">
        <v>1177</v>
      </c>
      <c r="O457" s="142" t="s">
        <v>1177</v>
      </c>
      <c r="P457" s="142" t="s">
        <v>1177</v>
      </c>
      <c r="Q457" s="142" t="s">
        <v>1177</v>
      </c>
    </row>
    <row r="458" spans="9:17">
      <c r="I458" s="144">
        <f t="shared" si="159"/>
        <v>314</v>
      </c>
      <c r="J458" s="142" t="s">
        <v>1178</v>
      </c>
      <c r="K458" s="142" t="s">
        <v>1178</v>
      </c>
      <c r="L458" s="142" t="s">
        <v>1178</v>
      </c>
      <c r="M458" s="142" t="s">
        <v>1178</v>
      </c>
      <c r="N458" s="142" t="s">
        <v>1178</v>
      </c>
      <c r="O458" s="142" t="s">
        <v>1178</v>
      </c>
      <c r="P458" s="142" t="s">
        <v>1178</v>
      </c>
      <c r="Q458" s="142" t="s">
        <v>1178</v>
      </c>
    </row>
    <row r="459" spans="9:17" ht="29">
      <c r="I459" s="144">
        <f t="shared" si="159"/>
        <v>315</v>
      </c>
      <c r="J459" s="142" t="s">
        <v>1179</v>
      </c>
      <c r="K459" s="142" t="s">
        <v>1179</v>
      </c>
      <c r="L459" s="142" t="s">
        <v>1179</v>
      </c>
      <c r="M459" s="142" t="s">
        <v>1179</v>
      </c>
      <c r="N459" s="142" t="s">
        <v>1179</v>
      </c>
      <c r="O459" s="142" t="s">
        <v>1179</v>
      </c>
      <c r="P459" s="142" t="s">
        <v>1179</v>
      </c>
      <c r="Q459" s="142" t="s">
        <v>1179</v>
      </c>
    </row>
    <row r="460" spans="9:17">
      <c r="I460" s="144">
        <f t="shared" si="159"/>
        <v>316</v>
      </c>
      <c r="J460" s="142" t="s">
        <v>1180</v>
      </c>
      <c r="K460" s="142" t="s">
        <v>1180</v>
      </c>
      <c r="L460" s="142" t="s">
        <v>1180</v>
      </c>
      <c r="M460" s="142" t="s">
        <v>1180</v>
      </c>
      <c r="N460" s="142" t="s">
        <v>1180</v>
      </c>
      <c r="O460" s="142" t="s">
        <v>1180</v>
      </c>
      <c r="P460" s="142" t="s">
        <v>1180</v>
      </c>
      <c r="Q460" s="142" t="s">
        <v>1180</v>
      </c>
    </row>
    <row r="461" spans="9:17">
      <c r="I461" s="144">
        <f t="shared" si="159"/>
        <v>317</v>
      </c>
      <c r="J461" s="142" t="s">
        <v>1181</v>
      </c>
      <c r="K461" s="142" t="s">
        <v>1181</v>
      </c>
      <c r="L461" s="142" t="s">
        <v>1181</v>
      </c>
      <c r="M461" s="142" t="s">
        <v>1181</v>
      </c>
      <c r="N461" s="142" t="s">
        <v>1181</v>
      </c>
      <c r="O461" s="142" t="s">
        <v>1181</v>
      </c>
      <c r="P461" s="142" t="s">
        <v>1181</v>
      </c>
      <c r="Q461" s="142" t="s">
        <v>1181</v>
      </c>
    </row>
    <row r="462" spans="9:17" ht="29">
      <c r="I462" s="144">
        <f t="shared" si="159"/>
        <v>318</v>
      </c>
      <c r="J462" s="142" t="s">
        <v>1182</v>
      </c>
      <c r="K462" s="142" t="s">
        <v>1182</v>
      </c>
      <c r="L462" s="142" t="s">
        <v>1182</v>
      </c>
      <c r="M462" s="142" t="s">
        <v>1182</v>
      </c>
      <c r="N462" s="142" t="s">
        <v>1182</v>
      </c>
      <c r="O462" s="142" t="s">
        <v>1182</v>
      </c>
      <c r="P462" s="142" t="s">
        <v>1182</v>
      </c>
      <c r="Q462" s="142" t="s">
        <v>1182</v>
      </c>
    </row>
    <row r="463" spans="9:17" ht="29">
      <c r="I463" s="144">
        <f t="shared" si="159"/>
        <v>319</v>
      </c>
      <c r="J463" s="142" t="s">
        <v>1183</v>
      </c>
      <c r="K463" s="142" t="s">
        <v>1183</v>
      </c>
      <c r="L463" s="142" t="s">
        <v>1183</v>
      </c>
      <c r="M463" s="142" t="s">
        <v>1183</v>
      </c>
      <c r="N463" s="142" t="s">
        <v>1183</v>
      </c>
      <c r="O463" s="142" t="s">
        <v>1183</v>
      </c>
      <c r="P463" s="142" t="s">
        <v>1183</v>
      </c>
      <c r="Q463" s="142"/>
    </row>
    <row r="464" spans="9:17" ht="29">
      <c r="I464" s="144">
        <f t="shared" si="159"/>
        <v>320</v>
      </c>
      <c r="J464" s="142" t="s">
        <v>1184</v>
      </c>
      <c r="K464" s="142" t="s">
        <v>1184</v>
      </c>
      <c r="L464" s="142" t="s">
        <v>1184</v>
      </c>
      <c r="M464" s="142" t="s">
        <v>1184</v>
      </c>
      <c r="N464" s="142" t="s">
        <v>1184</v>
      </c>
      <c r="O464" s="142" t="s">
        <v>1184</v>
      </c>
      <c r="P464" s="142" t="s">
        <v>1184</v>
      </c>
      <c r="Q464" s="142" t="s">
        <v>1184</v>
      </c>
    </row>
    <row r="465" spans="9:17" ht="35.5">
      <c r="I465" s="144">
        <f t="shared" si="159"/>
        <v>321</v>
      </c>
      <c r="J465" s="143" t="s">
        <v>1185</v>
      </c>
      <c r="K465" s="143" t="s">
        <v>1185</v>
      </c>
      <c r="L465" s="143" t="s">
        <v>1185</v>
      </c>
      <c r="M465" s="143" t="s">
        <v>1185</v>
      </c>
      <c r="N465" s="143" t="s">
        <v>1185</v>
      </c>
      <c r="O465" s="143" t="s">
        <v>1185</v>
      </c>
      <c r="P465" s="146" t="s">
        <v>1185</v>
      </c>
      <c r="Q465" s="146" t="s">
        <v>1185</v>
      </c>
    </row>
    <row r="466" spans="9:17" ht="35.5">
      <c r="I466" s="144">
        <f t="shared" si="159"/>
        <v>322</v>
      </c>
      <c r="J466" s="142" t="s">
        <v>1186</v>
      </c>
      <c r="K466" s="142" t="s">
        <v>1186</v>
      </c>
      <c r="L466" s="142" t="s">
        <v>1186</v>
      </c>
      <c r="M466" s="142" t="s">
        <v>1187</v>
      </c>
      <c r="N466" s="142" t="s">
        <v>1186</v>
      </c>
      <c r="O466" s="142" t="s">
        <v>1186</v>
      </c>
      <c r="P466" s="142" t="s">
        <v>1186</v>
      </c>
      <c r="Q466" s="146"/>
    </row>
    <row r="467" spans="9:17" ht="29">
      <c r="I467" s="144">
        <f t="shared" ref="I467:I534" si="160">I466+1</f>
        <v>323</v>
      </c>
      <c r="J467" s="142" t="s">
        <v>1187</v>
      </c>
      <c r="K467" s="142" t="s">
        <v>1187</v>
      </c>
      <c r="L467" s="142" t="s">
        <v>1187</v>
      </c>
      <c r="M467" s="142"/>
      <c r="N467" s="142" t="s">
        <v>1187</v>
      </c>
      <c r="O467" s="142" t="s">
        <v>1187</v>
      </c>
      <c r="P467" s="142" t="s">
        <v>1187</v>
      </c>
      <c r="Q467" s="142" t="s">
        <v>1187</v>
      </c>
    </row>
    <row r="468" spans="9:17" ht="29">
      <c r="I468" s="144"/>
      <c r="J468" s="142"/>
      <c r="K468" s="142"/>
      <c r="L468" s="142"/>
      <c r="M468" s="142"/>
      <c r="N468" s="142"/>
      <c r="O468" s="142" t="s">
        <v>1188</v>
      </c>
      <c r="P468" s="142" t="s">
        <v>1188</v>
      </c>
      <c r="Q468" s="142" t="s">
        <v>1188</v>
      </c>
    </row>
    <row r="469" spans="9:17" ht="43.5">
      <c r="I469" s="144">
        <f>I467+1</f>
        <v>324</v>
      </c>
      <c r="J469" s="142" t="s">
        <v>1189</v>
      </c>
      <c r="K469" s="142" t="s">
        <v>1189</v>
      </c>
      <c r="L469" s="142" t="s">
        <v>1189</v>
      </c>
      <c r="M469" s="142" t="s">
        <v>1189</v>
      </c>
      <c r="N469" s="142" t="s">
        <v>1190</v>
      </c>
      <c r="O469" s="142" t="s">
        <v>1190</v>
      </c>
      <c r="P469" s="142" t="s">
        <v>1190</v>
      </c>
      <c r="Q469" s="142" t="s">
        <v>1190</v>
      </c>
    </row>
    <row r="470" spans="9:17" ht="43.5">
      <c r="I470" s="144"/>
      <c r="J470" s="142"/>
      <c r="K470" s="142"/>
      <c r="L470" s="142"/>
      <c r="M470" s="142"/>
      <c r="N470" s="142" t="s">
        <v>1189</v>
      </c>
      <c r="O470" s="142" t="s">
        <v>1189</v>
      </c>
      <c r="P470" s="142" t="s">
        <v>1189</v>
      </c>
      <c r="Q470" s="142" t="s">
        <v>1189</v>
      </c>
    </row>
    <row r="471" spans="9:17">
      <c r="I471" s="144">
        <f>I469+1</f>
        <v>325</v>
      </c>
      <c r="J471" s="142" t="s">
        <v>1191</v>
      </c>
      <c r="K471" s="142" t="s">
        <v>1191</v>
      </c>
      <c r="L471" s="142" t="s">
        <v>1191</v>
      </c>
      <c r="M471" s="142" t="s">
        <v>1191</v>
      </c>
      <c r="N471" s="142" t="s">
        <v>1191</v>
      </c>
      <c r="O471" s="142"/>
      <c r="P471" s="142" t="s">
        <v>1191</v>
      </c>
      <c r="Q471" s="142" t="s">
        <v>1191</v>
      </c>
    </row>
    <row r="472" spans="9:17">
      <c r="I472" s="144">
        <f t="shared" si="160"/>
        <v>326</v>
      </c>
      <c r="J472" s="142" t="s">
        <v>1192</v>
      </c>
      <c r="K472" s="142" t="s">
        <v>1192</v>
      </c>
      <c r="L472" s="142" t="s">
        <v>1192</v>
      </c>
      <c r="M472" s="142" t="s">
        <v>1192</v>
      </c>
      <c r="N472" s="142" t="s">
        <v>1192</v>
      </c>
      <c r="O472" s="142" t="s">
        <v>1192</v>
      </c>
      <c r="P472" s="142" t="s">
        <v>1192</v>
      </c>
      <c r="Q472" s="142" t="s">
        <v>1192</v>
      </c>
    </row>
    <row r="473" spans="9:17" ht="29">
      <c r="I473" s="144">
        <f t="shared" si="160"/>
        <v>327</v>
      </c>
      <c r="J473" s="142" t="s">
        <v>1193</v>
      </c>
      <c r="K473" s="142" t="s">
        <v>1193</v>
      </c>
      <c r="L473" s="142" t="s">
        <v>1193</v>
      </c>
      <c r="M473" s="142" t="s">
        <v>1193</v>
      </c>
      <c r="N473" s="142" t="s">
        <v>1193</v>
      </c>
      <c r="O473" s="142" t="s">
        <v>1193</v>
      </c>
      <c r="P473" s="142" t="s">
        <v>1193</v>
      </c>
      <c r="Q473" s="142" t="s">
        <v>1193</v>
      </c>
    </row>
    <row r="474" spans="9:17" ht="43.5">
      <c r="I474" s="144">
        <f t="shared" si="160"/>
        <v>328</v>
      </c>
      <c r="J474" s="142" t="s">
        <v>1194</v>
      </c>
      <c r="K474" s="142" t="s">
        <v>1194</v>
      </c>
      <c r="L474" s="142" t="s">
        <v>1194</v>
      </c>
      <c r="M474" s="142" t="s">
        <v>1194</v>
      </c>
      <c r="N474" s="142" t="s">
        <v>1194</v>
      </c>
      <c r="O474" s="142" t="s">
        <v>1194</v>
      </c>
      <c r="P474" s="142" t="s">
        <v>1194</v>
      </c>
      <c r="Q474" s="142" t="s">
        <v>1194</v>
      </c>
    </row>
    <row r="475" spans="9:17" ht="29">
      <c r="I475" s="144">
        <f t="shared" si="160"/>
        <v>329</v>
      </c>
      <c r="J475" s="142" t="s">
        <v>1195</v>
      </c>
      <c r="K475" s="142" t="s">
        <v>1195</v>
      </c>
      <c r="L475" s="142" t="s">
        <v>1195</v>
      </c>
      <c r="M475" s="142" t="s">
        <v>1195</v>
      </c>
      <c r="N475" s="142" t="s">
        <v>1196</v>
      </c>
      <c r="O475" s="142" t="s">
        <v>1195</v>
      </c>
      <c r="P475" s="142" t="s">
        <v>1195</v>
      </c>
      <c r="Q475" s="142" t="s">
        <v>1195</v>
      </c>
    </row>
    <row r="476" spans="9:17">
      <c r="I476" s="144">
        <f t="shared" si="160"/>
        <v>330</v>
      </c>
      <c r="J476" s="142" t="s">
        <v>1197</v>
      </c>
      <c r="K476" s="142" t="s">
        <v>1197</v>
      </c>
      <c r="L476" s="142" t="s">
        <v>1197</v>
      </c>
      <c r="M476" s="142" t="s">
        <v>1197</v>
      </c>
      <c r="N476" s="142" t="s">
        <v>1197</v>
      </c>
      <c r="O476" s="142" t="s">
        <v>1197</v>
      </c>
      <c r="P476" s="142" t="s">
        <v>1197</v>
      </c>
      <c r="Q476" s="142" t="s">
        <v>1197</v>
      </c>
    </row>
    <row r="477" spans="9:17">
      <c r="I477" s="144">
        <f t="shared" si="160"/>
        <v>331</v>
      </c>
      <c r="J477" s="142" t="s">
        <v>1198</v>
      </c>
      <c r="K477" s="142" t="s">
        <v>1198</v>
      </c>
      <c r="L477" s="142" t="s">
        <v>1198</v>
      </c>
      <c r="M477" s="142" t="s">
        <v>1198</v>
      </c>
      <c r="N477" s="142" t="s">
        <v>1198</v>
      </c>
      <c r="O477" s="142" t="s">
        <v>1198</v>
      </c>
      <c r="P477" s="142" t="s">
        <v>1198</v>
      </c>
      <c r="Q477" s="142" t="s">
        <v>1198</v>
      </c>
    </row>
    <row r="478" spans="9:17">
      <c r="I478" s="144">
        <f t="shared" si="160"/>
        <v>332</v>
      </c>
      <c r="J478" s="142" t="s">
        <v>1199</v>
      </c>
      <c r="K478" s="142" t="s">
        <v>1199</v>
      </c>
      <c r="L478" s="142" t="s">
        <v>1199</v>
      </c>
      <c r="M478" s="142" t="s">
        <v>1199</v>
      </c>
      <c r="N478" s="142" t="s">
        <v>1199</v>
      </c>
      <c r="O478" s="142" t="s">
        <v>1199</v>
      </c>
      <c r="P478" s="142" t="s">
        <v>1199</v>
      </c>
      <c r="Q478" s="142" t="s">
        <v>1199</v>
      </c>
    </row>
    <row r="479" spans="9:17">
      <c r="I479" s="144">
        <f t="shared" si="160"/>
        <v>333</v>
      </c>
      <c r="J479" s="142" t="s">
        <v>1200</v>
      </c>
      <c r="K479" s="142" t="s">
        <v>1200</v>
      </c>
      <c r="L479" s="142" t="s">
        <v>1200</v>
      </c>
      <c r="M479" s="142" t="s">
        <v>1200</v>
      </c>
      <c r="N479" s="142" t="s">
        <v>1200</v>
      </c>
      <c r="O479" s="142" t="s">
        <v>1200</v>
      </c>
      <c r="P479" s="142" t="s">
        <v>1200</v>
      </c>
      <c r="Q479" s="142" t="s">
        <v>1200</v>
      </c>
    </row>
    <row r="480" spans="9:17">
      <c r="I480" s="144">
        <f t="shared" si="160"/>
        <v>334</v>
      </c>
      <c r="J480" s="142" t="s">
        <v>1201</v>
      </c>
      <c r="K480" s="142" t="s">
        <v>1201</v>
      </c>
      <c r="L480" s="142" t="s">
        <v>1201</v>
      </c>
      <c r="M480" s="142" t="s">
        <v>1201</v>
      </c>
      <c r="N480" s="142" t="s">
        <v>1201</v>
      </c>
      <c r="O480" s="142" t="s">
        <v>1201</v>
      </c>
      <c r="P480" s="142" t="s">
        <v>1201</v>
      </c>
      <c r="Q480" s="142" t="s">
        <v>1201</v>
      </c>
    </row>
    <row r="481" spans="9:17" ht="29">
      <c r="I481" s="144">
        <f t="shared" si="160"/>
        <v>335</v>
      </c>
      <c r="J481" s="142" t="s">
        <v>1202</v>
      </c>
      <c r="K481" s="142" t="s">
        <v>1202</v>
      </c>
      <c r="L481" s="142" t="s">
        <v>1202</v>
      </c>
      <c r="M481" s="142" t="s">
        <v>1202</v>
      </c>
      <c r="N481" s="142" t="s">
        <v>1202</v>
      </c>
      <c r="O481" s="142" t="s">
        <v>1202</v>
      </c>
      <c r="P481" s="142" t="s">
        <v>1202</v>
      </c>
      <c r="Q481" s="142" t="s">
        <v>1202</v>
      </c>
    </row>
    <row r="482" spans="9:17" ht="58">
      <c r="I482" s="144">
        <f t="shared" si="160"/>
        <v>336</v>
      </c>
      <c r="J482" s="142" t="s">
        <v>1203</v>
      </c>
      <c r="K482" s="142" t="s">
        <v>1203</v>
      </c>
      <c r="L482" s="142" t="s">
        <v>1203</v>
      </c>
      <c r="M482" s="142" t="s">
        <v>1203</v>
      </c>
      <c r="N482" s="142" t="s">
        <v>1203</v>
      </c>
      <c r="O482" s="142" t="s">
        <v>1203</v>
      </c>
      <c r="P482" s="142" t="s">
        <v>1203</v>
      </c>
      <c r="Q482" s="142" t="s">
        <v>1203</v>
      </c>
    </row>
    <row r="483" spans="9:17">
      <c r="I483" s="144">
        <f t="shared" si="160"/>
        <v>337</v>
      </c>
      <c r="J483" s="142" t="s">
        <v>1204</v>
      </c>
      <c r="K483" s="142" t="s">
        <v>1204</v>
      </c>
      <c r="L483" s="142" t="s">
        <v>1204</v>
      </c>
      <c r="M483" s="142" t="s">
        <v>1204</v>
      </c>
      <c r="N483" s="142" t="s">
        <v>1204</v>
      </c>
      <c r="O483" s="142" t="s">
        <v>1204</v>
      </c>
      <c r="P483" s="142" t="s">
        <v>1204</v>
      </c>
      <c r="Q483" s="142" t="s">
        <v>1204</v>
      </c>
    </row>
    <row r="484" spans="9:17">
      <c r="I484" s="144">
        <f t="shared" si="160"/>
        <v>338</v>
      </c>
      <c r="J484" s="142" t="s">
        <v>1205</v>
      </c>
      <c r="K484" s="142" t="s">
        <v>1205</v>
      </c>
      <c r="L484" s="142" t="s">
        <v>1205</v>
      </c>
      <c r="M484" s="142" t="s">
        <v>1205</v>
      </c>
      <c r="N484" s="142" t="s">
        <v>1205</v>
      </c>
      <c r="O484" s="142" t="s">
        <v>1205</v>
      </c>
      <c r="P484" s="142" t="s">
        <v>1205</v>
      </c>
      <c r="Q484" s="142" t="s">
        <v>1205</v>
      </c>
    </row>
    <row r="485" spans="9:17" ht="29">
      <c r="I485" s="144">
        <f t="shared" si="160"/>
        <v>339</v>
      </c>
      <c r="J485" s="142" t="s">
        <v>1206</v>
      </c>
      <c r="K485" s="142" t="s">
        <v>1206</v>
      </c>
      <c r="L485" s="142" t="s">
        <v>1206</v>
      </c>
      <c r="M485" s="142" t="s">
        <v>1206</v>
      </c>
      <c r="N485" s="142" t="s">
        <v>1206</v>
      </c>
      <c r="O485" s="142" t="s">
        <v>1206</v>
      </c>
      <c r="P485" s="142" t="s">
        <v>1206</v>
      </c>
      <c r="Q485" s="142" t="s">
        <v>1206</v>
      </c>
    </row>
    <row r="486" spans="9:17" ht="29">
      <c r="I486" s="144">
        <f t="shared" si="160"/>
        <v>340</v>
      </c>
      <c r="J486" s="142" t="s">
        <v>1207</v>
      </c>
      <c r="K486" s="142" t="s">
        <v>1207</v>
      </c>
      <c r="L486" s="142" t="s">
        <v>1207</v>
      </c>
      <c r="M486" s="142" t="s">
        <v>1207</v>
      </c>
      <c r="N486" s="142" t="s">
        <v>1207</v>
      </c>
      <c r="O486" s="142" t="s">
        <v>1207</v>
      </c>
      <c r="P486" s="142" t="s">
        <v>1207</v>
      </c>
      <c r="Q486" s="142" t="s">
        <v>1207</v>
      </c>
    </row>
    <row r="487" spans="9:17" ht="29">
      <c r="I487" s="144">
        <f t="shared" si="160"/>
        <v>341</v>
      </c>
      <c r="J487" s="142" t="s">
        <v>1208</v>
      </c>
      <c r="K487" s="142" t="s">
        <v>1208</v>
      </c>
      <c r="L487" s="142" t="s">
        <v>1208</v>
      </c>
      <c r="M487" s="142" t="s">
        <v>1208</v>
      </c>
      <c r="N487" s="142" t="s">
        <v>1208</v>
      </c>
      <c r="O487" s="142" t="s">
        <v>1208</v>
      </c>
      <c r="P487" s="142" t="s">
        <v>1208</v>
      </c>
      <c r="Q487" s="142" t="s">
        <v>1208</v>
      </c>
    </row>
    <row r="488" spans="9:17" ht="29">
      <c r="I488" s="144">
        <f t="shared" si="160"/>
        <v>342</v>
      </c>
      <c r="J488" s="142" t="s">
        <v>1209</v>
      </c>
      <c r="K488" s="142" t="s">
        <v>1209</v>
      </c>
      <c r="L488" s="142" t="s">
        <v>1209</v>
      </c>
      <c r="M488" s="142" t="s">
        <v>1209</v>
      </c>
      <c r="N488" s="142" t="s">
        <v>1209</v>
      </c>
      <c r="O488" s="142" t="s">
        <v>1209</v>
      </c>
      <c r="P488" s="142" t="s">
        <v>1209</v>
      </c>
      <c r="Q488" s="142" t="s">
        <v>1209</v>
      </c>
    </row>
    <row r="489" spans="9:17" ht="29">
      <c r="I489" s="144">
        <f t="shared" si="160"/>
        <v>343</v>
      </c>
      <c r="J489" s="142" t="s">
        <v>1210</v>
      </c>
      <c r="K489" s="142" t="s">
        <v>1210</v>
      </c>
      <c r="L489" s="142" t="s">
        <v>1210</v>
      </c>
      <c r="M489" s="142" t="s">
        <v>1210</v>
      </c>
      <c r="N489" s="142" t="s">
        <v>1210</v>
      </c>
      <c r="O489" s="142" t="s">
        <v>1210</v>
      </c>
      <c r="P489" s="142" t="s">
        <v>1210</v>
      </c>
      <c r="Q489" s="142" t="s">
        <v>1210</v>
      </c>
    </row>
    <row r="490" spans="9:17" ht="35.5">
      <c r="I490" s="144">
        <f t="shared" si="160"/>
        <v>344</v>
      </c>
      <c r="J490" s="143" t="s">
        <v>1211</v>
      </c>
      <c r="K490" s="143" t="s">
        <v>1211</v>
      </c>
      <c r="L490" s="143" t="s">
        <v>1211</v>
      </c>
      <c r="M490" s="143" t="s">
        <v>1211</v>
      </c>
      <c r="N490" s="143" t="s">
        <v>1211</v>
      </c>
      <c r="O490" s="143" t="s">
        <v>1211</v>
      </c>
      <c r="P490" s="146" t="s">
        <v>1211</v>
      </c>
      <c r="Q490" s="146" t="s">
        <v>1211</v>
      </c>
    </row>
    <row r="491" spans="9:17" ht="29">
      <c r="I491" s="144">
        <f t="shared" si="160"/>
        <v>345</v>
      </c>
      <c r="J491" s="142" t="s">
        <v>1212</v>
      </c>
      <c r="K491" s="142" t="s">
        <v>1212</v>
      </c>
      <c r="L491" s="142" t="s">
        <v>1212</v>
      </c>
      <c r="M491" s="142" t="s">
        <v>1212</v>
      </c>
      <c r="N491" s="142" t="s">
        <v>1212</v>
      </c>
      <c r="O491" s="142" t="s">
        <v>1212</v>
      </c>
      <c r="P491" s="142" t="s">
        <v>1212</v>
      </c>
      <c r="Q491" s="142" t="s">
        <v>1212</v>
      </c>
    </row>
    <row r="492" spans="9:17" ht="29">
      <c r="I492" s="144">
        <f t="shared" si="160"/>
        <v>346</v>
      </c>
      <c r="J492" s="142" t="s">
        <v>1213</v>
      </c>
      <c r="K492" s="142" t="s">
        <v>1213</v>
      </c>
      <c r="L492" s="142" t="s">
        <v>1213</v>
      </c>
      <c r="M492" s="142" t="s">
        <v>1213</v>
      </c>
      <c r="N492" s="142" t="s">
        <v>1213</v>
      </c>
      <c r="O492" s="142" t="s">
        <v>1213</v>
      </c>
      <c r="P492" s="142" t="s">
        <v>1213</v>
      </c>
      <c r="Q492" s="142" t="s">
        <v>1213</v>
      </c>
    </row>
    <row r="493" spans="9:17" ht="29">
      <c r="I493" s="144">
        <f t="shared" si="160"/>
        <v>347</v>
      </c>
      <c r="J493" s="142" t="s">
        <v>1214</v>
      </c>
      <c r="K493" s="142" t="s">
        <v>1214</v>
      </c>
      <c r="L493" s="142" t="s">
        <v>1214</v>
      </c>
      <c r="M493" s="142" t="s">
        <v>1214</v>
      </c>
      <c r="N493" s="142" t="s">
        <v>1214</v>
      </c>
      <c r="O493" s="142" t="s">
        <v>1214</v>
      </c>
      <c r="P493" s="142" t="s">
        <v>1214</v>
      </c>
      <c r="Q493" s="142" t="s">
        <v>1214</v>
      </c>
    </row>
    <row r="494" spans="9:17" ht="29">
      <c r="I494" s="144">
        <f t="shared" si="160"/>
        <v>348</v>
      </c>
      <c r="J494" s="142" t="s">
        <v>1215</v>
      </c>
      <c r="K494" s="142" t="s">
        <v>1215</v>
      </c>
      <c r="L494" s="142" t="s">
        <v>1215</v>
      </c>
      <c r="M494" s="142" t="s">
        <v>1215</v>
      </c>
      <c r="N494" s="142" t="s">
        <v>1215</v>
      </c>
      <c r="O494" s="142" t="s">
        <v>1215</v>
      </c>
      <c r="P494" s="142" t="s">
        <v>1215</v>
      </c>
      <c r="Q494" s="142" t="s">
        <v>1215</v>
      </c>
    </row>
    <row r="495" spans="9:17" ht="29">
      <c r="I495" s="144">
        <f t="shared" si="160"/>
        <v>349</v>
      </c>
      <c r="J495" s="142" t="s">
        <v>1216</v>
      </c>
      <c r="K495" s="142" t="s">
        <v>1216</v>
      </c>
      <c r="L495" s="142" t="s">
        <v>1216</v>
      </c>
      <c r="M495" s="142" t="s">
        <v>1216</v>
      </c>
      <c r="N495" s="142" t="s">
        <v>1216</v>
      </c>
      <c r="O495" s="142" t="s">
        <v>1216</v>
      </c>
      <c r="P495" s="142" t="s">
        <v>1216</v>
      </c>
      <c r="Q495" s="142" t="s">
        <v>1216</v>
      </c>
    </row>
    <row r="496" spans="9:17" ht="29">
      <c r="I496" s="144">
        <f t="shared" si="160"/>
        <v>350</v>
      </c>
      <c r="J496" s="142" t="s">
        <v>1217</v>
      </c>
      <c r="K496" s="142" t="s">
        <v>1217</v>
      </c>
      <c r="L496" s="142" t="s">
        <v>1217</v>
      </c>
      <c r="M496" s="142" t="s">
        <v>1217</v>
      </c>
      <c r="N496" s="142" t="s">
        <v>1217</v>
      </c>
      <c r="O496" s="142" t="s">
        <v>1217</v>
      </c>
      <c r="P496" s="142" t="s">
        <v>1217</v>
      </c>
      <c r="Q496" s="142" t="s">
        <v>1217</v>
      </c>
    </row>
    <row r="497" spans="9:17" ht="29">
      <c r="I497" s="144">
        <f t="shared" si="160"/>
        <v>351</v>
      </c>
      <c r="J497" s="142" t="s">
        <v>1218</v>
      </c>
      <c r="K497" s="142" t="s">
        <v>1218</v>
      </c>
      <c r="L497" s="142" t="s">
        <v>1218</v>
      </c>
      <c r="M497" s="142" t="s">
        <v>1218</v>
      </c>
      <c r="N497" s="142" t="s">
        <v>1218</v>
      </c>
      <c r="O497" s="142" t="s">
        <v>1218</v>
      </c>
      <c r="P497" s="142" t="s">
        <v>1218</v>
      </c>
      <c r="Q497" s="142" t="s">
        <v>1218</v>
      </c>
    </row>
    <row r="498" spans="9:17" ht="29">
      <c r="I498" s="144"/>
      <c r="J498" s="142"/>
      <c r="K498" s="142"/>
      <c r="L498" s="142"/>
      <c r="M498" s="142"/>
      <c r="N498" s="142"/>
      <c r="O498" s="142"/>
      <c r="P498" s="142"/>
      <c r="Q498" s="142" t="s">
        <v>1219</v>
      </c>
    </row>
    <row r="499" spans="9:17" ht="29">
      <c r="I499" s="144">
        <f>I497+1</f>
        <v>352</v>
      </c>
      <c r="J499" s="142" t="s">
        <v>1220</v>
      </c>
      <c r="K499" s="142" t="s">
        <v>1220</v>
      </c>
      <c r="L499" s="142" t="s">
        <v>1220</v>
      </c>
      <c r="M499" s="142" t="s">
        <v>1220</v>
      </c>
      <c r="N499" s="142" t="s">
        <v>1220</v>
      </c>
      <c r="O499" s="142" t="s">
        <v>1220</v>
      </c>
      <c r="P499" s="142" t="s">
        <v>1220</v>
      </c>
      <c r="Q499" s="142" t="s">
        <v>1220</v>
      </c>
    </row>
    <row r="500" spans="9:17" ht="29">
      <c r="I500" s="144">
        <f t="shared" si="160"/>
        <v>353</v>
      </c>
      <c r="J500" s="142" t="s">
        <v>1221</v>
      </c>
      <c r="K500" s="142"/>
      <c r="L500" s="142" t="s">
        <v>1222</v>
      </c>
      <c r="M500" s="142" t="s">
        <v>1222</v>
      </c>
      <c r="N500" s="142" t="s">
        <v>1222</v>
      </c>
      <c r="O500" s="142" t="s">
        <v>1222</v>
      </c>
      <c r="P500" s="142" t="s">
        <v>1222</v>
      </c>
      <c r="Q500" s="142" t="s">
        <v>1222</v>
      </c>
    </row>
    <row r="501" spans="9:17">
      <c r="I501" s="144">
        <f t="shared" si="160"/>
        <v>354</v>
      </c>
      <c r="J501" s="142" t="s">
        <v>1222</v>
      </c>
      <c r="K501" s="142" t="s">
        <v>1222</v>
      </c>
      <c r="L501" s="142" t="s">
        <v>1223</v>
      </c>
      <c r="M501" s="142" t="s">
        <v>1223</v>
      </c>
      <c r="N501" s="142" t="s">
        <v>1223</v>
      </c>
      <c r="O501" s="142" t="s">
        <v>1223</v>
      </c>
      <c r="P501" s="142" t="s">
        <v>1223</v>
      </c>
      <c r="Q501" s="142" t="s">
        <v>1223</v>
      </c>
    </row>
    <row r="502" spans="9:17" ht="29">
      <c r="I502" s="144">
        <f t="shared" si="160"/>
        <v>355</v>
      </c>
      <c r="J502" s="142" t="s">
        <v>1223</v>
      </c>
      <c r="K502" s="142" t="s">
        <v>1223</v>
      </c>
      <c r="L502" s="142" t="s">
        <v>1224</v>
      </c>
      <c r="M502" s="142" t="s">
        <v>1224</v>
      </c>
      <c r="N502" s="142" t="s">
        <v>1224</v>
      </c>
      <c r="O502" s="142" t="s">
        <v>1224</v>
      </c>
      <c r="P502" s="142" t="s">
        <v>1224</v>
      </c>
      <c r="Q502" s="142" t="s">
        <v>1224</v>
      </c>
    </row>
    <row r="503" spans="9:17" ht="29">
      <c r="I503" s="144">
        <f t="shared" si="160"/>
        <v>356</v>
      </c>
      <c r="J503" s="142" t="s">
        <v>1224</v>
      </c>
      <c r="K503" s="142" t="s">
        <v>1224</v>
      </c>
      <c r="L503" s="142" t="s">
        <v>1225</v>
      </c>
      <c r="M503" s="142" t="s">
        <v>1225</v>
      </c>
      <c r="N503" s="142" t="s">
        <v>1225</v>
      </c>
      <c r="O503" s="142" t="s">
        <v>1225</v>
      </c>
      <c r="P503" s="142" t="s">
        <v>1225</v>
      </c>
      <c r="Q503" s="142" t="s">
        <v>1225</v>
      </c>
    </row>
    <row r="504" spans="9:17" ht="29">
      <c r="I504" s="144">
        <f t="shared" si="160"/>
        <v>357</v>
      </c>
      <c r="J504" s="142" t="s">
        <v>1225</v>
      </c>
      <c r="K504" s="142" t="s">
        <v>1225</v>
      </c>
      <c r="L504" s="142" t="s">
        <v>1226</v>
      </c>
      <c r="M504" s="142" t="s">
        <v>1226</v>
      </c>
      <c r="N504" s="142" t="s">
        <v>1226</v>
      </c>
      <c r="O504" s="142" t="s">
        <v>1226</v>
      </c>
      <c r="P504" s="142" t="s">
        <v>1226</v>
      </c>
      <c r="Q504" s="142" t="s">
        <v>1226</v>
      </c>
    </row>
    <row r="505" spans="9:17" ht="29">
      <c r="I505" s="144">
        <f t="shared" si="160"/>
        <v>358</v>
      </c>
      <c r="J505" s="142" t="s">
        <v>1226</v>
      </c>
      <c r="K505" s="142" t="s">
        <v>1226</v>
      </c>
      <c r="L505" s="142" t="s">
        <v>1227</v>
      </c>
      <c r="M505" s="142" t="s">
        <v>1227</v>
      </c>
      <c r="N505" s="142" t="s">
        <v>1227</v>
      </c>
      <c r="O505" s="142" t="s">
        <v>1227</v>
      </c>
      <c r="P505" s="142" t="s">
        <v>1227</v>
      </c>
      <c r="Q505" s="142" t="s">
        <v>1227</v>
      </c>
    </row>
    <row r="506" spans="9:17" ht="43.5">
      <c r="I506" s="144">
        <f t="shared" si="160"/>
        <v>359</v>
      </c>
      <c r="J506" s="142" t="s">
        <v>1227</v>
      </c>
      <c r="K506" s="142" t="s">
        <v>1227</v>
      </c>
      <c r="L506" s="142" t="s">
        <v>1228</v>
      </c>
      <c r="M506" s="142" t="s">
        <v>1228</v>
      </c>
      <c r="N506" s="142" t="s">
        <v>1228</v>
      </c>
      <c r="O506" s="142" t="s">
        <v>1228</v>
      </c>
      <c r="P506" s="142" t="s">
        <v>1228</v>
      </c>
      <c r="Q506" s="142" t="s">
        <v>1228</v>
      </c>
    </row>
    <row r="507" spans="9:17" ht="58">
      <c r="I507" s="144">
        <f t="shared" si="160"/>
        <v>360</v>
      </c>
      <c r="J507" s="142" t="s">
        <v>1228</v>
      </c>
      <c r="K507" s="142" t="s">
        <v>1228</v>
      </c>
      <c r="L507" s="142" t="s">
        <v>1229</v>
      </c>
      <c r="M507" s="142" t="s">
        <v>1229</v>
      </c>
      <c r="N507" s="142" t="s">
        <v>1229</v>
      </c>
      <c r="O507" s="142" t="s">
        <v>1229</v>
      </c>
      <c r="P507" s="142" t="s">
        <v>1229</v>
      </c>
      <c r="Q507" s="142" t="s">
        <v>1229</v>
      </c>
    </row>
    <row r="508" spans="9:17" ht="72.5">
      <c r="I508" s="144">
        <f t="shared" si="160"/>
        <v>361</v>
      </c>
      <c r="J508" s="142" t="s">
        <v>1229</v>
      </c>
      <c r="K508" s="142" t="s">
        <v>1229</v>
      </c>
      <c r="L508" s="142" t="s">
        <v>1230</v>
      </c>
      <c r="M508" s="142" t="s">
        <v>1230</v>
      </c>
      <c r="N508" s="142" t="s">
        <v>1230</v>
      </c>
      <c r="O508" s="142" t="s">
        <v>1230</v>
      </c>
      <c r="P508" s="142" t="s">
        <v>1230</v>
      </c>
      <c r="Q508" s="142" t="s">
        <v>1230</v>
      </c>
    </row>
    <row r="509" spans="9:17" ht="72.5">
      <c r="I509" s="144">
        <f t="shared" si="160"/>
        <v>362</v>
      </c>
      <c r="J509" s="142" t="s">
        <v>1230</v>
      </c>
      <c r="K509" s="142" t="s">
        <v>1230</v>
      </c>
      <c r="L509" s="142"/>
      <c r="M509" s="142"/>
      <c r="N509" s="142"/>
      <c r="O509" s="142"/>
      <c r="P509" s="142"/>
      <c r="Q509" s="142"/>
    </row>
    <row r="510" spans="9:17" ht="29">
      <c r="I510" s="144">
        <f t="shared" si="160"/>
        <v>363</v>
      </c>
      <c r="J510" s="142" t="s">
        <v>1231</v>
      </c>
      <c r="K510" s="142" t="s">
        <v>1231</v>
      </c>
      <c r="L510" s="142" t="s">
        <v>1231</v>
      </c>
      <c r="M510" s="142" t="s">
        <v>1231</v>
      </c>
      <c r="N510" s="142" t="s">
        <v>1231</v>
      </c>
      <c r="O510" s="142" t="s">
        <v>1231</v>
      </c>
      <c r="P510" s="142" t="s">
        <v>1231</v>
      </c>
      <c r="Q510" s="142" t="s">
        <v>1231</v>
      </c>
    </row>
    <row r="511" spans="9:17">
      <c r="I511" s="144">
        <f t="shared" si="160"/>
        <v>364</v>
      </c>
      <c r="J511" s="142" t="s">
        <v>1232</v>
      </c>
      <c r="K511" s="142" t="s">
        <v>1232</v>
      </c>
      <c r="L511" s="142" t="s">
        <v>1232</v>
      </c>
      <c r="M511" s="142" t="s">
        <v>1232</v>
      </c>
      <c r="N511" s="142" t="s">
        <v>1232</v>
      </c>
      <c r="O511" s="142" t="s">
        <v>1232</v>
      </c>
      <c r="P511" s="142" t="s">
        <v>1232</v>
      </c>
      <c r="Q511" s="142" t="s">
        <v>1232</v>
      </c>
    </row>
    <row r="512" spans="9:17" ht="29">
      <c r="I512" s="144">
        <f t="shared" si="160"/>
        <v>365</v>
      </c>
      <c r="J512" s="142" t="s">
        <v>1233</v>
      </c>
      <c r="K512" s="142" t="s">
        <v>1233</v>
      </c>
      <c r="L512" s="142" t="s">
        <v>1233</v>
      </c>
      <c r="M512" s="142" t="s">
        <v>1233</v>
      </c>
      <c r="N512" s="142" t="s">
        <v>1233</v>
      </c>
      <c r="O512" s="142"/>
      <c r="P512" s="142" t="s">
        <v>1233</v>
      </c>
      <c r="Q512" s="142" t="s">
        <v>1233</v>
      </c>
    </row>
    <row r="513" spans="9:17" ht="29">
      <c r="I513" s="144">
        <f t="shared" si="160"/>
        <v>366</v>
      </c>
      <c r="J513" s="142" t="s">
        <v>1234</v>
      </c>
      <c r="K513" s="142" t="s">
        <v>1234</v>
      </c>
      <c r="L513" s="142" t="s">
        <v>1234</v>
      </c>
      <c r="M513" s="142" t="s">
        <v>1234</v>
      </c>
      <c r="N513" s="142" t="s">
        <v>1234</v>
      </c>
      <c r="O513" s="142" t="s">
        <v>1234</v>
      </c>
      <c r="P513" s="142" t="s">
        <v>1234</v>
      </c>
      <c r="Q513" s="142" t="s">
        <v>1234</v>
      </c>
    </row>
    <row r="514" spans="9:17" ht="29">
      <c r="I514" s="144">
        <f t="shared" si="160"/>
        <v>367</v>
      </c>
      <c r="J514" s="142" t="s">
        <v>1235</v>
      </c>
      <c r="K514" s="142" t="s">
        <v>1235</v>
      </c>
      <c r="L514" s="142" t="s">
        <v>1235</v>
      </c>
      <c r="M514" s="142" t="s">
        <v>1235</v>
      </c>
      <c r="N514" s="142" t="s">
        <v>1235</v>
      </c>
      <c r="O514" s="142" t="s">
        <v>1235</v>
      </c>
      <c r="P514" s="142" t="s">
        <v>1235</v>
      </c>
      <c r="Q514" s="142" t="s">
        <v>1235</v>
      </c>
    </row>
    <row r="515" spans="9:17">
      <c r="I515" s="144">
        <f t="shared" si="160"/>
        <v>368</v>
      </c>
      <c r="J515" s="142" t="s">
        <v>1236</v>
      </c>
      <c r="K515" s="142" t="s">
        <v>1236</v>
      </c>
      <c r="L515" s="142" t="s">
        <v>1236</v>
      </c>
      <c r="M515" s="142" t="s">
        <v>1236</v>
      </c>
      <c r="N515" s="142" t="s">
        <v>1236</v>
      </c>
      <c r="O515" s="142" t="s">
        <v>1236</v>
      </c>
      <c r="P515" s="142" t="s">
        <v>1236</v>
      </c>
      <c r="Q515" s="142" t="s">
        <v>1236</v>
      </c>
    </row>
    <row r="516" spans="9:17" ht="29">
      <c r="I516" s="144">
        <f t="shared" si="160"/>
        <v>369</v>
      </c>
      <c r="J516" s="142" t="s">
        <v>1237</v>
      </c>
      <c r="K516" s="142" t="s">
        <v>1237</v>
      </c>
      <c r="L516" s="142" t="s">
        <v>1237</v>
      </c>
      <c r="M516" s="142" t="s">
        <v>1237</v>
      </c>
      <c r="N516" s="142" t="s">
        <v>1237</v>
      </c>
      <c r="O516" s="142" t="s">
        <v>1237</v>
      </c>
      <c r="P516" s="142" t="s">
        <v>1237</v>
      </c>
      <c r="Q516" s="142" t="s">
        <v>1237</v>
      </c>
    </row>
    <row r="517" spans="9:17" ht="29">
      <c r="I517" s="144">
        <f t="shared" si="160"/>
        <v>370</v>
      </c>
      <c r="J517" s="142" t="s">
        <v>1238</v>
      </c>
      <c r="K517" s="142" t="s">
        <v>1238</v>
      </c>
      <c r="L517" s="142" t="s">
        <v>1238</v>
      </c>
      <c r="M517" s="142" t="s">
        <v>1238</v>
      </c>
      <c r="N517" s="142" t="s">
        <v>1238</v>
      </c>
      <c r="O517" s="142" t="s">
        <v>1238</v>
      </c>
      <c r="P517" s="142" t="s">
        <v>1238</v>
      </c>
      <c r="Q517" s="142" t="s">
        <v>1238</v>
      </c>
    </row>
    <row r="518" spans="9:17" ht="29">
      <c r="I518" s="144">
        <f t="shared" si="160"/>
        <v>371</v>
      </c>
      <c r="J518" s="142" t="s">
        <v>1239</v>
      </c>
      <c r="K518" s="142" t="s">
        <v>1239</v>
      </c>
      <c r="L518" s="142" t="s">
        <v>1239</v>
      </c>
      <c r="M518" s="142" t="s">
        <v>1240</v>
      </c>
      <c r="N518" s="142" t="s">
        <v>1240</v>
      </c>
      <c r="O518" s="142" t="s">
        <v>1239</v>
      </c>
      <c r="P518" s="142" t="s">
        <v>1240</v>
      </c>
      <c r="Q518" s="142" t="s">
        <v>1240</v>
      </c>
    </row>
    <row r="519" spans="9:17" ht="29">
      <c r="I519" s="144">
        <f t="shared" si="160"/>
        <v>372</v>
      </c>
      <c r="J519" s="142" t="s">
        <v>1241</v>
      </c>
      <c r="K519" s="142" t="s">
        <v>1241</v>
      </c>
      <c r="L519" s="142" t="s">
        <v>1241</v>
      </c>
      <c r="M519" s="142" t="s">
        <v>1241</v>
      </c>
      <c r="N519" s="142" t="s">
        <v>1241</v>
      </c>
      <c r="O519" s="142" t="s">
        <v>1241</v>
      </c>
      <c r="P519" s="142" t="s">
        <v>1241</v>
      </c>
      <c r="Q519" s="142" t="s">
        <v>1241</v>
      </c>
    </row>
    <row r="520" spans="9:17" ht="29">
      <c r="I520" s="144">
        <f t="shared" si="160"/>
        <v>373</v>
      </c>
      <c r="J520" s="142" t="s">
        <v>1242</v>
      </c>
      <c r="K520" s="142" t="s">
        <v>1242</v>
      </c>
      <c r="L520" s="142" t="s">
        <v>1242</v>
      </c>
      <c r="M520" s="142" t="s">
        <v>1242</v>
      </c>
      <c r="N520" s="142" t="s">
        <v>1242</v>
      </c>
      <c r="O520" s="142"/>
      <c r="P520" s="142" t="s">
        <v>1242</v>
      </c>
      <c r="Q520" s="142" t="s">
        <v>1242</v>
      </c>
    </row>
    <row r="521" spans="9:17" ht="29">
      <c r="I521" s="144">
        <f t="shared" si="160"/>
        <v>374</v>
      </c>
      <c r="J521" s="142" t="s">
        <v>1243</v>
      </c>
      <c r="K521" s="142" t="s">
        <v>1243</v>
      </c>
      <c r="L521" s="142" t="s">
        <v>1243</v>
      </c>
      <c r="M521" s="142" t="s">
        <v>1243</v>
      </c>
      <c r="N521" s="142" t="s">
        <v>1243</v>
      </c>
      <c r="O521" s="142" t="s">
        <v>1243</v>
      </c>
      <c r="P521" s="142" t="s">
        <v>1243</v>
      </c>
      <c r="Q521" s="142" t="s">
        <v>1243</v>
      </c>
    </row>
    <row r="522" spans="9:17" ht="43.5">
      <c r="I522" s="144">
        <f t="shared" si="160"/>
        <v>375</v>
      </c>
      <c r="J522" s="142" t="s">
        <v>1244</v>
      </c>
      <c r="K522" s="142" t="s">
        <v>1244</v>
      </c>
      <c r="L522" s="142" t="s">
        <v>1244</v>
      </c>
      <c r="M522" s="142" t="s">
        <v>1244</v>
      </c>
      <c r="N522" s="142" t="s">
        <v>1244</v>
      </c>
      <c r="O522" s="142" t="s">
        <v>1244</v>
      </c>
      <c r="P522" s="142" t="s">
        <v>1244</v>
      </c>
      <c r="Q522" s="142" t="s">
        <v>1244</v>
      </c>
    </row>
    <row r="523" spans="9:17" ht="58">
      <c r="I523" s="144"/>
      <c r="J523" s="142"/>
      <c r="K523" s="142"/>
      <c r="L523" s="142"/>
      <c r="M523" s="142"/>
      <c r="N523" s="142" t="s">
        <v>1245</v>
      </c>
      <c r="O523" s="142" t="s">
        <v>1245</v>
      </c>
      <c r="P523" s="142" t="s">
        <v>1245</v>
      </c>
      <c r="Q523" s="142" t="s">
        <v>1245</v>
      </c>
    </row>
    <row r="524" spans="9:17" ht="43.5">
      <c r="I524" s="144">
        <f>I522+1</f>
        <v>376</v>
      </c>
      <c r="J524" s="142" t="s">
        <v>1246</v>
      </c>
      <c r="K524" s="142" t="s">
        <v>1246</v>
      </c>
      <c r="L524" s="142" t="s">
        <v>1246</v>
      </c>
      <c r="M524" s="142" t="s">
        <v>1246</v>
      </c>
      <c r="N524" s="142" t="s">
        <v>1246</v>
      </c>
      <c r="O524" s="142" t="s">
        <v>1246</v>
      </c>
      <c r="P524" s="142" t="s">
        <v>1246</v>
      </c>
      <c r="Q524" s="142" t="s">
        <v>1246</v>
      </c>
    </row>
    <row r="525" spans="9:17" ht="43.5">
      <c r="I525" s="144">
        <f t="shared" si="160"/>
        <v>377</v>
      </c>
      <c r="J525" s="142" t="s">
        <v>1247</v>
      </c>
      <c r="K525" s="142" t="s">
        <v>1247</v>
      </c>
      <c r="L525" s="142" t="s">
        <v>1247</v>
      </c>
      <c r="M525" s="142" t="s">
        <v>1247</v>
      </c>
      <c r="N525" s="142" t="s">
        <v>1247</v>
      </c>
      <c r="O525" s="142" t="s">
        <v>1247</v>
      </c>
      <c r="P525" s="142" t="s">
        <v>1247</v>
      </c>
      <c r="Q525" s="142" t="s">
        <v>1247</v>
      </c>
    </row>
    <row r="526" spans="9:17" ht="29">
      <c r="I526" s="144">
        <f t="shared" si="160"/>
        <v>378</v>
      </c>
      <c r="J526" s="142" t="s">
        <v>1248</v>
      </c>
      <c r="K526" s="142" t="s">
        <v>1248</v>
      </c>
      <c r="L526" s="142" t="s">
        <v>1248</v>
      </c>
      <c r="M526" s="142" t="s">
        <v>1248</v>
      </c>
      <c r="N526" s="142" t="s">
        <v>1248</v>
      </c>
      <c r="O526" s="142" t="s">
        <v>1248</v>
      </c>
      <c r="P526" s="142" t="s">
        <v>1248</v>
      </c>
      <c r="Q526" s="142" t="s">
        <v>1248</v>
      </c>
    </row>
    <row r="527" spans="9:17" ht="43.5">
      <c r="I527" s="144">
        <f t="shared" si="160"/>
        <v>379</v>
      </c>
      <c r="J527" s="142" t="s">
        <v>1249</v>
      </c>
      <c r="K527" s="142" t="s">
        <v>1249</v>
      </c>
      <c r="L527" s="142" t="s">
        <v>1249</v>
      </c>
      <c r="M527" s="142" t="s">
        <v>1249</v>
      </c>
      <c r="N527" s="142" t="s">
        <v>1249</v>
      </c>
      <c r="O527" s="142" t="s">
        <v>1249</v>
      </c>
      <c r="P527" s="142" t="s">
        <v>1249</v>
      </c>
      <c r="Q527" s="142" t="s">
        <v>1249</v>
      </c>
    </row>
    <row r="528" spans="9:17">
      <c r="I528" s="144">
        <f t="shared" si="160"/>
        <v>380</v>
      </c>
      <c r="J528" s="142" t="s">
        <v>1250</v>
      </c>
      <c r="K528" s="142" t="s">
        <v>1250</v>
      </c>
      <c r="L528" s="142" t="s">
        <v>1250</v>
      </c>
      <c r="M528" s="142" t="s">
        <v>1250</v>
      </c>
      <c r="N528" s="142" t="s">
        <v>1250</v>
      </c>
      <c r="O528" s="142" t="s">
        <v>1250</v>
      </c>
      <c r="P528" s="142" t="s">
        <v>1250</v>
      </c>
      <c r="Q528" s="142" t="s">
        <v>1250</v>
      </c>
    </row>
    <row r="529" spans="9:17" ht="58">
      <c r="I529" s="144">
        <f t="shared" si="160"/>
        <v>381</v>
      </c>
      <c r="J529" s="142" t="s">
        <v>1251</v>
      </c>
      <c r="K529" s="142" t="s">
        <v>1251</v>
      </c>
      <c r="L529" s="142" t="s">
        <v>1251</v>
      </c>
      <c r="M529" s="142" t="s">
        <v>1251</v>
      </c>
      <c r="N529" s="142" t="s">
        <v>1251</v>
      </c>
      <c r="O529" s="142" t="s">
        <v>1251</v>
      </c>
      <c r="P529" s="142" t="s">
        <v>1251</v>
      </c>
      <c r="Q529" s="142" t="s">
        <v>1251</v>
      </c>
    </row>
    <row r="530" spans="9:17" ht="29">
      <c r="I530" s="144">
        <f t="shared" si="160"/>
        <v>382</v>
      </c>
      <c r="J530" s="142" t="s">
        <v>1252</v>
      </c>
      <c r="K530" s="142" t="s">
        <v>1252</v>
      </c>
      <c r="L530" s="142" t="s">
        <v>1252</v>
      </c>
      <c r="M530" s="142" t="s">
        <v>1252</v>
      </c>
      <c r="N530" s="142" t="s">
        <v>1252</v>
      </c>
      <c r="O530" s="142" t="s">
        <v>1252</v>
      </c>
      <c r="P530" s="142" t="s">
        <v>1252</v>
      </c>
      <c r="Q530" s="142" t="s">
        <v>1252</v>
      </c>
    </row>
    <row r="531" spans="9:17" ht="43.5">
      <c r="I531" s="144">
        <f t="shared" si="160"/>
        <v>383</v>
      </c>
      <c r="J531" s="142" t="s">
        <v>1253</v>
      </c>
      <c r="K531" s="142" t="s">
        <v>1253</v>
      </c>
      <c r="L531" s="142" t="s">
        <v>1253</v>
      </c>
      <c r="M531" s="142" t="s">
        <v>1253</v>
      </c>
      <c r="N531" s="142" t="s">
        <v>1253</v>
      </c>
      <c r="O531" s="142" t="s">
        <v>1253</v>
      </c>
      <c r="P531" s="142" t="s">
        <v>1253</v>
      </c>
      <c r="Q531" s="142" t="s">
        <v>1253</v>
      </c>
    </row>
    <row r="532" spans="9:17" ht="43.5">
      <c r="I532" s="144">
        <f t="shared" si="160"/>
        <v>384</v>
      </c>
      <c r="J532" s="142" t="s">
        <v>1254</v>
      </c>
      <c r="K532" s="142" t="s">
        <v>1254</v>
      </c>
      <c r="L532" s="142" t="s">
        <v>1254</v>
      </c>
      <c r="M532" s="142" t="s">
        <v>1254</v>
      </c>
      <c r="N532" s="142" t="s">
        <v>1254</v>
      </c>
      <c r="O532" s="142" t="s">
        <v>1254</v>
      </c>
      <c r="P532" s="142" t="s">
        <v>1254</v>
      </c>
      <c r="Q532" s="142" t="s">
        <v>1254</v>
      </c>
    </row>
    <row r="533" spans="9:17" ht="29">
      <c r="I533" s="144">
        <f t="shared" si="160"/>
        <v>385</v>
      </c>
      <c r="J533" s="142" t="s">
        <v>1255</v>
      </c>
      <c r="K533" s="142" t="s">
        <v>1255</v>
      </c>
      <c r="L533" s="142" t="s">
        <v>1255</v>
      </c>
      <c r="M533" s="142" t="s">
        <v>1255</v>
      </c>
      <c r="N533" s="142" t="s">
        <v>1255</v>
      </c>
      <c r="O533" s="142"/>
      <c r="P533" s="142" t="s">
        <v>1255</v>
      </c>
      <c r="Q533" s="142" t="s">
        <v>1255</v>
      </c>
    </row>
    <row r="534" spans="9:17" ht="29">
      <c r="I534" s="144">
        <f t="shared" si="160"/>
        <v>386</v>
      </c>
      <c r="J534" s="142" t="s">
        <v>1256</v>
      </c>
      <c r="K534" s="142" t="s">
        <v>1256</v>
      </c>
      <c r="L534" s="142" t="s">
        <v>1256</v>
      </c>
      <c r="M534" s="142" t="s">
        <v>1256</v>
      </c>
      <c r="N534" s="142" t="s">
        <v>1256</v>
      </c>
      <c r="O534" s="142" t="s">
        <v>1256</v>
      </c>
      <c r="P534" s="142" t="s">
        <v>1256</v>
      </c>
      <c r="Q534" s="142" t="s">
        <v>1256</v>
      </c>
    </row>
    <row r="535" spans="9:17">
      <c r="I535" s="144">
        <f t="shared" ref="I535:I600" si="161">I534+1</f>
        <v>387</v>
      </c>
      <c r="J535" s="142" t="s">
        <v>1257</v>
      </c>
      <c r="K535" s="142" t="s">
        <v>1257</v>
      </c>
      <c r="L535" s="142" t="s">
        <v>1257</v>
      </c>
      <c r="M535" s="142" t="s">
        <v>1257</v>
      </c>
      <c r="N535" s="142" t="s">
        <v>1257</v>
      </c>
      <c r="O535" s="142" t="s">
        <v>1257</v>
      </c>
      <c r="P535" s="142" t="s">
        <v>1257</v>
      </c>
      <c r="Q535" s="142" t="s">
        <v>1257</v>
      </c>
    </row>
    <row r="536" spans="9:17">
      <c r="I536" s="144">
        <f t="shared" si="161"/>
        <v>388</v>
      </c>
      <c r="J536" s="142" t="s">
        <v>1258</v>
      </c>
      <c r="K536" s="142" t="s">
        <v>1258</v>
      </c>
      <c r="L536" s="142" t="s">
        <v>1258</v>
      </c>
      <c r="M536" s="142" t="s">
        <v>1258</v>
      </c>
      <c r="N536" s="142" t="s">
        <v>1258</v>
      </c>
      <c r="O536" s="142" t="s">
        <v>1258</v>
      </c>
      <c r="P536" s="142" t="s">
        <v>1258</v>
      </c>
      <c r="Q536" s="142" t="s">
        <v>1258</v>
      </c>
    </row>
    <row r="537" spans="9:17" ht="29">
      <c r="I537" s="144"/>
      <c r="J537" s="142"/>
      <c r="K537" s="142"/>
      <c r="L537" s="142"/>
      <c r="M537" s="142"/>
      <c r="N537" s="142"/>
      <c r="O537" s="142" t="s">
        <v>1259</v>
      </c>
      <c r="P537" s="142" t="s">
        <v>1259</v>
      </c>
      <c r="Q537" s="142" t="s">
        <v>1259</v>
      </c>
    </row>
    <row r="538" spans="9:17" ht="29">
      <c r="I538" s="144">
        <f>I536+1</f>
        <v>389</v>
      </c>
      <c r="J538" s="142" t="s">
        <v>1260</v>
      </c>
      <c r="K538" s="142" t="s">
        <v>1260</v>
      </c>
      <c r="L538" s="142" t="s">
        <v>1260</v>
      </c>
      <c r="M538" s="142" t="s">
        <v>1260</v>
      </c>
      <c r="N538" s="142" t="s">
        <v>1260</v>
      </c>
      <c r="O538" s="142" t="s">
        <v>1260</v>
      </c>
      <c r="P538" s="142" t="s">
        <v>1260</v>
      </c>
      <c r="Q538" s="142" t="s">
        <v>1260</v>
      </c>
    </row>
    <row r="539" spans="9:17">
      <c r="I539" s="144">
        <f t="shared" si="161"/>
        <v>390</v>
      </c>
      <c r="J539" s="142" t="s">
        <v>1261</v>
      </c>
      <c r="K539" s="142" t="s">
        <v>1261</v>
      </c>
      <c r="L539" s="142" t="s">
        <v>1261</v>
      </c>
      <c r="M539" s="142" t="s">
        <v>1261</v>
      </c>
      <c r="N539" s="142" t="s">
        <v>1261</v>
      </c>
      <c r="O539" s="142" t="s">
        <v>1261</v>
      </c>
      <c r="P539" s="142" t="s">
        <v>1261</v>
      </c>
      <c r="Q539" s="142" t="s">
        <v>1261</v>
      </c>
    </row>
    <row r="540" spans="9:17" ht="29">
      <c r="I540" s="144">
        <f t="shared" si="161"/>
        <v>391</v>
      </c>
      <c r="J540" s="142" t="s">
        <v>1262</v>
      </c>
      <c r="K540" s="142" t="s">
        <v>1262</v>
      </c>
      <c r="L540" s="142" t="s">
        <v>1262</v>
      </c>
      <c r="M540" s="142" t="s">
        <v>1262</v>
      </c>
      <c r="N540" s="142" t="s">
        <v>1262</v>
      </c>
      <c r="O540" s="142"/>
      <c r="P540" s="142" t="s">
        <v>1262</v>
      </c>
      <c r="Q540" s="142"/>
    </row>
    <row r="541" spans="9:17" ht="43.5">
      <c r="I541" s="144">
        <f t="shared" si="161"/>
        <v>392</v>
      </c>
      <c r="J541" s="142" t="s">
        <v>1263</v>
      </c>
      <c r="K541" s="142" t="s">
        <v>1263</v>
      </c>
      <c r="L541" s="142" t="s">
        <v>1263</v>
      </c>
      <c r="M541" s="142" t="s">
        <v>1263</v>
      </c>
      <c r="N541" s="142" t="s">
        <v>1263</v>
      </c>
      <c r="O541" s="142"/>
      <c r="P541" s="142" t="s">
        <v>1263</v>
      </c>
      <c r="Q541" s="142" t="s">
        <v>1263</v>
      </c>
    </row>
    <row r="542" spans="9:17" ht="43.5">
      <c r="I542" s="144">
        <f t="shared" si="161"/>
        <v>393</v>
      </c>
      <c r="J542" s="142" t="s">
        <v>1264</v>
      </c>
      <c r="K542" s="142" t="s">
        <v>1264</v>
      </c>
      <c r="L542" s="142" t="s">
        <v>1264</v>
      </c>
      <c r="M542" s="142" t="s">
        <v>1264</v>
      </c>
      <c r="N542" s="142" t="s">
        <v>1264</v>
      </c>
      <c r="O542" s="142" t="s">
        <v>1264</v>
      </c>
      <c r="P542" s="142" t="s">
        <v>1264</v>
      </c>
      <c r="Q542" s="142" t="s">
        <v>1264</v>
      </c>
    </row>
    <row r="543" spans="9:17" ht="58">
      <c r="I543" s="144">
        <f t="shared" si="161"/>
        <v>394</v>
      </c>
      <c r="J543" s="142" t="s">
        <v>1265</v>
      </c>
      <c r="K543" s="142" t="s">
        <v>1265</v>
      </c>
      <c r="L543" s="142" t="s">
        <v>1265</v>
      </c>
      <c r="M543" s="142" t="s">
        <v>1265</v>
      </c>
      <c r="N543" s="142" t="s">
        <v>1265</v>
      </c>
      <c r="O543" s="142" t="s">
        <v>1265</v>
      </c>
      <c r="P543" s="142" t="s">
        <v>1265</v>
      </c>
      <c r="Q543" s="142" t="s">
        <v>1265</v>
      </c>
    </row>
    <row r="544" spans="9:17">
      <c r="I544" s="144">
        <f t="shared" si="161"/>
        <v>395</v>
      </c>
      <c r="J544" s="142" t="s">
        <v>1266</v>
      </c>
      <c r="K544" s="142" t="s">
        <v>1266</v>
      </c>
      <c r="L544" s="142" t="s">
        <v>1266</v>
      </c>
      <c r="M544" s="142" t="s">
        <v>1266</v>
      </c>
      <c r="N544" s="142" t="s">
        <v>1266</v>
      </c>
      <c r="O544" s="142" t="s">
        <v>1266</v>
      </c>
      <c r="P544" s="142" t="s">
        <v>1266</v>
      </c>
      <c r="Q544" s="142" t="s">
        <v>1266</v>
      </c>
    </row>
    <row r="545" spans="9:17">
      <c r="I545" s="144">
        <f t="shared" si="161"/>
        <v>396</v>
      </c>
      <c r="J545" s="142" t="s">
        <v>1267</v>
      </c>
      <c r="K545" s="142" t="s">
        <v>1267</v>
      </c>
      <c r="L545" s="142" t="s">
        <v>1267</v>
      </c>
      <c r="M545" s="142" t="s">
        <v>1267</v>
      </c>
      <c r="N545" s="142" t="s">
        <v>1267</v>
      </c>
      <c r="O545" s="142" t="s">
        <v>1267</v>
      </c>
      <c r="P545" s="142" t="s">
        <v>1267</v>
      </c>
      <c r="Q545" s="142" t="s">
        <v>1267</v>
      </c>
    </row>
    <row r="546" spans="9:17" ht="43.5">
      <c r="I546" s="144">
        <f t="shared" si="161"/>
        <v>397</v>
      </c>
      <c r="J546" s="142" t="s">
        <v>1268</v>
      </c>
      <c r="K546" s="142" t="s">
        <v>1268</v>
      </c>
      <c r="L546" s="142" t="s">
        <v>1268</v>
      </c>
      <c r="M546" s="142" t="s">
        <v>1268</v>
      </c>
      <c r="N546" s="142" t="s">
        <v>1268</v>
      </c>
      <c r="O546" s="142" t="s">
        <v>1268</v>
      </c>
      <c r="P546" s="142" t="s">
        <v>1268</v>
      </c>
      <c r="Q546" s="142" t="s">
        <v>1268</v>
      </c>
    </row>
    <row r="547" spans="9:17" ht="29">
      <c r="I547" s="144">
        <f t="shared" si="161"/>
        <v>398</v>
      </c>
      <c r="J547" s="142" t="s">
        <v>1269</v>
      </c>
      <c r="K547" s="142" t="s">
        <v>1269</v>
      </c>
      <c r="L547" s="142" t="s">
        <v>1269</v>
      </c>
      <c r="M547" s="142" t="s">
        <v>1269</v>
      </c>
      <c r="N547" s="142" t="s">
        <v>1269</v>
      </c>
      <c r="O547" s="142" t="s">
        <v>1269</v>
      </c>
      <c r="P547" s="142" t="s">
        <v>1269</v>
      </c>
      <c r="Q547" s="142" t="s">
        <v>1269</v>
      </c>
    </row>
    <row r="548" spans="9:17" ht="29">
      <c r="I548" s="144">
        <f t="shared" si="161"/>
        <v>399</v>
      </c>
      <c r="J548" s="142" t="s">
        <v>1270</v>
      </c>
      <c r="K548" s="142" t="s">
        <v>1270</v>
      </c>
      <c r="L548" s="142" t="s">
        <v>1270</v>
      </c>
      <c r="M548" s="142" t="s">
        <v>1270</v>
      </c>
      <c r="N548" s="142" t="s">
        <v>1270</v>
      </c>
      <c r="O548" s="142" t="s">
        <v>1270</v>
      </c>
      <c r="P548" s="142" t="s">
        <v>1270</v>
      </c>
      <c r="Q548" s="142" t="s">
        <v>1270</v>
      </c>
    </row>
    <row r="549" spans="9:17" ht="43.5">
      <c r="I549" s="144">
        <f t="shared" si="161"/>
        <v>400</v>
      </c>
      <c r="J549" s="142" t="s">
        <v>1271</v>
      </c>
      <c r="K549" s="142" t="s">
        <v>1271</v>
      </c>
      <c r="L549" s="142" t="s">
        <v>1271</v>
      </c>
      <c r="M549" s="142" t="s">
        <v>1271</v>
      </c>
      <c r="N549" s="142" t="s">
        <v>1271</v>
      </c>
      <c r="O549" s="142"/>
      <c r="P549" s="142"/>
      <c r="Q549" s="142"/>
    </row>
    <row r="550" spans="9:17" ht="29">
      <c r="I550" s="144">
        <f t="shared" si="161"/>
        <v>401</v>
      </c>
      <c r="J550" s="142" t="s">
        <v>1272</v>
      </c>
      <c r="K550" s="142" t="s">
        <v>1272</v>
      </c>
      <c r="L550" s="142" t="s">
        <v>1272</v>
      </c>
      <c r="M550" s="142" t="s">
        <v>1272</v>
      </c>
      <c r="N550" s="142" t="s">
        <v>1272</v>
      </c>
      <c r="O550" s="142" t="s">
        <v>1272</v>
      </c>
      <c r="P550" s="142" t="s">
        <v>1272</v>
      </c>
      <c r="Q550" s="142" t="s">
        <v>1272</v>
      </c>
    </row>
    <row r="551" spans="9:17" ht="29">
      <c r="I551" s="144">
        <f t="shared" si="161"/>
        <v>402</v>
      </c>
      <c r="J551" s="142" t="s">
        <v>1273</v>
      </c>
      <c r="K551" s="142" t="s">
        <v>1273</v>
      </c>
      <c r="L551" s="142" t="s">
        <v>1273</v>
      </c>
      <c r="M551" s="142" t="s">
        <v>1273</v>
      </c>
      <c r="N551" s="142" t="s">
        <v>1273</v>
      </c>
      <c r="O551" s="142" t="s">
        <v>1273</v>
      </c>
      <c r="P551" s="142" t="s">
        <v>1273</v>
      </c>
      <c r="Q551" s="142" t="s">
        <v>1273</v>
      </c>
    </row>
    <row r="552" spans="9:17" ht="29">
      <c r="I552" s="144">
        <f t="shared" si="161"/>
        <v>403</v>
      </c>
      <c r="J552" s="142" t="s">
        <v>1274</v>
      </c>
      <c r="K552" s="142" t="s">
        <v>1274</v>
      </c>
      <c r="L552" s="142" t="s">
        <v>1274</v>
      </c>
      <c r="M552" s="142" t="s">
        <v>1274</v>
      </c>
      <c r="N552" s="142" t="s">
        <v>1274</v>
      </c>
      <c r="O552" s="142" t="s">
        <v>1274</v>
      </c>
      <c r="P552" s="142" t="s">
        <v>1274</v>
      </c>
      <c r="Q552" s="142" t="s">
        <v>1274</v>
      </c>
    </row>
    <row r="553" spans="9:17" ht="29">
      <c r="I553" s="144">
        <f t="shared" si="161"/>
        <v>404</v>
      </c>
      <c r="J553" s="142" t="s">
        <v>1275</v>
      </c>
      <c r="K553" s="142" t="s">
        <v>1275</v>
      </c>
      <c r="L553" s="142" t="s">
        <v>1275</v>
      </c>
      <c r="M553" s="142" t="s">
        <v>1275</v>
      </c>
      <c r="N553" s="142" t="s">
        <v>1275</v>
      </c>
      <c r="O553" s="142" t="s">
        <v>1275</v>
      </c>
      <c r="P553" s="142" t="s">
        <v>1275</v>
      </c>
      <c r="Q553" s="142" t="s">
        <v>1275</v>
      </c>
    </row>
    <row r="554" spans="9:17" ht="29">
      <c r="I554" s="144">
        <f t="shared" si="161"/>
        <v>405</v>
      </c>
      <c r="J554" s="142" t="s">
        <v>1276</v>
      </c>
      <c r="K554" s="142" t="s">
        <v>1276</v>
      </c>
      <c r="L554" s="142" t="s">
        <v>1276</v>
      </c>
      <c r="M554" s="142" t="s">
        <v>1276</v>
      </c>
      <c r="N554" s="142" t="s">
        <v>1276</v>
      </c>
      <c r="O554" s="142" t="s">
        <v>1276</v>
      </c>
      <c r="P554" s="142" t="s">
        <v>1276</v>
      </c>
      <c r="Q554" s="142" t="s">
        <v>1276</v>
      </c>
    </row>
    <row r="555" spans="9:17">
      <c r="I555" s="144">
        <f t="shared" si="161"/>
        <v>406</v>
      </c>
      <c r="J555" s="142" t="s">
        <v>1277</v>
      </c>
      <c r="K555" s="142" t="s">
        <v>1277</v>
      </c>
      <c r="L555" s="142" t="s">
        <v>1277</v>
      </c>
      <c r="M555" s="142" t="s">
        <v>1277</v>
      </c>
      <c r="N555" s="142" t="s">
        <v>1277</v>
      </c>
      <c r="O555" s="142" t="s">
        <v>1277</v>
      </c>
      <c r="P555" s="142" t="s">
        <v>1277</v>
      </c>
      <c r="Q555" s="142" t="s">
        <v>1277</v>
      </c>
    </row>
    <row r="556" spans="9:17" ht="29">
      <c r="I556" s="144">
        <f t="shared" si="161"/>
        <v>407</v>
      </c>
      <c r="J556" s="142" t="s">
        <v>1278</v>
      </c>
      <c r="K556" s="142" t="s">
        <v>1278</v>
      </c>
      <c r="L556" s="142" t="s">
        <v>1278</v>
      </c>
      <c r="M556" s="142" t="s">
        <v>1278</v>
      </c>
      <c r="N556" s="142" t="s">
        <v>1278</v>
      </c>
      <c r="O556" s="142" t="s">
        <v>1278</v>
      </c>
      <c r="P556" s="142" t="s">
        <v>1278</v>
      </c>
      <c r="Q556" s="142" t="s">
        <v>1278</v>
      </c>
    </row>
    <row r="557" spans="9:17" ht="29">
      <c r="I557" s="144">
        <f t="shared" si="161"/>
        <v>408</v>
      </c>
      <c r="J557" s="142" t="s">
        <v>1279</v>
      </c>
      <c r="K557" s="142" t="s">
        <v>1279</v>
      </c>
      <c r="L557" s="142" t="s">
        <v>1279</v>
      </c>
      <c r="M557" s="142" t="s">
        <v>1279</v>
      </c>
      <c r="N557" s="142" t="s">
        <v>1279</v>
      </c>
      <c r="O557" s="142" t="s">
        <v>1279</v>
      </c>
      <c r="P557" s="142" t="s">
        <v>1279</v>
      </c>
      <c r="Q557" s="142" t="s">
        <v>1279</v>
      </c>
    </row>
    <row r="558" spans="9:17">
      <c r="I558" s="144">
        <f t="shared" si="161"/>
        <v>409</v>
      </c>
      <c r="J558" s="142" t="s">
        <v>1280</v>
      </c>
      <c r="K558" s="142"/>
      <c r="L558" s="142"/>
      <c r="M558" s="142"/>
      <c r="N558" s="142"/>
      <c r="O558" s="142"/>
      <c r="P558" s="142"/>
      <c r="Q558" s="142"/>
    </row>
    <row r="559" spans="9:17">
      <c r="I559" s="144">
        <f t="shared" si="161"/>
        <v>410</v>
      </c>
      <c r="J559" s="142" t="s">
        <v>1281</v>
      </c>
      <c r="K559" s="142" t="s">
        <v>1281</v>
      </c>
      <c r="L559" s="142" t="s">
        <v>1281</v>
      </c>
      <c r="M559" s="142" t="s">
        <v>1281</v>
      </c>
      <c r="N559" s="142" t="s">
        <v>1281</v>
      </c>
      <c r="O559" s="142" t="s">
        <v>1281</v>
      </c>
      <c r="P559" s="142" t="s">
        <v>1281</v>
      </c>
      <c r="Q559" s="142" t="s">
        <v>1281</v>
      </c>
    </row>
    <row r="560" spans="9:17">
      <c r="I560" s="144">
        <f t="shared" si="161"/>
        <v>411</v>
      </c>
      <c r="J560" s="142" t="s">
        <v>1282</v>
      </c>
      <c r="K560" s="142" t="s">
        <v>1282</v>
      </c>
      <c r="L560" s="142" t="s">
        <v>1282</v>
      </c>
      <c r="M560" s="142" t="s">
        <v>1282</v>
      </c>
      <c r="N560" s="142" t="s">
        <v>1282</v>
      </c>
      <c r="O560" s="142" t="s">
        <v>1282</v>
      </c>
      <c r="P560" s="142" t="s">
        <v>1282</v>
      </c>
      <c r="Q560" s="142" t="s">
        <v>1282</v>
      </c>
    </row>
    <row r="561" spans="9:17">
      <c r="I561" s="144">
        <f t="shared" si="161"/>
        <v>412</v>
      </c>
      <c r="J561" s="142" t="s">
        <v>1283</v>
      </c>
      <c r="K561" s="142" t="s">
        <v>1283</v>
      </c>
      <c r="L561" s="142" t="s">
        <v>1283</v>
      </c>
      <c r="M561" s="142" t="s">
        <v>1283</v>
      </c>
      <c r="N561" s="142" t="s">
        <v>1283</v>
      </c>
      <c r="O561" s="142" t="s">
        <v>1283</v>
      </c>
      <c r="P561" s="142" t="s">
        <v>1283</v>
      </c>
      <c r="Q561" s="142" t="s">
        <v>1283</v>
      </c>
    </row>
    <row r="562" spans="9:17" ht="29">
      <c r="I562" s="144">
        <f t="shared" si="161"/>
        <v>413</v>
      </c>
      <c r="J562" s="142" t="s">
        <v>1284</v>
      </c>
      <c r="K562" s="142" t="s">
        <v>1284</v>
      </c>
      <c r="L562" s="142" t="s">
        <v>1284</v>
      </c>
      <c r="M562" s="142" t="s">
        <v>1284</v>
      </c>
      <c r="N562" s="142" t="s">
        <v>1284</v>
      </c>
      <c r="O562" s="142" t="s">
        <v>1284</v>
      </c>
      <c r="P562" s="142" t="s">
        <v>1284</v>
      </c>
      <c r="Q562" s="142" t="s">
        <v>1284</v>
      </c>
    </row>
    <row r="563" spans="9:17">
      <c r="I563" s="144">
        <f t="shared" si="161"/>
        <v>414</v>
      </c>
      <c r="J563" s="142" t="s">
        <v>1285</v>
      </c>
      <c r="K563" s="142" t="s">
        <v>1285</v>
      </c>
      <c r="L563" s="142" t="s">
        <v>1285</v>
      </c>
      <c r="M563" s="142" t="s">
        <v>1285</v>
      </c>
      <c r="N563" s="142" t="s">
        <v>1285</v>
      </c>
      <c r="O563" s="142" t="s">
        <v>1285</v>
      </c>
      <c r="P563" s="142" t="s">
        <v>1285</v>
      </c>
      <c r="Q563" s="142" t="s">
        <v>1285</v>
      </c>
    </row>
    <row r="564" spans="9:17">
      <c r="I564" s="144">
        <f t="shared" si="161"/>
        <v>415</v>
      </c>
      <c r="J564" s="142" t="s">
        <v>1286</v>
      </c>
      <c r="K564" s="142" t="s">
        <v>1286</v>
      </c>
      <c r="L564" s="142" t="s">
        <v>1286</v>
      </c>
      <c r="M564" s="142" t="s">
        <v>1286</v>
      </c>
      <c r="N564" s="142" t="s">
        <v>1286</v>
      </c>
      <c r="O564" s="142" t="s">
        <v>1286</v>
      </c>
      <c r="P564" s="142" t="s">
        <v>1286</v>
      </c>
      <c r="Q564" s="142" t="s">
        <v>1286</v>
      </c>
    </row>
    <row r="565" spans="9:17" ht="35.5">
      <c r="I565" s="144">
        <f t="shared" si="161"/>
        <v>416</v>
      </c>
      <c r="J565" s="143" t="s">
        <v>1287</v>
      </c>
      <c r="K565" s="143" t="s">
        <v>1287</v>
      </c>
      <c r="L565" s="143" t="s">
        <v>1287</v>
      </c>
      <c r="M565" s="143" t="s">
        <v>1287</v>
      </c>
      <c r="N565" s="143" t="s">
        <v>1287</v>
      </c>
      <c r="O565" s="143" t="s">
        <v>1287</v>
      </c>
      <c r="P565" s="146" t="s">
        <v>1287</v>
      </c>
      <c r="Q565" s="146" t="s">
        <v>1287</v>
      </c>
    </row>
    <row r="566" spans="9:17">
      <c r="I566" s="144">
        <f t="shared" si="161"/>
        <v>417</v>
      </c>
      <c r="J566" s="142" t="s">
        <v>1288</v>
      </c>
      <c r="K566" s="142" t="s">
        <v>1288</v>
      </c>
      <c r="L566" s="142" t="s">
        <v>1288</v>
      </c>
      <c r="M566" s="142" t="s">
        <v>1288</v>
      </c>
      <c r="N566" s="142" t="s">
        <v>1288</v>
      </c>
      <c r="O566" s="142" t="s">
        <v>1288</v>
      </c>
      <c r="P566" s="142" t="s">
        <v>1288</v>
      </c>
      <c r="Q566" s="142" t="s">
        <v>1288</v>
      </c>
    </row>
    <row r="567" spans="9:17">
      <c r="I567" s="144">
        <f t="shared" si="161"/>
        <v>418</v>
      </c>
      <c r="J567" s="142" t="s">
        <v>1289</v>
      </c>
      <c r="K567" s="142" t="s">
        <v>1289</v>
      </c>
      <c r="L567" s="142" t="s">
        <v>1289</v>
      </c>
      <c r="M567" s="142" t="s">
        <v>1289</v>
      </c>
      <c r="N567" s="142" t="s">
        <v>1289</v>
      </c>
      <c r="O567" s="142" t="s">
        <v>1289</v>
      </c>
      <c r="P567" s="142" t="s">
        <v>1289</v>
      </c>
      <c r="Q567" s="142" t="s">
        <v>1289</v>
      </c>
    </row>
    <row r="568" spans="9:17" ht="29">
      <c r="I568" s="144">
        <f t="shared" si="161"/>
        <v>419</v>
      </c>
      <c r="J568" s="142" t="s">
        <v>1290</v>
      </c>
      <c r="K568" s="142" t="s">
        <v>1290</v>
      </c>
      <c r="L568" s="142" t="s">
        <v>1290</v>
      </c>
      <c r="M568" s="142" t="s">
        <v>1290</v>
      </c>
      <c r="N568" s="142" t="s">
        <v>1290</v>
      </c>
      <c r="O568" s="142" t="s">
        <v>1290</v>
      </c>
      <c r="P568" s="142" t="s">
        <v>1290</v>
      </c>
      <c r="Q568" s="142" t="s">
        <v>1290</v>
      </c>
    </row>
    <row r="569" spans="9:17">
      <c r="I569" s="144">
        <f t="shared" si="161"/>
        <v>420</v>
      </c>
      <c r="J569" s="142" t="s">
        <v>1291</v>
      </c>
      <c r="K569" s="142" t="s">
        <v>1291</v>
      </c>
      <c r="L569" s="142" t="s">
        <v>1291</v>
      </c>
      <c r="M569" s="142" t="s">
        <v>1291</v>
      </c>
      <c r="N569" s="142" t="s">
        <v>1291</v>
      </c>
      <c r="O569" s="142" t="s">
        <v>1291</v>
      </c>
      <c r="P569" s="142" t="s">
        <v>1291</v>
      </c>
      <c r="Q569" s="142" t="s">
        <v>1291</v>
      </c>
    </row>
    <row r="570" spans="9:17" ht="43.5">
      <c r="I570" s="144">
        <f t="shared" si="161"/>
        <v>421</v>
      </c>
      <c r="J570" s="142" t="s">
        <v>1292</v>
      </c>
      <c r="K570" s="142" t="s">
        <v>1292</v>
      </c>
      <c r="L570" s="142" t="s">
        <v>1292</v>
      </c>
      <c r="M570" s="142" t="s">
        <v>1292</v>
      </c>
      <c r="N570" s="142" t="s">
        <v>1292</v>
      </c>
      <c r="O570" s="142" t="s">
        <v>1292</v>
      </c>
      <c r="P570" s="142" t="s">
        <v>1292</v>
      </c>
      <c r="Q570" s="142" t="s">
        <v>1292</v>
      </c>
    </row>
    <row r="571" spans="9:17" ht="29">
      <c r="I571" s="144">
        <f t="shared" si="161"/>
        <v>422</v>
      </c>
      <c r="J571" s="142" t="s">
        <v>1293</v>
      </c>
      <c r="K571" s="142" t="s">
        <v>1293</v>
      </c>
      <c r="L571" s="142" t="s">
        <v>1293</v>
      </c>
      <c r="M571" s="142" t="s">
        <v>1293</v>
      </c>
      <c r="N571" s="142" t="s">
        <v>1293</v>
      </c>
      <c r="O571" s="142" t="s">
        <v>1293</v>
      </c>
      <c r="P571" s="142" t="s">
        <v>1293</v>
      </c>
      <c r="Q571" s="142" t="s">
        <v>1293</v>
      </c>
    </row>
    <row r="572" spans="9:17">
      <c r="I572" s="144">
        <f t="shared" si="161"/>
        <v>423</v>
      </c>
      <c r="J572" s="142" t="s">
        <v>1294</v>
      </c>
      <c r="K572" s="142" t="s">
        <v>1294</v>
      </c>
      <c r="L572" s="142" t="s">
        <v>1294</v>
      </c>
      <c r="M572" s="142" t="s">
        <v>1294</v>
      </c>
      <c r="N572" s="142" t="s">
        <v>1294</v>
      </c>
      <c r="O572" s="142" t="s">
        <v>1294</v>
      </c>
      <c r="P572" s="142" t="s">
        <v>1294</v>
      </c>
      <c r="Q572" s="142" t="s">
        <v>1294</v>
      </c>
    </row>
    <row r="573" spans="9:17" ht="29">
      <c r="I573" s="144">
        <f t="shared" si="161"/>
        <v>424</v>
      </c>
      <c r="J573" s="142" t="s">
        <v>1295</v>
      </c>
      <c r="K573" s="142" t="s">
        <v>1295</v>
      </c>
      <c r="L573" s="142" t="s">
        <v>1295</v>
      </c>
      <c r="M573" s="142" t="s">
        <v>1295</v>
      </c>
      <c r="N573" s="142" t="s">
        <v>1295</v>
      </c>
      <c r="O573" s="142" t="s">
        <v>1295</v>
      </c>
      <c r="P573" s="142" t="s">
        <v>1295</v>
      </c>
      <c r="Q573" s="142" t="s">
        <v>1295</v>
      </c>
    </row>
    <row r="574" spans="9:17" ht="43.5">
      <c r="I574" s="144">
        <f t="shared" si="161"/>
        <v>425</v>
      </c>
      <c r="J574" s="142" t="s">
        <v>1296</v>
      </c>
      <c r="K574" s="142" t="s">
        <v>1296</v>
      </c>
      <c r="L574" s="142" t="s">
        <v>1296</v>
      </c>
      <c r="M574" s="142" t="s">
        <v>1296</v>
      </c>
      <c r="N574" s="142" t="s">
        <v>1296</v>
      </c>
      <c r="O574" s="142" t="s">
        <v>1296</v>
      </c>
      <c r="P574" s="142" t="s">
        <v>1296</v>
      </c>
      <c r="Q574" s="142" t="s">
        <v>1296</v>
      </c>
    </row>
    <row r="575" spans="9:17">
      <c r="I575" s="144">
        <f t="shared" si="161"/>
        <v>426</v>
      </c>
      <c r="J575" s="142" t="s">
        <v>1297</v>
      </c>
      <c r="K575" s="142" t="s">
        <v>1297</v>
      </c>
      <c r="L575" s="142" t="s">
        <v>1297</v>
      </c>
      <c r="M575" s="142" t="s">
        <v>1297</v>
      </c>
      <c r="N575" s="142" t="s">
        <v>1297</v>
      </c>
      <c r="O575" s="142" t="s">
        <v>1297</v>
      </c>
      <c r="P575" s="142" t="s">
        <v>1297</v>
      </c>
      <c r="Q575" s="142" t="s">
        <v>1297</v>
      </c>
    </row>
    <row r="576" spans="9:17" ht="29">
      <c r="I576" s="144"/>
      <c r="J576" s="142"/>
      <c r="K576" s="142"/>
      <c r="L576" s="142"/>
      <c r="M576" s="142"/>
      <c r="N576" s="142" t="s">
        <v>1298</v>
      </c>
      <c r="O576" s="142"/>
      <c r="P576" s="142" t="s">
        <v>1298</v>
      </c>
      <c r="Q576" s="142"/>
    </row>
    <row r="577" spans="9:17" ht="29">
      <c r="I577" s="144">
        <f>I575+1</f>
        <v>427</v>
      </c>
      <c r="J577" s="142" t="s">
        <v>1299</v>
      </c>
      <c r="K577" s="142" t="s">
        <v>1299</v>
      </c>
      <c r="L577" s="142" t="s">
        <v>1299</v>
      </c>
      <c r="M577" s="142" t="s">
        <v>1299</v>
      </c>
      <c r="N577" s="142" t="s">
        <v>1299</v>
      </c>
      <c r="O577" s="142"/>
      <c r="P577" s="142" t="s">
        <v>1299</v>
      </c>
      <c r="Q577" s="142" t="s">
        <v>1299</v>
      </c>
    </row>
    <row r="578" spans="9:17" ht="29">
      <c r="I578" s="144">
        <f t="shared" si="161"/>
        <v>428</v>
      </c>
      <c r="J578" s="142" t="s">
        <v>1300</v>
      </c>
      <c r="K578" s="142" t="s">
        <v>1300</v>
      </c>
      <c r="L578" s="142" t="s">
        <v>1300</v>
      </c>
      <c r="M578" s="142" t="s">
        <v>1300</v>
      </c>
      <c r="N578" s="142" t="s">
        <v>1300</v>
      </c>
      <c r="O578" s="142" t="s">
        <v>1300</v>
      </c>
      <c r="P578" s="142" t="s">
        <v>1300</v>
      </c>
      <c r="Q578" s="142" t="s">
        <v>1300</v>
      </c>
    </row>
    <row r="579" spans="9:17" ht="29">
      <c r="I579" s="144">
        <f t="shared" si="161"/>
        <v>429</v>
      </c>
      <c r="J579" s="142" t="s">
        <v>1301</v>
      </c>
      <c r="K579" s="142" t="s">
        <v>1302</v>
      </c>
      <c r="L579" s="142" t="s">
        <v>1302</v>
      </c>
      <c r="M579" s="142" t="s">
        <v>1302</v>
      </c>
      <c r="N579" s="142" t="s">
        <v>1302</v>
      </c>
      <c r="O579" s="142"/>
      <c r="P579" s="142" t="s">
        <v>1302</v>
      </c>
      <c r="Q579" s="142" t="s">
        <v>1302</v>
      </c>
    </row>
    <row r="580" spans="9:17">
      <c r="I580" s="144">
        <f>I579+1</f>
        <v>430</v>
      </c>
      <c r="J580" s="142" t="s">
        <v>1303</v>
      </c>
      <c r="K580" s="142" t="s">
        <v>1303</v>
      </c>
      <c r="L580" s="142" t="s">
        <v>1303</v>
      </c>
      <c r="M580" s="142" t="s">
        <v>1303</v>
      </c>
      <c r="N580" s="142" t="s">
        <v>1303</v>
      </c>
      <c r="O580" s="142" t="s">
        <v>1303</v>
      </c>
      <c r="P580" s="142" t="s">
        <v>1303</v>
      </c>
      <c r="Q580" s="142" t="s">
        <v>1303</v>
      </c>
    </row>
    <row r="581" spans="9:17">
      <c r="I581" s="144">
        <f t="shared" si="161"/>
        <v>431</v>
      </c>
      <c r="J581" s="142" t="s">
        <v>1304</v>
      </c>
      <c r="K581" s="142" t="s">
        <v>1304</v>
      </c>
      <c r="L581" s="142" t="s">
        <v>1304</v>
      </c>
      <c r="M581" s="142" t="s">
        <v>1304</v>
      </c>
      <c r="N581" s="142" t="s">
        <v>1304</v>
      </c>
      <c r="O581" s="142" t="s">
        <v>1304</v>
      </c>
      <c r="P581" s="142" t="s">
        <v>1304</v>
      </c>
      <c r="Q581" s="142" t="s">
        <v>1304</v>
      </c>
    </row>
    <row r="582" spans="9:17" ht="29">
      <c r="I582" s="144">
        <f t="shared" si="161"/>
        <v>432</v>
      </c>
      <c r="J582" s="142" t="s">
        <v>1305</v>
      </c>
      <c r="K582" s="142" t="s">
        <v>1305</v>
      </c>
      <c r="L582" s="142" t="s">
        <v>1305</v>
      </c>
      <c r="M582" s="142" t="s">
        <v>1305</v>
      </c>
      <c r="N582" s="142" t="s">
        <v>1305</v>
      </c>
      <c r="O582" s="142" t="s">
        <v>1305</v>
      </c>
      <c r="P582" s="142" t="s">
        <v>1305</v>
      </c>
      <c r="Q582" s="142" t="s">
        <v>1305</v>
      </c>
    </row>
    <row r="583" spans="9:17" ht="29">
      <c r="I583" s="144">
        <f t="shared" si="161"/>
        <v>433</v>
      </c>
      <c r="J583" s="142" t="s">
        <v>1306</v>
      </c>
      <c r="K583" s="142" t="s">
        <v>1306</v>
      </c>
      <c r="L583" s="142" t="s">
        <v>1306</v>
      </c>
      <c r="M583" s="142" t="s">
        <v>1306</v>
      </c>
      <c r="N583" s="142" t="s">
        <v>1306</v>
      </c>
      <c r="O583" s="142" t="s">
        <v>1306</v>
      </c>
      <c r="P583" s="142" t="s">
        <v>1306</v>
      </c>
      <c r="Q583" s="142" t="s">
        <v>1306</v>
      </c>
    </row>
    <row r="584" spans="9:17" ht="29">
      <c r="I584" s="144">
        <f t="shared" si="161"/>
        <v>434</v>
      </c>
      <c r="J584" s="142" t="s">
        <v>1307</v>
      </c>
      <c r="K584" s="142" t="s">
        <v>1307</v>
      </c>
      <c r="L584" s="142" t="s">
        <v>1307</v>
      </c>
      <c r="M584" s="142" t="s">
        <v>1307</v>
      </c>
      <c r="N584" s="142" t="s">
        <v>1307</v>
      </c>
      <c r="O584" s="142" t="s">
        <v>1307</v>
      </c>
      <c r="P584" s="142" t="s">
        <v>1307</v>
      </c>
      <c r="Q584" s="142" t="s">
        <v>1307</v>
      </c>
    </row>
    <row r="585" spans="9:17" ht="58">
      <c r="I585" s="144">
        <f t="shared" si="161"/>
        <v>435</v>
      </c>
      <c r="J585" s="142" t="s">
        <v>1308</v>
      </c>
      <c r="K585" s="142" t="s">
        <v>1308</v>
      </c>
      <c r="L585" s="142" t="s">
        <v>1308</v>
      </c>
      <c r="M585" s="142" t="s">
        <v>1308</v>
      </c>
      <c r="N585" s="142" t="s">
        <v>1308</v>
      </c>
      <c r="O585" s="142" t="s">
        <v>1308</v>
      </c>
      <c r="P585" s="142" t="s">
        <v>1308</v>
      </c>
      <c r="Q585" s="142" t="s">
        <v>1308</v>
      </c>
    </row>
    <row r="586" spans="9:17" ht="29">
      <c r="I586" s="144">
        <f t="shared" si="161"/>
        <v>436</v>
      </c>
      <c r="J586" s="142" t="s">
        <v>1309</v>
      </c>
      <c r="K586" s="142" t="s">
        <v>1309</v>
      </c>
      <c r="L586" s="142" t="s">
        <v>1309</v>
      </c>
      <c r="M586" s="142" t="s">
        <v>1309</v>
      </c>
      <c r="N586" s="142" t="s">
        <v>1309</v>
      </c>
      <c r="O586" s="142" t="s">
        <v>1309</v>
      </c>
      <c r="P586" s="142" t="s">
        <v>1309</v>
      </c>
      <c r="Q586" s="142" t="s">
        <v>1309</v>
      </c>
    </row>
    <row r="587" spans="9:17" ht="35.5">
      <c r="I587" s="144">
        <f t="shared" si="161"/>
        <v>437</v>
      </c>
      <c r="J587" s="143" t="s">
        <v>1310</v>
      </c>
      <c r="K587" s="143" t="s">
        <v>1310</v>
      </c>
      <c r="L587" s="143" t="s">
        <v>1310</v>
      </c>
      <c r="M587" s="143" t="s">
        <v>1310</v>
      </c>
      <c r="N587" s="143" t="s">
        <v>1310</v>
      </c>
      <c r="O587" s="143" t="s">
        <v>1310</v>
      </c>
      <c r="P587" s="146" t="s">
        <v>1310</v>
      </c>
      <c r="Q587" s="146" t="s">
        <v>1310</v>
      </c>
    </row>
    <row r="588" spans="9:17">
      <c r="I588" s="144">
        <f t="shared" si="161"/>
        <v>438</v>
      </c>
      <c r="J588" s="142" t="s">
        <v>1311</v>
      </c>
      <c r="K588" s="142" t="s">
        <v>1311</v>
      </c>
      <c r="L588" s="142" t="s">
        <v>1311</v>
      </c>
      <c r="M588" s="142" t="s">
        <v>1311</v>
      </c>
      <c r="N588" s="142" t="s">
        <v>1311</v>
      </c>
      <c r="O588" s="142" t="s">
        <v>1312</v>
      </c>
      <c r="P588" s="142" t="s">
        <v>1311</v>
      </c>
      <c r="Q588" s="142" t="s">
        <v>1311</v>
      </c>
    </row>
    <row r="589" spans="9:17">
      <c r="I589" s="144">
        <f t="shared" si="161"/>
        <v>439</v>
      </c>
      <c r="J589" s="142" t="s">
        <v>1312</v>
      </c>
      <c r="K589" s="142" t="s">
        <v>1312</v>
      </c>
      <c r="L589" s="142" t="s">
        <v>1312</v>
      </c>
      <c r="M589" s="142" t="s">
        <v>1312</v>
      </c>
      <c r="N589" s="142" t="s">
        <v>1312</v>
      </c>
      <c r="O589" s="142"/>
      <c r="P589" s="142" t="s">
        <v>1312</v>
      </c>
      <c r="Q589" s="142" t="s">
        <v>1312</v>
      </c>
    </row>
    <row r="590" spans="9:17">
      <c r="I590" s="144">
        <f t="shared" si="161"/>
        <v>440</v>
      </c>
      <c r="J590" s="142" t="s">
        <v>1313</v>
      </c>
      <c r="K590" s="142" t="s">
        <v>1313</v>
      </c>
      <c r="L590" s="142" t="s">
        <v>1313</v>
      </c>
      <c r="M590" s="142" t="s">
        <v>1313</v>
      </c>
      <c r="N590" s="142" t="s">
        <v>1313</v>
      </c>
      <c r="O590" s="142" t="s">
        <v>1313</v>
      </c>
      <c r="P590" s="142" t="s">
        <v>1313</v>
      </c>
      <c r="Q590" s="142" t="s">
        <v>1313</v>
      </c>
    </row>
    <row r="591" spans="9:17" ht="29">
      <c r="I591" s="144">
        <f t="shared" si="161"/>
        <v>441</v>
      </c>
      <c r="J591" s="142" t="s">
        <v>1314</v>
      </c>
      <c r="K591" s="142" t="s">
        <v>1314</v>
      </c>
      <c r="L591" s="142" t="s">
        <v>1314</v>
      </c>
      <c r="M591" s="142" t="s">
        <v>1314</v>
      </c>
      <c r="N591" s="142" t="s">
        <v>1314</v>
      </c>
      <c r="O591" s="142" t="s">
        <v>1314</v>
      </c>
      <c r="P591" s="142" t="s">
        <v>1314</v>
      </c>
      <c r="Q591" s="142" t="s">
        <v>1314</v>
      </c>
    </row>
    <row r="592" spans="9:17" ht="29">
      <c r="I592" s="144">
        <f t="shared" si="161"/>
        <v>442</v>
      </c>
      <c r="J592" s="142" t="s">
        <v>1315</v>
      </c>
      <c r="K592" s="142" t="s">
        <v>1315</v>
      </c>
      <c r="L592" s="142" t="s">
        <v>1315</v>
      </c>
      <c r="M592" s="142" t="s">
        <v>1315</v>
      </c>
      <c r="N592" s="142" t="s">
        <v>1315</v>
      </c>
      <c r="O592" s="142" t="s">
        <v>1315</v>
      </c>
      <c r="P592" s="142" t="s">
        <v>1315</v>
      </c>
      <c r="Q592" s="142" t="s">
        <v>1315</v>
      </c>
    </row>
    <row r="593" spans="9:17" ht="29">
      <c r="I593" s="144">
        <f t="shared" si="161"/>
        <v>443</v>
      </c>
      <c r="J593" s="142" t="s">
        <v>1316</v>
      </c>
      <c r="K593" s="142" t="s">
        <v>1316</v>
      </c>
      <c r="L593" s="142" t="s">
        <v>1316</v>
      </c>
      <c r="M593" s="142" t="s">
        <v>1316</v>
      </c>
      <c r="N593" s="142" t="s">
        <v>1316</v>
      </c>
      <c r="O593" s="142" t="s">
        <v>1316</v>
      </c>
      <c r="P593" s="142" t="s">
        <v>1316</v>
      </c>
      <c r="Q593" s="142" t="s">
        <v>1316</v>
      </c>
    </row>
    <row r="594" spans="9:17" ht="43.5">
      <c r="I594" s="144">
        <f t="shared" si="161"/>
        <v>444</v>
      </c>
      <c r="J594" s="142" t="s">
        <v>1317</v>
      </c>
      <c r="K594" s="142" t="s">
        <v>1317</v>
      </c>
      <c r="L594" s="142" t="s">
        <v>1317</v>
      </c>
      <c r="M594" s="142" t="s">
        <v>1317</v>
      </c>
      <c r="N594" s="142" t="s">
        <v>1317</v>
      </c>
      <c r="O594" s="142" t="s">
        <v>1317</v>
      </c>
      <c r="P594" s="142" t="s">
        <v>1317</v>
      </c>
      <c r="Q594" s="142" t="s">
        <v>1317</v>
      </c>
    </row>
    <row r="595" spans="9:17">
      <c r="I595" s="144">
        <f t="shared" si="161"/>
        <v>445</v>
      </c>
      <c r="J595" s="142" t="s">
        <v>1318</v>
      </c>
      <c r="K595" s="142" t="s">
        <v>1318</v>
      </c>
      <c r="L595" s="142" t="s">
        <v>1318</v>
      </c>
      <c r="M595" s="142" t="s">
        <v>1318</v>
      </c>
      <c r="N595" s="142" t="s">
        <v>1318</v>
      </c>
      <c r="O595" s="142" t="s">
        <v>1318</v>
      </c>
      <c r="P595" s="142" t="s">
        <v>1318</v>
      </c>
      <c r="Q595" s="142" t="s">
        <v>1318</v>
      </c>
    </row>
    <row r="596" spans="9:17">
      <c r="I596" s="144">
        <f t="shared" si="161"/>
        <v>446</v>
      </c>
      <c r="J596" s="142"/>
      <c r="K596" s="142" t="s">
        <v>1319</v>
      </c>
      <c r="L596" s="142" t="s">
        <v>1319</v>
      </c>
      <c r="M596" s="142" t="s">
        <v>1319</v>
      </c>
      <c r="N596" s="142" t="s">
        <v>1319</v>
      </c>
      <c r="O596" s="142" t="s">
        <v>1319</v>
      </c>
      <c r="P596" s="142" t="s">
        <v>1319</v>
      </c>
      <c r="Q596" s="142" t="s">
        <v>1319</v>
      </c>
    </row>
    <row r="597" spans="9:17" ht="29">
      <c r="I597" s="144">
        <f t="shared" si="161"/>
        <v>447</v>
      </c>
      <c r="J597" s="142" t="s">
        <v>1320</v>
      </c>
      <c r="K597" s="142" t="s">
        <v>1320</v>
      </c>
      <c r="L597" s="142" t="s">
        <v>1320</v>
      </c>
      <c r="M597" s="142" t="s">
        <v>1320</v>
      </c>
      <c r="N597" s="142" t="s">
        <v>1320</v>
      </c>
      <c r="O597" s="142" t="s">
        <v>1320</v>
      </c>
      <c r="P597" s="142" t="s">
        <v>1320</v>
      </c>
      <c r="Q597" s="142" t="s">
        <v>1320</v>
      </c>
    </row>
    <row r="598" spans="9:17" ht="35.5">
      <c r="I598" s="144">
        <f t="shared" si="161"/>
        <v>448</v>
      </c>
      <c r="J598" s="143" t="s">
        <v>1321</v>
      </c>
      <c r="K598" s="143" t="s">
        <v>1321</v>
      </c>
      <c r="L598" s="143" t="s">
        <v>1321</v>
      </c>
      <c r="M598" s="143" t="s">
        <v>1321</v>
      </c>
      <c r="N598" s="143" t="s">
        <v>1321</v>
      </c>
      <c r="O598" s="143" t="s">
        <v>1321</v>
      </c>
      <c r="P598" s="146" t="s">
        <v>1321</v>
      </c>
      <c r="Q598" s="146" t="s">
        <v>1321</v>
      </c>
    </row>
    <row r="599" spans="9:17" ht="29">
      <c r="I599" s="144">
        <f t="shared" si="161"/>
        <v>449</v>
      </c>
      <c r="J599" s="142" t="s">
        <v>1322</v>
      </c>
      <c r="K599" s="142" t="s">
        <v>1322</v>
      </c>
      <c r="L599" s="142" t="s">
        <v>1322</v>
      </c>
      <c r="M599" s="142" t="s">
        <v>1322</v>
      </c>
      <c r="N599" s="142" t="s">
        <v>1322</v>
      </c>
      <c r="O599" s="142" t="s">
        <v>1322</v>
      </c>
      <c r="P599" s="142" t="s">
        <v>1322</v>
      </c>
      <c r="Q599" s="142" t="s">
        <v>1322</v>
      </c>
    </row>
    <row r="600" spans="9:17">
      <c r="I600" s="144">
        <f t="shared" si="161"/>
        <v>450</v>
      </c>
      <c r="J600" s="142" t="s">
        <v>1323</v>
      </c>
      <c r="K600" s="142" t="s">
        <v>1323</v>
      </c>
      <c r="L600" s="142" t="s">
        <v>1323</v>
      </c>
      <c r="M600" s="142" t="s">
        <v>1323</v>
      </c>
      <c r="N600" s="142" t="s">
        <v>1323</v>
      </c>
      <c r="O600" s="142" t="s">
        <v>1323</v>
      </c>
      <c r="P600" s="142" t="s">
        <v>1323</v>
      </c>
      <c r="Q600" s="142" t="s">
        <v>1323</v>
      </c>
    </row>
    <row r="601" spans="9:17" ht="29">
      <c r="I601" s="144">
        <f t="shared" ref="I601:I663" si="162">I600+1</f>
        <v>451</v>
      </c>
      <c r="J601" s="142" t="s">
        <v>1324</v>
      </c>
      <c r="K601" s="142" t="s">
        <v>1324</v>
      </c>
      <c r="L601" s="142" t="s">
        <v>1324</v>
      </c>
      <c r="M601" s="142" t="s">
        <v>1324</v>
      </c>
      <c r="N601" s="142" t="s">
        <v>1324</v>
      </c>
      <c r="O601" s="142" t="s">
        <v>1324</v>
      </c>
      <c r="P601" s="142" t="s">
        <v>1324</v>
      </c>
      <c r="Q601" s="142" t="s">
        <v>1324</v>
      </c>
    </row>
    <row r="602" spans="9:17" ht="29">
      <c r="I602" s="144">
        <f t="shared" si="162"/>
        <v>452</v>
      </c>
      <c r="J602" s="142" t="s">
        <v>1325</v>
      </c>
      <c r="K602" s="142" t="s">
        <v>1325</v>
      </c>
      <c r="L602" s="142" t="s">
        <v>1325</v>
      </c>
      <c r="M602" s="142" t="s">
        <v>1325</v>
      </c>
      <c r="N602" s="142" t="s">
        <v>1325</v>
      </c>
      <c r="O602" s="142" t="s">
        <v>1325</v>
      </c>
      <c r="P602" s="142" t="s">
        <v>1325</v>
      </c>
      <c r="Q602" s="142" t="s">
        <v>1325</v>
      </c>
    </row>
    <row r="603" spans="9:17" ht="43.5">
      <c r="I603" s="144">
        <f t="shared" si="162"/>
        <v>453</v>
      </c>
      <c r="J603" s="142" t="s">
        <v>1326</v>
      </c>
      <c r="K603" s="142" t="s">
        <v>1326</v>
      </c>
      <c r="L603" s="142" t="s">
        <v>1326</v>
      </c>
      <c r="M603" s="142" t="s">
        <v>1326</v>
      </c>
      <c r="N603" s="142" t="s">
        <v>1326</v>
      </c>
      <c r="O603" s="142" t="s">
        <v>1326</v>
      </c>
      <c r="P603" s="142" t="s">
        <v>1326</v>
      </c>
      <c r="Q603" s="142" t="s">
        <v>1326</v>
      </c>
    </row>
    <row r="604" spans="9:17">
      <c r="I604" s="144">
        <f t="shared" si="162"/>
        <v>454</v>
      </c>
      <c r="J604" s="142" t="s">
        <v>1327</v>
      </c>
      <c r="K604" s="142" t="s">
        <v>1327</v>
      </c>
      <c r="L604" s="142" t="s">
        <v>1327</v>
      </c>
      <c r="M604" s="142" t="s">
        <v>1327</v>
      </c>
      <c r="N604" s="142" t="s">
        <v>1327</v>
      </c>
      <c r="O604" s="142" t="s">
        <v>1327</v>
      </c>
      <c r="P604" s="142" t="s">
        <v>1327</v>
      </c>
      <c r="Q604" s="142" t="s">
        <v>1327</v>
      </c>
    </row>
    <row r="605" spans="9:17" ht="29">
      <c r="I605" s="144">
        <f t="shared" si="162"/>
        <v>455</v>
      </c>
      <c r="J605" s="142" t="s">
        <v>1328</v>
      </c>
      <c r="K605" s="142" t="s">
        <v>1328</v>
      </c>
      <c r="L605" s="142" t="s">
        <v>1328</v>
      </c>
      <c r="M605" s="142" t="s">
        <v>1328</v>
      </c>
      <c r="N605" s="142" t="s">
        <v>1328</v>
      </c>
      <c r="O605" s="142" t="s">
        <v>1328</v>
      </c>
      <c r="P605" s="142" t="s">
        <v>1328</v>
      </c>
      <c r="Q605" s="142" t="s">
        <v>1328</v>
      </c>
    </row>
    <row r="606" spans="9:17" ht="29">
      <c r="I606" s="144">
        <f t="shared" si="162"/>
        <v>456</v>
      </c>
      <c r="J606" s="142" t="s">
        <v>1329</v>
      </c>
      <c r="K606" s="142" t="s">
        <v>1329</v>
      </c>
      <c r="L606" s="142" t="s">
        <v>1329</v>
      </c>
      <c r="M606" s="142" t="s">
        <v>1329</v>
      </c>
      <c r="N606" s="142" t="s">
        <v>1329</v>
      </c>
      <c r="O606" s="142" t="s">
        <v>1329</v>
      </c>
      <c r="P606" s="142" t="s">
        <v>1329</v>
      </c>
      <c r="Q606" s="142" t="s">
        <v>1329</v>
      </c>
    </row>
    <row r="607" spans="9:17" ht="29">
      <c r="I607" s="144">
        <f t="shared" si="162"/>
        <v>457</v>
      </c>
      <c r="J607" s="142" t="s">
        <v>1330</v>
      </c>
      <c r="K607" s="142" t="s">
        <v>1330</v>
      </c>
      <c r="L607" s="142" t="s">
        <v>1330</v>
      </c>
      <c r="M607" s="142" t="s">
        <v>1330</v>
      </c>
      <c r="N607" s="142" t="s">
        <v>1330</v>
      </c>
      <c r="O607" s="142"/>
      <c r="P607" s="142" t="s">
        <v>1330</v>
      </c>
      <c r="Q607" s="142" t="s">
        <v>1330</v>
      </c>
    </row>
    <row r="608" spans="9:17" ht="29">
      <c r="I608" s="144">
        <f t="shared" si="162"/>
        <v>458</v>
      </c>
      <c r="J608" s="142" t="s">
        <v>1331</v>
      </c>
      <c r="K608" s="142" t="s">
        <v>1331</v>
      </c>
      <c r="L608" s="142" t="s">
        <v>1331</v>
      </c>
      <c r="M608" s="142" t="s">
        <v>1331</v>
      </c>
      <c r="N608" s="142" t="s">
        <v>1331</v>
      </c>
      <c r="O608" s="142" t="s">
        <v>1331</v>
      </c>
      <c r="P608" s="142" t="s">
        <v>1331</v>
      </c>
      <c r="Q608" s="142" t="s">
        <v>1331</v>
      </c>
    </row>
    <row r="609" spans="9:17">
      <c r="I609" s="144">
        <f t="shared" si="162"/>
        <v>459</v>
      </c>
      <c r="J609" s="142" t="s">
        <v>1332</v>
      </c>
      <c r="K609" s="142" t="s">
        <v>1332</v>
      </c>
      <c r="L609" s="142" t="s">
        <v>1332</v>
      </c>
      <c r="M609" s="142" t="s">
        <v>1332</v>
      </c>
      <c r="N609" s="142" t="s">
        <v>1332</v>
      </c>
      <c r="O609" s="142" t="s">
        <v>1332</v>
      </c>
      <c r="P609" s="142" t="s">
        <v>1332</v>
      </c>
      <c r="Q609" s="142" t="s">
        <v>1332</v>
      </c>
    </row>
    <row r="610" spans="9:17" ht="29">
      <c r="I610" s="144">
        <f t="shared" si="162"/>
        <v>460</v>
      </c>
      <c r="J610" s="142" t="s">
        <v>1333</v>
      </c>
      <c r="K610" s="142" t="s">
        <v>1333</v>
      </c>
      <c r="L610" s="142" t="s">
        <v>1333</v>
      </c>
      <c r="M610" s="142" t="s">
        <v>1333</v>
      </c>
      <c r="N610" s="142" t="s">
        <v>1333</v>
      </c>
      <c r="O610" s="142" t="s">
        <v>1333</v>
      </c>
      <c r="P610" s="142" t="s">
        <v>1333</v>
      </c>
      <c r="Q610" s="142" t="s">
        <v>1333</v>
      </c>
    </row>
    <row r="611" spans="9:17" ht="43.5">
      <c r="I611" s="144">
        <f t="shared" si="162"/>
        <v>461</v>
      </c>
      <c r="J611" s="142" t="s">
        <v>1334</v>
      </c>
      <c r="K611" s="142" t="s">
        <v>1334</v>
      </c>
      <c r="L611" s="142" t="s">
        <v>1334</v>
      </c>
      <c r="M611" s="142" t="s">
        <v>1334</v>
      </c>
      <c r="N611" s="142" t="s">
        <v>1334</v>
      </c>
      <c r="O611" s="142" t="s">
        <v>1334</v>
      </c>
      <c r="P611" s="142" t="s">
        <v>1334</v>
      </c>
      <c r="Q611" s="142" t="s">
        <v>1334</v>
      </c>
    </row>
    <row r="612" spans="9:17" ht="29">
      <c r="I612" s="144">
        <f t="shared" si="162"/>
        <v>462</v>
      </c>
      <c r="J612" s="142" t="s">
        <v>1335</v>
      </c>
      <c r="K612" s="142" t="s">
        <v>1335</v>
      </c>
      <c r="L612" s="142" t="s">
        <v>1335</v>
      </c>
      <c r="M612" s="142" t="s">
        <v>1335</v>
      </c>
      <c r="N612" s="142" t="s">
        <v>1335</v>
      </c>
      <c r="O612" s="142" t="s">
        <v>1335</v>
      </c>
      <c r="P612" s="142" t="s">
        <v>1335</v>
      </c>
      <c r="Q612" s="142" t="s">
        <v>1335</v>
      </c>
    </row>
    <row r="613" spans="9:17" ht="43.5">
      <c r="I613" s="144">
        <f t="shared" si="162"/>
        <v>463</v>
      </c>
      <c r="J613" s="142" t="s">
        <v>1336</v>
      </c>
      <c r="K613" s="142" t="s">
        <v>1336</v>
      </c>
      <c r="L613" s="142" t="s">
        <v>1336</v>
      </c>
      <c r="M613" s="142" t="s">
        <v>1336</v>
      </c>
      <c r="N613" s="142" t="s">
        <v>1336</v>
      </c>
      <c r="O613" s="142" t="s">
        <v>1336</v>
      </c>
      <c r="P613" s="142" t="s">
        <v>1336</v>
      </c>
      <c r="Q613" s="142" t="s">
        <v>1336</v>
      </c>
    </row>
    <row r="614" spans="9:17" ht="58">
      <c r="I614" s="144">
        <f t="shared" si="162"/>
        <v>464</v>
      </c>
      <c r="J614" s="142" t="s">
        <v>1337</v>
      </c>
      <c r="K614" s="142" t="s">
        <v>1337</v>
      </c>
      <c r="L614" s="142" t="s">
        <v>1337</v>
      </c>
      <c r="M614" s="142" t="s">
        <v>1337</v>
      </c>
      <c r="N614" s="142" t="s">
        <v>1337</v>
      </c>
      <c r="O614" s="142" t="s">
        <v>1337</v>
      </c>
      <c r="P614" s="142" t="s">
        <v>1337</v>
      </c>
      <c r="Q614" s="142" t="s">
        <v>1337</v>
      </c>
    </row>
    <row r="615" spans="9:17" ht="72.5">
      <c r="I615" s="144">
        <f t="shared" si="162"/>
        <v>465</v>
      </c>
      <c r="J615" s="142" t="s">
        <v>1338</v>
      </c>
      <c r="K615" s="142" t="s">
        <v>1338</v>
      </c>
      <c r="L615" s="142" t="s">
        <v>1338</v>
      </c>
      <c r="M615" s="142" t="s">
        <v>1338</v>
      </c>
      <c r="N615" s="142" t="s">
        <v>1338</v>
      </c>
      <c r="O615" s="142" t="s">
        <v>1338</v>
      </c>
      <c r="P615" s="142" t="s">
        <v>1338</v>
      </c>
      <c r="Q615" s="142" t="s">
        <v>1338</v>
      </c>
    </row>
    <row r="616" spans="9:17" ht="29">
      <c r="I616" s="144">
        <f t="shared" si="162"/>
        <v>466</v>
      </c>
      <c r="J616" s="142" t="s">
        <v>1339</v>
      </c>
      <c r="K616" s="142" t="s">
        <v>1339</v>
      </c>
      <c r="L616" s="142" t="s">
        <v>1339</v>
      </c>
      <c r="M616" s="142" t="s">
        <v>1339</v>
      </c>
      <c r="N616" s="142" t="s">
        <v>1339</v>
      </c>
      <c r="O616" s="142" t="s">
        <v>1339</v>
      </c>
      <c r="P616" s="142" t="s">
        <v>1339</v>
      </c>
      <c r="Q616" s="142" t="s">
        <v>1339</v>
      </c>
    </row>
    <row r="617" spans="9:17" ht="43.5">
      <c r="I617" s="144">
        <f t="shared" si="162"/>
        <v>467</v>
      </c>
      <c r="J617" s="142" t="s">
        <v>1340</v>
      </c>
      <c r="K617" s="142" t="s">
        <v>1340</v>
      </c>
      <c r="L617" s="142" t="s">
        <v>1340</v>
      </c>
      <c r="M617" s="142" t="s">
        <v>1340</v>
      </c>
      <c r="N617" s="142" t="s">
        <v>1340</v>
      </c>
      <c r="O617" s="142" t="s">
        <v>1340</v>
      </c>
      <c r="P617" s="142" t="s">
        <v>1340</v>
      </c>
      <c r="Q617" s="142" t="s">
        <v>1340</v>
      </c>
    </row>
    <row r="618" spans="9:17">
      <c r="I618" s="144">
        <f t="shared" si="162"/>
        <v>468</v>
      </c>
      <c r="J618" s="142" t="s">
        <v>1341</v>
      </c>
      <c r="K618" s="142" t="s">
        <v>1341</v>
      </c>
      <c r="L618" s="142" t="s">
        <v>1341</v>
      </c>
      <c r="M618" s="142" t="s">
        <v>1341</v>
      </c>
      <c r="N618" s="142" t="s">
        <v>1341</v>
      </c>
      <c r="O618" s="142" t="s">
        <v>1341</v>
      </c>
      <c r="P618" s="142" t="s">
        <v>1341</v>
      </c>
      <c r="Q618" s="142" t="s">
        <v>1341</v>
      </c>
    </row>
    <row r="619" spans="9:17">
      <c r="I619" s="144">
        <f t="shared" si="162"/>
        <v>469</v>
      </c>
      <c r="J619" s="142" t="s">
        <v>1342</v>
      </c>
      <c r="K619" s="142" t="s">
        <v>1342</v>
      </c>
      <c r="L619" s="142" t="s">
        <v>1342</v>
      </c>
      <c r="M619" s="142" t="s">
        <v>1342</v>
      </c>
      <c r="N619" s="142" t="s">
        <v>1342</v>
      </c>
      <c r="O619" s="142" t="s">
        <v>1342</v>
      </c>
      <c r="P619" s="142" t="s">
        <v>1342</v>
      </c>
      <c r="Q619" s="142" t="s">
        <v>1342</v>
      </c>
    </row>
    <row r="620" spans="9:17" ht="58">
      <c r="I620" s="144">
        <f t="shared" si="162"/>
        <v>470</v>
      </c>
      <c r="J620" s="142" t="s">
        <v>1343</v>
      </c>
      <c r="K620" s="142" t="s">
        <v>1343</v>
      </c>
      <c r="L620" s="142" t="s">
        <v>1343</v>
      </c>
      <c r="M620" s="142" t="s">
        <v>1343</v>
      </c>
      <c r="N620" s="142" t="s">
        <v>1343</v>
      </c>
      <c r="O620" s="142" t="s">
        <v>1343</v>
      </c>
      <c r="P620" s="142" t="s">
        <v>1343</v>
      </c>
      <c r="Q620" s="142" t="s">
        <v>1343</v>
      </c>
    </row>
    <row r="621" spans="9:17" ht="43.5">
      <c r="I621" s="144">
        <f t="shared" si="162"/>
        <v>471</v>
      </c>
      <c r="J621" s="142" t="s">
        <v>1344</v>
      </c>
      <c r="K621" s="142" t="s">
        <v>1344</v>
      </c>
      <c r="L621" s="142" t="s">
        <v>1344</v>
      </c>
      <c r="M621" s="142" t="s">
        <v>1344</v>
      </c>
      <c r="N621" s="142" t="s">
        <v>1344</v>
      </c>
      <c r="O621" s="142" t="s">
        <v>1344</v>
      </c>
      <c r="P621" s="142" t="s">
        <v>1344</v>
      </c>
      <c r="Q621" s="142" t="s">
        <v>1344</v>
      </c>
    </row>
    <row r="622" spans="9:17" ht="58">
      <c r="I622" s="144">
        <f t="shared" si="162"/>
        <v>472</v>
      </c>
      <c r="J622" s="142" t="s">
        <v>1345</v>
      </c>
      <c r="K622" s="142" t="s">
        <v>1345</v>
      </c>
      <c r="L622" s="142" t="s">
        <v>1345</v>
      </c>
      <c r="M622" s="142" t="s">
        <v>1345</v>
      </c>
      <c r="N622" s="142" t="s">
        <v>1345</v>
      </c>
      <c r="O622" s="142" t="s">
        <v>1345</v>
      </c>
      <c r="P622" s="142"/>
      <c r="Q622" s="142"/>
    </row>
    <row r="623" spans="9:17" ht="43.5">
      <c r="I623" s="144">
        <f t="shared" si="162"/>
        <v>473</v>
      </c>
      <c r="J623" s="142" t="s">
        <v>1346</v>
      </c>
      <c r="K623" s="142" t="s">
        <v>1346</v>
      </c>
      <c r="L623" s="142" t="s">
        <v>1346</v>
      </c>
      <c r="M623" s="142" t="s">
        <v>1346</v>
      </c>
      <c r="N623" s="142" t="s">
        <v>1346</v>
      </c>
      <c r="O623" s="142" t="s">
        <v>1346</v>
      </c>
      <c r="P623" s="142" t="s">
        <v>1346</v>
      </c>
      <c r="Q623" s="142" t="s">
        <v>1346</v>
      </c>
    </row>
    <row r="624" spans="9:17" ht="29">
      <c r="I624" s="144">
        <f t="shared" si="162"/>
        <v>474</v>
      </c>
      <c r="J624" s="142" t="s">
        <v>1347</v>
      </c>
      <c r="K624" s="142" t="s">
        <v>1347</v>
      </c>
      <c r="L624" s="142" t="s">
        <v>1347</v>
      </c>
      <c r="M624" s="142" t="s">
        <v>1347</v>
      </c>
      <c r="N624" s="142" t="s">
        <v>1347</v>
      </c>
      <c r="O624" s="142"/>
      <c r="P624" s="142" t="s">
        <v>1347</v>
      </c>
      <c r="Q624" s="142" t="s">
        <v>1347</v>
      </c>
    </row>
    <row r="625" spans="9:17">
      <c r="I625" s="144">
        <f t="shared" si="162"/>
        <v>475</v>
      </c>
      <c r="J625" s="142" t="s">
        <v>1348</v>
      </c>
      <c r="K625" s="142" t="s">
        <v>1348</v>
      </c>
      <c r="L625" s="142" t="s">
        <v>1348</v>
      </c>
      <c r="M625" s="142" t="s">
        <v>1348</v>
      </c>
      <c r="N625" s="142" t="s">
        <v>1348</v>
      </c>
      <c r="O625" s="142" t="s">
        <v>1348</v>
      </c>
      <c r="P625" s="142" t="s">
        <v>1348</v>
      </c>
      <c r="Q625" s="142" t="s">
        <v>1348</v>
      </c>
    </row>
    <row r="626" spans="9:17" ht="29">
      <c r="I626" s="144">
        <f t="shared" si="162"/>
        <v>476</v>
      </c>
      <c r="J626" s="142" t="s">
        <v>1349</v>
      </c>
      <c r="K626" s="142" t="s">
        <v>1349</v>
      </c>
      <c r="L626" s="142" t="s">
        <v>1349</v>
      </c>
      <c r="M626" s="142" t="s">
        <v>1349</v>
      </c>
      <c r="N626" s="142" t="s">
        <v>1349</v>
      </c>
      <c r="O626" s="142" t="s">
        <v>1349</v>
      </c>
      <c r="P626" s="142" t="s">
        <v>1349</v>
      </c>
      <c r="Q626" s="142" t="s">
        <v>1349</v>
      </c>
    </row>
    <row r="627" spans="9:17">
      <c r="I627" s="144">
        <f t="shared" si="162"/>
        <v>477</v>
      </c>
      <c r="J627" s="142" t="s">
        <v>1350</v>
      </c>
      <c r="K627" s="142" t="s">
        <v>1350</v>
      </c>
      <c r="L627" s="142" t="s">
        <v>1350</v>
      </c>
      <c r="M627" s="142" t="s">
        <v>1350</v>
      </c>
      <c r="N627" s="142" t="s">
        <v>1350</v>
      </c>
      <c r="O627" s="142" t="s">
        <v>1350</v>
      </c>
      <c r="P627" s="142" t="s">
        <v>1350</v>
      </c>
      <c r="Q627" s="142" t="s">
        <v>1350</v>
      </c>
    </row>
    <row r="628" spans="9:17">
      <c r="I628" s="144">
        <f t="shared" si="162"/>
        <v>478</v>
      </c>
      <c r="J628" s="142" t="s">
        <v>1351</v>
      </c>
      <c r="K628" s="142" t="s">
        <v>1351</v>
      </c>
      <c r="L628" s="142" t="s">
        <v>1351</v>
      </c>
      <c r="M628" s="142" t="s">
        <v>1351</v>
      </c>
      <c r="N628" s="142" t="s">
        <v>1351</v>
      </c>
      <c r="O628" s="142" t="s">
        <v>1351</v>
      </c>
      <c r="P628" s="142" t="s">
        <v>1351</v>
      </c>
      <c r="Q628" s="142" t="s">
        <v>1351</v>
      </c>
    </row>
    <row r="629" spans="9:17" ht="29">
      <c r="I629" s="144">
        <f t="shared" si="162"/>
        <v>479</v>
      </c>
      <c r="J629" s="142" t="s">
        <v>1352</v>
      </c>
      <c r="K629" s="142" t="s">
        <v>1352</v>
      </c>
      <c r="L629" s="142" t="s">
        <v>1352</v>
      </c>
      <c r="M629" s="142" t="s">
        <v>1352</v>
      </c>
      <c r="N629" s="142" t="s">
        <v>1352</v>
      </c>
      <c r="O629" s="142" t="s">
        <v>1352</v>
      </c>
      <c r="P629" s="142" t="s">
        <v>1352</v>
      </c>
      <c r="Q629" s="142" t="s">
        <v>1352</v>
      </c>
    </row>
    <row r="630" spans="9:17" ht="58">
      <c r="I630" s="144">
        <f t="shared" si="162"/>
        <v>480</v>
      </c>
      <c r="J630" s="142" t="s">
        <v>1353</v>
      </c>
      <c r="K630" s="142" t="s">
        <v>1353</v>
      </c>
      <c r="L630" s="142" t="s">
        <v>1353</v>
      </c>
      <c r="M630" s="142" t="s">
        <v>1353</v>
      </c>
      <c r="N630" s="142" t="s">
        <v>1353</v>
      </c>
      <c r="O630" s="142" t="s">
        <v>1353</v>
      </c>
      <c r="P630" s="142" t="s">
        <v>1353</v>
      </c>
      <c r="Q630" s="142" t="s">
        <v>1353</v>
      </c>
    </row>
    <row r="631" spans="9:17">
      <c r="I631" s="144">
        <f t="shared" si="162"/>
        <v>481</v>
      </c>
      <c r="J631" s="142" t="s">
        <v>1354</v>
      </c>
      <c r="K631" s="142" t="s">
        <v>1354</v>
      </c>
      <c r="L631" s="142" t="s">
        <v>1354</v>
      </c>
      <c r="M631" s="142" t="s">
        <v>1354</v>
      </c>
      <c r="N631" s="142" t="s">
        <v>1354</v>
      </c>
      <c r="O631" s="142" t="s">
        <v>1354</v>
      </c>
      <c r="P631" s="142" t="s">
        <v>1354</v>
      </c>
      <c r="Q631" s="142" t="s">
        <v>1354</v>
      </c>
    </row>
    <row r="632" spans="9:17">
      <c r="I632" s="144">
        <f t="shared" si="162"/>
        <v>482</v>
      </c>
      <c r="J632" s="142" t="s">
        <v>1355</v>
      </c>
      <c r="K632" s="142" t="s">
        <v>1355</v>
      </c>
      <c r="L632" s="142" t="s">
        <v>1355</v>
      </c>
      <c r="M632" s="142" t="s">
        <v>1355</v>
      </c>
      <c r="N632" s="142" t="s">
        <v>1355</v>
      </c>
      <c r="O632" s="142" t="s">
        <v>1355</v>
      </c>
      <c r="P632" s="142" t="s">
        <v>1355</v>
      </c>
      <c r="Q632" s="142" t="s">
        <v>1355</v>
      </c>
    </row>
    <row r="633" spans="9:17">
      <c r="I633" s="144">
        <f t="shared" si="162"/>
        <v>483</v>
      </c>
      <c r="J633" s="142" t="s">
        <v>1356</v>
      </c>
      <c r="K633" s="142" t="s">
        <v>1356</v>
      </c>
      <c r="L633" s="142" t="s">
        <v>1356</v>
      </c>
      <c r="M633" s="142" t="s">
        <v>1356</v>
      </c>
      <c r="N633" s="142" t="s">
        <v>1356</v>
      </c>
      <c r="O633" s="142" t="s">
        <v>1356</v>
      </c>
      <c r="P633" s="142" t="s">
        <v>1356</v>
      </c>
      <c r="Q633" s="142" t="s">
        <v>1356</v>
      </c>
    </row>
    <row r="634" spans="9:17">
      <c r="I634" s="144">
        <f t="shared" si="162"/>
        <v>484</v>
      </c>
      <c r="J634" s="142" t="s">
        <v>1357</v>
      </c>
      <c r="K634" s="142" t="s">
        <v>1357</v>
      </c>
      <c r="L634" s="142" t="s">
        <v>1357</v>
      </c>
      <c r="M634" s="142" t="s">
        <v>1357</v>
      </c>
      <c r="N634" s="142" t="s">
        <v>1357</v>
      </c>
      <c r="O634" s="142" t="s">
        <v>1357</v>
      </c>
      <c r="P634" s="142" t="s">
        <v>1357</v>
      </c>
      <c r="Q634" s="142" t="s">
        <v>1357</v>
      </c>
    </row>
    <row r="635" spans="9:17" ht="35.5">
      <c r="I635" s="144">
        <f t="shared" si="162"/>
        <v>485</v>
      </c>
      <c r="J635" s="143" t="s">
        <v>1358</v>
      </c>
      <c r="K635" s="143" t="s">
        <v>1358</v>
      </c>
      <c r="L635" s="143" t="s">
        <v>1358</v>
      </c>
      <c r="M635" s="143" t="s">
        <v>1358</v>
      </c>
      <c r="N635" s="143" t="s">
        <v>1358</v>
      </c>
      <c r="O635" s="143" t="s">
        <v>1358</v>
      </c>
      <c r="P635" s="146" t="s">
        <v>1358</v>
      </c>
      <c r="Q635" s="146" t="s">
        <v>1358</v>
      </c>
    </row>
    <row r="636" spans="9:17" ht="29">
      <c r="I636" s="144">
        <f t="shared" si="162"/>
        <v>486</v>
      </c>
      <c r="J636" s="143"/>
      <c r="K636" s="142" t="s">
        <v>1359</v>
      </c>
      <c r="L636" s="142" t="s">
        <v>1359</v>
      </c>
      <c r="M636" s="142" t="s">
        <v>1359</v>
      </c>
      <c r="N636" s="142" t="s">
        <v>1359</v>
      </c>
      <c r="O636" s="142" t="s">
        <v>1359</v>
      </c>
      <c r="P636" s="142" t="s">
        <v>1359</v>
      </c>
      <c r="Q636" s="142" t="s">
        <v>1359</v>
      </c>
    </row>
    <row r="637" spans="9:17">
      <c r="I637" s="144">
        <f t="shared" si="162"/>
        <v>487</v>
      </c>
      <c r="J637" s="142" t="s">
        <v>1360</v>
      </c>
      <c r="K637" s="142" t="s">
        <v>1360</v>
      </c>
      <c r="L637" s="142" t="s">
        <v>1360</v>
      </c>
      <c r="M637" s="142" t="s">
        <v>1360</v>
      </c>
      <c r="N637" s="142" t="s">
        <v>1360</v>
      </c>
      <c r="O637" s="142" t="s">
        <v>1360</v>
      </c>
      <c r="P637" s="142" t="s">
        <v>1360</v>
      </c>
      <c r="Q637" s="142" t="s">
        <v>1360</v>
      </c>
    </row>
    <row r="638" spans="9:17" ht="29">
      <c r="I638" s="144">
        <f t="shared" si="162"/>
        <v>488</v>
      </c>
      <c r="J638" s="142" t="s">
        <v>1361</v>
      </c>
      <c r="K638" s="142" t="s">
        <v>1361</v>
      </c>
      <c r="L638" s="142" t="s">
        <v>1361</v>
      </c>
      <c r="M638" s="142" t="s">
        <v>1361</v>
      </c>
      <c r="N638" s="142" t="s">
        <v>1361</v>
      </c>
      <c r="O638" s="142" t="s">
        <v>1361</v>
      </c>
      <c r="P638" s="142" t="s">
        <v>1361</v>
      </c>
      <c r="Q638" s="142" t="s">
        <v>1361</v>
      </c>
    </row>
    <row r="639" spans="9:17" ht="29">
      <c r="I639" s="144">
        <f t="shared" si="162"/>
        <v>489</v>
      </c>
      <c r="J639" s="142" t="s">
        <v>1362</v>
      </c>
      <c r="K639" s="142" t="s">
        <v>1362</v>
      </c>
      <c r="L639" s="142" t="s">
        <v>1362</v>
      </c>
      <c r="M639" s="142" t="s">
        <v>1362</v>
      </c>
      <c r="N639" s="142" t="s">
        <v>1362</v>
      </c>
      <c r="O639" s="142" t="s">
        <v>1362</v>
      </c>
      <c r="P639" s="142" t="s">
        <v>1362</v>
      </c>
      <c r="Q639" s="142" t="s">
        <v>1362</v>
      </c>
    </row>
    <row r="640" spans="9:17" ht="29">
      <c r="I640" s="144">
        <f t="shared" si="162"/>
        <v>490</v>
      </c>
      <c r="J640" s="142" t="s">
        <v>1363</v>
      </c>
      <c r="K640" s="142" t="s">
        <v>1363</v>
      </c>
      <c r="L640" s="142" t="s">
        <v>1363</v>
      </c>
      <c r="M640" s="142" t="s">
        <v>1363</v>
      </c>
      <c r="N640" s="142" t="s">
        <v>1363</v>
      </c>
      <c r="O640" s="142" t="s">
        <v>1363</v>
      </c>
      <c r="P640" s="142" t="s">
        <v>1363</v>
      </c>
      <c r="Q640" s="142" t="s">
        <v>1363</v>
      </c>
    </row>
    <row r="641" spans="9:17" ht="43.5">
      <c r="I641" s="144">
        <f t="shared" si="162"/>
        <v>491</v>
      </c>
      <c r="J641" s="142" t="s">
        <v>1364</v>
      </c>
      <c r="K641" s="142" t="s">
        <v>1364</v>
      </c>
      <c r="L641" s="142" t="s">
        <v>1364</v>
      </c>
      <c r="M641" s="142" t="s">
        <v>1364</v>
      </c>
      <c r="N641" s="142" t="s">
        <v>1364</v>
      </c>
      <c r="O641" s="142" t="s">
        <v>1364</v>
      </c>
      <c r="P641" s="142" t="s">
        <v>1364</v>
      </c>
      <c r="Q641" s="142" t="s">
        <v>1364</v>
      </c>
    </row>
    <row r="642" spans="9:17" ht="29">
      <c r="I642" s="144">
        <f t="shared" si="162"/>
        <v>492</v>
      </c>
      <c r="J642" s="142" t="s">
        <v>1365</v>
      </c>
      <c r="K642" s="142" t="s">
        <v>1365</v>
      </c>
      <c r="L642" s="142" t="s">
        <v>1365</v>
      </c>
      <c r="M642" s="142" t="s">
        <v>1365</v>
      </c>
      <c r="N642" s="142" t="s">
        <v>1365</v>
      </c>
      <c r="O642" s="142" t="s">
        <v>1365</v>
      </c>
      <c r="P642" s="142" t="s">
        <v>1365</v>
      </c>
      <c r="Q642" s="142" t="s">
        <v>1365</v>
      </c>
    </row>
    <row r="643" spans="9:17">
      <c r="I643" s="144">
        <f t="shared" si="162"/>
        <v>493</v>
      </c>
      <c r="J643" s="142" t="s">
        <v>1366</v>
      </c>
      <c r="K643" s="142" t="s">
        <v>1366</v>
      </c>
      <c r="L643" s="142" t="s">
        <v>1366</v>
      </c>
      <c r="M643" s="142" t="s">
        <v>1366</v>
      </c>
      <c r="N643" s="142" t="s">
        <v>1366</v>
      </c>
      <c r="O643" s="142" t="s">
        <v>1366</v>
      </c>
      <c r="P643" s="142" t="s">
        <v>1366</v>
      </c>
      <c r="Q643" s="142" t="s">
        <v>1366</v>
      </c>
    </row>
    <row r="644" spans="9:17">
      <c r="I644" s="144">
        <f t="shared" si="162"/>
        <v>494</v>
      </c>
      <c r="J644" s="142" t="s">
        <v>1367</v>
      </c>
      <c r="K644" s="142" t="s">
        <v>1367</v>
      </c>
      <c r="L644" s="142" t="s">
        <v>1367</v>
      </c>
      <c r="M644" s="142" t="s">
        <v>1367</v>
      </c>
      <c r="N644" s="142" t="s">
        <v>1367</v>
      </c>
      <c r="O644" s="142" t="s">
        <v>1367</v>
      </c>
      <c r="P644" s="142" t="s">
        <v>1367</v>
      </c>
      <c r="Q644" s="142" t="s">
        <v>1367</v>
      </c>
    </row>
    <row r="645" spans="9:17" ht="29">
      <c r="I645" s="144">
        <f t="shared" si="162"/>
        <v>495</v>
      </c>
      <c r="J645" s="142" t="s">
        <v>1368</v>
      </c>
      <c r="K645" s="142" t="s">
        <v>1368</v>
      </c>
      <c r="L645" s="142" t="s">
        <v>1368</v>
      </c>
      <c r="M645" s="142" t="s">
        <v>1368</v>
      </c>
      <c r="N645" s="142" t="s">
        <v>1368</v>
      </c>
      <c r="O645" s="142" t="s">
        <v>1368</v>
      </c>
      <c r="P645" s="142" t="s">
        <v>1368</v>
      </c>
      <c r="Q645" s="142" t="s">
        <v>1368</v>
      </c>
    </row>
    <row r="646" spans="9:17" ht="29">
      <c r="I646" s="144">
        <f t="shared" si="162"/>
        <v>496</v>
      </c>
      <c r="J646" s="142" t="s">
        <v>1369</v>
      </c>
      <c r="K646" s="142" t="s">
        <v>1369</v>
      </c>
      <c r="L646" s="142" t="s">
        <v>1369</v>
      </c>
      <c r="M646" s="142" t="s">
        <v>1369</v>
      </c>
      <c r="N646" s="142" t="s">
        <v>1369</v>
      </c>
      <c r="O646" s="142" t="s">
        <v>1369</v>
      </c>
      <c r="P646" s="142" t="s">
        <v>1369</v>
      </c>
      <c r="Q646" s="142" t="s">
        <v>1369</v>
      </c>
    </row>
    <row r="647" spans="9:17" ht="29">
      <c r="I647" s="144">
        <f t="shared" si="162"/>
        <v>497</v>
      </c>
      <c r="J647" s="142" t="s">
        <v>1370</v>
      </c>
      <c r="K647" s="142" t="s">
        <v>1370</v>
      </c>
      <c r="L647" s="142" t="s">
        <v>1370</v>
      </c>
      <c r="M647" s="142" t="s">
        <v>1370</v>
      </c>
      <c r="N647" s="142" t="s">
        <v>1370</v>
      </c>
      <c r="O647" s="142" t="s">
        <v>1370</v>
      </c>
      <c r="P647" s="142" t="s">
        <v>1370</v>
      </c>
      <c r="Q647" s="142" t="s">
        <v>1370</v>
      </c>
    </row>
    <row r="648" spans="9:17" ht="29">
      <c r="I648" s="144">
        <f t="shared" si="162"/>
        <v>498</v>
      </c>
      <c r="J648" s="142" t="s">
        <v>1371</v>
      </c>
      <c r="K648" s="142" t="s">
        <v>1371</v>
      </c>
      <c r="L648" s="142" t="s">
        <v>1371</v>
      </c>
      <c r="M648" s="142" t="s">
        <v>1371</v>
      </c>
      <c r="N648" s="142" t="s">
        <v>1371</v>
      </c>
      <c r="O648" s="142" t="s">
        <v>1371</v>
      </c>
      <c r="P648" s="142" t="s">
        <v>1371</v>
      </c>
      <c r="Q648" s="142" t="s">
        <v>1371</v>
      </c>
    </row>
    <row r="649" spans="9:17">
      <c r="I649" s="144">
        <f t="shared" si="162"/>
        <v>499</v>
      </c>
      <c r="J649" s="142" t="s">
        <v>1372</v>
      </c>
      <c r="K649" s="142" t="s">
        <v>1372</v>
      </c>
      <c r="L649" s="142" t="s">
        <v>1372</v>
      </c>
      <c r="M649" s="142" t="s">
        <v>1372</v>
      </c>
      <c r="N649" s="142" t="s">
        <v>1372</v>
      </c>
      <c r="O649" s="142" t="s">
        <v>1372</v>
      </c>
      <c r="P649" s="142" t="s">
        <v>1372</v>
      </c>
      <c r="Q649" s="142" t="s">
        <v>1372</v>
      </c>
    </row>
    <row r="650" spans="9:17" ht="43.5">
      <c r="I650" s="144">
        <f t="shared" si="162"/>
        <v>500</v>
      </c>
      <c r="J650" s="142" t="s">
        <v>1373</v>
      </c>
      <c r="K650" s="142" t="s">
        <v>1373</v>
      </c>
      <c r="L650" s="142" t="s">
        <v>1373</v>
      </c>
      <c r="M650" s="142" t="s">
        <v>1373</v>
      </c>
      <c r="N650" s="142" t="s">
        <v>1373</v>
      </c>
      <c r="O650" s="142" t="s">
        <v>1373</v>
      </c>
      <c r="P650" s="142" t="s">
        <v>1373</v>
      </c>
      <c r="Q650" s="142" t="s">
        <v>1373</v>
      </c>
    </row>
    <row r="651" spans="9:17">
      <c r="I651" s="144">
        <f t="shared" si="162"/>
        <v>501</v>
      </c>
      <c r="J651" s="142" t="s">
        <v>1374</v>
      </c>
      <c r="K651" s="142" t="s">
        <v>1374</v>
      </c>
      <c r="L651" s="142" t="s">
        <v>1374</v>
      </c>
      <c r="M651" s="142" t="s">
        <v>1374</v>
      </c>
      <c r="N651" s="142" t="s">
        <v>1374</v>
      </c>
      <c r="O651" s="142" t="s">
        <v>1374</v>
      </c>
      <c r="P651" s="142" t="s">
        <v>1374</v>
      </c>
      <c r="Q651" s="142" t="s">
        <v>1374</v>
      </c>
    </row>
    <row r="652" spans="9:17" ht="29">
      <c r="I652" s="144">
        <f t="shared" si="162"/>
        <v>502</v>
      </c>
      <c r="J652" s="142" t="s">
        <v>1375</v>
      </c>
      <c r="K652" s="142" t="s">
        <v>1375</v>
      </c>
      <c r="L652" s="142" t="s">
        <v>1375</v>
      </c>
      <c r="M652" s="142" t="s">
        <v>1375</v>
      </c>
      <c r="N652" s="142" t="s">
        <v>1375</v>
      </c>
      <c r="O652" s="142" t="s">
        <v>1375</v>
      </c>
      <c r="P652" s="142" t="s">
        <v>1375</v>
      </c>
      <c r="Q652" s="142" t="s">
        <v>1375</v>
      </c>
    </row>
    <row r="653" spans="9:17" ht="29">
      <c r="I653" s="144">
        <f t="shared" si="162"/>
        <v>503</v>
      </c>
      <c r="J653" s="142" t="s">
        <v>1376</v>
      </c>
      <c r="K653" s="142" t="s">
        <v>1376</v>
      </c>
      <c r="L653" s="142" t="s">
        <v>1376</v>
      </c>
      <c r="M653" s="142" t="s">
        <v>1376</v>
      </c>
      <c r="N653" s="142" t="s">
        <v>1376</v>
      </c>
      <c r="O653" s="142" t="s">
        <v>1376</v>
      </c>
      <c r="P653" s="142" t="s">
        <v>1376</v>
      </c>
      <c r="Q653" s="142" t="s">
        <v>1376</v>
      </c>
    </row>
    <row r="654" spans="9:17" ht="29">
      <c r="I654" s="144">
        <f t="shared" si="162"/>
        <v>504</v>
      </c>
      <c r="J654" s="142" t="s">
        <v>1377</v>
      </c>
      <c r="K654" s="142" t="s">
        <v>1377</v>
      </c>
      <c r="L654" s="142" t="s">
        <v>1377</v>
      </c>
      <c r="M654" s="142" t="s">
        <v>1377</v>
      </c>
      <c r="N654" s="142" t="s">
        <v>1377</v>
      </c>
      <c r="O654" s="142" t="s">
        <v>1377</v>
      </c>
      <c r="P654" s="142" t="s">
        <v>1377</v>
      </c>
      <c r="Q654" s="142" t="s">
        <v>1377</v>
      </c>
    </row>
    <row r="655" spans="9:17" ht="29">
      <c r="I655" s="144">
        <f t="shared" si="162"/>
        <v>505</v>
      </c>
      <c r="J655" s="142" t="s">
        <v>1378</v>
      </c>
      <c r="K655" s="142" t="s">
        <v>1378</v>
      </c>
      <c r="L655" s="142" t="s">
        <v>1378</v>
      </c>
      <c r="M655" s="142" t="s">
        <v>1378</v>
      </c>
      <c r="N655" s="142" t="s">
        <v>1378</v>
      </c>
      <c r="O655" s="142" t="s">
        <v>1378</v>
      </c>
      <c r="P655" s="142" t="s">
        <v>1378</v>
      </c>
      <c r="Q655" s="142" t="s">
        <v>1378</v>
      </c>
    </row>
    <row r="656" spans="9:17">
      <c r="I656" s="144">
        <f t="shared" si="162"/>
        <v>506</v>
      </c>
      <c r="J656" s="142" t="s">
        <v>1379</v>
      </c>
      <c r="K656" s="142" t="s">
        <v>1379</v>
      </c>
      <c r="L656" s="142" t="s">
        <v>1379</v>
      </c>
      <c r="M656" s="142" t="s">
        <v>1379</v>
      </c>
      <c r="N656" s="142" t="s">
        <v>1379</v>
      </c>
      <c r="O656" s="142" t="s">
        <v>1379</v>
      </c>
      <c r="P656" s="142" t="s">
        <v>1379</v>
      </c>
      <c r="Q656" s="142" t="s">
        <v>1379</v>
      </c>
    </row>
    <row r="657" spans="9:17" ht="29">
      <c r="I657" s="144">
        <f t="shared" si="162"/>
        <v>507</v>
      </c>
      <c r="J657" s="142" t="s">
        <v>1380</v>
      </c>
      <c r="K657" s="142" t="s">
        <v>1380</v>
      </c>
      <c r="L657" s="142" t="s">
        <v>1380</v>
      </c>
      <c r="M657" s="142" t="s">
        <v>1380</v>
      </c>
      <c r="N657" s="142" t="s">
        <v>1380</v>
      </c>
      <c r="O657" s="142" t="s">
        <v>1380</v>
      </c>
      <c r="P657" s="142" t="s">
        <v>1380</v>
      </c>
      <c r="Q657" s="142" t="s">
        <v>1380</v>
      </c>
    </row>
    <row r="658" spans="9:17" ht="58">
      <c r="I658" s="144">
        <f t="shared" si="162"/>
        <v>508</v>
      </c>
      <c r="J658" s="142" t="s">
        <v>1381</v>
      </c>
      <c r="K658" s="142" t="s">
        <v>1381</v>
      </c>
      <c r="L658" s="142" t="s">
        <v>1381</v>
      </c>
      <c r="M658" s="142" t="s">
        <v>1381</v>
      </c>
      <c r="N658" s="142" t="s">
        <v>1381</v>
      </c>
      <c r="O658" s="142" t="s">
        <v>1381</v>
      </c>
      <c r="P658" s="142" t="s">
        <v>1381</v>
      </c>
      <c r="Q658" s="142" t="s">
        <v>1381</v>
      </c>
    </row>
    <row r="659" spans="9:17" ht="43.5">
      <c r="I659" s="144">
        <f t="shared" si="162"/>
        <v>509</v>
      </c>
      <c r="J659" s="142" t="s">
        <v>1382</v>
      </c>
      <c r="K659" s="142" t="s">
        <v>1382</v>
      </c>
      <c r="L659" s="142" t="s">
        <v>1382</v>
      </c>
      <c r="M659" s="142" t="s">
        <v>1382</v>
      </c>
      <c r="N659" s="142" t="s">
        <v>1382</v>
      </c>
      <c r="O659" s="142" t="s">
        <v>1382</v>
      </c>
      <c r="P659" s="142" t="s">
        <v>1382</v>
      </c>
    </row>
    <row r="660" spans="9:17" ht="58">
      <c r="I660" s="144">
        <f t="shared" si="162"/>
        <v>510</v>
      </c>
      <c r="J660" s="142" t="s">
        <v>1383</v>
      </c>
      <c r="K660" s="142" t="s">
        <v>1383</v>
      </c>
      <c r="L660" s="142" t="s">
        <v>1383</v>
      </c>
      <c r="M660" s="142" t="s">
        <v>1383</v>
      </c>
      <c r="N660" s="142" t="s">
        <v>1383</v>
      </c>
      <c r="O660" s="142" t="s">
        <v>1383</v>
      </c>
      <c r="P660" s="142" t="s">
        <v>1383</v>
      </c>
      <c r="Q660" s="142" t="s">
        <v>1383</v>
      </c>
    </row>
    <row r="661" spans="9:17" ht="43.5">
      <c r="I661" s="144">
        <f t="shared" si="162"/>
        <v>511</v>
      </c>
      <c r="J661" s="142" t="s">
        <v>1384</v>
      </c>
      <c r="K661" s="142" t="s">
        <v>1384</v>
      </c>
      <c r="L661" s="142" t="s">
        <v>1384</v>
      </c>
      <c r="M661" s="142" t="s">
        <v>1384</v>
      </c>
      <c r="N661" s="142" t="s">
        <v>1384</v>
      </c>
      <c r="O661" s="142" t="s">
        <v>1384</v>
      </c>
      <c r="P661" s="142" t="s">
        <v>1384</v>
      </c>
      <c r="Q661" s="142" t="s">
        <v>1384</v>
      </c>
    </row>
    <row r="662" spans="9:17">
      <c r="I662" s="144">
        <f t="shared" si="162"/>
        <v>512</v>
      </c>
      <c r="J662" s="142" t="s">
        <v>1385</v>
      </c>
      <c r="K662" s="142" t="s">
        <v>1385</v>
      </c>
      <c r="L662" s="142" t="s">
        <v>1385</v>
      </c>
      <c r="M662" s="142" t="s">
        <v>1385</v>
      </c>
      <c r="N662" s="142" t="s">
        <v>1385</v>
      </c>
      <c r="O662" s="142" t="s">
        <v>1385</v>
      </c>
      <c r="P662" s="142" t="s">
        <v>1385</v>
      </c>
      <c r="Q662" s="142" t="s">
        <v>1385</v>
      </c>
    </row>
    <row r="663" spans="9:17" ht="29">
      <c r="I663" s="144">
        <f t="shared" si="162"/>
        <v>513</v>
      </c>
      <c r="J663" s="142" t="s">
        <v>1386</v>
      </c>
      <c r="K663" s="142" t="s">
        <v>1386</v>
      </c>
      <c r="L663" s="142" t="s">
        <v>1386</v>
      </c>
      <c r="M663" s="142" t="s">
        <v>1386</v>
      </c>
      <c r="N663" s="142" t="s">
        <v>1386</v>
      </c>
      <c r="O663" s="142" t="s">
        <v>1386</v>
      </c>
      <c r="P663" s="142" t="s">
        <v>1386</v>
      </c>
      <c r="Q663" s="142" t="s">
        <v>1386</v>
      </c>
    </row>
    <row r="664" spans="9:17" ht="29">
      <c r="I664" s="144"/>
      <c r="J664" s="142"/>
      <c r="K664" s="142"/>
      <c r="L664" s="142"/>
      <c r="M664" s="142"/>
      <c r="N664" s="142"/>
      <c r="O664" s="142"/>
      <c r="P664" s="142"/>
      <c r="Q664" s="142" t="s">
        <v>1387</v>
      </c>
    </row>
    <row r="665" spans="9:17">
      <c r="I665" s="144">
        <f>I663+1</f>
        <v>514</v>
      </c>
      <c r="J665" s="142" t="s">
        <v>1388</v>
      </c>
      <c r="K665" s="142" t="s">
        <v>1388</v>
      </c>
      <c r="L665" s="142" t="s">
        <v>1388</v>
      </c>
      <c r="M665" s="142" t="s">
        <v>1388</v>
      </c>
      <c r="N665" s="142" t="s">
        <v>1388</v>
      </c>
      <c r="O665" s="142"/>
      <c r="P665" s="142" t="s">
        <v>1388</v>
      </c>
      <c r="Q665" s="142" t="s">
        <v>1388</v>
      </c>
    </row>
    <row r="666" spans="9:17">
      <c r="I666" s="144">
        <f t="shared" ref="I666:I730" si="163">I665+1</f>
        <v>515</v>
      </c>
      <c r="J666" s="142" t="s">
        <v>1389</v>
      </c>
      <c r="K666" s="142" t="s">
        <v>1389</v>
      </c>
      <c r="L666" s="142" t="s">
        <v>1389</v>
      </c>
      <c r="M666" s="142" t="s">
        <v>1389</v>
      </c>
      <c r="N666" s="142" t="s">
        <v>1389</v>
      </c>
      <c r="O666" s="142" t="s">
        <v>1389</v>
      </c>
      <c r="P666" s="142" t="s">
        <v>1389</v>
      </c>
      <c r="Q666" s="142" t="s">
        <v>1389</v>
      </c>
    </row>
    <row r="667" spans="9:17" ht="29">
      <c r="I667" s="144">
        <f t="shared" si="163"/>
        <v>516</v>
      </c>
      <c r="J667" s="142" t="s">
        <v>1390</v>
      </c>
      <c r="K667" s="142" t="s">
        <v>1390</v>
      </c>
      <c r="L667" s="142" t="s">
        <v>1390</v>
      </c>
      <c r="M667" s="142" t="s">
        <v>1390</v>
      </c>
      <c r="N667" s="142" t="s">
        <v>1390</v>
      </c>
      <c r="O667" s="142" t="s">
        <v>1390</v>
      </c>
      <c r="P667" s="142" t="s">
        <v>1390</v>
      </c>
      <c r="Q667" s="142" t="s">
        <v>1390</v>
      </c>
    </row>
    <row r="668" spans="9:17">
      <c r="I668" s="144">
        <f t="shared" si="163"/>
        <v>517</v>
      </c>
      <c r="J668" s="142" t="s">
        <v>1391</v>
      </c>
      <c r="K668" s="142" t="s">
        <v>1391</v>
      </c>
      <c r="L668" s="142" t="s">
        <v>1391</v>
      </c>
      <c r="M668" s="142" t="s">
        <v>1391</v>
      </c>
      <c r="N668" s="142" t="s">
        <v>1391</v>
      </c>
      <c r="O668" s="142" t="s">
        <v>1391</v>
      </c>
      <c r="P668" s="142" t="s">
        <v>1391</v>
      </c>
      <c r="Q668" s="142" t="s">
        <v>1391</v>
      </c>
    </row>
    <row r="669" spans="9:17">
      <c r="I669" s="144">
        <f t="shared" si="163"/>
        <v>518</v>
      </c>
      <c r="J669" s="142" t="s">
        <v>1392</v>
      </c>
      <c r="K669" s="142" t="s">
        <v>1392</v>
      </c>
      <c r="L669" s="142" t="s">
        <v>1392</v>
      </c>
      <c r="M669" s="142" t="s">
        <v>1392</v>
      </c>
      <c r="N669" s="142" t="s">
        <v>1392</v>
      </c>
      <c r="O669" s="142" t="s">
        <v>1392</v>
      </c>
      <c r="P669" s="142" t="s">
        <v>1392</v>
      </c>
      <c r="Q669" s="142" t="s">
        <v>1392</v>
      </c>
    </row>
    <row r="670" spans="9:17">
      <c r="I670" s="144">
        <f t="shared" si="163"/>
        <v>519</v>
      </c>
      <c r="J670" s="142" t="s">
        <v>1393</v>
      </c>
      <c r="K670" s="142" t="s">
        <v>1393</v>
      </c>
      <c r="L670" s="142" t="s">
        <v>1393</v>
      </c>
      <c r="M670" s="142" t="s">
        <v>1393</v>
      </c>
      <c r="N670" s="142" t="s">
        <v>1393</v>
      </c>
      <c r="O670" s="142" t="s">
        <v>1393</v>
      </c>
      <c r="P670" s="142" t="s">
        <v>1393</v>
      </c>
      <c r="Q670" s="142" t="s">
        <v>1393</v>
      </c>
    </row>
    <row r="671" spans="9:17" ht="29">
      <c r="I671" s="144">
        <f t="shared" si="163"/>
        <v>520</v>
      </c>
      <c r="J671" s="142" t="s">
        <v>1394</v>
      </c>
      <c r="K671" s="142" t="s">
        <v>1394</v>
      </c>
      <c r="L671" s="142" t="s">
        <v>1394</v>
      </c>
      <c r="M671" s="142" t="s">
        <v>1394</v>
      </c>
      <c r="N671" s="142" t="s">
        <v>1394</v>
      </c>
      <c r="O671" s="142" t="s">
        <v>1394</v>
      </c>
      <c r="P671" s="142" t="s">
        <v>1394</v>
      </c>
      <c r="Q671" s="142" t="s">
        <v>1394</v>
      </c>
    </row>
    <row r="672" spans="9:17" ht="35.5">
      <c r="I672" s="144">
        <f t="shared" si="163"/>
        <v>521</v>
      </c>
      <c r="J672" s="143" t="s">
        <v>1395</v>
      </c>
      <c r="K672" s="143" t="s">
        <v>1395</v>
      </c>
      <c r="L672" s="143" t="s">
        <v>1395</v>
      </c>
      <c r="M672" s="143" t="s">
        <v>1395</v>
      </c>
      <c r="N672" s="143" t="s">
        <v>1395</v>
      </c>
      <c r="O672" s="143" t="s">
        <v>1395</v>
      </c>
      <c r="P672" s="146" t="s">
        <v>1395</v>
      </c>
      <c r="Q672" s="146" t="s">
        <v>1395</v>
      </c>
    </row>
    <row r="673" spans="9:17">
      <c r="I673" s="144">
        <f t="shared" si="163"/>
        <v>522</v>
      </c>
      <c r="J673" s="142" t="s">
        <v>1396</v>
      </c>
      <c r="K673" s="142" t="s">
        <v>1396</v>
      </c>
      <c r="L673" s="142" t="s">
        <v>1396</v>
      </c>
      <c r="M673" s="142" t="s">
        <v>1396</v>
      </c>
      <c r="N673" s="142" t="s">
        <v>1396</v>
      </c>
      <c r="O673" s="142" t="s">
        <v>1396</v>
      </c>
      <c r="P673" s="142" t="s">
        <v>1396</v>
      </c>
      <c r="Q673" s="142" t="s">
        <v>1396</v>
      </c>
    </row>
    <row r="674" spans="9:17" ht="29">
      <c r="I674" s="144">
        <f t="shared" si="163"/>
        <v>523</v>
      </c>
      <c r="J674" s="142" t="s">
        <v>1397</v>
      </c>
      <c r="K674" s="142" t="s">
        <v>1397</v>
      </c>
      <c r="L674" s="142" t="s">
        <v>1397</v>
      </c>
      <c r="M674" s="142" t="s">
        <v>1397</v>
      </c>
      <c r="N674" s="142" t="s">
        <v>1397</v>
      </c>
      <c r="O674" s="142" t="s">
        <v>1397</v>
      </c>
      <c r="P674" s="142" t="s">
        <v>1397</v>
      </c>
      <c r="Q674" s="142" t="s">
        <v>1397</v>
      </c>
    </row>
    <row r="675" spans="9:17" ht="43.5">
      <c r="I675" s="144">
        <f t="shared" si="163"/>
        <v>524</v>
      </c>
      <c r="J675" s="142" t="s">
        <v>1398</v>
      </c>
      <c r="K675" s="142" t="s">
        <v>1398</v>
      </c>
      <c r="L675" s="142" t="s">
        <v>1398</v>
      </c>
      <c r="M675" s="142" t="s">
        <v>1398</v>
      </c>
      <c r="N675" s="142" t="s">
        <v>1398</v>
      </c>
      <c r="O675" s="142" t="s">
        <v>1398</v>
      </c>
      <c r="P675" s="142" t="s">
        <v>1398</v>
      </c>
      <c r="Q675" s="142" t="s">
        <v>1398</v>
      </c>
    </row>
    <row r="676" spans="9:17">
      <c r="I676" s="144">
        <f t="shared" si="163"/>
        <v>525</v>
      </c>
      <c r="J676" s="142" t="s">
        <v>1399</v>
      </c>
      <c r="K676" s="142" t="s">
        <v>1399</v>
      </c>
      <c r="L676" s="142" t="s">
        <v>1399</v>
      </c>
      <c r="M676" s="142" t="s">
        <v>1399</v>
      </c>
      <c r="N676" s="142" t="s">
        <v>1399</v>
      </c>
      <c r="O676" s="142" t="s">
        <v>1399</v>
      </c>
      <c r="P676" s="142" t="s">
        <v>1399</v>
      </c>
      <c r="Q676" s="142" t="s">
        <v>1399</v>
      </c>
    </row>
    <row r="677" spans="9:17" ht="29">
      <c r="I677" s="144">
        <f t="shared" si="163"/>
        <v>526</v>
      </c>
      <c r="J677" s="142" t="s">
        <v>1400</v>
      </c>
      <c r="K677" s="142" t="s">
        <v>1400</v>
      </c>
      <c r="L677" s="142" t="s">
        <v>1400</v>
      </c>
      <c r="M677" s="142" t="s">
        <v>1400</v>
      </c>
      <c r="N677" s="142" t="s">
        <v>1400</v>
      </c>
      <c r="O677" s="142" t="s">
        <v>1400</v>
      </c>
      <c r="P677" s="142" t="s">
        <v>1400</v>
      </c>
      <c r="Q677" s="142" t="s">
        <v>1400</v>
      </c>
    </row>
    <row r="678" spans="9:17">
      <c r="I678" s="144">
        <f t="shared" si="163"/>
        <v>527</v>
      </c>
      <c r="J678" s="142" t="s">
        <v>1401</v>
      </c>
      <c r="K678" s="142" t="s">
        <v>1401</v>
      </c>
      <c r="L678" s="142" t="s">
        <v>1401</v>
      </c>
      <c r="M678" s="142" t="s">
        <v>1401</v>
      </c>
      <c r="N678" s="142" t="s">
        <v>1401</v>
      </c>
      <c r="O678" s="142"/>
      <c r="P678" s="142" t="s">
        <v>1401</v>
      </c>
      <c r="Q678" s="142" t="s">
        <v>1401</v>
      </c>
    </row>
    <row r="679" spans="9:17" ht="43.5">
      <c r="I679" s="144">
        <f t="shared" si="163"/>
        <v>528</v>
      </c>
      <c r="J679" s="142" t="s">
        <v>1402</v>
      </c>
      <c r="K679" s="142" t="s">
        <v>1402</v>
      </c>
      <c r="L679" s="142" t="s">
        <v>1402</v>
      </c>
      <c r="M679" s="142" t="s">
        <v>1402</v>
      </c>
      <c r="N679" s="142" t="s">
        <v>1402</v>
      </c>
      <c r="O679" s="142" t="s">
        <v>1402</v>
      </c>
      <c r="P679" s="142" t="s">
        <v>1402</v>
      </c>
      <c r="Q679" s="142" t="s">
        <v>1402</v>
      </c>
    </row>
    <row r="680" spans="9:17" ht="58">
      <c r="I680" s="144">
        <f t="shared" si="163"/>
        <v>529</v>
      </c>
      <c r="J680" s="142" t="s">
        <v>1403</v>
      </c>
      <c r="K680" s="142" t="s">
        <v>1403</v>
      </c>
      <c r="L680" s="142" t="s">
        <v>1403</v>
      </c>
      <c r="M680" s="142" t="s">
        <v>1403</v>
      </c>
      <c r="N680" s="142" t="s">
        <v>1403</v>
      </c>
      <c r="O680" s="142" t="s">
        <v>1403</v>
      </c>
      <c r="P680" s="142" t="s">
        <v>1403</v>
      </c>
      <c r="Q680" s="142" t="s">
        <v>1403</v>
      </c>
    </row>
    <row r="681" spans="9:17" ht="29">
      <c r="I681" s="144">
        <f t="shared" si="163"/>
        <v>530</v>
      </c>
      <c r="J681" s="142" t="s">
        <v>1404</v>
      </c>
      <c r="K681" s="142" t="s">
        <v>1404</v>
      </c>
      <c r="L681" s="142" t="s">
        <v>1404</v>
      </c>
      <c r="M681" s="142" t="s">
        <v>1404</v>
      </c>
      <c r="N681" s="142" t="s">
        <v>1404</v>
      </c>
      <c r="O681" s="142"/>
      <c r="P681" s="142" t="s">
        <v>1404</v>
      </c>
      <c r="Q681" s="142"/>
    </row>
    <row r="682" spans="9:17">
      <c r="I682" s="144">
        <f t="shared" si="163"/>
        <v>531</v>
      </c>
      <c r="J682" s="142" t="s">
        <v>1405</v>
      </c>
      <c r="K682" s="142" t="s">
        <v>1405</v>
      </c>
      <c r="L682" s="142" t="s">
        <v>1405</v>
      </c>
      <c r="M682" s="142" t="s">
        <v>1405</v>
      </c>
      <c r="N682" s="142" t="s">
        <v>1405</v>
      </c>
      <c r="O682" s="142" t="s">
        <v>1405</v>
      </c>
      <c r="P682" s="142" t="s">
        <v>1405</v>
      </c>
      <c r="Q682" s="142" t="s">
        <v>1405</v>
      </c>
    </row>
    <row r="683" spans="9:17" ht="29">
      <c r="I683" s="144">
        <f t="shared" si="163"/>
        <v>532</v>
      </c>
      <c r="J683" s="142" t="s">
        <v>1406</v>
      </c>
      <c r="K683" s="142" t="s">
        <v>1406</v>
      </c>
      <c r="L683" s="142" t="s">
        <v>1406</v>
      </c>
      <c r="M683" s="142" t="s">
        <v>1406</v>
      </c>
      <c r="N683" s="142" t="s">
        <v>1406</v>
      </c>
      <c r="O683" s="142"/>
      <c r="P683" s="142" t="s">
        <v>1406</v>
      </c>
      <c r="Q683" s="142" t="s">
        <v>1406</v>
      </c>
    </row>
    <row r="684" spans="9:17" ht="29">
      <c r="I684" s="144">
        <f t="shared" si="163"/>
        <v>533</v>
      </c>
      <c r="J684" s="142" t="s">
        <v>1407</v>
      </c>
      <c r="K684" s="142" t="s">
        <v>1407</v>
      </c>
      <c r="L684" s="142" t="s">
        <v>1407</v>
      </c>
      <c r="M684" s="142" t="s">
        <v>1407</v>
      </c>
      <c r="N684" s="142" t="s">
        <v>1407</v>
      </c>
      <c r="O684" s="142" t="s">
        <v>1407</v>
      </c>
      <c r="P684" s="142" t="s">
        <v>1407</v>
      </c>
      <c r="Q684" s="142" t="s">
        <v>1407</v>
      </c>
    </row>
    <row r="685" spans="9:17" ht="29">
      <c r="I685" s="144">
        <f t="shared" si="163"/>
        <v>534</v>
      </c>
      <c r="J685" s="142" t="s">
        <v>1408</v>
      </c>
      <c r="K685" s="142" t="s">
        <v>1408</v>
      </c>
      <c r="L685" s="142" t="s">
        <v>1408</v>
      </c>
      <c r="M685" s="142" t="s">
        <v>1408</v>
      </c>
      <c r="N685" s="142" t="s">
        <v>1408</v>
      </c>
      <c r="O685" s="142" t="s">
        <v>1408</v>
      </c>
      <c r="P685" s="142" t="s">
        <v>1408</v>
      </c>
      <c r="Q685" s="142" t="s">
        <v>1408</v>
      </c>
    </row>
    <row r="686" spans="9:17" ht="29">
      <c r="I686" s="144">
        <f t="shared" si="163"/>
        <v>535</v>
      </c>
      <c r="J686" s="142" t="s">
        <v>1409</v>
      </c>
      <c r="K686" s="142" t="s">
        <v>1409</v>
      </c>
      <c r="L686" s="142" t="s">
        <v>1409</v>
      </c>
      <c r="M686" s="142" t="s">
        <v>1409</v>
      </c>
      <c r="N686" s="142" t="s">
        <v>1409</v>
      </c>
      <c r="O686" s="142" t="s">
        <v>1409</v>
      </c>
      <c r="P686" s="142" t="s">
        <v>1409</v>
      </c>
      <c r="Q686" s="142" t="s">
        <v>1409</v>
      </c>
    </row>
    <row r="687" spans="9:17" ht="29">
      <c r="I687" s="144">
        <f t="shared" si="163"/>
        <v>536</v>
      </c>
      <c r="J687" s="142" t="s">
        <v>1410</v>
      </c>
      <c r="K687" s="142" t="s">
        <v>1410</v>
      </c>
      <c r="L687" s="142" t="s">
        <v>1410</v>
      </c>
      <c r="M687" s="142" t="s">
        <v>1410</v>
      </c>
      <c r="N687" s="142" t="s">
        <v>1410</v>
      </c>
      <c r="O687" s="142" t="s">
        <v>1410</v>
      </c>
      <c r="P687" s="142" t="s">
        <v>1410</v>
      </c>
      <c r="Q687" s="142" t="s">
        <v>1410</v>
      </c>
    </row>
    <row r="688" spans="9:17" ht="29">
      <c r="I688" s="144">
        <f t="shared" si="163"/>
        <v>537</v>
      </c>
      <c r="J688" s="142" t="s">
        <v>1411</v>
      </c>
      <c r="K688" s="142" t="s">
        <v>1411</v>
      </c>
      <c r="L688" s="142" t="s">
        <v>1411</v>
      </c>
      <c r="M688" s="142" t="s">
        <v>1411</v>
      </c>
      <c r="N688" s="142" t="s">
        <v>1411</v>
      </c>
      <c r="O688" s="142" t="s">
        <v>1411</v>
      </c>
      <c r="P688" s="142" t="s">
        <v>1411</v>
      </c>
      <c r="Q688" s="142" t="s">
        <v>1411</v>
      </c>
    </row>
    <row r="689" spans="9:17">
      <c r="I689" s="144">
        <f t="shared" si="163"/>
        <v>538</v>
      </c>
      <c r="J689" s="142" t="s">
        <v>1412</v>
      </c>
      <c r="K689" s="142" t="s">
        <v>1412</v>
      </c>
      <c r="L689" s="142" t="s">
        <v>1412</v>
      </c>
      <c r="M689" s="142" t="s">
        <v>1412</v>
      </c>
      <c r="N689" s="142" t="s">
        <v>1412</v>
      </c>
      <c r="O689" s="142" t="s">
        <v>1412</v>
      </c>
      <c r="P689" s="142" t="s">
        <v>1412</v>
      </c>
      <c r="Q689" s="142" t="s">
        <v>1412</v>
      </c>
    </row>
    <row r="690" spans="9:17" ht="29">
      <c r="I690" s="144">
        <f t="shared" si="163"/>
        <v>539</v>
      </c>
      <c r="J690" s="142" t="s">
        <v>1413</v>
      </c>
      <c r="K690" s="142" t="s">
        <v>1413</v>
      </c>
      <c r="L690" s="142" t="s">
        <v>1413</v>
      </c>
      <c r="M690" s="142" t="s">
        <v>1413</v>
      </c>
      <c r="N690" s="142" t="s">
        <v>1413</v>
      </c>
      <c r="O690" s="142"/>
      <c r="P690" s="142" t="s">
        <v>1413</v>
      </c>
      <c r="Q690" s="142" t="s">
        <v>1413</v>
      </c>
    </row>
    <row r="691" spans="9:17" ht="29">
      <c r="I691" s="144">
        <f t="shared" si="163"/>
        <v>540</v>
      </c>
      <c r="J691" s="142" t="s">
        <v>1414</v>
      </c>
      <c r="K691" s="142" t="s">
        <v>1414</v>
      </c>
      <c r="L691" s="142" t="s">
        <v>1414</v>
      </c>
      <c r="M691" s="142" t="s">
        <v>1414</v>
      </c>
      <c r="N691" s="142" t="s">
        <v>1414</v>
      </c>
      <c r="O691" s="142" t="s">
        <v>1414</v>
      </c>
      <c r="P691" s="142" t="s">
        <v>1414</v>
      </c>
      <c r="Q691" s="142" t="s">
        <v>1414</v>
      </c>
    </row>
    <row r="692" spans="9:17" ht="29">
      <c r="I692" s="144">
        <f t="shared" si="163"/>
        <v>541</v>
      </c>
      <c r="J692" s="142" t="s">
        <v>1415</v>
      </c>
      <c r="K692" s="142" t="s">
        <v>1415</v>
      </c>
      <c r="L692" s="142" t="s">
        <v>1415</v>
      </c>
      <c r="M692" s="142" t="s">
        <v>1415</v>
      </c>
      <c r="N692" s="142" t="s">
        <v>1415</v>
      </c>
      <c r="O692" s="142" t="s">
        <v>1415</v>
      </c>
      <c r="P692" s="142" t="s">
        <v>1415</v>
      </c>
      <c r="Q692" s="142" t="s">
        <v>1415</v>
      </c>
    </row>
    <row r="693" spans="9:17" ht="29">
      <c r="I693" s="144">
        <f t="shared" si="163"/>
        <v>542</v>
      </c>
      <c r="J693" s="142" t="s">
        <v>1416</v>
      </c>
      <c r="K693" s="142" t="s">
        <v>1416</v>
      </c>
      <c r="L693" s="142" t="s">
        <v>1416</v>
      </c>
      <c r="M693" s="142" t="s">
        <v>1416</v>
      </c>
      <c r="N693" s="142" t="s">
        <v>1416</v>
      </c>
      <c r="O693" s="142" t="s">
        <v>1416</v>
      </c>
      <c r="P693" s="142" t="s">
        <v>1416</v>
      </c>
      <c r="Q693" s="142" t="s">
        <v>1416</v>
      </c>
    </row>
    <row r="694" spans="9:17" ht="29">
      <c r="I694" s="144">
        <f t="shared" si="163"/>
        <v>543</v>
      </c>
      <c r="J694" s="142" t="s">
        <v>1417</v>
      </c>
      <c r="K694" s="142" t="s">
        <v>1417</v>
      </c>
      <c r="L694" s="142" t="s">
        <v>1417</v>
      </c>
      <c r="M694" s="142" t="s">
        <v>1417</v>
      </c>
      <c r="N694" s="142" t="s">
        <v>1417</v>
      </c>
      <c r="O694" s="142" t="s">
        <v>1417</v>
      </c>
      <c r="P694" s="142" t="s">
        <v>1417</v>
      </c>
      <c r="Q694" s="142" t="s">
        <v>1417</v>
      </c>
    </row>
    <row r="695" spans="9:17" ht="29">
      <c r="I695" s="144">
        <f t="shared" si="163"/>
        <v>544</v>
      </c>
      <c r="J695" s="142" t="s">
        <v>1418</v>
      </c>
      <c r="K695" s="142" t="s">
        <v>1418</v>
      </c>
      <c r="L695" s="142" t="s">
        <v>1418</v>
      </c>
      <c r="M695" s="142" t="s">
        <v>1418</v>
      </c>
      <c r="N695" s="142" t="s">
        <v>1418</v>
      </c>
      <c r="O695" s="142" t="s">
        <v>1418</v>
      </c>
      <c r="P695" s="142" t="s">
        <v>1418</v>
      </c>
      <c r="Q695" s="142" t="s">
        <v>1418</v>
      </c>
    </row>
    <row r="696" spans="9:17">
      <c r="I696" s="144">
        <f t="shared" si="163"/>
        <v>545</v>
      </c>
      <c r="J696" s="142" t="s">
        <v>1419</v>
      </c>
      <c r="K696" s="142" t="s">
        <v>1419</v>
      </c>
      <c r="L696" s="142" t="s">
        <v>1419</v>
      </c>
      <c r="M696" s="142" t="s">
        <v>1419</v>
      </c>
      <c r="N696" s="142" t="s">
        <v>1419</v>
      </c>
      <c r="O696" s="142" t="s">
        <v>1419</v>
      </c>
      <c r="P696" s="142" t="s">
        <v>1419</v>
      </c>
      <c r="Q696" s="142" t="s">
        <v>1419</v>
      </c>
    </row>
    <row r="697" spans="9:17">
      <c r="I697" s="144">
        <f t="shared" si="163"/>
        <v>546</v>
      </c>
      <c r="J697" s="142" t="s">
        <v>1420</v>
      </c>
      <c r="K697" s="142" t="s">
        <v>1420</v>
      </c>
      <c r="L697" s="142" t="s">
        <v>1420</v>
      </c>
      <c r="M697" s="142" t="s">
        <v>1420</v>
      </c>
      <c r="N697" s="142" t="s">
        <v>1420</v>
      </c>
      <c r="O697" s="142" t="s">
        <v>1420</v>
      </c>
      <c r="P697" s="142" t="s">
        <v>1420</v>
      </c>
      <c r="Q697" s="142" t="s">
        <v>1420</v>
      </c>
    </row>
    <row r="698" spans="9:17" ht="29">
      <c r="I698" s="144">
        <f t="shared" si="163"/>
        <v>547</v>
      </c>
      <c r="J698" s="142" t="s">
        <v>1421</v>
      </c>
      <c r="K698" s="142" t="s">
        <v>1421</v>
      </c>
      <c r="L698" s="142" t="s">
        <v>1421</v>
      </c>
      <c r="M698" s="142" t="s">
        <v>1421</v>
      </c>
      <c r="N698" s="142" t="s">
        <v>1421</v>
      </c>
      <c r="O698" s="142" t="s">
        <v>1421</v>
      </c>
      <c r="P698" s="142" t="s">
        <v>1421</v>
      </c>
      <c r="Q698" s="142" t="s">
        <v>1421</v>
      </c>
    </row>
    <row r="699" spans="9:17" ht="29">
      <c r="I699" s="144">
        <f t="shared" si="163"/>
        <v>548</v>
      </c>
      <c r="J699" s="142" t="s">
        <v>1422</v>
      </c>
      <c r="K699" s="142" t="s">
        <v>1422</v>
      </c>
      <c r="L699" s="142" t="s">
        <v>1422</v>
      </c>
      <c r="M699" s="142" t="s">
        <v>1422</v>
      </c>
      <c r="N699" s="142" t="s">
        <v>1422</v>
      </c>
      <c r="O699" s="142" t="s">
        <v>1422</v>
      </c>
      <c r="P699" s="142" t="s">
        <v>1422</v>
      </c>
      <c r="Q699" s="142" t="s">
        <v>1422</v>
      </c>
    </row>
    <row r="700" spans="9:17">
      <c r="I700" s="144">
        <f t="shared" si="163"/>
        <v>549</v>
      </c>
      <c r="J700" s="142" t="s">
        <v>1423</v>
      </c>
      <c r="K700" s="142" t="s">
        <v>1423</v>
      </c>
      <c r="L700" s="142" t="s">
        <v>1423</v>
      </c>
      <c r="M700" s="142" t="s">
        <v>1423</v>
      </c>
      <c r="N700" s="142" t="s">
        <v>1423</v>
      </c>
      <c r="O700" s="142" t="s">
        <v>1423</v>
      </c>
      <c r="P700" s="142" t="s">
        <v>1423</v>
      </c>
      <c r="Q700" s="142" t="s">
        <v>1423</v>
      </c>
    </row>
    <row r="701" spans="9:17" ht="43.5">
      <c r="I701" s="144">
        <f t="shared" si="163"/>
        <v>550</v>
      </c>
      <c r="J701" s="142" t="s">
        <v>1424</v>
      </c>
      <c r="K701" s="142" t="s">
        <v>1424</v>
      </c>
      <c r="L701" s="142" t="s">
        <v>1424</v>
      </c>
      <c r="M701" s="142" t="s">
        <v>1424</v>
      </c>
      <c r="N701" s="142" t="s">
        <v>1424</v>
      </c>
      <c r="O701" s="142" t="s">
        <v>1424</v>
      </c>
      <c r="P701" s="142" t="s">
        <v>1424</v>
      </c>
      <c r="Q701" s="142" t="s">
        <v>1424</v>
      </c>
    </row>
    <row r="702" spans="9:17" ht="58">
      <c r="I702" s="144">
        <f t="shared" si="163"/>
        <v>551</v>
      </c>
      <c r="J702" s="142" t="s">
        <v>1425</v>
      </c>
      <c r="K702" s="142" t="s">
        <v>1425</v>
      </c>
      <c r="L702" s="142" t="s">
        <v>1425</v>
      </c>
      <c r="M702" s="142" t="s">
        <v>1425</v>
      </c>
      <c r="N702" s="142" t="s">
        <v>1425</v>
      </c>
      <c r="O702" s="142" t="s">
        <v>1425</v>
      </c>
      <c r="P702" s="142" t="s">
        <v>1425</v>
      </c>
      <c r="Q702" s="142" t="s">
        <v>1425</v>
      </c>
    </row>
    <row r="703" spans="9:17" ht="43.5">
      <c r="I703" s="144">
        <f t="shared" si="163"/>
        <v>552</v>
      </c>
      <c r="J703" s="142" t="s">
        <v>1426</v>
      </c>
      <c r="K703" s="142" t="s">
        <v>1426</v>
      </c>
      <c r="L703" s="142" t="s">
        <v>1426</v>
      </c>
      <c r="M703" s="142" t="s">
        <v>1426</v>
      </c>
      <c r="N703" s="142" t="s">
        <v>1426</v>
      </c>
      <c r="O703" s="142" t="s">
        <v>1426</v>
      </c>
      <c r="P703" s="142" t="s">
        <v>1426</v>
      </c>
      <c r="Q703" s="142" t="s">
        <v>1426</v>
      </c>
    </row>
    <row r="704" spans="9:17" ht="29">
      <c r="I704" s="144">
        <f t="shared" si="163"/>
        <v>553</v>
      </c>
      <c r="J704" s="142" t="s">
        <v>1427</v>
      </c>
      <c r="K704" s="142" t="s">
        <v>1427</v>
      </c>
      <c r="L704" s="142" t="s">
        <v>1427</v>
      </c>
      <c r="M704" s="142" t="s">
        <v>1427</v>
      </c>
      <c r="N704" s="142" t="s">
        <v>1427</v>
      </c>
      <c r="O704" s="142" t="s">
        <v>1427</v>
      </c>
      <c r="P704" s="142" t="s">
        <v>1427</v>
      </c>
      <c r="Q704" s="142" t="s">
        <v>1427</v>
      </c>
    </row>
    <row r="705" spans="9:17" ht="43.5">
      <c r="I705" s="144">
        <f t="shared" si="163"/>
        <v>554</v>
      </c>
      <c r="J705" s="142" t="s">
        <v>1428</v>
      </c>
      <c r="K705" s="142" t="s">
        <v>1428</v>
      </c>
      <c r="L705" s="142" t="s">
        <v>1428</v>
      </c>
      <c r="M705" s="142" t="s">
        <v>1428</v>
      </c>
      <c r="N705" s="142" t="s">
        <v>1428</v>
      </c>
      <c r="O705" s="142" t="s">
        <v>1428</v>
      </c>
      <c r="P705" s="142" t="s">
        <v>1428</v>
      </c>
      <c r="Q705" s="142" t="s">
        <v>1428</v>
      </c>
    </row>
    <row r="706" spans="9:17" ht="58">
      <c r="I706" s="144">
        <f t="shared" si="163"/>
        <v>555</v>
      </c>
      <c r="J706" s="142" t="s">
        <v>1429</v>
      </c>
      <c r="K706" s="142" t="s">
        <v>1429</v>
      </c>
      <c r="L706" s="142" t="s">
        <v>1429</v>
      </c>
      <c r="M706" s="142" t="s">
        <v>1429</v>
      </c>
      <c r="N706" s="142" t="s">
        <v>1429</v>
      </c>
      <c r="O706" s="142" t="s">
        <v>1429</v>
      </c>
      <c r="P706" s="142" t="s">
        <v>1429</v>
      </c>
      <c r="Q706" s="142" t="s">
        <v>1429</v>
      </c>
    </row>
    <row r="707" spans="9:17" ht="43.5">
      <c r="I707" s="144">
        <f t="shared" si="163"/>
        <v>556</v>
      </c>
      <c r="J707" s="142" t="s">
        <v>1430</v>
      </c>
      <c r="K707" s="142" t="s">
        <v>1430</v>
      </c>
      <c r="L707" s="142" t="s">
        <v>1430</v>
      </c>
      <c r="M707" s="142" t="s">
        <v>1430</v>
      </c>
      <c r="N707" s="142" t="s">
        <v>1430</v>
      </c>
      <c r="O707" s="142" t="s">
        <v>1430</v>
      </c>
      <c r="P707" s="142" t="s">
        <v>1430</v>
      </c>
      <c r="Q707" s="142" t="s">
        <v>1430</v>
      </c>
    </row>
    <row r="708" spans="9:17" ht="29">
      <c r="I708" s="144">
        <f t="shared" si="163"/>
        <v>557</v>
      </c>
      <c r="J708" s="142" t="s">
        <v>1431</v>
      </c>
      <c r="K708" s="142" t="s">
        <v>1431</v>
      </c>
      <c r="L708" s="142" t="s">
        <v>1431</v>
      </c>
      <c r="M708" s="142" t="s">
        <v>1431</v>
      </c>
      <c r="N708" s="142" t="s">
        <v>1431</v>
      </c>
      <c r="O708" s="142" t="s">
        <v>1431</v>
      </c>
      <c r="P708" s="142" t="s">
        <v>1431</v>
      </c>
      <c r="Q708" s="142" t="s">
        <v>1431</v>
      </c>
    </row>
    <row r="709" spans="9:17">
      <c r="I709" s="144">
        <f t="shared" si="163"/>
        <v>558</v>
      </c>
      <c r="J709" s="142" t="s">
        <v>1432</v>
      </c>
      <c r="K709" s="142" t="s">
        <v>1432</v>
      </c>
      <c r="L709" s="142" t="s">
        <v>1432</v>
      </c>
      <c r="M709" s="142" t="s">
        <v>1432</v>
      </c>
      <c r="N709" s="142" t="s">
        <v>1432</v>
      </c>
      <c r="O709" s="142" t="s">
        <v>1432</v>
      </c>
      <c r="P709" s="142" t="s">
        <v>1432</v>
      </c>
      <c r="Q709" s="142" t="s">
        <v>1432</v>
      </c>
    </row>
    <row r="710" spans="9:17">
      <c r="I710" s="144">
        <f t="shared" si="163"/>
        <v>559</v>
      </c>
      <c r="J710" s="142" t="s">
        <v>1433</v>
      </c>
      <c r="K710" s="142" t="s">
        <v>1433</v>
      </c>
      <c r="L710" s="142" t="s">
        <v>1433</v>
      </c>
      <c r="M710" s="142" t="s">
        <v>1433</v>
      </c>
      <c r="N710" s="142" t="s">
        <v>1433</v>
      </c>
      <c r="O710" s="142" t="s">
        <v>1433</v>
      </c>
      <c r="P710" s="142" t="s">
        <v>1433</v>
      </c>
      <c r="Q710" s="142" t="s">
        <v>1433</v>
      </c>
    </row>
    <row r="711" spans="9:17" ht="29">
      <c r="I711" s="144">
        <f t="shared" si="163"/>
        <v>560</v>
      </c>
      <c r="J711" s="142" t="s">
        <v>1434</v>
      </c>
      <c r="K711" s="142" t="s">
        <v>1434</v>
      </c>
      <c r="L711" s="142" t="s">
        <v>1434</v>
      </c>
      <c r="M711" s="142" t="s">
        <v>1434</v>
      </c>
      <c r="N711" s="142" t="s">
        <v>1434</v>
      </c>
      <c r="O711" s="142" t="s">
        <v>1434</v>
      </c>
      <c r="P711" s="142" t="s">
        <v>1434</v>
      </c>
      <c r="Q711" s="142" t="s">
        <v>1434</v>
      </c>
    </row>
    <row r="712" spans="9:17">
      <c r="I712" s="144">
        <f t="shared" si="163"/>
        <v>561</v>
      </c>
      <c r="J712" s="142" t="s">
        <v>1435</v>
      </c>
      <c r="K712" s="142" t="s">
        <v>1435</v>
      </c>
      <c r="L712" s="142" t="s">
        <v>1435</v>
      </c>
      <c r="M712" s="142" t="s">
        <v>1435</v>
      </c>
      <c r="N712" s="142" t="s">
        <v>1435</v>
      </c>
      <c r="O712" s="142" t="s">
        <v>1435</v>
      </c>
      <c r="P712" s="142" t="s">
        <v>1435</v>
      </c>
      <c r="Q712" s="142" t="s">
        <v>1435</v>
      </c>
    </row>
    <row r="713" spans="9:17">
      <c r="I713" s="144">
        <f t="shared" si="163"/>
        <v>562</v>
      </c>
      <c r="J713" s="142" t="s">
        <v>1436</v>
      </c>
      <c r="K713" s="142" t="s">
        <v>1436</v>
      </c>
      <c r="L713" s="142" t="s">
        <v>1436</v>
      </c>
      <c r="M713" s="142" t="s">
        <v>1436</v>
      </c>
      <c r="N713" s="142" t="s">
        <v>1436</v>
      </c>
      <c r="O713" s="142" t="s">
        <v>1436</v>
      </c>
      <c r="P713" s="142" t="s">
        <v>1436</v>
      </c>
      <c r="Q713" s="142" t="s">
        <v>1436</v>
      </c>
    </row>
    <row r="714" spans="9:17" ht="35.5">
      <c r="I714" s="144">
        <f t="shared" si="163"/>
        <v>563</v>
      </c>
      <c r="J714" s="143" t="s">
        <v>1437</v>
      </c>
      <c r="K714" s="143" t="s">
        <v>1437</v>
      </c>
      <c r="L714" s="143" t="s">
        <v>1437</v>
      </c>
      <c r="M714" s="143" t="s">
        <v>1437</v>
      </c>
      <c r="N714" s="143" t="s">
        <v>1437</v>
      </c>
      <c r="O714" s="143" t="s">
        <v>1437</v>
      </c>
      <c r="P714" s="146" t="s">
        <v>1437</v>
      </c>
      <c r="Q714" s="146" t="s">
        <v>1437</v>
      </c>
    </row>
    <row r="715" spans="9:17" ht="43.5">
      <c r="I715" s="144">
        <f t="shared" si="163"/>
        <v>564</v>
      </c>
      <c r="J715" s="142" t="s">
        <v>1438</v>
      </c>
      <c r="K715" s="142" t="s">
        <v>1438</v>
      </c>
      <c r="L715" s="142" t="s">
        <v>1438</v>
      </c>
      <c r="M715" s="142" t="s">
        <v>1438</v>
      </c>
      <c r="N715" s="142" t="s">
        <v>1438</v>
      </c>
      <c r="O715" s="142" t="s">
        <v>1438</v>
      </c>
      <c r="P715" s="142" t="s">
        <v>1438</v>
      </c>
      <c r="Q715" s="142" t="s">
        <v>1438</v>
      </c>
    </row>
    <row r="716" spans="9:17">
      <c r="I716" s="144">
        <f t="shared" si="163"/>
        <v>565</v>
      </c>
      <c r="J716" s="142" t="s">
        <v>1439</v>
      </c>
      <c r="K716" s="142" t="s">
        <v>1439</v>
      </c>
      <c r="L716" s="142" t="s">
        <v>1439</v>
      </c>
      <c r="M716" s="142" t="s">
        <v>1439</v>
      </c>
      <c r="N716" s="142" t="s">
        <v>1439</v>
      </c>
      <c r="O716" s="142" t="s">
        <v>1439</v>
      </c>
      <c r="P716" s="142" t="s">
        <v>1439</v>
      </c>
      <c r="Q716" s="142" t="s">
        <v>1439</v>
      </c>
    </row>
    <row r="717" spans="9:17" ht="29">
      <c r="I717" s="144"/>
      <c r="J717" s="142"/>
      <c r="K717" s="142"/>
      <c r="L717" s="142"/>
      <c r="M717" s="142"/>
      <c r="N717" s="142"/>
      <c r="O717" s="142"/>
      <c r="P717" s="142" t="s">
        <v>1440</v>
      </c>
      <c r="Q717" s="142" t="s">
        <v>1440</v>
      </c>
    </row>
    <row r="718" spans="9:17">
      <c r="I718" s="144">
        <f>I716+1</f>
        <v>566</v>
      </c>
      <c r="J718" s="142" t="s">
        <v>1441</v>
      </c>
      <c r="K718" s="142" t="s">
        <v>1441</v>
      </c>
      <c r="L718" s="142" t="s">
        <v>1441</v>
      </c>
      <c r="M718" s="142" t="s">
        <v>1441</v>
      </c>
      <c r="N718" s="142" t="s">
        <v>1441</v>
      </c>
      <c r="O718" s="142" t="s">
        <v>1441</v>
      </c>
      <c r="P718" s="142" t="s">
        <v>1441</v>
      </c>
      <c r="Q718" s="142" t="s">
        <v>1441</v>
      </c>
    </row>
    <row r="719" spans="9:17">
      <c r="I719" s="144">
        <f t="shared" si="163"/>
        <v>567</v>
      </c>
      <c r="J719" s="142" t="s">
        <v>1442</v>
      </c>
      <c r="K719" s="142" t="s">
        <v>1442</v>
      </c>
      <c r="L719" s="142" t="s">
        <v>1442</v>
      </c>
      <c r="M719" s="142" t="s">
        <v>1442</v>
      </c>
      <c r="N719" s="142" t="s">
        <v>1442</v>
      </c>
      <c r="O719" s="142" t="s">
        <v>1442</v>
      </c>
      <c r="P719" s="142" t="s">
        <v>1442</v>
      </c>
      <c r="Q719" s="142" t="s">
        <v>1442</v>
      </c>
    </row>
    <row r="720" spans="9:17" ht="29">
      <c r="I720" s="144">
        <f t="shared" si="163"/>
        <v>568</v>
      </c>
      <c r="J720" s="142" t="s">
        <v>1443</v>
      </c>
      <c r="K720" s="142" t="s">
        <v>1443</v>
      </c>
      <c r="L720" s="142" t="s">
        <v>1443</v>
      </c>
      <c r="M720" s="142" t="s">
        <v>1443</v>
      </c>
      <c r="N720" s="142" t="s">
        <v>1443</v>
      </c>
      <c r="O720" s="142" t="s">
        <v>1443</v>
      </c>
      <c r="P720" s="142" t="s">
        <v>1443</v>
      </c>
      <c r="Q720" s="142" t="s">
        <v>1443</v>
      </c>
    </row>
    <row r="721" spans="9:17">
      <c r="I721" s="144">
        <f t="shared" si="163"/>
        <v>569</v>
      </c>
      <c r="J721" s="142" t="s">
        <v>1444</v>
      </c>
      <c r="K721" s="142" t="s">
        <v>1444</v>
      </c>
      <c r="L721" s="142" t="s">
        <v>1444</v>
      </c>
      <c r="M721" s="142" t="s">
        <v>1444</v>
      </c>
      <c r="N721" s="142" t="s">
        <v>1444</v>
      </c>
      <c r="O721" s="142"/>
      <c r="P721" s="142" t="s">
        <v>1444</v>
      </c>
      <c r="Q721" s="142" t="s">
        <v>1444</v>
      </c>
    </row>
    <row r="722" spans="9:17" ht="43.5">
      <c r="I722" s="144">
        <f t="shared" si="163"/>
        <v>570</v>
      </c>
      <c r="J722" s="142" t="s">
        <v>1445</v>
      </c>
      <c r="K722" s="142" t="s">
        <v>1445</v>
      </c>
      <c r="L722" s="142" t="s">
        <v>1445</v>
      </c>
      <c r="M722" s="142" t="s">
        <v>1445</v>
      </c>
      <c r="N722" s="142" t="s">
        <v>1445</v>
      </c>
      <c r="O722" s="142" t="s">
        <v>1445</v>
      </c>
      <c r="P722" s="142" t="s">
        <v>1445</v>
      </c>
      <c r="Q722" s="142" t="s">
        <v>1445</v>
      </c>
    </row>
    <row r="723" spans="9:17" ht="43.5">
      <c r="I723" s="144">
        <f t="shared" si="163"/>
        <v>571</v>
      </c>
      <c r="J723" s="142" t="s">
        <v>1446</v>
      </c>
      <c r="K723" s="142" t="s">
        <v>1446</v>
      </c>
      <c r="L723" s="142" t="s">
        <v>1446</v>
      </c>
      <c r="M723" s="142" t="s">
        <v>1446</v>
      </c>
      <c r="N723" s="142" t="s">
        <v>1446</v>
      </c>
      <c r="O723" s="142" t="s">
        <v>1446</v>
      </c>
      <c r="P723" s="142" t="s">
        <v>1446</v>
      </c>
      <c r="Q723" s="142" t="s">
        <v>1446</v>
      </c>
    </row>
    <row r="724" spans="9:17" ht="72.5">
      <c r="I724" s="144">
        <f t="shared" si="163"/>
        <v>572</v>
      </c>
      <c r="J724" s="142" t="s">
        <v>1447</v>
      </c>
      <c r="K724" s="142" t="s">
        <v>1447</v>
      </c>
      <c r="L724" s="142" t="s">
        <v>1447</v>
      </c>
      <c r="M724" s="142" t="s">
        <v>1447</v>
      </c>
      <c r="N724" s="142" t="s">
        <v>1447</v>
      </c>
      <c r="O724" s="142" t="s">
        <v>1447</v>
      </c>
      <c r="P724" s="142" t="s">
        <v>1447</v>
      </c>
      <c r="Q724" s="142" t="s">
        <v>1447</v>
      </c>
    </row>
    <row r="725" spans="9:17" ht="43.5">
      <c r="I725" s="144">
        <f t="shared" si="163"/>
        <v>573</v>
      </c>
      <c r="J725" s="142" t="s">
        <v>1448</v>
      </c>
      <c r="K725" s="142" t="s">
        <v>1448</v>
      </c>
      <c r="L725" s="142" t="s">
        <v>1448</v>
      </c>
      <c r="M725" s="142" t="s">
        <v>1448</v>
      </c>
      <c r="N725" s="142" t="s">
        <v>1448</v>
      </c>
      <c r="O725" s="142" t="s">
        <v>1448</v>
      </c>
      <c r="P725" s="142" t="s">
        <v>1448</v>
      </c>
      <c r="Q725" s="142" t="s">
        <v>1448</v>
      </c>
    </row>
    <row r="726" spans="9:17">
      <c r="I726" s="144">
        <f t="shared" si="163"/>
        <v>574</v>
      </c>
      <c r="J726" s="142" t="s">
        <v>1449</v>
      </c>
      <c r="K726" s="142" t="s">
        <v>1449</v>
      </c>
      <c r="L726" s="142" t="s">
        <v>1449</v>
      </c>
      <c r="M726" s="142" t="s">
        <v>1449</v>
      </c>
      <c r="N726" s="142" t="s">
        <v>1449</v>
      </c>
      <c r="O726" s="142" t="s">
        <v>1449</v>
      </c>
      <c r="P726" s="142" t="s">
        <v>1449</v>
      </c>
      <c r="Q726" s="142" t="s">
        <v>1449</v>
      </c>
    </row>
    <row r="727" spans="9:17">
      <c r="I727" s="144">
        <f t="shared" si="163"/>
        <v>575</v>
      </c>
      <c r="J727" s="142" t="s">
        <v>1450</v>
      </c>
      <c r="K727" s="142" t="s">
        <v>1450</v>
      </c>
      <c r="L727" s="142" t="s">
        <v>1450</v>
      </c>
      <c r="M727" s="142" t="s">
        <v>1450</v>
      </c>
      <c r="N727" s="142" t="s">
        <v>1450</v>
      </c>
      <c r="O727" s="142" t="s">
        <v>1450</v>
      </c>
      <c r="P727" s="142" t="s">
        <v>1450</v>
      </c>
      <c r="Q727" s="142" t="s">
        <v>1450</v>
      </c>
    </row>
    <row r="728" spans="9:17">
      <c r="I728" s="144">
        <f t="shared" si="163"/>
        <v>576</v>
      </c>
      <c r="J728" s="142" t="s">
        <v>1451</v>
      </c>
      <c r="K728" s="142" t="s">
        <v>1451</v>
      </c>
      <c r="L728" s="142" t="s">
        <v>1451</v>
      </c>
      <c r="M728" s="142" t="s">
        <v>1451</v>
      </c>
      <c r="N728" s="142" t="s">
        <v>1451</v>
      </c>
      <c r="O728" s="142" t="s">
        <v>1451</v>
      </c>
      <c r="P728" s="142" t="s">
        <v>1451</v>
      </c>
      <c r="Q728" s="142" t="s">
        <v>1451</v>
      </c>
    </row>
    <row r="729" spans="9:17" ht="29">
      <c r="I729" s="144">
        <f t="shared" si="163"/>
        <v>577</v>
      </c>
      <c r="J729" s="142" t="s">
        <v>1452</v>
      </c>
      <c r="K729" s="142" t="s">
        <v>1452</v>
      </c>
      <c r="L729" s="142" t="s">
        <v>1452</v>
      </c>
      <c r="M729" s="142" t="s">
        <v>1452</v>
      </c>
      <c r="N729" s="142" t="s">
        <v>1452</v>
      </c>
      <c r="O729" s="142" t="s">
        <v>1452</v>
      </c>
      <c r="P729" s="142" t="s">
        <v>1452</v>
      </c>
      <c r="Q729" s="142" t="s">
        <v>1452</v>
      </c>
    </row>
    <row r="730" spans="9:17" ht="43.5">
      <c r="I730" s="144">
        <f t="shared" si="163"/>
        <v>578</v>
      </c>
      <c r="J730" s="142" t="s">
        <v>1453</v>
      </c>
      <c r="K730" s="142" t="s">
        <v>1453</v>
      </c>
      <c r="L730" s="142" t="s">
        <v>1453</v>
      </c>
      <c r="M730" s="142" t="s">
        <v>1453</v>
      </c>
      <c r="N730" s="142" t="s">
        <v>1453</v>
      </c>
      <c r="O730" s="142" t="s">
        <v>1453</v>
      </c>
      <c r="P730" s="142" t="s">
        <v>1453</v>
      </c>
      <c r="Q730" s="142" t="s">
        <v>1453</v>
      </c>
    </row>
    <row r="731" spans="9:17" ht="29">
      <c r="I731" s="144"/>
      <c r="J731" s="142"/>
      <c r="K731" s="142"/>
      <c r="L731" s="142"/>
      <c r="M731" s="142"/>
      <c r="N731" s="142"/>
      <c r="O731" s="142"/>
      <c r="P731" s="142" t="s">
        <v>1454</v>
      </c>
      <c r="Q731" s="142" t="s">
        <v>1454</v>
      </c>
    </row>
    <row r="732" spans="9:17">
      <c r="I732" s="144">
        <f>I730+1</f>
        <v>579</v>
      </c>
      <c r="J732" s="142" t="s">
        <v>1455</v>
      </c>
      <c r="K732" s="142" t="s">
        <v>1455</v>
      </c>
      <c r="L732" s="142" t="s">
        <v>1455</v>
      </c>
      <c r="M732" s="142" t="s">
        <v>1455</v>
      </c>
      <c r="N732" s="142" t="s">
        <v>1455</v>
      </c>
      <c r="O732" s="142" t="s">
        <v>1455</v>
      </c>
      <c r="P732" s="142" t="s">
        <v>1455</v>
      </c>
      <c r="Q732" s="142" t="s">
        <v>1455</v>
      </c>
    </row>
    <row r="733" spans="9:17">
      <c r="I733" s="144">
        <f>I732+1</f>
        <v>580</v>
      </c>
      <c r="J733" s="142" t="s">
        <v>1456</v>
      </c>
      <c r="K733" s="142" t="s">
        <v>1456</v>
      </c>
      <c r="L733" s="142" t="s">
        <v>1456</v>
      </c>
      <c r="M733" s="142" t="s">
        <v>1456</v>
      </c>
      <c r="N733" s="142" t="s">
        <v>1456</v>
      </c>
      <c r="O733" s="142" t="s">
        <v>1456</v>
      </c>
      <c r="P733" s="142" t="s">
        <v>1456</v>
      </c>
      <c r="Q733" s="142" t="s">
        <v>1456</v>
      </c>
    </row>
    <row r="734" spans="9:17" ht="29">
      <c r="I734" s="144">
        <f t="shared" ref="I734:I795" si="164">I733+1</f>
        <v>581</v>
      </c>
      <c r="J734" s="142" t="s">
        <v>1457</v>
      </c>
      <c r="K734" s="142" t="s">
        <v>1457</v>
      </c>
      <c r="L734" s="142" t="s">
        <v>1457</v>
      </c>
      <c r="M734" s="142" t="s">
        <v>1457</v>
      </c>
      <c r="N734" s="142" t="s">
        <v>1457</v>
      </c>
      <c r="O734" s="142" t="s">
        <v>1457</v>
      </c>
      <c r="P734" s="142" t="s">
        <v>1457</v>
      </c>
      <c r="Q734" s="142" t="s">
        <v>1457</v>
      </c>
    </row>
    <row r="735" spans="9:17" ht="29">
      <c r="I735" s="144">
        <f t="shared" si="164"/>
        <v>582</v>
      </c>
      <c r="J735" s="142" t="s">
        <v>1458</v>
      </c>
      <c r="K735" s="142" t="s">
        <v>1458</v>
      </c>
      <c r="L735" s="142" t="s">
        <v>1458</v>
      </c>
      <c r="M735" s="142" t="s">
        <v>1458</v>
      </c>
      <c r="N735" s="142" t="s">
        <v>1458</v>
      </c>
      <c r="O735" s="142"/>
      <c r="P735" s="142" t="s">
        <v>1458</v>
      </c>
      <c r="Q735" s="142" t="s">
        <v>1458</v>
      </c>
    </row>
    <row r="736" spans="9:17" ht="29">
      <c r="I736" s="144">
        <f t="shared" si="164"/>
        <v>583</v>
      </c>
      <c r="J736" s="142" t="s">
        <v>1459</v>
      </c>
      <c r="K736" s="142" t="s">
        <v>1459</v>
      </c>
      <c r="L736" s="142" t="s">
        <v>1459</v>
      </c>
      <c r="M736" s="142" t="s">
        <v>1459</v>
      </c>
      <c r="N736" s="142" t="s">
        <v>1459</v>
      </c>
      <c r="O736" s="142" t="s">
        <v>1459</v>
      </c>
      <c r="P736" s="142" t="s">
        <v>1459</v>
      </c>
      <c r="Q736" s="142" t="s">
        <v>1459</v>
      </c>
    </row>
    <row r="737" spans="9:17">
      <c r="I737" s="144">
        <f t="shared" si="164"/>
        <v>584</v>
      </c>
      <c r="J737" s="142" t="s">
        <v>1460</v>
      </c>
      <c r="K737" s="142" t="s">
        <v>1460</v>
      </c>
      <c r="L737" s="142" t="s">
        <v>1460</v>
      </c>
      <c r="M737" s="142" t="s">
        <v>1460</v>
      </c>
      <c r="N737" s="142" t="s">
        <v>1460</v>
      </c>
      <c r="O737" s="142" t="s">
        <v>1460</v>
      </c>
      <c r="P737" s="142" t="s">
        <v>1460</v>
      </c>
      <c r="Q737" s="142" t="s">
        <v>1460</v>
      </c>
    </row>
    <row r="738" spans="9:17">
      <c r="I738" s="144">
        <f t="shared" si="164"/>
        <v>585</v>
      </c>
      <c r="J738" s="142" t="s">
        <v>1461</v>
      </c>
      <c r="K738" s="142" t="s">
        <v>1461</v>
      </c>
      <c r="L738" s="142" t="s">
        <v>1461</v>
      </c>
      <c r="M738" s="142" t="s">
        <v>1461</v>
      </c>
      <c r="N738" s="142" t="s">
        <v>1461</v>
      </c>
      <c r="O738" s="142" t="s">
        <v>1461</v>
      </c>
      <c r="P738" s="142" t="s">
        <v>1461</v>
      </c>
      <c r="Q738" s="142" t="s">
        <v>1461</v>
      </c>
    </row>
    <row r="739" spans="9:17">
      <c r="I739" s="144">
        <f t="shared" si="164"/>
        <v>586</v>
      </c>
      <c r="J739" s="142" t="s">
        <v>1462</v>
      </c>
      <c r="K739" s="142" t="s">
        <v>1462</v>
      </c>
      <c r="L739" s="142" t="s">
        <v>1462</v>
      </c>
      <c r="M739" s="142" t="s">
        <v>1462</v>
      </c>
      <c r="N739" s="142" t="s">
        <v>1462</v>
      </c>
      <c r="O739" s="142" t="s">
        <v>1462</v>
      </c>
      <c r="P739" s="142" t="s">
        <v>1462</v>
      </c>
      <c r="Q739" s="142" t="s">
        <v>1462</v>
      </c>
    </row>
    <row r="740" spans="9:17">
      <c r="I740" s="144">
        <f t="shared" si="164"/>
        <v>587</v>
      </c>
      <c r="J740" s="142" t="s">
        <v>1463</v>
      </c>
      <c r="K740" s="142" t="s">
        <v>1463</v>
      </c>
      <c r="L740" s="142" t="s">
        <v>1463</v>
      </c>
      <c r="M740" s="142" t="s">
        <v>1463</v>
      </c>
      <c r="N740" s="142" t="s">
        <v>1463</v>
      </c>
      <c r="O740" s="142" t="s">
        <v>1463</v>
      </c>
      <c r="P740" s="142" t="s">
        <v>1463</v>
      </c>
      <c r="Q740" s="142" t="s">
        <v>1463</v>
      </c>
    </row>
    <row r="741" spans="9:17" ht="29">
      <c r="I741" s="144">
        <f t="shared" si="164"/>
        <v>588</v>
      </c>
      <c r="J741" s="142" t="s">
        <v>1464</v>
      </c>
      <c r="K741" s="142" t="s">
        <v>1464</v>
      </c>
      <c r="L741" s="142" t="s">
        <v>1464</v>
      </c>
      <c r="M741" s="142" t="s">
        <v>1464</v>
      </c>
      <c r="N741" s="142" t="s">
        <v>1464</v>
      </c>
      <c r="O741" s="142" t="s">
        <v>1464</v>
      </c>
      <c r="P741" s="142" t="s">
        <v>1464</v>
      </c>
      <c r="Q741" s="142" t="s">
        <v>1464</v>
      </c>
    </row>
    <row r="742" spans="9:17" ht="35.5">
      <c r="I742" s="144">
        <f t="shared" si="164"/>
        <v>589</v>
      </c>
      <c r="J742" s="143" t="s">
        <v>1465</v>
      </c>
      <c r="K742" s="143" t="s">
        <v>1465</v>
      </c>
      <c r="L742" s="143" t="s">
        <v>1465</v>
      </c>
      <c r="M742" s="143" t="s">
        <v>1465</v>
      </c>
      <c r="N742" s="143" t="s">
        <v>1465</v>
      </c>
      <c r="O742" s="143" t="s">
        <v>1465</v>
      </c>
      <c r="P742" s="146" t="s">
        <v>1465</v>
      </c>
      <c r="Q742" s="146" t="s">
        <v>1465</v>
      </c>
    </row>
    <row r="743" spans="9:17">
      <c r="I743" s="144">
        <f t="shared" si="164"/>
        <v>590</v>
      </c>
      <c r="J743" s="142" t="s">
        <v>1466</v>
      </c>
      <c r="K743" s="142" t="s">
        <v>1466</v>
      </c>
      <c r="L743" s="142" t="s">
        <v>1466</v>
      </c>
      <c r="M743" s="142" t="s">
        <v>1466</v>
      </c>
      <c r="N743" s="142" t="s">
        <v>1466</v>
      </c>
      <c r="O743" s="142" t="s">
        <v>1466</v>
      </c>
      <c r="P743" s="142" t="s">
        <v>1466</v>
      </c>
      <c r="Q743" s="142" t="s">
        <v>1466</v>
      </c>
    </row>
    <row r="744" spans="9:17">
      <c r="I744" s="144">
        <f t="shared" si="164"/>
        <v>591</v>
      </c>
      <c r="J744" s="142" t="s">
        <v>1467</v>
      </c>
      <c r="K744" s="142" t="s">
        <v>1467</v>
      </c>
      <c r="L744" s="142" t="s">
        <v>1467</v>
      </c>
      <c r="M744" s="142" t="s">
        <v>1467</v>
      </c>
      <c r="N744" s="142" t="s">
        <v>1467</v>
      </c>
      <c r="O744" s="142" t="s">
        <v>1467</v>
      </c>
      <c r="P744" s="142" t="s">
        <v>1467</v>
      </c>
      <c r="Q744" s="142" t="s">
        <v>1467</v>
      </c>
    </row>
    <row r="745" spans="9:17" ht="29">
      <c r="I745" s="144">
        <f t="shared" si="164"/>
        <v>592</v>
      </c>
      <c r="J745" s="142" t="s">
        <v>1468</v>
      </c>
      <c r="K745" s="142" t="s">
        <v>1468</v>
      </c>
      <c r="L745" s="142" t="s">
        <v>1468</v>
      </c>
      <c r="M745" s="142" t="s">
        <v>1468</v>
      </c>
      <c r="N745" s="142" t="s">
        <v>1468</v>
      </c>
      <c r="O745" s="142" t="s">
        <v>1468</v>
      </c>
      <c r="P745" s="142" t="s">
        <v>1468</v>
      </c>
      <c r="Q745" s="142" t="s">
        <v>1468</v>
      </c>
    </row>
    <row r="746" spans="9:17" ht="29">
      <c r="I746" s="144">
        <f t="shared" si="164"/>
        <v>593</v>
      </c>
      <c r="J746" s="142" t="s">
        <v>1469</v>
      </c>
      <c r="K746" s="142" t="s">
        <v>1469</v>
      </c>
      <c r="L746" s="142" t="s">
        <v>1469</v>
      </c>
      <c r="M746" s="142" t="s">
        <v>1469</v>
      </c>
      <c r="N746" s="142" t="s">
        <v>1469</v>
      </c>
      <c r="O746" s="142" t="s">
        <v>1469</v>
      </c>
      <c r="P746" s="142" t="s">
        <v>1469</v>
      </c>
      <c r="Q746" s="142" t="s">
        <v>1469</v>
      </c>
    </row>
    <row r="747" spans="9:17">
      <c r="I747" s="144">
        <f t="shared" si="164"/>
        <v>594</v>
      </c>
      <c r="J747" s="142" t="s">
        <v>1470</v>
      </c>
      <c r="K747" s="142" t="s">
        <v>1470</v>
      </c>
      <c r="L747" s="142" t="s">
        <v>1470</v>
      </c>
      <c r="M747" s="142" t="s">
        <v>1470</v>
      </c>
      <c r="N747" s="142" t="s">
        <v>1470</v>
      </c>
      <c r="O747" s="142"/>
      <c r="P747" s="142" t="s">
        <v>1470</v>
      </c>
      <c r="Q747" s="142" t="s">
        <v>1470</v>
      </c>
    </row>
    <row r="748" spans="9:17" ht="29">
      <c r="I748" s="144">
        <f t="shared" si="164"/>
        <v>595</v>
      </c>
      <c r="J748" s="142" t="s">
        <v>1471</v>
      </c>
      <c r="K748" s="142" t="s">
        <v>1471</v>
      </c>
      <c r="L748" s="142" t="s">
        <v>1471</v>
      </c>
      <c r="M748" s="142" t="s">
        <v>1471</v>
      </c>
      <c r="N748" s="142" t="s">
        <v>1471</v>
      </c>
      <c r="O748" s="142" t="s">
        <v>1471</v>
      </c>
      <c r="P748" s="142" t="s">
        <v>1471</v>
      </c>
      <c r="Q748" s="142" t="s">
        <v>1471</v>
      </c>
    </row>
    <row r="749" spans="9:17" ht="29">
      <c r="I749" s="144">
        <f t="shared" si="164"/>
        <v>596</v>
      </c>
      <c r="J749" s="142" t="s">
        <v>1472</v>
      </c>
      <c r="K749" s="142" t="s">
        <v>1472</v>
      </c>
      <c r="L749" s="142" t="s">
        <v>1472</v>
      </c>
      <c r="M749" s="142" t="s">
        <v>1472</v>
      </c>
      <c r="N749" s="142" t="s">
        <v>1472</v>
      </c>
      <c r="O749" s="142" t="s">
        <v>1472</v>
      </c>
      <c r="P749" s="142" t="s">
        <v>1472</v>
      </c>
      <c r="Q749" s="142" t="s">
        <v>1472</v>
      </c>
    </row>
    <row r="750" spans="9:17" ht="29">
      <c r="I750" s="144">
        <f t="shared" si="164"/>
        <v>597</v>
      </c>
      <c r="J750" s="142" t="s">
        <v>1473</v>
      </c>
      <c r="K750" s="142" t="s">
        <v>1473</v>
      </c>
      <c r="L750" s="142" t="s">
        <v>1473</v>
      </c>
      <c r="M750" s="142" t="s">
        <v>1473</v>
      </c>
      <c r="N750" s="142" t="s">
        <v>1473</v>
      </c>
      <c r="O750" s="142" t="s">
        <v>1473</v>
      </c>
      <c r="P750" s="142" t="s">
        <v>1473</v>
      </c>
      <c r="Q750" s="142" t="s">
        <v>1473</v>
      </c>
    </row>
    <row r="751" spans="9:17" ht="35.5">
      <c r="I751" s="144">
        <f t="shared" si="164"/>
        <v>598</v>
      </c>
      <c r="J751" s="143" t="s">
        <v>1474</v>
      </c>
      <c r="K751" s="143" t="s">
        <v>1474</v>
      </c>
      <c r="L751" s="143" t="s">
        <v>1474</v>
      </c>
      <c r="M751" s="143" t="s">
        <v>1474</v>
      </c>
      <c r="N751" s="143" t="s">
        <v>1474</v>
      </c>
      <c r="O751" s="143" t="s">
        <v>1474</v>
      </c>
      <c r="P751" s="146" t="s">
        <v>1474</v>
      </c>
      <c r="Q751" s="146" t="s">
        <v>1474</v>
      </c>
    </row>
    <row r="752" spans="9:17">
      <c r="I752" s="144">
        <f t="shared" si="164"/>
        <v>599</v>
      </c>
      <c r="J752" s="142" t="s">
        <v>1475</v>
      </c>
      <c r="K752" s="142" t="s">
        <v>1475</v>
      </c>
      <c r="L752" s="142" t="s">
        <v>1475</v>
      </c>
      <c r="M752" s="142" t="s">
        <v>1475</v>
      </c>
      <c r="N752" s="142" t="s">
        <v>1475</v>
      </c>
      <c r="O752" s="142" t="s">
        <v>1475</v>
      </c>
      <c r="P752" s="142" t="s">
        <v>1475</v>
      </c>
      <c r="Q752" s="142" t="s">
        <v>1475</v>
      </c>
    </row>
    <row r="753" spans="9:17" ht="29">
      <c r="I753" s="144">
        <f t="shared" si="164"/>
        <v>600</v>
      </c>
      <c r="J753" s="142" t="s">
        <v>1476</v>
      </c>
      <c r="K753" s="142" t="s">
        <v>1476</v>
      </c>
      <c r="L753" s="142" t="s">
        <v>1476</v>
      </c>
      <c r="M753" s="142" t="s">
        <v>1476</v>
      </c>
      <c r="N753" s="142" t="s">
        <v>1476</v>
      </c>
      <c r="O753" s="142" t="s">
        <v>1476</v>
      </c>
      <c r="P753" s="142" t="s">
        <v>1476</v>
      </c>
      <c r="Q753" s="142" t="s">
        <v>1476</v>
      </c>
    </row>
    <row r="754" spans="9:17">
      <c r="I754" s="144">
        <f t="shared" si="164"/>
        <v>601</v>
      </c>
      <c r="J754" s="142" t="s">
        <v>1477</v>
      </c>
      <c r="K754" s="142" t="s">
        <v>1477</v>
      </c>
      <c r="L754" s="142" t="s">
        <v>1477</v>
      </c>
      <c r="M754" s="142" t="s">
        <v>1477</v>
      </c>
      <c r="N754" s="142" t="s">
        <v>1477</v>
      </c>
      <c r="O754" s="142" t="s">
        <v>1477</v>
      </c>
      <c r="P754" s="142" t="s">
        <v>1477</v>
      </c>
      <c r="Q754" s="142" t="s">
        <v>1477</v>
      </c>
    </row>
    <row r="755" spans="9:17">
      <c r="I755" s="144">
        <f t="shared" si="164"/>
        <v>602</v>
      </c>
      <c r="J755" s="142" t="s">
        <v>1478</v>
      </c>
      <c r="K755" s="142" t="s">
        <v>1478</v>
      </c>
      <c r="L755" s="142" t="s">
        <v>1478</v>
      </c>
      <c r="M755" s="142" t="s">
        <v>1478</v>
      </c>
      <c r="N755" s="142" t="s">
        <v>1478</v>
      </c>
      <c r="O755" s="142" t="s">
        <v>1478</v>
      </c>
      <c r="P755" s="142" t="s">
        <v>1478</v>
      </c>
      <c r="Q755" s="142" t="s">
        <v>1478</v>
      </c>
    </row>
    <row r="756" spans="9:17" ht="29">
      <c r="I756" s="144">
        <f t="shared" si="164"/>
        <v>603</v>
      </c>
      <c r="J756" s="142" t="s">
        <v>1479</v>
      </c>
      <c r="K756" s="142" t="s">
        <v>1479</v>
      </c>
      <c r="L756" s="142" t="s">
        <v>1479</v>
      </c>
      <c r="M756" s="142" t="s">
        <v>1479</v>
      </c>
      <c r="N756" s="142" t="s">
        <v>1479</v>
      </c>
      <c r="O756" s="142" t="s">
        <v>1479</v>
      </c>
      <c r="P756" s="142" t="s">
        <v>1479</v>
      </c>
      <c r="Q756" s="142" t="s">
        <v>1479</v>
      </c>
    </row>
    <row r="757" spans="9:17">
      <c r="I757" s="144">
        <f t="shared" si="164"/>
        <v>604</v>
      </c>
      <c r="J757" s="142" t="s">
        <v>1480</v>
      </c>
      <c r="K757" s="142" t="s">
        <v>1480</v>
      </c>
      <c r="L757" s="142" t="s">
        <v>1480</v>
      </c>
      <c r="M757" s="142" t="s">
        <v>1480</v>
      </c>
      <c r="N757" s="142" t="s">
        <v>1480</v>
      </c>
      <c r="O757" s="142" t="s">
        <v>1480</v>
      </c>
      <c r="P757" s="142" t="s">
        <v>1480</v>
      </c>
      <c r="Q757" s="142" t="s">
        <v>1480</v>
      </c>
    </row>
    <row r="758" spans="9:17">
      <c r="I758" s="144">
        <f t="shared" si="164"/>
        <v>605</v>
      </c>
      <c r="J758" s="142" t="s">
        <v>1481</v>
      </c>
      <c r="K758" s="142" t="s">
        <v>1481</v>
      </c>
      <c r="L758" s="142" t="s">
        <v>1481</v>
      </c>
      <c r="M758" s="142" t="s">
        <v>1481</v>
      </c>
      <c r="N758" s="142" t="s">
        <v>1481</v>
      </c>
      <c r="O758" s="142" t="s">
        <v>1481</v>
      </c>
      <c r="P758" s="142" t="s">
        <v>1481</v>
      </c>
      <c r="Q758" s="142" t="s">
        <v>1481</v>
      </c>
    </row>
    <row r="759" spans="9:17">
      <c r="I759" s="144">
        <f t="shared" si="164"/>
        <v>606</v>
      </c>
      <c r="J759" s="142" t="s">
        <v>1482</v>
      </c>
      <c r="K759" s="142" t="s">
        <v>1482</v>
      </c>
      <c r="L759" s="142" t="s">
        <v>1482</v>
      </c>
      <c r="M759" s="142" t="s">
        <v>1482</v>
      </c>
      <c r="N759" s="142" t="s">
        <v>1482</v>
      </c>
      <c r="O759" s="142" t="s">
        <v>1482</v>
      </c>
      <c r="P759" s="142" t="s">
        <v>1482</v>
      </c>
      <c r="Q759" s="142" t="s">
        <v>1482</v>
      </c>
    </row>
    <row r="760" spans="9:17" ht="29">
      <c r="I760" s="144">
        <f t="shared" si="164"/>
        <v>607</v>
      </c>
      <c r="J760" s="142" t="s">
        <v>1483</v>
      </c>
      <c r="K760" s="142" t="s">
        <v>1483</v>
      </c>
      <c r="L760" s="142" t="s">
        <v>1483</v>
      </c>
      <c r="M760" s="142" t="s">
        <v>1483</v>
      </c>
      <c r="N760" s="142" t="s">
        <v>1483</v>
      </c>
      <c r="O760" s="142" t="s">
        <v>1483</v>
      </c>
      <c r="P760" s="142" t="s">
        <v>1483</v>
      </c>
      <c r="Q760" s="142" t="s">
        <v>1483</v>
      </c>
    </row>
    <row r="761" spans="9:17" ht="29">
      <c r="I761" s="144">
        <f t="shared" si="164"/>
        <v>608</v>
      </c>
      <c r="J761" s="142" t="s">
        <v>1484</v>
      </c>
      <c r="K761" s="142" t="s">
        <v>1484</v>
      </c>
      <c r="L761" s="142" t="s">
        <v>1484</v>
      </c>
      <c r="M761" s="142" t="s">
        <v>1484</v>
      </c>
      <c r="N761" s="142" t="s">
        <v>1484</v>
      </c>
      <c r="O761" s="142" t="s">
        <v>1484</v>
      </c>
      <c r="P761" s="142" t="s">
        <v>1484</v>
      </c>
      <c r="Q761" s="142" t="s">
        <v>1484</v>
      </c>
    </row>
    <row r="762" spans="9:17" ht="43.5">
      <c r="I762" s="144">
        <f t="shared" si="164"/>
        <v>609</v>
      </c>
      <c r="J762" s="142" t="s">
        <v>1485</v>
      </c>
      <c r="K762" s="142" t="s">
        <v>1485</v>
      </c>
      <c r="L762" s="142" t="s">
        <v>1485</v>
      </c>
      <c r="M762" s="142" t="s">
        <v>1485</v>
      </c>
      <c r="N762" s="142" t="s">
        <v>1485</v>
      </c>
      <c r="O762" s="142" t="s">
        <v>1485</v>
      </c>
      <c r="P762" s="142" t="s">
        <v>1485</v>
      </c>
      <c r="Q762" s="142" t="s">
        <v>1485</v>
      </c>
    </row>
    <row r="763" spans="9:17" ht="29">
      <c r="I763" s="144">
        <f t="shared" si="164"/>
        <v>610</v>
      </c>
      <c r="J763" s="142" t="s">
        <v>1486</v>
      </c>
      <c r="K763" s="142" t="s">
        <v>1486</v>
      </c>
      <c r="L763" s="142" t="s">
        <v>1486</v>
      </c>
      <c r="M763" s="142" t="s">
        <v>1486</v>
      </c>
      <c r="N763" s="142" t="s">
        <v>1486</v>
      </c>
      <c r="O763" s="142" t="s">
        <v>1486</v>
      </c>
      <c r="P763" s="142" t="s">
        <v>1486</v>
      </c>
      <c r="Q763" s="142" t="s">
        <v>1486</v>
      </c>
    </row>
    <row r="764" spans="9:17">
      <c r="I764" s="144">
        <f t="shared" si="164"/>
        <v>611</v>
      </c>
      <c r="J764" s="142" t="s">
        <v>1487</v>
      </c>
      <c r="K764" s="142" t="s">
        <v>1487</v>
      </c>
      <c r="L764" s="142" t="s">
        <v>1487</v>
      </c>
      <c r="M764" s="142" t="s">
        <v>1487</v>
      </c>
      <c r="N764" s="142" t="s">
        <v>1487</v>
      </c>
      <c r="O764" s="142" t="s">
        <v>1487</v>
      </c>
      <c r="P764" s="142" t="s">
        <v>1487</v>
      </c>
      <c r="Q764" s="142" t="s">
        <v>1487</v>
      </c>
    </row>
    <row r="765" spans="9:17" ht="29">
      <c r="I765" s="144">
        <f t="shared" si="164"/>
        <v>612</v>
      </c>
      <c r="J765" s="142" t="s">
        <v>1488</v>
      </c>
      <c r="K765" s="142" t="s">
        <v>1488</v>
      </c>
      <c r="L765" s="142" t="s">
        <v>1488</v>
      </c>
      <c r="M765" s="142" t="s">
        <v>1488</v>
      </c>
      <c r="N765" s="142" t="s">
        <v>1488</v>
      </c>
      <c r="O765" s="142" t="s">
        <v>1488</v>
      </c>
      <c r="P765" s="142" t="s">
        <v>1488</v>
      </c>
      <c r="Q765" s="142" t="s">
        <v>1488</v>
      </c>
    </row>
    <row r="766" spans="9:17" ht="43.5">
      <c r="I766" s="144">
        <f t="shared" si="164"/>
        <v>613</v>
      </c>
      <c r="J766" s="142"/>
      <c r="K766" s="142"/>
      <c r="L766" s="142" t="s">
        <v>1489</v>
      </c>
      <c r="M766" s="142" t="s">
        <v>1489</v>
      </c>
      <c r="N766" s="142" t="s">
        <v>1489</v>
      </c>
      <c r="O766" s="142" t="s">
        <v>1489</v>
      </c>
      <c r="P766" s="142" t="s">
        <v>1489</v>
      </c>
      <c r="Q766" s="142" t="s">
        <v>1489</v>
      </c>
    </row>
    <row r="767" spans="9:17">
      <c r="I767" s="144">
        <f t="shared" si="164"/>
        <v>614</v>
      </c>
      <c r="J767" s="142" t="s">
        <v>1490</v>
      </c>
      <c r="K767" s="142" t="s">
        <v>1490</v>
      </c>
      <c r="L767" s="142" t="s">
        <v>1490</v>
      </c>
      <c r="M767" s="142" t="s">
        <v>1490</v>
      </c>
      <c r="N767" s="142" t="s">
        <v>1490</v>
      </c>
      <c r="O767" s="142" t="s">
        <v>1490</v>
      </c>
      <c r="P767" s="142" t="s">
        <v>1490</v>
      </c>
      <c r="Q767" s="142" t="s">
        <v>1490</v>
      </c>
    </row>
    <row r="768" spans="9:17" ht="43.5">
      <c r="I768" s="144">
        <f t="shared" si="164"/>
        <v>615</v>
      </c>
      <c r="J768" s="142" t="s">
        <v>1491</v>
      </c>
      <c r="K768" s="142" t="s">
        <v>1491</v>
      </c>
      <c r="L768" s="142" t="s">
        <v>1491</v>
      </c>
      <c r="M768" s="142" t="s">
        <v>1491</v>
      </c>
      <c r="N768" s="142" t="s">
        <v>1491</v>
      </c>
      <c r="O768" s="142" t="s">
        <v>1491</v>
      </c>
      <c r="P768" s="142" t="s">
        <v>1491</v>
      </c>
      <c r="Q768" s="142" t="s">
        <v>1491</v>
      </c>
    </row>
    <row r="769" spans="9:17" ht="35.5">
      <c r="I769" s="144">
        <f t="shared" si="164"/>
        <v>616</v>
      </c>
      <c r="J769" s="143" t="s">
        <v>1492</v>
      </c>
      <c r="K769" s="143" t="s">
        <v>1492</v>
      </c>
      <c r="L769" s="143" t="s">
        <v>1492</v>
      </c>
      <c r="M769" s="143" t="s">
        <v>1492</v>
      </c>
      <c r="N769" s="143" t="s">
        <v>1492</v>
      </c>
      <c r="O769" s="143" t="s">
        <v>1492</v>
      </c>
      <c r="P769" s="146" t="s">
        <v>1492</v>
      </c>
      <c r="Q769" s="146" t="s">
        <v>1492</v>
      </c>
    </row>
    <row r="770" spans="9:17" ht="29">
      <c r="I770" s="144">
        <f t="shared" si="164"/>
        <v>617</v>
      </c>
      <c r="J770" s="142" t="s">
        <v>1493</v>
      </c>
      <c r="K770" s="142" t="s">
        <v>1493</v>
      </c>
      <c r="L770" s="142" t="s">
        <v>1493</v>
      </c>
      <c r="M770" s="142" t="s">
        <v>1493</v>
      </c>
      <c r="N770" s="142" t="s">
        <v>1493</v>
      </c>
      <c r="O770" s="142" t="s">
        <v>1493</v>
      </c>
      <c r="P770" s="142" t="s">
        <v>1493</v>
      </c>
      <c r="Q770" s="142" t="s">
        <v>1493</v>
      </c>
    </row>
    <row r="771" spans="9:17">
      <c r="I771" s="144">
        <f t="shared" si="164"/>
        <v>618</v>
      </c>
      <c r="J771" s="142" t="s">
        <v>1494</v>
      </c>
      <c r="K771" s="142" t="s">
        <v>1494</v>
      </c>
      <c r="L771" s="142" t="s">
        <v>1494</v>
      </c>
      <c r="M771" s="142" t="s">
        <v>1494</v>
      </c>
      <c r="N771" s="142" t="s">
        <v>1494</v>
      </c>
      <c r="O771" s="142" t="s">
        <v>1494</v>
      </c>
      <c r="P771" s="142" t="s">
        <v>1494</v>
      </c>
      <c r="Q771" s="142" t="s">
        <v>1494</v>
      </c>
    </row>
    <row r="772" spans="9:17" ht="29">
      <c r="I772" s="144">
        <f t="shared" si="164"/>
        <v>619</v>
      </c>
      <c r="J772" s="142" t="s">
        <v>1495</v>
      </c>
      <c r="K772" s="142" t="s">
        <v>1495</v>
      </c>
      <c r="L772" s="142" t="s">
        <v>1495</v>
      </c>
      <c r="M772" s="142" t="s">
        <v>1495</v>
      </c>
      <c r="N772" s="142" t="s">
        <v>1495</v>
      </c>
      <c r="O772" s="142" t="s">
        <v>1495</v>
      </c>
      <c r="P772" s="142" t="s">
        <v>1495</v>
      </c>
      <c r="Q772" s="142" t="s">
        <v>1495</v>
      </c>
    </row>
    <row r="773" spans="9:17" ht="43.5">
      <c r="I773" s="144">
        <f t="shared" si="164"/>
        <v>620</v>
      </c>
      <c r="J773" s="142" t="s">
        <v>1496</v>
      </c>
      <c r="K773" s="142" t="s">
        <v>1496</v>
      </c>
      <c r="L773" s="142" t="s">
        <v>1496</v>
      </c>
      <c r="M773" s="142" t="s">
        <v>1496</v>
      </c>
      <c r="N773" s="142" t="s">
        <v>1496</v>
      </c>
      <c r="O773" s="142" t="s">
        <v>1496</v>
      </c>
      <c r="P773" s="142" t="s">
        <v>1496</v>
      </c>
      <c r="Q773" s="142" t="s">
        <v>1496</v>
      </c>
    </row>
    <row r="774" spans="9:17" ht="43.5">
      <c r="I774" s="144">
        <f t="shared" si="164"/>
        <v>621</v>
      </c>
      <c r="J774" s="142" t="s">
        <v>1497</v>
      </c>
      <c r="K774" s="142" t="s">
        <v>1497</v>
      </c>
      <c r="L774" s="142" t="s">
        <v>1497</v>
      </c>
      <c r="M774" s="142" t="s">
        <v>1497</v>
      </c>
      <c r="N774" s="142" t="s">
        <v>1497</v>
      </c>
      <c r="O774" s="142" t="s">
        <v>1497</v>
      </c>
      <c r="P774" s="142" t="s">
        <v>1497</v>
      </c>
      <c r="Q774" s="142" t="s">
        <v>1497</v>
      </c>
    </row>
    <row r="775" spans="9:17">
      <c r="I775" s="144">
        <f t="shared" si="164"/>
        <v>622</v>
      </c>
      <c r="J775" s="142" t="s">
        <v>1498</v>
      </c>
      <c r="K775" s="142" t="s">
        <v>1498</v>
      </c>
      <c r="L775" s="142" t="s">
        <v>1498</v>
      </c>
      <c r="M775" s="142" t="s">
        <v>1498</v>
      </c>
      <c r="N775" s="142" t="s">
        <v>1498</v>
      </c>
      <c r="O775" s="142" t="s">
        <v>1498</v>
      </c>
      <c r="P775" s="142" t="s">
        <v>1498</v>
      </c>
      <c r="Q775" s="142" t="s">
        <v>1498</v>
      </c>
    </row>
    <row r="776" spans="9:17" ht="29">
      <c r="I776" s="144">
        <f t="shared" si="164"/>
        <v>623</v>
      </c>
      <c r="J776" s="142" t="s">
        <v>1499</v>
      </c>
      <c r="K776" s="142" t="s">
        <v>1499</v>
      </c>
      <c r="L776" s="142" t="s">
        <v>1499</v>
      </c>
      <c r="M776" s="142" t="s">
        <v>1499</v>
      </c>
      <c r="N776" s="142" t="s">
        <v>1499</v>
      </c>
      <c r="O776" s="142" t="s">
        <v>1499</v>
      </c>
      <c r="P776" s="142" t="s">
        <v>1499</v>
      </c>
      <c r="Q776" s="142" t="s">
        <v>1499</v>
      </c>
    </row>
    <row r="777" spans="9:17" ht="29">
      <c r="I777" s="144">
        <f t="shared" si="164"/>
        <v>624</v>
      </c>
      <c r="J777" s="142" t="s">
        <v>1500</v>
      </c>
      <c r="K777" s="142" t="s">
        <v>1500</v>
      </c>
      <c r="L777" s="142" t="s">
        <v>1500</v>
      </c>
      <c r="M777" s="142" t="s">
        <v>1500</v>
      </c>
      <c r="N777" s="142" t="s">
        <v>1500</v>
      </c>
      <c r="O777" s="142"/>
      <c r="P777" s="142" t="s">
        <v>1500</v>
      </c>
      <c r="Q777" s="142" t="s">
        <v>1500</v>
      </c>
    </row>
    <row r="778" spans="9:17" ht="35.5">
      <c r="I778" s="144">
        <f t="shared" si="164"/>
        <v>625</v>
      </c>
      <c r="J778" s="143" t="s">
        <v>1501</v>
      </c>
      <c r="K778" s="143" t="s">
        <v>1501</v>
      </c>
      <c r="L778" s="143" t="s">
        <v>1501</v>
      </c>
      <c r="M778" s="143" t="s">
        <v>1501</v>
      </c>
      <c r="N778" s="143" t="s">
        <v>1501</v>
      </c>
      <c r="O778" s="143" t="s">
        <v>1501</v>
      </c>
      <c r="P778" s="146" t="s">
        <v>1501</v>
      </c>
      <c r="Q778" s="146" t="s">
        <v>1501</v>
      </c>
    </row>
    <row r="779" spans="9:17">
      <c r="I779" s="144">
        <f t="shared" si="164"/>
        <v>626</v>
      </c>
      <c r="J779" s="142" t="s">
        <v>1502</v>
      </c>
      <c r="K779" s="142" t="s">
        <v>1502</v>
      </c>
      <c r="L779" s="142" t="s">
        <v>1502</v>
      </c>
      <c r="M779" s="142" t="s">
        <v>1502</v>
      </c>
      <c r="N779" s="142" t="s">
        <v>1502</v>
      </c>
      <c r="O779" s="142" t="s">
        <v>1502</v>
      </c>
      <c r="P779" s="142" t="s">
        <v>1502</v>
      </c>
      <c r="Q779" s="142" t="s">
        <v>1502</v>
      </c>
    </row>
    <row r="780" spans="9:17">
      <c r="I780" s="144">
        <f t="shared" si="164"/>
        <v>627</v>
      </c>
      <c r="J780" s="142" t="s">
        <v>1503</v>
      </c>
      <c r="K780" s="142" t="s">
        <v>1503</v>
      </c>
      <c r="L780" s="142" t="s">
        <v>1503</v>
      </c>
      <c r="M780" s="142" t="s">
        <v>1503</v>
      </c>
      <c r="N780" s="142" t="s">
        <v>1503</v>
      </c>
      <c r="O780" s="142" t="s">
        <v>1503</v>
      </c>
      <c r="P780" s="142" t="s">
        <v>1503</v>
      </c>
      <c r="Q780" s="142" t="s">
        <v>1503</v>
      </c>
    </row>
    <row r="781" spans="9:17">
      <c r="I781" s="144">
        <f t="shared" si="164"/>
        <v>628</v>
      </c>
      <c r="J781" s="142" t="s">
        <v>1504</v>
      </c>
      <c r="K781" s="142" t="s">
        <v>1504</v>
      </c>
      <c r="L781" s="142" t="s">
        <v>1504</v>
      </c>
      <c r="M781" s="142" t="s">
        <v>1504</v>
      </c>
      <c r="N781" s="142" t="s">
        <v>1504</v>
      </c>
      <c r="O781" s="142" t="s">
        <v>1504</v>
      </c>
      <c r="P781" s="142" t="s">
        <v>1504</v>
      </c>
      <c r="Q781" s="142" t="s">
        <v>1504</v>
      </c>
    </row>
    <row r="782" spans="9:17">
      <c r="I782" s="144">
        <f t="shared" si="164"/>
        <v>629</v>
      </c>
      <c r="J782" s="142" t="s">
        <v>1505</v>
      </c>
      <c r="K782" s="142" t="s">
        <v>1505</v>
      </c>
      <c r="L782" s="142" t="s">
        <v>1505</v>
      </c>
      <c r="M782" s="142" t="s">
        <v>1505</v>
      </c>
      <c r="N782" s="142" t="s">
        <v>1505</v>
      </c>
      <c r="O782" s="142" t="s">
        <v>1505</v>
      </c>
      <c r="P782" s="142" t="s">
        <v>1505</v>
      </c>
      <c r="Q782" s="142" t="s">
        <v>1505</v>
      </c>
    </row>
    <row r="783" spans="9:17" ht="43.5">
      <c r="I783" s="144">
        <f t="shared" si="164"/>
        <v>630</v>
      </c>
      <c r="J783" s="142" t="s">
        <v>1506</v>
      </c>
      <c r="K783" s="142" t="s">
        <v>1506</v>
      </c>
      <c r="L783" s="142" t="s">
        <v>1506</v>
      </c>
      <c r="M783" s="142" t="s">
        <v>1506</v>
      </c>
      <c r="N783" s="142" t="s">
        <v>1506</v>
      </c>
      <c r="O783" s="142" t="s">
        <v>1506</v>
      </c>
      <c r="P783" s="142" t="s">
        <v>1506</v>
      </c>
      <c r="Q783" s="142" t="s">
        <v>1506</v>
      </c>
    </row>
    <row r="784" spans="9:17">
      <c r="I784" s="144">
        <f t="shared" si="164"/>
        <v>631</v>
      </c>
      <c r="J784" s="142" t="s">
        <v>1507</v>
      </c>
      <c r="K784" s="142" t="s">
        <v>1507</v>
      </c>
      <c r="L784" s="142" t="s">
        <v>1507</v>
      </c>
      <c r="M784" s="142" t="s">
        <v>1507</v>
      </c>
      <c r="N784" s="142" t="s">
        <v>1507</v>
      </c>
      <c r="O784" s="142" t="s">
        <v>1507</v>
      </c>
      <c r="P784" s="142" t="s">
        <v>1507</v>
      </c>
      <c r="Q784" s="142" t="s">
        <v>1507</v>
      </c>
    </row>
    <row r="785" spans="9:17" ht="29">
      <c r="I785" s="144">
        <f t="shared" si="164"/>
        <v>632</v>
      </c>
      <c r="J785" s="142" t="s">
        <v>1508</v>
      </c>
      <c r="K785" s="142" t="s">
        <v>1508</v>
      </c>
      <c r="L785" s="142" t="s">
        <v>1508</v>
      </c>
      <c r="M785" s="142" t="s">
        <v>1508</v>
      </c>
      <c r="N785" s="142" t="s">
        <v>1508</v>
      </c>
      <c r="O785" s="142"/>
      <c r="P785" s="142" t="s">
        <v>1508</v>
      </c>
      <c r="Q785" s="142" t="s">
        <v>1508</v>
      </c>
    </row>
    <row r="786" spans="9:17" ht="35.5">
      <c r="I786" s="144">
        <f t="shared" si="164"/>
        <v>633</v>
      </c>
      <c r="J786" s="143" t="s">
        <v>1509</v>
      </c>
      <c r="K786" s="143" t="s">
        <v>1509</v>
      </c>
      <c r="L786" s="143" t="s">
        <v>1509</v>
      </c>
      <c r="M786" s="143" t="s">
        <v>1509</v>
      </c>
      <c r="N786" s="143" t="s">
        <v>1509</v>
      </c>
      <c r="O786" s="143" t="s">
        <v>1509</v>
      </c>
      <c r="P786" s="146" t="s">
        <v>1509</v>
      </c>
      <c r="Q786" s="146" t="s">
        <v>1509</v>
      </c>
    </row>
    <row r="787" spans="9:17">
      <c r="I787" s="144">
        <f t="shared" si="164"/>
        <v>634</v>
      </c>
      <c r="J787" s="142" t="s">
        <v>1510</v>
      </c>
      <c r="K787" s="142" t="s">
        <v>1510</v>
      </c>
      <c r="L787" s="142" t="s">
        <v>1510</v>
      </c>
      <c r="M787" s="142" t="s">
        <v>1510</v>
      </c>
      <c r="N787" s="142" t="s">
        <v>1510</v>
      </c>
      <c r="O787" s="142" t="s">
        <v>1510</v>
      </c>
      <c r="P787" s="142" t="s">
        <v>1510</v>
      </c>
      <c r="Q787" s="142" t="s">
        <v>1510</v>
      </c>
    </row>
    <row r="788" spans="9:17" ht="29">
      <c r="I788" s="144">
        <f t="shared" si="164"/>
        <v>635</v>
      </c>
      <c r="J788" s="142" t="s">
        <v>1511</v>
      </c>
      <c r="K788" s="142" t="s">
        <v>1511</v>
      </c>
      <c r="L788" s="142" t="s">
        <v>1511</v>
      </c>
      <c r="M788" s="142" t="s">
        <v>1511</v>
      </c>
      <c r="N788" s="142" t="s">
        <v>1511</v>
      </c>
      <c r="O788" s="142" t="s">
        <v>1511</v>
      </c>
      <c r="P788" s="142" t="s">
        <v>1511</v>
      </c>
      <c r="Q788" s="142" t="s">
        <v>1511</v>
      </c>
    </row>
    <row r="789" spans="9:17" ht="43.5">
      <c r="I789" s="144">
        <f t="shared" si="164"/>
        <v>636</v>
      </c>
      <c r="J789" s="142" t="s">
        <v>1512</v>
      </c>
      <c r="K789" s="142" t="s">
        <v>1512</v>
      </c>
      <c r="L789" s="142" t="s">
        <v>1512</v>
      </c>
      <c r="M789" s="142" t="s">
        <v>1512</v>
      </c>
      <c r="N789" s="142" t="s">
        <v>1512</v>
      </c>
      <c r="O789" s="142" t="s">
        <v>1512</v>
      </c>
      <c r="P789" s="142" t="s">
        <v>1512</v>
      </c>
      <c r="Q789" s="142" t="s">
        <v>1512</v>
      </c>
    </row>
    <row r="790" spans="9:17" ht="29">
      <c r="I790" s="144">
        <f t="shared" si="164"/>
        <v>637</v>
      </c>
      <c r="J790" s="142" t="s">
        <v>1513</v>
      </c>
      <c r="K790" s="142" t="s">
        <v>1513</v>
      </c>
      <c r="L790" s="142" t="s">
        <v>1513</v>
      </c>
      <c r="M790" s="142" t="s">
        <v>1513</v>
      </c>
      <c r="N790" s="142" t="s">
        <v>1513</v>
      </c>
      <c r="O790" s="142" t="s">
        <v>1513</v>
      </c>
      <c r="P790" s="142" t="s">
        <v>1513</v>
      </c>
      <c r="Q790" s="142" t="s">
        <v>1513</v>
      </c>
    </row>
    <row r="791" spans="9:17">
      <c r="I791" s="144">
        <f t="shared" si="164"/>
        <v>638</v>
      </c>
    </row>
    <row r="792" spans="9:17">
      <c r="I792" s="144">
        <f t="shared" si="164"/>
        <v>639</v>
      </c>
    </row>
    <row r="793" spans="9:17">
      <c r="I793" s="144">
        <f t="shared" si="164"/>
        <v>640</v>
      </c>
    </row>
    <row r="794" spans="9:17">
      <c r="I794" s="144">
        <f t="shared" si="164"/>
        <v>641</v>
      </c>
    </row>
    <row r="795" spans="9:17">
      <c r="I795" s="144">
        <f t="shared" si="164"/>
        <v>642</v>
      </c>
    </row>
    <row r="796" spans="9:17">
      <c r="I796" s="144">
        <f t="shared" ref="I796:I859" si="165">I795+1</f>
        <v>643</v>
      </c>
    </row>
    <row r="797" spans="9:17">
      <c r="I797" s="144">
        <f t="shared" si="165"/>
        <v>644</v>
      </c>
    </row>
    <row r="798" spans="9:17">
      <c r="I798" s="144">
        <f t="shared" si="165"/>
        <v>645</v>
      </c>
    </row>
    <row r="799" spans="9:17">
      <c r="I799" s="144">
        <f t="shared" si="165"/>
        <v>646</v>
      </c>
    </row>
    <row r="800" spans="9:17">
      <c r="I800" s="144">
        <f t="shared" si="165"/>
        <v>647</v>
      </c>
    </row>
    <row r="801" spans="9:9">
      <c r="I801" s="144">
        <f t="shared" si="165"/>
        <v>648</v>
      </c>
    </row>
    <row r="802" spans="9:9">
      <c r="I802" s="144">
        <f t="shared" si="165"/>
        <v>649</v>
      </c>
    </row>
    <row r="803" spans="9:9">
      <c r="I803" s="144">
        <f t="shared" si="165"/>
        <v>650</v>
      </c>
    </row>
    <row r="804" spans="9:9">
      <c r="I804" s="144">
        <f t="shared" si="165"/>
        <v>651</v>
      </c>
    </row>
    <row r="805" spans="9:9">
      <c r="I805" s="144">
        <f t="shared" si="165"/>
        <v>652</v>
      </c>
    </row>
    <row r="806" spans="9:9">
      <c r="I806" s="144">
        <f t="shared" si="165"/>
        <v>653</v>
      </c>
    </row>
    <row r="807" spans="9:9">
      <c r="I807" s="144">
        <f t="shared" si="165"/>
        <v>654</v>
      </c>
    </row>
    <row r="808" spans="9:9">
      <c r="I808" s="144">
        <f t="shared" si="165"/>
        <v>655</v>
      </c>
    </row>
    <row r="809" spans="9:9">
      <c r="I809" s="144">
        <f t="shared" si="165"/>
        <v>656</v>
      </c>
    </row>
    <row r="810" spans="9:9">
      <c r="I810" s="144">
        <f t="shared" si="165"/>
        <v>657</v>
      </c>
    </row>
    <row r="811" spans="9:9">
      <c r="I811" s="144">
        <f t="shared" si="165"/>
        <v>658</v>
      </c>
    </row>
    <row r="812" spans="9:9">
      <c r="I812" s="144">
        <f t="shared" si="165"/>
        <v>659</v>
      </c>
    </row>
    <row r="813" spans="9:9">
      <c r="I813" s="144">
        <f t="shared" si="165"/>
        <v>660</v>
      </c>
    </row>
    <row r="814" spans="9:9">
      <c r="I814" s="144">
        <f t="shared" si="165"/>
        <v>661</v>
      </c>
    </row>
    <row r="815" spans="9:9">
      <c r="I815" s="144">
        <f t="shared" si="165"/>
        <v>662</v>
      </c>
    </row>
    <row r="816" spans="9:9">
      <c r="I816" s="144">
        <f t="shared" si="165"/>
        <v>663</v>
      </c>
    </row>
    <row r="817" spans="9:9">
      <c r="I817" s="144">
        <f t="shared" si="165"/>
        <v>664</v>
      </c>
    </row>
    <row r="818" spans="9:9">
      <c r="I818" s="144">
        <f t="shared" si="165"/>
        <v>665</v>
      </c>
    </row>
    <row r="819" spans="9:9">
      <c r="I819" s="144">
        <f t="shared" si="165"/>
        <v>666</v>
      </c>
    </row>
    <row r="820" spans="9:9">
      <c r="I820" s="144">
        <f t="shared" si="165"/>
        <v>667</v>
      </c>
    </row>
    <row r="821" spans="9:9">
      <c r="I821" s="144">
        <f t="shared" si="165"/>
        <v>668</v>
      </c>
    </row>
    <row r="822" spans="9:9">
      <c r="I822" s="144">
        <f t="shared" si="165"/>
        <v>669</v>
      </c>
    </row>
    <row r="823" spans="9:9">
      <c r="I823" s="144">
        <f t="shared" si="165"/>
        <v>670</v>
      </c>
    </row>
    <row r="824" spans="9:9">
      <c r="I824" s="144">
        <f t="shared" si="165"/>
        <v>671</v>
      </c>
    </row>
    <row r="825" spans="9:9">
      <c r="I825" s="144">
        <f t="shared" si="165"/>
        <v>672</v>
      </c>
    </row>
    <row r="826" spans="9:9">
      <c r="I826" s="144">
        <f t="shared" si="165"/>
        <v>673</v>
      </c>
    </row>
    <row r="827" spans="9:9">
      <c r="I827" s="144">
        <f t="shared" si="165"/>
        <v>674</v>
      </c>
    </row>
    <row r="828" spans="9:9">
      <c r="I828" s="144">
        <f t="shared" si="165"/>
        <v>675</v>
      </c>
    </row>
    <row r="829" spans="9:9">
      <c r="I829" s="144">
        <f t="shared" si="165"/>
        <v>676</v>
      </c>
    </row>
    <row r="830" spans="9:9">
      <c r="I830" s="144">
        <f t="shared" si="165"/>
        <v>677</v>
      </c>
    </row>
    <row r="831" spans="9:9">
      <c r="I831" s="144">
        <f t="shared" si="165"/>
        <v>678</v>
      </c>
    </row>
    <row r="832" spans="9:9">
      <c r="I832" s="144">
        <f t="shared" si="165"/>
        <v>679</v>
      </c>
    </row>
    <row r="833" spans="9:9">
      <c r="I833" s="144">
        <f t="shared" si="165"/>
        <v>680</v>
      </c>
    </row>
    <row r="834" spans="9:9">
      <c r="I834" s="144">
        <f t="shared" si="165"/>
        <v>681</v>
      </c>
    </row>
    <row r="835" spans="9:9">
      <c r="I835" s="144">
        <f t="shared" si="165"/>
        <v>682</v>
      </c>
    </row>
    <row r="836" spans="9:9">
      <c r="I836" s="144">
        <f t="shared" si="165"/>
        <v>683</v>
      </c>
    </row>
    <row r="837" spans="9:9">
      <c r="I837" s="144">
        <f t="shared" si="165"/>
        <v>684</v>
      </c>
    </row>
    <row r="838" spans="9:9">
      <c r="I838" s="144">
        <f t="shared" si="165"/>
        <v>685</v>
      </c>
    </row>
    <row r="839" spans="9:9">
      <c r="I839" s="144">
        <f t="shared" si="165"/>
        <v>686</v>
      </c>
    </row>
    <row r="840" spans="9:9">
      <c r="I840" s="144">
        <f t="shared" si="165"/>
        <v>687</v>
      </c>
    </row>
    <row r="841" spans="9:9">
      <c r="I841" s="144">
        <f t="shared" si="165"/>
        <v>688</v>
      </c>
    </row>
    <row r="842" spans="9:9">
      <c r="I842" s="144">
        <f t="shared" si="165"/>
        <v>689</v>
      </c>
    </row>
    <row r="843" spans="9:9">
      <c r="I843" s="144">
        <f t="shared" si="165"/>
        <v>690</v>
      </c>
    </row>
    <row r="844" spans="9:9">
      <c r="I844" s="144">
        <f t="shared" si="165"/>
        <v>691</v>
      </c>
    </row>
    <row r="845" spans="9:9">
      <c r="I845" s="144">
        <f t="shared" si="165"/>
        <v>692</v>
      </c>
    </row>
    <row r="846" spans="9:9">
      <c r="I846" s="144">
        <f t="shared" si="165"/>
        <v>693</v>
      </c>
    </row>
    <row r="847" spans="9:9">
      <c r="I847" s="144">
        <f t="shared" si="165"/>
        <v>694</v>
      </c>
    </row>
    <row r="848" spans="9:9">
      <c r="I848" s="144">
        <f t="shared" si="165"/>
        <v>695</v>
      </c>
    </row>
    <row r="849" spans="9:9">
      <c r="I849" s="144">
        <f t="shared" si="165"/>
        <v>696</v>
      </c>
    </row>
    <row r="850" spans="9:9">
      <c r="I850" s="144">
        <f t="shared" si="165"/>
        <v>697</v>
      </c>
    </row>
    <row r="851" spans="9:9">
      <c r="I851" s="144">
        <f t="shared" si="165"/>
        <v>698</v>
      </c>
    </row>
    <row r="852" spans="9:9">
      <c r="I852" s="144">
        <f t="shared" si="165"/>
        <v>699</v>
      </c>
    </row>
    <row r="853" spans="9:9">
      <c r="I853" s="144">
        <f t="shared" si="165"/>
        <v>700</v>
      </c>
    </row>
    <row r="854" spans="9:9">
      <c r="I854" s="144">
        <f t="shared" si="165"/>
        <v>701</v>
      </c>
    </row>
    <row r="855" spans="9:9">
      <c r="I855" s="144">
        <f t="shared" si="165"/>
        <v>702</v>
      </c>
    </row>
    <row r="856" spans="9:9">
      <c r="I856" s="144">
        <f t="shared" si="165"/>
        <v>703</v>
      </c>
    </row>
    <row r="857" spans="9:9">
      <c r="I857" s="144">
        <f t="shared" si="165"/>
        <v>704</v>
      </c>
    </row>
    <row r="858" spans="9:9">
      <c r="I858" s="144">
        <f t="shared" si="165"/>
        <v>705</v>
      </c>
    </row>
    <row r="859" spans="9:9">
      <c r="I859" s="144">
        <f t="shared" si="165"/>
        <v>706</v>
      </c>
    </row>
    <row r="860" spans="9:9">
      <c r="I860" s="144">
        <f t="shared" ref="I860:I919" si="166">I859+1</f>
        <v>707</v>
      </c>
    </row>
    <row r="861" spans="9:9">
      <c r="I861" s="144">
        <f t="shared" si="166"/>
        <v>708</v>
      </c>
    </row>
    <row r="862" spans="9:9">
      <c r="I862" s="144">
        <f t="shared" si="166"/>
        <v>709</v>
      </c>
    </row>
    <row r="863" spans="9:9">
      <c r="I863" s="144">
        <f t="shared" si="166"/>
        <v>710</v>
      </c>
    </row>
    <row r="864" spans="9:9">
      <c r="I864" s="144">
        <f t="shared" si="166"/>
        <v>711</v>
      </c>
    </row>
    <row r="865" spans="9:9">
      <c r="I865" s="144">
        <f t="shared" si="166"/>
        <v>712</v>
      </c>
    </row>
    <row r="866" spans="9:9">
      <c r="I866" s="144">
        <f t="shared" si="166"/>
        <v>713</v>
      </c>
    </row>
    <row r="867" spans="9:9">
      <c r="I867" s="144">
        <f t="shared" si="166"/>
        <v>714</v>
      </c>
    </row>
    <row r="868" spans="9:9">
      <c r="I868" s="144">
        <f t="shared" si="166"/>
        <v>715</v>
      </c>
    </row>
    <row r="869" spans="9:9">
      <c r="I869" s="144">
        <f t="shared" si="166"/>
        <v>716</v>
      </c>
    </row>
    <row r="870" spans="9:9">
      <c r="I870" s="144">
        <f t="shared" si="166"/>
        <v>717</v>
      </c>
    </row>
    <row r="871" spans="9:9">
      <c r="I871" s="144">
        <f t="shared" si="166"/>
        <v>718</v>
      </c>
    </row>
    <row r="872" spans="9:9">
      <c r="I872" s="144">
        <f t="shared" si="166"/>
        <v>719</v>
      </c>
    </row>
    <row r="873" spans="9:9">
      <c r="I873" s="144">
        <f t="shared" si="166"/>
        <v>720</v>
      </c>
    </row>
    <row r="874" spans="9:9">
      <c r="I874" s="144">
        <f t="shared" si="166"/>
        <v>721</v>
      </c>
    </row>
    <row r="875" spans="9:9">
      <c r="I875" s="144">
        <f t="shared" si="166"/>
        <v>722</v>
      </c>
    </row>
    <row r="876" spans="9:9">
      <c r="I876" s="144">
        <f t="shared" si="166"/>
        <v>723</v>
      </c>
    </row>
    <row r="877" spans="9:9">
      <c r="I877" s="144">
        <f t="shared" si="166"/>
        <v>724</v>
      </c>
    </row>
    <row r="878" spans="9:9">
      <c r="I878" s="144">
        <f t="shared" si="166"/>
        <v>725</v>
      </c>
    </row>
    <row r="879" spans="9:9">
      <c r="I879" s="144">
        <f t="shared" si="166"/>
        <v>726</v>
      </c>
    </row>
    <row r="880" spans="9:9">
      <c r="I880" s="144">
        <f t="shared" si="166"/>
        <v>727</v>
      </c>
    </row>
    <row r="881" spans="9:9">
      <c r="I881" s="144">
        <f t="shared" si="166"/>
        <v>728</v>
      </c>
    </row>
    <row r="882" spans="9:9">
      <c r="I882" s="144">
        <f t="shared" si="166"/>
        <v>729</v>
      </c>
    </row>
    <row r="883" spans="9:9">
      <c r="I883" s="144">
        <f t="shared" si="166"/>
        <v>730</v>
      </c>
    </row>
    <row r="884" spans="9:9">
      <c r="I884" s="144">
        <f t="shared" si="166"/>
        <v>731</v>
      </c>
    </row>
    <row r="885" spans="9:9">
      <c r="I885" s="144">
        <f t="shared" si="166"/>
        <v>732</v>
      </c>
    </row>
    <row r="886" spans="9:9">
      <c r="I886" s="144">
        <f t="shared" si="166"/>
        <v>733</v>
      </c>
    </row>
    <row r="887" spans="9:9">
      <c r="I887" s="144">
        <f t="shared" si="166"/>
        <v>734</v>
      </c>
    </row>
    <row r="888" spans="9:9">
      <c r="I888" s="144">
        <f t="shared" si="166"/>
        <v>735</v>
      </c>
    </row>
    <row r="889" spans="9:9">
      <c r="I889" s="144">
        <f t="shared" si="166"/>
        <v>736</v>
      </c>
    </row>
    <row r="890" spans="9:9">
      <c r="I890" s="144">
        <f t="shared" si="166"/>
        <v>737</v>
      </c>
    </row>
    <row r="891" spans="9:9">
      <c r="I891" s="144">
        <f t="shared" si="166"/>
        <v>738</v>
      </c>
    </row>
    <row r="892" spans="9:9">
      <c r="I892" s="144">
        <f t="shared" si="166"/>
        <v>739</v>
      </c>
    </row>
    <row r="893" spans="9:9">
      <c r="I893" s="144">
        <f t="shared" si="166"/>
        <v>740</v>
      </c>
    </row>
    <row r="894" spans="9:9">
      <c r="I894" s="144">
        <f t="shared" si="166"/>
        <v>741</v>
      </c>
    </row>
    <row r="895" spans="9:9">
      <c r="I895" s="144">
        <f t="shared" si="166"/>
        <v>742</v>
      </c>
    </row>
    <row r="896" spans="9:9">
      <c r="I896" s="144">
        <f t="shared" si="166"/>
        <v>743</v>
      </c>
    </row>
    <row r="897" spans="9:9">
      <c r="I897" s="144">
        <f t="shared" si="166"/>
        <v>744</v>
      </c>
    </row>
    <row r="898" spans="9:9">
      <c r="I898" s="144">
        <f t="shared" si="166"/>
        <v>745</v>
      </c>
    </row>
    <row r="899" spans="9:9">
      <c r="I899" s="144">
        <f t="shared" si="166"/>
        <v>746</v>
      </c>
    </row>
    <row r="900" spans="9:9">
      <c r="I900" s="144">
        <f t="shared" si="166"/>
        <v>747</v>
      </c>
    </row>
    <row r="901" spans="9:9">
      <c r="I901" s="144">
        <f t="shared" si="166"/>
        <v>748</v>
      </c>
    </row>
    <row r="902" spans="9:9">
      <c r="I902" s="144">
        <f t="shared" si="166"/>
        <v>749</v>
      </c>
    </row>
    <row r="903" spans="9:9">
      <c r="I903" s="144">
        <f t="shared" si="166"/>
        <v>750</v>
      </c>
    </row>
    <row r="904" spans="9:9">
      <c r="I904" s="144">
        <f t="shared" si="166"/>
        <v>751</v>
      </c>
    </row>
    <row r="905" spans="9:9">
      <c r="I905" s="144">
        <f t="shared" si="166"/>
        <v>752</v>
      </c>
    </row>
    <row r="906" spans="9:9">
      <c r="I906" s="144">
        <f t="shared" si="166"/>
        <v>753</v>
      </c>
    </row>
    <row r="907" spans="9:9">
      <c r="I907" s="144">
        <f t="shared" si="166"/>
        <v>754</v>
      </c>
    </row>
    <row r="908" spans="9:9">
      <c r="I908" s="144">
        <f t="shared" si="166"/>
        <v>755</v>
      </c>
    </row>
    <row r="909" spans="9:9">
      <c r="I909" s="144">
        <f t="shared" si="166"/>
        <v>756</v>
      </c>
    </row>
    <row r="910" spans="9:9">
      <c r="I910" s="144">
        <f t="shared" si="166"/>
        <v>757</v>
      </c>
    </row>
    <row r="911" spans="9:9">
      <c r="I911" s="144">
        <f t="shared" si="166"/>
        <v>758</v>
      </c>
    </row>
    <row r="912" spans="9:9">
      <c r="I912" s="144">
        <f t="shared" si="166"/>
        <v>759</v>
      </c>
    </row>
    <row r="913" spans="9:9">
      <c r="I913" s="144">
        <f t="shared" si="166"/>
        <v>760</v>
      </c>
    </row>
    <row r="914" spans="9:9">
      <c r="I914" s="144">
        <f t="shared" si="166"/>
        <v>761</v>
      </c>
    </row>
    <row r="915" spans="9:9">
      <c r="I915" s="144">
        <f t="shared" si="166"/>
        <v>762</v>
      </c>
    </row>
    <row r="916" spans="9:9">
      <c r="I916" s="144">
        <f t="shared" si="166"/>
        <v>763</v>
      </c>
    </row>
    <row r="917" spans="9:9">
      <c r="I917" s="144">
        <f t="shared" si="166"/>
        <v>764</v>
      </c>
    </row>
    <row r="918" spans="9:9">
      <c r="I918" s="144">
        <f t="shared" si="166"/>
        <v>765</v>
      </c>
    </row>
    <row r="919" spans="9:9">
      <c r="I919" s="144">
        <f t="shared" si="166"/>
        <v>766</v>
      </c>
    </row>
  </sheetData>
  <hyperlinks>
    <hyperlink ref="J135" r:id="rId1" display="https://www.cettire.com/collections/s-max-mara" xr:uid="{00E504B7-4E1E-49E1-B8AE-A268CA620DE4}"/>
    <hyperlink ref="J137" r:id="rId2" display="https://www.cettire.com/collections/1017-alyx-9sm" xr:uid="{004244F1-E6A9-4438-9B36-19313E72088C}"/>
    <hyperlink ref="J138" r:id="rId3" display="https://www.cettire.com/collections/3-1-phillip-lim" xr:uid="{D1C42376-F817-4787-9E43-D0FCA5AC89D7}"/>
    <hyperlink ref="J139" r:id="rId4" display="https://www.cettire.com/collections/424" xr:uid="{2FEDD502-72F2-4450-9F93-668B0BF39E82}"/>
    <hyperlink ref="J140" r:id="rId5" display="https://www.cettire.com/collections/7-for-all-mankind" xr:uid="{C6FDB677-0918-443A-84A1-62B0ACAADA98}"/>
    <hyperlink ref="J142" r:id="rId6" display="https://www.cettire.com/collections/lvin-l-in-kids" xr:uid="{7C74DCB0-9753-4BA7-921F-DFD766D2CA8F}"/>
    <hyperlink ref="J143" r:id="rId7" display="https://www.cettire.com/collections/mm-ilfig-r-kids" xr:uid="{3D7A5D8D-0D3D-46EA-B51B-1A35972D3A08}"/>
    <hyperlink ref="J145" r:id="rId8" display="https://www.cettire.com/collections/a-cold-wall" xr:uid="{8B467D6B-FC7A-4EFE-9509-3E0D30A0BA6B}"/>
    <hyperlink ref="J146" r:id="rId9" display="https://www.cettire.com/collections/a-p-c" xr:uid="{0EF5A2A6-5F34-4FFC-891E-A28C24CD9E7B}"/>
    <hyperlink ref="J147" r:id="rId10" display="https://www.cettire.com/collections/a-w-a-k-e-mode" xr:uid="{E7868759-2151-4876-B476-31BB5A34295D}"/>
    <hyperlink ref="J148" r:id="rId11" display="https://www.cettire.com/collections/abra" xr:uid="{AF06ACA8-FB24-48D3-9B58-98729246050B}"/>
    <hyperlink ref="J149" r:id="rId12" display="https://www.cettire.com/collections/ader-error" xr:uid="{BB1783C3-F296-4EE3-9E97-9AD9F1CD8217}"/>
    <hyperlink ref="J150" r:id="rId13" display="https://www.cettire.com/collections/adidas" xr:uid="{5CCD9030-A764-48D7-8AB2-84E50B154B6B}"/>
    <hyperlink ref="J151" r:id="rId14" display="https://www.cettire.com/collections/adidas-by-danielle-cathari" xr:uid="{CFB8B268-8F88-44F6-94FF-2C643761A0D4}"/>
    <hyperlink ref="J152" r:id="rId15" display="https://www.cettire.com/collections/adidas-by-human-made" xr:uid="{E326CE18-C0F6-4CF6-9EA2-65DF70F88864}"/>
    <hyperlink ref="J153" r:id="rId16" display="https://www.cettire.com/collections/adidas-by-pharrell-williams" xr:uid="{4BA558ED-FA8E-4AC2-9398-8BAA8A4EB690}"/>
    <hyperlink ref="J154" r:id="rId17" display="https://www.cettire.com/collections/adidas-by-raf-simons" xr:uid="{BDC97F82-FFDF-4106-AB37-BC46F547A65D}"/>
    <hyperlink ref="J155" r:id="rId18" display="https://www.cettire.com/collections/adidas-by-stella-mccartney" xr:uid="{9E5CECBF-2566-4AC1-A02F-1FA6D3948C73}"/>
    <hyperlink ref="J156" r:id="rId19" display="https://www.cettire.com/collections/adidas-by-wales-bonner" xr:uid="{7A2ECFFF-381B-4588-A2A0-F1D0572149A9}"/>
    <hyperlink ref="J157" r:id="rId20" display="https://www.cettire.com/collections/adidas-kids" xr:uid="{214C1F75-71BB-4873-9241-504740CF42C6}"/>
    <hyperlink ref="J158" r:id="rId21" display="https://www.cettire.com/collections/adidas-originals" xr:uid="{C0B9B83F-74BE-4503-928C-F5900EEB0DFB}"/>
    <hyperlink ref="J159" r:id="rId22" display="https://www.cettire.com/collections/adidas-originals-by-alexander-wang" xr:uid="{3433C8C0-F95E-4CB5-8569-3956C36F0B45}"/>
    <hyperlink ref="J160" r:id="rId23" display="https://www.cettire.com/collections/adriana-degreas" xr:uid="{97C63D44-728E-4CD1-9119-2EE89113C3E2}"/>
    <hyperlink ref="J161" r:id="rId24" display="https://www.cettire.com/collections/aeyd%C4%93" xr:uid="{59CB1D3E-B012-46CF-826E-61971C6E95B2}"/>
    <hyperlink ref="J162" r:id="rId25" display="https://www.cettire.com/collections/agnona" xr:uid="{38C25D7D-9AE7-4519-B2B6-D60FBE600258}"/>
    <hyperlink ref="J163" r:id="rId26" display="https://www.cettire.com/collections/agolde" xr:uid="{289F466E-F41E-48BB-825F-CEF05713CF6E}"/>
    <hyperlink ref="J164" r:id="rId27" display="https://www.cettire.com/collections/alaia" xr:uid="{2E22ADEC-244A-472E-9AE8-46C3BD3AECEF}"/>
    <hyperlink ref="J165" r:id="rId28" display="https://www.cettire.com/collections/alanui" xr:uid="{D6350F13-FFA4-431A-A900-13BFE3641BDD}"/>
    <hyperlink ref="J166" r:id="rId29" display="https://www.cettire.com/collections/alberta-ferretti" xr:uid="{C86A409B-38E4-4C09-8F81-2A5F7E3B92CD}"/>
    <hyperlink ref="J167" r:id="rId30" display="https://www.cettire.com/collections/alberta-ferretti-kids" xr:uid="{F6F967ED-3105-4B5A-94C9-4F1DE850DC94}"/>
    <hyperlink ref="J168" r:id="rId31" display="https://www.cettire.com/collections/alberto-biani" xr:uid="{51165D38-6D69-4A34-A8AB-E8A8512976D8}"/>
    <hyperlink ref="J169" r:id="rId32" display="https://www.cettire.com/collections/alessandra-rich" xr:uid="{E01C9FA1-B054-41E5-9C5E-B190A57694F8}"/>
    <hyperlink ref="J170" r:id="rId33" display="https://www.cettire.com/collections/alessia-xoccato" xr:uid="{A68C3984-626B-46C9-9B41-83A5A7B7A017}"/>
    <hyperlink ref="J171" r:id="rId34" display="https://www.cettire.com/collections/alexander-mcqueen" xr:uid="{7A919A3F-B615-4E40-9C8F-B93132966FB5}"/>
    <hyperlink ref="J172" r:id="rId35" display="https://www.cettire.com/collections/alexander-mcqueen-eyewear" xr:uid="{08797796-FAAB-4897-A55C-D37F8493D7AE}"/>
    <hyperlink ref="J173" r:id="rId36" display="https://www.cettire.com/collections/alexander-mcqueen-kids" xr:uid="{9E6E3DB8-DE0C-42B8-AE46-B8E2174E5686}"/>
    <hyperlink ref="J174" r:id="rId37" display="https://www.cettire.com/collections/alexander-wang" xr:uid="{0F1685B3-C172-4F5D-8D69-A7246E03CDBA}"/>
    <hyperlink ref="J175" r:id="rId38" display="https://www.cettire.com/collections/alexandre-vauthier" xr:uid="{49FDD470-2F43-43DD-B93A-5F0392F0416C}"/>
    <hyperlink ref="J177" r:id="rId39" display="https://www.cettire.com/collections/alpha-industries" xr:uid="{470B1A24-860B-42FF-94F9-276D74CC6BFA}"/>
    <hyperlink ref="J178" r:id="rId40" display="https://www.cettire.com/collections/ambush" xr:uid="{3567DFE9-542F-4B53-A2BE-D6F11473BE02}"/>
    <hyperlink ref="J179" r:id="rId41" display="https://www.cettire.com/collections/amen" xr:uid="{2C941381-6A29-4BC3-A381-2847CAE2DC18}"/>
    <hyperlink ref="J180" r:id="rId42" display="https://www.cettire.com/collections/ami" xr:uid="{ED4D7865-8DE7-4A9F-97E0-FE05EC2F767F}"/>
    <hyperlink ref="J181" r:id="rId43" display="https://www.cettire.com/collections/amina-muaddi" xr:uid="{1AB4D99C-12C7-4CB9-B28D-99CC2EFD1DAE}"/>
    <hyperlink ref="J182" r:id="rId44" display="https://www.cettire.com/collections/amiri" xr:uid="{3E981474-9B5D-4F38-A296-45A54F801997}"/>
    <hyperlink ref="J183" r:id="rId45" display="https://www.cettire.com/collections/ancient-greek-sandals" xr:uid="{32DAE562-FEBF-4686-867B-6AE1B52B90D2}"/>
    <hyperlink ref="J186" r:id="rId46" display="https://www.cettire.com/collections/anita-bilardi" xr:uid="{175EA23C-7B21-4F09-AE1B-7A4D69737E1F}"/>
    <hyperlink ref="J187" r:id="rId47" display="https://www.cettire.com/collections/aniye-by" xr:uid="{36637F4C-E421-4652-8143-2A4C31C26FED}"/>
    <hyperlink ref="J188" r:id="rId48" display="https://www.cettire.com/collections/ann-demeulemeester" xr:uid="{799128A5-272A-46C4-969B-E73BF9C8685D}"/>
    <hyperlink ref="J189" r:id="rId49" display="https://www.cettire.com/collections/antonino-valenti" xr:uid="{11095FFD-E407-48D7-A21A-B9AFC081C4EB}"/>
    <hyperlink ref="J190" r:id="rId50" display="https://www.cettire.com/collections/anya-hindmarch" xr:uid="{6C296C9D-F1D1-4745-8422-AF5781E95389}"/>
    <hyperlink ref="J191" r:id="rId51" display="https://www.cettire.com/collections/apesi" xr:uid="{8C83FD79-9F8B-4F9C-B9A8-645AB9E05E9D}"/>
    <hyperlink ref="J192" r:id="rId52" display="https://www.cettire.com/collections/aquazzura" xr:uid="{D7646FBE-EF40-4AEC-B53A-B8547C4881AE}"/>
    <hyperlink ref="J193" r:id="rId53" display="https://www.cettire.com/collections/arcteryx" xr:uid="{E34ECFCE-7A20-450F-85AA-71E009D90AF3}"/>
    <hyperlink ref="J194" r:id="rId54" display="https://www.cettire.com/collections/area" xr:uid="{BCE0BEEC-748B-486B-AC91-283F4B1B8486}"/>
    <hyperlink ref="J195" r:id="rId55" display="https://www.cettire.com/collections/aries" xr:uid="{B5A72DE5-493A-44B6-9895-6BC733B8176B}"/>
    <hyperlink ref="J196" r:id="rId56" display="https://www.cettire.com/collections/arizona-love" xr:uid="{806BE17F-D331-40B9-8181-96CE976BDA6C}"/>
    <hyperlink ref="J197" r:id="rId57" display="https://www.cettire.com/collections/arma" xr:uid="{D519209F-E72B-42E0-A36C-288C5D3D5B77}"/>
    <hyperlink ref="J198" r:id="rId58" display="https://www.cettire.com/collections/art-dealer" xr:uid="{0F453B1C-C497-4D72-9A65-8CCEFC3BFE4D}"/>
    <hyperlink ref="J199" r:id="rId59" display="https://www.cettire.com/collections/ash" xr:uid="{C1E667F3-6E1A-4F2B-9E0A-EE03CA4917DE}"/>
    <hyperlink ref="J200" r:id="rId60" display="https://www.cettire.com/collections/asics" xr:uid="{63B5F263-9602-4910-BBA6-6EAF8981B65C}"/>
    <hyperlink ref="J201" r:id="rId61" display="https://www.cettire.com/collections/aspesi" xr:uid="{6BFEB537-CFC7-44BE-8B8F-93943A585588}"/>
    <hyperlink ref="J202" r:id="rId62" display="https://www.cettire.com/collections/attico" xr:uid="{C998E229-0E3C-4757-9486-D08401D85B10}"/>
    <hyperlink ref="J203" r:id="rId63" display="https://www.cettire.com/collections/au-depart" xr:uid="{04D2133B-D6C7-47BB-AF6F-AEBDBC920AF9}"/>
    <hyperlink ref="J204" r:id="rId64" display="https://www.cettire.com/collections/autry" xr:uid="{E3ED724C-C521-4FC5-BAB1-B964998D304F}"/>
    <hyperlink ref="J205" r:id="rId65" display="https://www.cettire.com/collections/axel-arigato" xr:uid="{6EAB91D8-D314-495A-B2C1-7477D9231C80}"/>
    <hyperlink ref="J207" r:id="rId66" display="https://www.cettire.com/collections/balenciaga" xr:uid="{92256320-8D49-4B4B-BF29-40E1432A6F4B}"/>
    <hyperlink ref="J208" r:id="rId67" display="https://www.cettire.com/collections/balenciaga-eyewear" xr:uid="{4393379A-3A85-4FFA-BE2F-4D531E179911}"/>
    <hyperlink ref="J209" r:id="rId68" display="https://www.cettire.com/collections/balenciaga-kids" xr:uid="{45BAD878-019F-4162-900D-84C0249AE8EE}"/>
    <hyperlink ref="J210" r:id="rId69" display="https://www.cettire.com/collections/ballantyne" xr:uid="{84BFD1C7-46EB-4F67-9972-5D1589139489}"/>
    <hyperlink ref="J212" r:id="rId70" display="https://www.cettire.com/collections/bally" xr:uid="{594E8FCF-5C98-4CEB-8995-9A20864B7914}"/>
    <hyperlink ref="J213" r:id="rId71" display="https://www.cettire.com/collections/balmain" xr:uid="{8BF39326-AFD2-461C-9407-EA9B43F6539B}"/>
    <hyperlink ref="J214" r:id="rId72" display="https://www.cettire.com/collections/balmain-kids" xr:uid="{C15CB1A1-3B99-4CA1-8227-ED4D65F4A98B}"/>
    <hyperlink ref="J215" r:id="rId73" display="https://www.cettire.com/collections/bao-bao-issey-miyake" xr:uid="{6EBB9CC0-C48D-474F-A604-59EE51440511}"/>
    <hyperlink ref="J216" r:id="rId74" display="https://www.cettire.com/collections/barba" xr:uid="{23B99345-713B-4954-A302-1BBF1AF5D2D4}"/>
    <hyperlink ref="J217" r:id="rId75" display="https://www.cettire.com/collections/barbour" xr:uid="{59544F8D-5B93-4AE1-BD5C-122C8FF0247A}"/>
    <hyperlink ref="J218" r:id="rId76" display="https://www.cettire.com/collections/barena" xr:uid="{400C4E76-381E-40C7-B52B-20DE107C7ABC}"/>
    <hyperlink ref="J219" r:id="rId77" display="https://www.cettire.com/collections/bark-b-rules" xr:uid="{F5E88070-7551-4E7C-B9EE-408BAB741234}"/>
    <hyperlink ref="J220" r:id="rId78" display="https://www.cettire.com/collections/barrow" xr:uid="{043C54DC-1ED4-4C1F-9D2A-58996004CB7D}"/>
    <hyperlink ref="J221" r:id="rId79" display="https://www.cettire.com/collections/baum-und-pferdgarten" xr:uid="{AE8D3B45-E2E6-4A52-AA8A-BD50CEA90E8A}"/>
    <hyperlink ref="J222" r:id="rId80" display="https://www.cettire.com/collections/belstaff" xr:uid="{79FDCCF4-791A-4802-91A0-EA0E47B19AE2}"/>
    <hyperlink ref="J223" r:id="rId81" display="https://www.cettire.com/collections/berluti" xr:uid="{6CF23375-A500-4B84-B1D3-60DD1F3E1133}"/>
    <hyperlink ref="J224" r:id="rId82" display="https://www.cettire.com/collections/billieblush" xr:uid="{127A4B49-E054-458F-AB3D-DA5134B096E4}"/>
    <hyperlink ref="J225" r:id="rId83" display="https://www.cettire.com/collections/billionaire" xr:uid="{534D5454-D3F2-424D-8C65-F186F038C58F}"/>
    <hyperlink ref="J226" r:id="rId84" display="https://www.cettire.com/collections/billionaire-boys-club" xr:uid="{1AF97253-FF69-49C6-9225-B9ED099B14A5}"/>
    <hyperlink ref="J227" r:id="rId85" display="https://www.cettire.com/collections/birkenstock" xr:uid="{DCDD5B21-5467-4DC8-B262-3AC390B4E723}"/>
    <hyperlink ref="J228" r:id="rId86" display="https://www.cettire.com/collections/bobo-choses" xr:uid="{210C7E15-7CF6-4230-8F73-2AA9F8258B78}"/>
    <hyperlink ref="J229" r:id="rId87" display="https://www.cettire.com/collections/boboutic" xr:uid="{937167D1-10DB-447C-BAE0-535E0DA94631}"/>
    <hyperlink ref="J230" r:id="rId88" display="https://www.cettire.com/collections/bode" xr:uid="{288B4C8C-547C-4B77-8746-1671461DD079}"/>
    <hyperlink ref="J231" r:id="rId89" display="https://www.cettire.com/collections/boglioli" xr:uid="{CD28B3AC-4B10-4F7D-91FF-682EF6929A4F}"/>
    <hyperlink ref="J232" r:id="rId90" display="https://www.cettire.com/collections/bonpoint" xr:uid="{BBF42B58-88EE-4F5A-9D1B-FF1C6A4BC22D}"/>
    <hyperlink ref="J233" r:id="rId91" display="https://www.cettire.com/collections/bottega-veneta" xr:uid="{7B5FCAD7-8818-48D1-9AE0-556DA8183DB7}"/>
    <hyperlink ref="J234" r:id="rId92" display="https://www.cettire.com/collections/bottega-veneta-eyewear" xr:uid="{67FD93B3-33AE-4E11-B535-545CCE8C233A}"/>
    <hyperlink ref="J235" r:id="rId93" display="https://www.cettire.com/collections/botter" xr:uid="{3FAFBEF6-5452-4B55-A1D4-555FC014CFF0}"/>
    <hyperlink ref="J236" r:id="rId94" display="https://www.cettire.com/collections/boutique-moschino" xr:uid="{DCC4CE18-53CB-4DC7-AF20-349243419A9F}"/>
    <hyperlink ref="J237" r:id="rId95" display="https://www.cettire.com/collections/boyy" xr:uid="{13F0402E-35F2-4D1B-BA91-489B136A1F0E}"/>
    <hyperlink ref="J238" r:id="rId96" display="https://www.cettire.com/collections/brian-dales" xr:uid="{8C1C00CF-D434-40B2-A611-E20737CE68E2}"/>
    <hyperlink ref="J239" r:id="rId97" display="https://www.cettire.com/collections/brunello-cucinelli" xr:uid="{719EBB4D-4500-4482-AF73-5A2E90C0C68E}"/>
    <hyperlink ref="J240" r:id="rId98" display="https://www.cettire.com/collections/brunello-cucinelli-kids" xr:uid="{16F36F17-B764-4BDA-A1D2-401AE82CFC3D}"/>
    <hyperlink ref="J241" r:id="rId99" display="https://www.cettire.com/collections/building-block" xr:uid="{EC888666-0C24-4EB8-8817-329AB6B9E265}"/>
    <hyperlink ref="J242" r:id="rId100" display="https://www.cettire.com/collections/bulgari" xr:uid="{ECD12E4C-FC5F-469F-9232-CED7626CB928}"/>
    <hyperlink ref="J243" r:id="rId101" display="https://www.cettire.com/collections/burberry" xr:uid="{AAA20214-3EC1-4549-AD40-1692A4EC3203}"/>
    <hyperlink ref="J244" r:id="rId102" display="https://www.cettire.com/collections/burberry-eyewear" xr:uid="{26D8CF75-47EC-4E5A-A12F-78BBC231BA66}"/>
    <hyperlink ref="J245" r:id="rId103" display="https://www.cettire.com/collections/burberry-kids" xr:uid="{5ED1EF20-4DEA-4ABB-985A-9BE8D1F7C2E9}"/>
    <hyperlink ref="J246" r:id="rId104" display="https://www.cettire.com/collections/buscemi" xr:uid="{A1832128-4EB5-4DD0-8B2B-235C08058A06}"/>
    <hyperlink ref="J247" r:id="rId105" display="https://www.cettire.com/collections/buttero" xr:uid="{EC90351C-95F5-4CA6-B2D5-181B7E51A775}"/>
    <hyperlink ref="J248" r:id="rId106" display="https://www.cettire.com/collections/by-far" xr:uid="{33AD7E97-39ED-4255-BE5E-62C0E1DE6DE3}"/>
    <hyperlink ref="J250" r:id="rId107" display="https://www.cettire.com/collections/c-p-company" xr:uid="{88DAAA2F-07F6-48E5-8FB6-116B01EF28BB}"/>
    <hyperlink ref="J251" r:id="rId108" display="https://www.cettire.com/collections/c-p-company-kids" xr:uid="{D0167676-E1FE-4902-866E-406839ACB25E}"/>
    <hyperlink ref="J252" r:id="rId109" display="https://www.cettire.com/collections/c2h4" xr:uid="{C55EFF88-73D6-4392-B922-7D8EE44F9EFC}"/>
    <hyperlink ref="J253" r:id="rId110" display="https://www.cettire.com/collections/calvin-klein" xr:uid="{02CF49BD-58C7-4BB6-B369-098084588FFB}"/>
    <hyperlink ref="J254" r:id="rId111" display="https://www.cettire.com/collections/calvin-klein-jeans-est-1978" xr:uid="{C7B51D14-89A7-4B33-9534-63316977EAC9}"/>
    <hyperlink ref="J255" r:id="rId112" display="https://www.cettire.com/collections/canada-goose" xr:uid="{ED7CB009-AF11-4C33-B20C-D2022A423491}"/>
    <hyperlink ref="J256" r:id="rId113" display="https://www.cettire.com/collections/canada-goose-kids" xr:uid="{F3796EBD-4705-423B-919C-131D6FEB8C17}"/>
    <hyperlink ref="J257" r:id="rId114" display="https://www.cettire.com/collections/canali" xr:uid="{6010E29A-E492-4C7F-BCD1-C243DD67041F}"/>
    <hyperlink ref="J258" r:id="rId115" display="https://www.cettire.com/collections/car-shoe" xr:uid="{3BE08804-B8E8-4622-A242-ACC36939B2C0}"/>
    <hyperlink ref="J259" r:id="rId116" display="https://www.cettire.com/collections/carhartt" xr:uid="{97BF3AA1-A78B-438B-BE3B-A66F984B8200}"/>
    <hyperlink ref="J260" r:id="rId117" display="https://www.cettire.com/collections/carhartt-wip" xr:uid="{07DB5ECA-0281-42D2-A882-24189D2B9C6A}"/>
    <hyperlink ref="J261" r:id="rId118" display="https://www.cettire.com/collections/carrera" xr:uid="{573E7933-2DD6-4AD8-84A7-A81E23836938}"/>
    <hyperlink ref="J262" r:id="rId119" display="https://www.cettire.com/collections/cartier" xr:uid="{12FE27E5-62BB-4930-AABC-935576DD9BBD}"/>
    <hyperlink ref="J263" r:id="rId120" display="https://www.cettire.com/collections/carven" xr:uid="{354FB4DE-A9F2-4C22-8D2A-7BAC65A4179E}"/>
    <hyperlink ref="J264" r:id="rId121" display="https://www.cettire.com/collections/casablanca" xr:uid="{2231CFB2-9206-4C84-BA23-806EAADCDB05}"/>
    <hyperlink ref="J266" r:id="rId122" display="https://www.cettire.com/collections/cc-collection-corneliani" xr:uid="{CA215728-5FFC-407A-BDEC-668201826081}"/>
    <hyperlink ref="J267" r:id="rId123" display="https://www.cettire.com/collections/cecilie-bahnsen" xr:uid="{37274554-12F3-4BD2-836B-1795BD4795B0}"/>
    <hyperlink ref="J268" r:id="rId124" display="https://www.cettire.com/collections/champion" xr:uid="{CC28F2DA-76E2-454C-8E5F-4435DA2499EF}"/>
    <hyperlink ref="J269" r:id="rId125" display="https://www.cettire.com/collections/chanel" xr:uid="{27C898DB-362B-4F72-8499-400644097A73}"/>
    <hyperlink ref="J270" r:id="rId126" display="https://www.cettire.com/collections/chiara-ferragni" xr:uid="{2483D4F5-B9B5-416C-BE8D-F342C579BA0B}"/>
    <hyperlink ref="J271" r:id="rId127" display="https://www.cettire.com/collections/chiara-ferragni-kids" xr:uid="{40568747-C6D9-4AEB-95C5-337B61809747}"/>
    <hyperlink ref="J272" r:id="rId128" display="https://www.cettire.com/collections/chie-mihara" xr:uid="{B06F0563-1E8C-4A18-BE59-68FB453A5CDF}"/>
    <hyperlink ref="J274" r:id="rId129" display="https://www.cettire.com/collections/chloe" xr:uid="{8ADE22A4-277A-434A-940A-3928F496A817}"/>
    <hyperlink ref="J275" r:id="rId130" display="https://www.cettire.com/collections/chloe-eyewear" xr:uid="{03C4631B-224C-4418-9096-15A2333C1954}"/>
    <hyperlink ref="J276" r:id="rId131" display="https://www.cettire.com/collections/chlo%C3%A9 kids" xr:uid="{5F13A621-2313-48F2-A5B1-CD6DA860EFAE}"/>
    <hyperlink ref="J277" r:id="rId132" display="https://www.cettire.com/collections/chopard-eyewear" xr:uid="{2A5DD071-072A-4101-972B-481AA802B55D}"/>
    <hyperlink ref="J278" r:id="rId133" display="https://www.cettire.com/collections/chopova-lowena" xr:uid="{56FB903B-AD1C-41EB-B581-4DB2AE1EC620}"/>
    <hyperlink ref="J279" r:id="rId134" display="https://www.cettire.com/collections/christian-louboutin" xr:uid="{EFB58739-E1D4-480C-B529-C24C09F40AD8}"/>
    <hyperlink ref="J280" r:id="rId135" display="https://www.cettire.com/collections/churchs" xr:uid="{4F9A4380-B5A1-4BCD-9275-E4747280E268}"/>
    <hyperlink ref="J281" r:id="rId136" display="https://www.cettire.com/collections/circus-hotel" xr:uid="{8581CAFA-28EA-4FB4-B8D2-B00B25EC31AA}"/>
    <hyperlink ref="J282" r:id="rId137" display="https://www.cettire.com/collections/citizens-of-humanity" xr:uid="{95050A7C-5FC6-40E7-BBD7-3C065EE84E17}"/>
    <hyperlink ref="J283" r:id="rId138" display="https://www.cettire.com/collections/co" xr:uid="{EF383819-AEB2-4058-9A58-9319F5EB9018}"/>
    <hyperlink ref="J284" r:id="rId139" display="https://www.cettire.com/collections/coach" xr:uid="{52D76EEA-8D5D-44AD-9E01-CAFAE09CB3CA}"/>
    <hyperlink ref="J285" r:id="rId140" display="https://www.cettire.com/collections/coliac" xr:uid="{DEE76390-0481-4699-BC67-361801455C01}"/>
    <hyperlink ref="J286" r:id="rId141" display="https://www.cettire.com/collections/collina-strada" xr:uid="{EC903E43-69A6-419F-9531-3656BB37BD34}"/>
    <hyperlink ref="J287" r:id="rId142" display="https://www.cettire.com/collections/comme-des-garcons" xr:uid="{03D98FAD-AF9A-4873-B4C2-EBCA6635FB12}"/>
    <hyperlink ref="J288" r:id="rId143" display="https://www.cettire.com/collections/comme-des-garcons-comme-des-garcons" xr:uid="{BDAC82BE-BAF1-4B2F-90C1-944494E37AB3}"/>
    <hyperlink ref="J289" r:id="rId144" display="https://www.cettire.com/collections/comme-des-garcons-girl" xr:uid="{F3CB4448-E8A9-415A-8A02-159740B2FAD3}"/>
    <hyperlink ref="J290" r:id="rId145" display="https://www.cettire.com/collections/comme-des-garcons-homme-plus" xr:uid="{E73D05C6-FE58-4A3E-9B7C-40260E6FFDCF}"/>
    <hyperlink ref="J291" r:id="rId146" display="https://www.cettire.com/collections/comme-des-garcons-noir-kei-ninomiya" xr:uid="{5CDDE598-9F62-4DD3-A1C8-60383E3181DD}"/>
    <hyperlink ref="J292" r:id="rId147" display="https://www.cettire.com/collections/comme-des-garcons-play" xr:uid="{8DD73917-6628-4341-B70F-5B508D87D6AF}"/>
    <hyperlink ref="J293" r:id="rId148" display="https://www.cettire.com/collections/comme-des-garcons-play-kids" xr:uid="{D82D06F4-CC23-444C-AB1F-C597ADEAAD51}"/>
    <hyperlink ref="J294" r:id="rId149" display="https://www.cettire.com/collections/comme-des-garcons-shirt" xr:uid="{54C8A4E3-99EE-4AE4-B712-D2F659146F31}"/>
    <hyperlink ref="J295" r:id="rId150" display="https://www.cettire.com/collections/comme-des-garcons-shirt-boys" xr:uid="{EF8528EB-B694-424C-BB88-B8D1ADE0ECCA}"/>
    <hyperlink ref="J296" r:id="rId151" display="https://www.cettire.com/collections/comme-des-garcons-wallet" xr:uid="{C01AB0EE-2DA3-44F5-9832-57D24BFF1EC5}"/>
    <hyperlink ref="J297" r:id="rId152" display="https://www.cettire.com/collections/common-projects" xr:uid="{2855D63A-A10B-4E2B-B834-6973EB929691}"/>
    <hyperlink ref="J298" r:id="rId153" display="https://www.cettire.com/collections/converse" xr:uid="{6E113586-71A7-4D50-855D-3CD49C02EAC9}"/>
    <hyperlink ref="J299" r:id="rId154" display="https://www.cettire.com/collections/coperni" xr:uid="{66EDD873-6938-42C2-9806-46FE27B18B0C}"/>
    <hyperlink ref="J300" r:id="rId155" display="https://www.cettire.com/collections/corneliani" xr:uid="{F062F74A-D482-4E23-8296-85FA4CFC8053}"/>
    <hyperlink ref="J301" r:id="rId156" display="https://www.cettire.com/collections/courreges-eyewear" xr:uid="{89B0D8F6-6928-428C-95DA-77D973DA7E75}"/>
    <hyperlink ref="J302" r:id="rId157" display="https://www.cettire.com/collections/craig-green" xr:uid="{AE336D71-A723-4EF6-B355-3B8932630C67}"/>
    <hyperlink ref="J303" r:id="rId158" display="https://www.cettire.com/collections/cult-gaia" xr:uid="{92016B1E-8D6C-4AFB-824E-92AF54C59FA7}"/>
    <hyperlink ref="J304" r:id="rId159" display="https://www.cettire.com/collections/current-elliott" xr:uid="{0300070A-B856-4F63-BEE1-EA77833D8174}"/>
    <hyperlink ref="J305" r:id="rId160" display="https://www.cettire.com/collections/cutler-gross" xr:uid="{2178C33C-53EF-4831-9062-84F117E9B3CF}"/>
    <hyperlink ref="J307" r:id="rId161" display="https://www.cettire.com/collections/daily-paper" xr:uid="{F978966D-1A1F-42E8-81D2-04FC8117703B}"/>
    <hyperlink ref="J308" r:id="rId162" display="https://www.cettire.com/collections/danse-lente" xr:uid="{F228B6A0-FCC2-4DFE-B3CC-961327A05792}"/>
    <hyperlink ref="J310" r:id="rId163" display="https://www.cettire.com/collections/department-5" xr:uid="{A248801E-89B9-4CBD-A7B1-1A2ACCC2464D}"/>
    <hyperlink ref="J311" r:id="rId164" display="https://www.cettire.com/collections/desa-1972" xr:uid="{CDC83A53-D061-4367-A9EC-BC806851F076}"/>
    <hyperlink ref="J312" r:id="rId165" display="https://www.cettire.com/collections/diadora" xr:uid="{C246875C-EC45-4C2F-8626-3394473B15FD}"/>
    <hyperlink ref="J313" r:id="rId166" display="https://www.cettire.com/collections/diane-von-furstenberg" xr:uid="{96D5283E-112F-466C-AE5E-8BA1F799E1F9}"/>
    <hyperlink ref="J314" r:id="rId167" display="https://www.cettire.com/collections/diemme" xr:uid="{9901137F-F6DE-4095-AD2A-26D0D480C0C3}"/>
    <hyperlink ref="J315" r:id="rId168" display="https://www.cettire.com/collections/diesel" xr:uid="{24703ED2-B585-4707-BE2E-43BF765672E4}"/>
    <hyperlink ref="J316" r:id="rId169" display="https://www.cettire.com/collections/diesel-black-gold" xr:uid="{71105785-44B9-4999-8559-EBDCB081B26B}"/>
    <hyperlink ref="J317" r:id="rId170" display="https://www.cettire.com/collections/diesel-kids" xr:uid="{82ECFACD-0746-4215-8277-CCE6236EA651}"/>
    <hyperlink ref="J318" r:id="rId171" display="https://www.cettire.com/collections/diesel-red-tag" xr:uid="{7668C64D-3EFB-48E4-A7EB-93D09034D9C1}"/>
    <hyperlink ref="J319" r:id="rId172" display="https://www.cettire.com/collections/dior" xr:uid="{71931571-FD49-41F5-A7D5-7B94328DC6B8}"/>
    <hyperlink ref="J320" r:id="rId173" display="https://www.cettire.com/collections/dior-eyewear" xr:uid="{F0D38B4E-31D1-46EA-ADED-F6708790D641}"/>
    <hyperlink ref="J321" r:id="rId174" display="https://www.cettire.com/collections/dior-homme" xr:uid="{054140D4-F204-4533-8DDC-D3EA89CD5ABD}"/>
    <hyperlink ref="J322" r:id="rId175" display="https://www.cettire.com/collections/dita-eyewear" xr:uid="{5DF9C5B3-39D9-471C-8F76-F6478B929562}"/>
    <hyperlink ref="J323" r:id="rId176" display="https://www.cettire.com/collections/dkny-kids" xr:uid="{F9703C99-AF8D-46C1-9907-C2A5CAD0F819}"/>
    <hyperlink ref="J324" r:id="rId177" display="https://www.cettire.com/collections/dodo-bar-or" xr:uid="{31BB631A-9F18-48E0-AE80-338579B3C493}"/>
    <hyperlink ref="J325" r:id="rId178" display="https://www.cettire.com/collections/dolce-gabbana" xr:uid="{374D5C62-EA52-4D19-80EC-7C844492B052}"/>
    <hyperlink ref="J326" r:id="rId179" display="https://www.cettire.com/collections/dolce-gabbana-eyewear" xr:uid="{750EDA2B-0648-4A83-8C63-8B6CC917EEED}"/>
    <hyperlink ref="J327" r:id="rId180" display="https://www.cettire.com/collections/dolce-gabbana-kids" xr:uid="{98D703F2-F254-4C62-BFBA-5D3B4B3344B3}"/>
    <hyperlink ref="J328" r:id="rId181" display="https://www.cettire.com/collections/dr-martens" xr:uid="{79C5D9FF-1000-4EC4-8D64-95B4D248F0AA}"/>
    <hyperlink ref="J329" r:id="rId182" display="https://www.cettire.com/collections/drole-de-monsieur" xr:uid="{82D83E7B-1369-4CB3-B35C-31A556751411}"/>
    <hyperlink ref="J330" r:id="rId183" display="https://www.cettire.com/collections/dsquared2" xr:uid="{D4DEE554-6358-4832-B2B1-8E9F338A1E0E}"/>
    <hyperlink ref="J331" r:id="rId184" display="https://www.cettire.com/collections/dsquared2-eyewear" xr:uid="{9D35DDE4-1218-438D-93BA-B5C5F7D25A97}"/>
    <hyperlink ref="J332" r:id="rId185" display="https://www.cettire.com/collections/dsquared2-kids" xr:uid="{626DD06F-F670-4BEE-B9E4-6E9F2CA03F7A}"/>
    <hyperlink ref="J333" r:id="rId186" display="https://www.cettire.com/collections/duvetica" xr:uid="{C0D9DE57-8697-465A-B396-0C84E451928B}"/>
    <hyperlink ref="J335" r:id="rId187" display="https://www.cettire.com/collections/ea7-emporio-armani" xr:uid="{87F3FE2E-CF1D-42BB-9C64-048CE5296301}"/>
    <hyperlink ref="J336" r:id="rId188" display="https://www.cettire.com/collections/eastpak" xr:uid="{70441136-1F1A-4741-81C1-B133F5342494}"/>
    <hyperlink ref="J337" r:id="rId189" display="https://www.cettire.com/collections/eckhaus-latta" xr:uid="{4F1E5DB8-E0E0-477C-AFEA-D1CD8A3D6421}"/>
    <hyperlink ref="J338" r:id="rId190" display="https://www.cettire.com/collections/eden-power-corp" xr:uid="{D258337E-94D8-4352-B4D1-E7F306342B09}"/>
    <hyperlink ref="J339" r:id="rId191" display="https://www.cettire.com/collections/edward-green" xr:uid="{1844A78D-35C7-474D-B31B-EA01E1FDAE86}"/>
    <hyperlink ref="J340" r:id="rId192" display="https://www.cettire.com/collections/elie-saab-junior" xr:uid="{463C66D9-1941-436D-9B34-22E54F9D0D63}"/>
    <hyperlink ref="J341" r:id="rId193" display="https://www.cettire.com/collections/elisabetta-franchi" xr:uid="{F192EA00-3641-4E62-AA41-45563488AA41}"/>
    <hyperlink ref="J342" r:id="rId194" display="https://www.cettire.com/collections/emile-et-ida" xr:uid="{40023722-9A18-4891-A66B-E7AD8FA00251}"/>
    <hyperlink ref="J343" r:id="rId195" display="https://www.cettire.com/collections/emilio-pucci-junior" xr:uid="{4DCFE3CF-A093-45B4-97A9-234625BD5044}"/>
    <hyperlink ref="J344" r:id="rId196" display="https://www.cettire.com/collections/emporio-armani" xr:uid="{5A28275F-3E06-4D74-B542-EDCCF75DA2B4}"/>
    <hyperlink ref="J345" r:id="rId197" display="https://www.cettire.com/collections/emporio-armani-kids" xr:uid="{73950424-BCAB-478E-83BA-B79C2E260838}"/>
    <hyperlink ref="J346" r:id="rId198" display="https://www.cettire.com/collections/enfants-riches-deprimes" xr:uid="{1BBD2F43-57FB-4467-8097-337E5674EF71}"/>
    <hyperlink ref="J347" r:id="rId199" display="https://www.cettire.com/collections/engineered-garments" xr:uid="{98D64119-C64F-421A-9E6C-B4E81F8FD86A}"/>
    <hyperlink ref="J350" r:id="rId200" display="https://www.cettire.com/collections/equipment" xr:uid="{E1F7C8A1-57B1-490C-A2D2-84532AE893DD}"/>
    <hyperlink ref="J352" r:id="rId201" display="https://www.cettire.com/collections/ermenegildo-zegna" xr:uid="{099770CB-1FE2-412C-84E0-432E81FF310A}"/>
    <hyperlink ref="J353" r:id="rId202" display="https://www.cettire.com/collections/etre-cecile" xr:uid="{98B8652A-9832-47E9-AD5E-C936AB62DA4F}"/>
    <hyperlink ref="J354" r:id="rId203" display="https://www.cettire.com/collections/etro" xr:uid="{7A9BB37A-153E-40B6-8274-3D9963BAE769}"/>
    <hyperlink ref="J355" r:id="rId204" display="https://www.cettire.com/collections/eudon-choi" xr:uid="{035DC8F8-DB05-4499-8109-CE73D21D2BA6}"/>
    <hyperlink ref="J356" r:id="rId205" display="https://www.cettire.com/collections/extreme-cashmere" xr:uid="{DFE4AE43-BA88-433B-BE98-0DFE1283C545}"/>
    <hyperlink ref="J357" r:id="rId206" display="https://www.cettire.com/collections/eyevan-7285" xr:uid="{D79B749A-C6E1-4971-BC3C-F09AD7645C50}"/>
    <hyperlink ref="J358" r:id="rId207" display="https://www.cettire.com/collections/eytys" xr:uid="{C6F24E71-EB10-49F0-82C5-98A081CBB205}"/>
    <hyperlink ref="J360" r:id="rId208" display="https://www.cettire.com/collections/fabiana-filippi" xr:uid="{167EAD3C-E547-4817-9789-99AA327879F1}"/>
    <hyperlink ref="J361" r:id="rId209" display="https://www.cettire.com/collections/facetasm" xr:uid="{4332C500-2D32-4E1A-A3BF-B8D929B91AD3}"/>
    <hyperlink ref="J362" r:id="rId210" display="https://www.cettire.com/collections/faith-connexion" xr:uid="{93C9A1F5-EC03-4D76-8C3E-9E718EB63C2D}"/>
    <hyperlink ref="J363" r:id="rId211" display="https://www.cettire.com/collections/fay" xr:uid="{7297A3A7-1558-4A64-BFE0-C83CF727A0C9}"/>
    <hyperlink ref="J364" r:id="rId212" display="https://www.cettire.com/collections/fay-kids" xr:uid="{E8020919-8E80-4648-BF52-53CF0E2B0D26}"/>
    <hyperlink ref="J365" r:id="rId213" display="https://www.cettire.com/collections/fear-of-god" xr:uid="{EE61F2C7-868D-415E-AF7E-A7421C35AF4A}"/>
    <hyperlink ref="J366" r:id="rId214" display="https://www.cettire.com/collections/fendi" xr:uid="{F9047296-1707-4191-A9CF-A2F71EE0457E}"/>
    <hyperlink ref="J367" r:id="rId215" display="https://www.cettire.com/collections/fendi-eyewear" xr:uid="{7FFFE6F2-A1D3-4458-BD4D-B6694DB31AA3}"/>
    <hyperlink ref="J368" r:id="rId216" display="https://www.cettire.com/collections/fendi-kids" xr:uid="{699F78AF-7E14-49DE-BA59-51B325754B0B}"/>
    <hyperlink ref="J369" r:id="rId217" display="https://www.cettire.com/collections/feng-chen-wang" xr:uid="{1155A5CD-32C1-41AB-A672-52D690132B6F}"/>
    <hyperlink ref="J370" r:id="rId218" display="https://www.cettire.com/collections/fenty-x-puma" xr:uid="{F6AAD186-C87B-4051-815E-734AE028FDAD}"/>
    <hyperlink ref="J371" r:id="rId219" display="https://www.cettire.com/collections/fila" xr:uid="{DFAB9850-AFF3-484A-91B5-4CBAFA3E83EA}"/>
    <hyperlink ref="J372" r:id="rId220" display="https://www.cettire.com/collections/finamore-1925-napoli" xr:uid="{8A60D929-70B6-442E-B797-AE44E423C4E2}"/>
    <hyperlink ref="J373" r:id="rId221" display="https://www.cettire.com/collections/flat-apartment" xr:uid="{1A2358F5-4E22-4900-AC99-FFA99EDC139A}"/>
    <hyperlink ref="J374" r:id="rId222" display="https://www.cettire.com/collections/forte-dei-marmi-couture" xr:uid="{E6CE999A-D71F-4CA5-97EA-1ED27B1AF662}"/>
    <hyperlink ref="J375" r:id="rId223" display="https://www.cettire.com/collections/forte-forte" xr:uid="{43F9D913-3582-48EB-B051-E545B7067AFA}"/>
    <hyperlink ref="J376" r:id="rId224" display="https://www.cettire.com/collections/frame" xr:uid="{03830E95-7C89-49DD-95A0-49A371D13B03}"/>
    <hyperlink ref="J377" r:id="rId225" display="https://www.cettire.com/collections/francesco-russo" xr:uid="{719E6F16-15EB-4E99-AD8F-BAC7118C3931}"/>
    <hyperlink ref="J378" r:id="rId226" display="https://www.cettire.com/collections/freedomday" xr:uid="{BBB531C7-2C7B-4D14-A1BB-AECA5F55C69E}"/>
    <hyperlink ref="J379" r:id="rId227" display="https://www.cettire.com/collections/fucking-awesome" xr:uid="{503B22BD-1764-433A-84D1-501D5E14F972}"/>
    <hyperlink ref="J380" r:id="rId228" display="https://www.cettire.com/collections/furla" xr:uid="{9A9589F3-66B2-4368-8095-3640AA61F1FE}"/>
    <hyperlink ref="J382" r:id="rId229" display="https://www.cettire.com/collections/gabriela-hearst" xr:uid="{6BEE8BEF-FB99-4077-985E-C41DAD22FE4E}"/>
    <hyperlink ref="J383" r:id="rId230" display="https://www.cettire.com/collections/gallery-dept" xr:uid="{8797BFC7-508F-4558-94C3-7C15BF8EBCDC}"/>
    <hyperlink ref="J384" r:id="rId231" display="https://www.cettire.com/collections/ganni" xr:uid="{A1022F92-D014-4166-8C50-FD562922E239}"/>
    <hyperlink ref="J385" r:id="rId232" display="https://www.cettire.com/collections/garrett-leight" xr:uid="{11E2C8A2-D749-4E9E-99D3-A669F55EADE6}"/>
    <hyperlink ref="J387" r:id="rId233" display="https://www.cettire.com/collections/gcds" xr:uid="{9A235AFA-503C-419F-B14E-E6412700A6E9}"/>
    <hyperlink ref="J388" r:id="rId234" display="https://www.cettire.com/collections/gcds-kids" xr:uid="{173FFEF5-38DC-4F44-824A-153E5AA21814}"/>
    <hyperlink ref="J389" r:id="rId235" display="https://www.cettire.com/collections/gia-borghini" xr:uid="{0EA4851A-77DF-4A3B-9302-D67403287774}"/>
    <hyperlink ref="J390" r:id="rId236" display="https://www.cettire.com/collections/gia-couture" xr:uid="{0CAC2F12-63E4-4456-BC6A-B0D5FB3F4925}"/>
    <hyperlink ref="J391" r:id="rId237" display="https://www.cettire.com/collections/giambattista-valli" xr:uid="{7E15C2F8-86B7-482B-ADA0-0D9EEE871B2B}"/>
    <hyperlink ref="J392" r:id="rId238" display="https://www.cettire.com/collections/giorgio-armani" xr:uid="{246A0F91-31C5-43F3-B121-D6F1996F5ADE}"/>
    <hyperlink ref="J393" r:id="rId239" display="https://www.cettire.com/collections/givenchy" xr:uid="{00D6E7E5-26CE-45C2-A16B-2D23D6A3FF23}"/>
    <hyperlink ref="J394" r:id="rId240" display="https://www.cettire.com/collections/givenchy-eyewear" xr:uid="{6F092320-9C35-4B57-9262-B0BB9700CF2D}"/>
    <hyperlink ref="J395" r:id="rId241" display="https://www.cettire.com/collections/givenchy-kids" xr:uid="{3CCD6C62-B32D-4423-810C-96D503CD749B}"/>
    <hyperlink ref="J396" r:id="rId242" display="https://www.cettire.com/collections/golden-goose-deluxe-brand" xr:uid="{99ADB255-45A3-4A9E-919E-683EEE1A6980}"/>
    <hyperlink ref="J397" r:id="rId243" display="https://www.cettire.com/collections/golden-goose-kids" xr:uid="{8D7DE25E-A9BE-461D-A5E2-61C00CC8C1EC}"/>
    <hyperlink ref="J398" r:id="rId244" display="https://www.cettire.com/collections/greg-lauren" xr:uid="{238E249A-2280-4749-B094-BBB2397F76B2}"/>
    <hyperlink ref="J399" r:id="rId245" display="https://www.cettire.com/collections/grevi" xr:uid="{AE2F38A6-8285-47CE-928A-F412C0380172}"/>
    <hyperlink ref="J400" r:id="rId246" display="https://www.cettire.com/collections/gucci" xr:uid="{A38AE502-1C82-464F-A89D-93453DDC0887}"/>
    <hyperlink ref="J401" r:id="rId247" display="https://www.cettire.com/collections/gucci-eyewear" xr:uid="{A44D641B-8FB4-4099-86ED-014B9EFCCD52}"/>
    <hyperlink ref="J402" r:id="rId248" display="https://www.cettire.com/collections/gucci-kids" xr:uid="{2B0897A4-3594-431A-82D8-0A92373BF5CD}"/>
    <hyperlink ref="J403" r:id="rId249" display="https://www.cettire.com/collections/guidi" xr:uid="{A2C6028D-6A09-422D-B641-68047EC3610A}"/>
    <hyperlink ref="J405" r:id="rId250" display="https://www.cettire.com/collections/haider-ackermann" xr:uid="{AA2CEE46-379A-46C1-B601-76082F44770C}"/>
    <hyperlink ref="J406" r:id="rId251" display="https://www.cettire.com/collections/harris-wharf-london" xr:uid="{71A650B0-5643-4AD3-ADE3-43B033CA35FB}"/>
    <hyperlink ref="J407" r:id="rId252" display="https://www.cettire.com/collections/helmut-lang" xr:uid="{DB30D63D-A433-4EE5-B833-832C6FAB61AE}"/>
    <hyperlink ref="J408" r:id="rId253" display="https://www.cettire.com/collections/hereu" xr:uid="{0766E028-E3FD-4A9C-8573-F5CE3C4277E3}"/>
    <hyperlink ref="J409" r:id="rId254" display="https://www.cettire.com/collections/herno" xr:uid="{446CE77B-6697-4A81-AD21-1384A235FFB0}"/>
    <hyperlink ref="J410" r:id="rId255" display="https://www.cettire.com/collections/herno-kids" xr:uid="{2B943F7C-B045-47C5-BCCE-CFB87EBE1C5A}"/>
    <hyperlink ref="J411" r:id="rId256" display="https://www.cettire.com/collections/heron-preston" xr:uid="{CD38FF7D-8BB3-49E9-92F7-B49CE4D0207D}"/>
    <hyperlink ref="J412" r:id="rId257" display="https://www.cettire.com/collections/herschel-supply-co" xr:uid="{642EEE69-17DC-44DB-AD25-7F22C6220AB3}"/>
    <hyperlink ref="J413" r:id="rId258" display="https://www.cettire.com/collections/hogan" xr:uid="{C1781679-10E9-47D9-AA45-C9DFF6B90B01}"/>
    <hyperlink ref="J414" r:id="rId259" display="https://www.cettire.com/collections/hogan-kids" xr:uid="{AE469CE4-E28A-4F92-A6AD-751B24AF8E39}"/>
    <hyperlink ref="J415" r:id="rId260" display="https://www.cettire.com/collections/hogan-rebel" xr:uid="{B58DCF12-C596-4771-A77A-1E7B3CCDAB48}"/>
    <hyperlink ref="J416" r:id="rId261" display="https://www.cettire.com/collections/hoka-one-one" xr:uid="{0735710D-6276-4A6A-8B37-6376382B85D1}"/>
    <hyperlink ref="J417" r:id="rId262" display="https://www.cettire.com/collections/homme-plisse-issey-miyake" xr:uid="{2F16401D-6A4A-46A1-B5D5-38BAAFF774C3}"/>
    <hyperlink ref="J418" r:id="rId263" display="https://www.cettire.com/collections/honey-fucking-dijon" xr:uid="{F0328F81-6D33-435E-9807-3DA02801A90A}"/>
    <hyperlink ref="J419" r:id="rId264" display="https://www.cettire.com/collections/howlin" xr:uid="{AFF9335E-E000-41E2-B8F5-6DB49ED5BE00}"/>
    <hyperlink ref="J420" r:id="rId265" display="https://www.cettire.com/collections/hugo-boss-kids" xr:uid="{5923899D-F2B1-4F2C-B165-EB3C4F335E68}"/>
    <hyperlink ref="J422" r:id="rId266" display="https://www.cettire.com/collections/ienki-ienki" xr:uid="{F6E1FBC1-7173-4FAB-B9F5-E77F0DFE7786}"/>
    <hyperlink ref="J423" r:id="rId267" display="https://www.cettire.com/collections/ih-nom-uh-nit" xr:uid="{65816E30-D750-42FE-B17C-C620C7E0B910}"/>
    <hyperlink ref="J424" r:id="rId268" display="https://www.cettire.com/collections/il-bisonte" xr:uid="{01A5CC02-E95A-4088-BAE1-9F05A229FAF0}"/>
    <hyperlink ref="J425" r:id="rId269" display="https://www.cettire.com/collections/il-gufo" xr:uid="{89EA3AF7-A536-4083-8802-BC2D1CD04241}"/>
    <hyperlink ref="J426" r:id="rId270" display="https://www.cettire.com/collections/in-the-mood-for-love" xr:uid="{D1AEF7E9-A9E1-4229-8F98-1E10F2580EBE}"/>
    <hyperlink ref="J427" r:id="rId271" display="https://www.cettire.com/collections/incotex" xr:uid="{9B2D5FCB-9A61-430B-BC10-C0DAFD1A6C58}"/>
    <hyperlink ref="J428" r:id="rId272" display="https://www.cettire.com/collections/isabel-marant" xr:uid="{393CEF33-219A-41EA-ABF7-DBECED763D06}"/>
    <hyperlink ref="J429" r:id="rId273" display="https://www.cettire.com/collections/isabel-marant-etoile" xr:uid="{6EEB8824-B1C1-4B96-A431-903F470C1E80}"/>
    <hyperlink ref="J430" r:id="rId274" display="https://www.cettire.com/collections/isaia" xr:uid="{03721497-3EB6-4D28-AC62-CF76DBEB05A0}"/>
    <hyperlink ref="J431" r:id="rId275" display="https://www.cettire.com/collections/issey-miyake" xr:uid="{593EAA03-6A07-4906-BBD9-1FFC03F43690}"/>
    <hyperlink ref="J432" r:id="rId276" display="https://www.cettire.com/collections/issey-miyake-men" xr:uid="{F6F4D075-ECD9-450B-B5A6-C8CB37C1D894}"/>
    <hyperlink ref="J434" r:id="rId277" display="https://www.cettire.com/collections/j-brand" xr:uid="{17953CBF-58E4-44F8-8A63-F0766D359174}"/>
    <hyperlink ref="J435" r:id="rId278" display="https://www.cettire.com/collections/jacquemus" xr:uid="{4A950D00-04D9-4E54-AF20-95087B439F45}"/>
    <hyperlink ref="J436" r:id="rId279" display="https://www.cettire.com/collections/jacques-marie-mage" xr:uid="{633698BA-7C39-4CA4-AC0C-1E100EED8B8A}"/>
    <hyperlink ref="J437" r:id="rId280" display="https://www.cettire.com/collections/jejia" xr:uid="{DC678F69-A6EB-498E-A828-EBFA70C5271E}"/>
    <hyperlink ref="J438" r:id="rId281" display="https://www.cettire.com/collections/jessie-western" xr:uid="{4EAA7808-FC4A-41BA-B281-90705782515E}"/>
    <hyperlink ref="J439" r:id="rId282" display="https://www.cettire.com/collections/jil-sander" xr:uid="{E9115DBC-69CD-4B52-B2A1-C57C5C5A5A83}"/>
    <hyperlink ref="J440" r:id="rId283" display="https://www.cettire.com/collections/jimmy-choo" xr:uid="{7F5BE353-B347-41D2-9939-39D844C52D93}"/>
    <hyperlink ref="J441" r:id="rId284" display="https://www.cettire.com/collections/jimmy-choo-eyewear" xr:uid="{40C85E7C-403C-4801-B8A1-E82A9D436BDF}"/>
    <hyperlink ref="J442" r:id="rId285" display="https://www.cettire.com/collections/john-elliott" xr:uid="{8295E8F2-2AE6-4BE7-911E-7CC0781570A9}"/>
    <hyperlink ref="J443" r:id="rId286" display="https://www.cettire.com/collections/john-lobb" xr:uid="{ACD76447-0798-4D69-9700-408AF5923B5D}"/>
    <hyperlink ref="J444" r:id="rId287" display="https://www.cettire.com/collections/john-smedley" xr:uid="{6871E6A5-2E9C-422B-8A65-80BA4BD604EA}"/>
    <hyperlink ref="J445" r:id="rId288" display="https://www.cettire.com/collections/junya-watanabe" xr:uid="{5C0302EF-729E-4537-ACD2-4458C7C1E6F0}"/>
    <hyperlink ref="J446" r:id="rId289" display="https://www.cettire.com/collections/junya-watanabe-comme-des-garcons" xr:uid="{E1522182-9E36-447A-BE5A-182057F08B94}"/>
    <hyperlink ref="J447" r:id="rId290" display="https://www.cettire.com/collections/junya-watanabe-man" xr:uid="{E9075152-01FF-427E-85C0-1232E6ACF0AA}"/>
    <hyperlink ref="J448" r:id="rId291" display="https://www.cettire.com/collections/just-don" xr:uid="{6D9FF732-9266-4AAB-8E41-A08AA41A90FE}"/>
    <hyperlink ref="J449" r:id="rId292" display="https://www.cettire.com/collections/juun-j" xr:uid="{FFF79E67-5AC0-4053-AB40-062783769211}"/>
    <hyperlink ref="J450" r:id="rId293" display="https://www.cettire.com/collections/jw-anderson" xr:uid="{FDFD960E-960D-47B1-9D24-B46234E7FBE1}"/>
    <hyperlink ref="J453" r:id="rId294" display="https://www.cettire.com/collections/kappa" xr:uid="{BB38B41C-8E82-47A5-A63A-2A3884680335}"/>
    <hyperlink ref="J454" r:id="rId295" display="https://www.cettire.com/collections/kappa-kontroll" xr:uid="{3A0400A0-79EB-4C9F-A38D-9F300B04AD9C}"/>
    <hyperlink ref="J455" r:id="rId296" display="https://www.cettire.com/collections/kara" xr:uid="{26592CC1-99F2-473F-BD5B-B6A6F96C9385}"/>
    <hyperlink ref="J456" r:id="rId297" display="https://www.cettire.com/collections/karl-lagerfeld" xr:uid="{CB69C333-B031-4CCA-830A-2B7C5FDA539F}"/>
    <hyperlink ref="J457" r:id="rId298" display="https://www.cettire.com/collections/karl-lagerfeld-kids" xr:uid="{6D49DB7F-4D73-4A61-99CF-D5E1C72662AD}"/>
    <hyperlink ref="J458" r:id="rId299" display="https://www.cettire.com/collections/kenzo" xr:uid="{08148BA9-0380-4C13-BA39-A9FE5B406564}"/>
    <hyperlink ref="J459" r:id="rId300" display="https://www.cettire.com/collections/kenzo-kids" xr:uid="{195DFA22-7B46-437E-BFD4-D5D3AFFC533E}"/>
    <hyperlink ref="J460" r:id="rId301" display="https://www.cettire.com/collections/khaite" xr:uid="{9850B0B3-0321-45AC-87EF-C68FC66B6062}"/>
    <hyperlink ref="J461" r:id="rId302" display="https://www.cettire.com/collections/khrisjoy" xr:uid="{E7D9A753-7D6F-4B33-9294-A65FF308CC59}"/>
    <hyperlink ref="J462" r:id="rId303" display="https://www.cettire.com/collections/khrisjoy-kids" xr:uid="{2D25105D-2825-418B-A5BC-0AB3CC4EFA94}"/>
    <hyperlink ref="J463" r:id="rId304" display="https://www.cettire.com/collections/kuboraum" xr:uid="{3CC6E040-DF6E-4D29-9FA7-28265826C09A}"/>
    <hyperlink ref="J464" r:id="rId305" display="https://www.cettire.com/collections/kwaidan-editions" xr:uid="{2B590ABF-5A5B-41AD-9920-C81518DE3E16}"/>
    <hyperlink ref="J466" r:id="rId306" display="https://www.cettire.com/collections/l-b-m-1911" xr:uid="{A2866DCB-6719-4C8E-A9BC-B6F0397FBA19}"/>
    <hyperlink ref="J467" r:id="rId307" display="https://www.cettire.com/collections/lautre-chose" xr:uid="{8B734F79-2223-4568-B5BF-E496A4C4CB40}"/>
    <hyperlink ref="J469" r:id="rId308" display="https://www.cettire.com/collections/la-stupenderia" xr:uid="{553993B6-BD0E-4671-9951-6B1404487B6D}"/>
    <hyperlink ref="J471" r:id="rId309" display="https://www.cettire.com/collections/laneus" xr:uid="{90ABE167-5D1E-4F92-BF63-FB160C31C91B}"/>
    <hyperlink ref="J472" r:id="rId310" display="https://www.cettire.com/collections/lanvin" xr:uid="{BC29A22A-7DD5-4D1A-952C-67AA973EA295}"/>
    <hyperlink ref="J473" r:id="rId311" display="https://www.cettire.com/collections/lanvin-enfant" xr:uid="{5432327B-CBA1-479F-AECD-579A5538DB0E}"/>
    <hyperlink ref="J474" r:id="rId312" display="https://www.cettire.com/collections/lauren-ralph-lauren" xr:uid="{130F8D1A-84C7-4B7C-A92A-CAABA60800EE}"/>
    <hyperlink ref="J475" r:id="rId313" display="https://www.cettire.com/collections/le beb%C3%A9 enfant" xr:uid="{6D9F361F-D9B4-46BC-9998-60B5F69D98A7}"/>
    <hyperlink ref="J476" r:id="rId314" display="https://www.cettire.com/collections/le-kasha" xr:uid="{698F732F-BD07-4552-9031-BB6C36993172}"/>
    <hyperlink ref="J477" r:id="rId315" display="https://www.cettire.com/collections/lemaire" xr:uid="{7D87179A-0574-4807-AC95-EA73A057A61A}"/>
    <hyperlink ref="J478" r:id="rId316" display="https://www.cettire.com/collections/lesca" xr:uid="{C6E04793-1A40-4BF1-A482-FCF6ACDC56E5}"/>
    <hyperlink ref="J479" r:id="rId317" display="https://www.cettire.com/collections/levis" xr:uid="{52D8AF00-70BF-4660-B38E-693AC0A972E8}"/>
    <hyperlink ref="J480" r:id="rId318" display="https://www.cettire.com/collections/li-ning" xr:uid="{1BD53710-A71E-4025-B61B-32450CB4E029}"/>
    <hyperlink ref="J481" r:id="rId319" display="https://www.cettire.com/collections/linda-farrow" xr:uid="{064F58D2-F334-4A18-8A14-E623995500F6}"/>
    <hyperlink ref="J482" r:id="rId320" display="https://www.cettire.com/collections/lisa-marie-fernandez" xr:uid="{95FB3A1D-824D-4131-9332-68C5C4BD1B43}"/>
    <hyperlink ref="J483" r:id="rId321" display="https://www.cettire.com/collections/liu-jo" xr:uid="{60FB2CED-89FF-4CB4-9CCE-38248F829B99}"/>
    <hyperlink ref="J484" r:id="rId322" display="https://www.cettire.com/collections/loewe" xr:uid="{90D5BFAC-4013-4D5D-BDFB-E893109BFBEE}"/>
    <hyperlink ref="J485" r:id="rId323" display="https://www.cettire.com/collections/longchamp" xr:uid="{2F3A606B-F060-44A2-B0E0-96732BA09377}"/>
    <hyperlink ref="J486" r:id="rId324" display="https://www.cettire.com/collections/loro-piana" xr:uid="{99E6B962-D6BF-4943-91D3-CD90B2E222ED}"/>
    <hyperlink ref="J487" r:id="rId325" display="https://www.cettire.com/collections/loulou-studio" xr:uid="{79DFC5AA-A836-4B5B-A884-109A6A3010D5}"/>
    <hyperlink ref="J488" r:id="rId326" display="https://www.cettire.com/collections/love-moschino" xr:uid="{04CBB03C-7B8C-430B-AF2F-9512F7A06C36}"/>
    <hyperlink ref="J489" r:id="rId327" display="https://www.cettire.com/collections/low-classic" xr:uid="{21946210-AA0E-4ABC-813D-08614F844051}"/>
    <hyperlink ref="J491" r:id="rId328" display="https://www.cettire.com/collections/m-missoni" xr:uid="{24CA26BA-6A64-435B-AF6F-DB2DADF450DE}"/>
    <hyperlink ref="J492" r:id="rId329" display="https://www.cettire.com/collections/mackintosh" xr:uid="{B27BE5BB-A487-47C3-AF98-1907180B3A51}"/>
    <hyperlink ref="J493" r:id="rId330" display="https://www.cettire.com/collections/magda-butrym" xr:uid="{811D82FC-4D3C-49B2-8CA4-503BDEF9AB26}"/>
    <hyperlink ref="J494" r:id="rId331" display="https://www.cettire.com/collections/maisie-wilen" xr:uid="{43114A6E-822F-4E2D-AD63-EA96768D526C}"/>
    <hyperlink ref="J495" r:id="rId332" display="https://www.cettire.com/collections/maison-kitsune" xr:uid="{78E31CBA-617A-477F-BDBE-47379BF2C2E4}"/>
    <hyperlink ref="J496" r:id="rId333" display="https://www.cettire.com/collections/maison-margiela" xr:uid="{E3E0344F-61AC-4F1A-8446-DB3CFECED23C}"/>
    <hyperlink ref="J497" r:id="rId334" display="https://www.cettire.com/collections/maison-michel" xr:uid="{6375F606-C342-42BC-8960-06FD9E82F3C9}"/>
    <hyperlink ref="J499" r:id="rId335" display="https://www.cettire.com/collections/malone-souliers" xr:uid="{234222B4-9FB1-4FCC-A3C2-8D57A5BCCFC8}"/>
    <hyperlink ref="J500" r:id="rId336" display="https://www.cettire.com/collections/mammut-delta-x" xr:uid="{98835224-DA22-4C29-8BD4-434FAB5132AE}"/>
    <hyperlink ref="J501" r:id="rId337" display="https://www.cettire.com/collections/manebi" xr:uid="{1326A717-567F-41A1-9AEF-E00E24B974A2}"/>
    <hyperlink ref="J502" r:id="rId338" display="https://www.cettire.com/collections/manokhi" xr:uid="{2CDB414D-343C-4D4D-B18E-41A0A0C0A8F4}"/>
    <hyperlink ref="J503" r:id="rId339" display="https://www.cettire.com/collections/manolo-blahnik" xr:uid="{4C3E7BF1-E957-4902-9C0E-284BEC820DDA}"/>
    <hyperlink ref="J504" r:id="rId340" display="https://www.cettire.com/collections/mansur-gavriel" xr:uid="{38D3F4F0-F625-4A41-94F6-F9BC6464E246}"/>
    <hyperlink ref="J505" r:id="rId341" display="https://www.cettire.com/collections/manu-atelier" xr:uid="{FC9B33D2-EB59-4B9D-8548-788C7DF1566D}"/>
    <hyperlink ref="J506" r:id="rId342" display="https://www.cettire.com/collections/marc-jacobs" xr:uid="{CCD819C1-EF82-4D91-BE4E-AE6184B9DF46}"/>
    <hyperlink ref="J507" r:id="rId343" display="https://www.cettire.com/collections/marc-jacobs-eyewear" xr:uid="{8FC1A3B7-1284-451F-BEFA-864893A1D00B}"/>
    <hyperlink ref="J508" r:id="rId344" display="https://www.cettire.com/collections/marcelo-burlon-county-of-milan" xr:uid="{A2D6E135-74C7-4E9E-951D-C0219564B208}"/>
    <hyperlink ref="J509" r:id="rId345" display="https://www.cettire.com/collections/marcelo-burlon-county-of-milan-kids" xr:uid="{B72DDDD7-B0BE-44A3-9051-1F122AAE3F32}"/>
    <hyperlink ref="J510" r:id="rId346" display="https://www.cettire.com/collections/marine-serre" xr:uid="{9C79E8AA-A302-4EC6-9640-234B7AC2A86E}"/>
    <hyperlink ref="J511" r:id="rId347" display="https://www.cettire.com/collections/marni" xr:uid="{E768BC6F-2C41-43BB-9C2E-491DFBF89533}"/>
    <hyperlink ref="J512" r:id="rId348" display="https://www.cettire.com/collections/marni-eyewear" xr:uid="{9DE12033-9C59-495B-9F54-B9A45AD635A5}"/>
    <hyperlink ref="J513" r:id="rId349" display="https://www.cettire.com/collections/marni-kids" xr:uid="{C4806ADF-C122-4880-B5AF-6CBD333F3774}"/>
    <hyperlink ref="J514" r:id="rId350" display="https://www.cettire.com/collections/marquesalmeida" xr:uid="{4AA2AD18-7061-427E-BB59-A0AE5ECBF9D5}"/>
    <hyperlink ref="J515" r:id="rId351" display="https://www.cettire.com/collections/marsell" xr:uid="{32444B8A-9361-4B32-8425-544161AEC249}"/>
    <hyperlink ref="J516" r:id="rId352" display="https://www.cettire.com/collections/martine-rose" xr:uid="{4BFC69EE-DB4D-4325-82DD-7C2CE91B6AEE}"/>
    <hyperlink ref="J517" r:id="rId353" display="https://www.cettire.com/collections/mastermind-world" xr:uid="{81B40DAE-552A-4220-92F9-AB18C59B153B}"/>
    <hyperlink ref="J518" r:id="rId354" display="https://www.cettire.com/collections/materiel" xr:uid="{9D715A76-2268-470A-93C6-1D5CEE098D09}"/>
    <hyperlink ref="J519" r:id="rId355" display="https://www.cettire.com/collections/mauna-kea" xr:uid="{16F2E709-54D2-4B9D-8E76-E1AA3A7DECCA}"/>
    <hyperlink ref="J520" r:id="rId356" display="https://www.cettire.com/collections/maurizio-miri" xr:uid="{1864211B-CF90-4EE9-9411-A03F49E2C9AE}"/>
    <hyperlink ref="J521" r:id="rId357" display="https://www.cettire.com/collections/max-mara" xr:uid="{F2B807C8-13FA-4E42-9254-70851D02F26D}"/>
    <hyperlink ref="J522" r:id="rId358" display="https://www.cettire.com/collections/max-mara-atelier" xr:uid="{B3238C6E-128B-4AC7-A0D5-CAF19C40B368}"/>
    <hyperlink ref="J524" r:id="rId359" display="https://www.cettire.com/collections/max-mara-studio" xr:uid="{2752F21B-EC7C-47B1-A6F9-D525B2A3C80D}"/>
    <hyperlink ref="J525" r:id="rId360" display="https://www.cettire.com/collections/max-mara-the-cube" xr:uid="{521E2138-5C5C-457A-B5C3-1ABADF079CE0}"/>
    <hyperlink ref="J526" r:id="rId361" display="https://www.cettire.com/collections/mc2-saint-barth" xr:uid="{1272EF7E-DB46-46C7-97A3-E633F68B0D8A}"/>
    <hyperlink ref="J527" r:id="rId362" display="https://www.cettire.com/collections/mc2-saint-barth-kids" xr:uid="{9ACB83A0-F9BB-4AFC-82F4-6511F99D0B3D}"/>
    <hyperlink ref="J528" r:id="rId363" display="https://www.cettire.com/collections/mcm" xr:uid="{90027827-2226-4CF2-909D-C68629846B80}"/>
    <hyperlink ref="J529" r:id="rId364" display="https://www.cettire.com/collections/mcq-alexander-mcqueen" xr:uid="{960A22E1-3F63-4975-87E9-1C7C3C079B16}"/>
    <hyperlink ref="J530" r:id="rId365" display="https://www.cettire.com/collections/michael-kors" xr:uid="{8DC871B4-AD56-4537-A421-08A94ADE8EF4}"/>
    <hyperlink ref="J531" r:id="rId366" display="https://www.cettire.com/collections/michael-kors-collection" xr:uid="{BA416B32-CFDC-4927-A151-85A7C667DE33}"/>
    <hyperlink ref="J532" r:id="rId367" display="https://www.cettire.com/collections/michael-michael-kors" xr:uid="{7574A937-5EB3-4BC7-9062-C15FDFECB9B0}"/>
    <hyperlink ref="J533" r:id="rId368" display="https://www.cettire.com/collections/midnight-00" xr:uid="{14C26D6B-7804-4532-814D-2A796381B3C7}"/>
    <hyperlink ref="J534" r:id="rId369" display="https://www.cettire.com/collections/mini-rodini" xr:uid="{FA1A64AA-7803-457E-9C36-A99194A0A6A5}"/>
    <hyperlink ref="J535" r:id="rId370" display="https://www.cettire.com/collections/misbhv" xr:uid="{54A8FA8C-8FD9-435F-8257-F7E9F01C203A}"/>
    <hyperlink ref="J536" r:id="rId371" display="https://www.cettire.com/collections/missoni" xr:uid="{15F2A1E9-7078-4B3E-8A11-27827C56F66F}"/>
    <hyperlink ref="J538" r:id="rId372" display="https://www.cettire.com/collections/missoni-mare" xr:uid="{B424EC0E-E1E5-4F97-A8DE-8A15DE0DB220}"/>
    <hyperlink ref="J539" r:id="rId373" display="https://www.cettire.com/collections/miu-miu" xr:uid="{628A7320-4876-4022-93F0-1E91C456D491}"/>
    <hyperlink ref="J540" r:id="rId374" display="https://www.cettire.com/collections/miu-miu-eyewear" xr:uid="{81343EC6-0680-407E-9B34-6C66E45243BA}"/>
    <hyperlink ref="J541" r:id="rId375" display="https://www.cettire.com/collections/mjb-marc-jacques-burton" xr:uid="{DD057FFF-4C04-4DE8-91DA-6792D1EAC5B7}"/>
    <hyperlink ref="J542" r:id="rId376" display="https://www.cettire.com/collections/mm6-maison-margiela" xr:uid="{0B3AD37C-7D8F-48CF-A002-0812A0EC3C51}"/>
    <hyperlink ref="J543" r:id="rId377" display="https://www.cettire.com/collections/mm6-maison-margiela-kids" xr:uid="{C25D114A-4FC8-4003-BEC3-6756CC439F87}"/>
    <hyperlink ref="J544" r:id="rId378" display="https://www.cettire.com/collections/molo" xr:uid="{B972A518-EC67-4FD6-89D8-096FB80D8EFF}"/>
    <hyperlink ref="J545" r:id="rId379" display="https://www.cettire.com/collections/moncler" xr:uid="{3BE033DE-E5E0-452D-9352-97CABC8E2C92}"/>
    <hyperlink ref="J546" r:id="rId380" display="https://www.cettire.com/collections/moncler-rick-owens" xr:uid="{65FB3F1A-ABDB-4438-8D85-C26CF5EBF01E}"/>
    <hyperlink ref="J547" r:id="rId381" display="https://www.cettire.com/collections/moncler-enfant" xr:uid="{693E75F9-6392-43FD-BA38-E34B7C906B02}"/>
    <hyperlink ref="J548" r:id="rId382" display="https://www.cettire.com/collections/moncler-eyewear" xr:uid="{464160AB-782F-4FA1-B557-31C5395F0069}"/>
    <hyperlink ref="J549" r:id="rId383" display="https://www.cettire.com/collections/moncler-gamme-rouge" xr:uid="{FAA63D69-010F-44DA-A219-E23D63506608}"/>
    <hyperlink ref="J550" r:id="rId384" display="https://www.cettire.com/collections/moncler-genius" xr:uid="{D19B8A93-6114-43F0-894D-B156320F479B}"/>
    <hyperlink ref="J551" r:id="rId385" display="https://www.cettire.com/collections/moncler-grenoble" xr:uid="{7DD4937A-0FDF-4D77-8636-BB44E58A2563}"/>
    <hyperlink ref="J552" r:id="rId386" display="https://www.cettire.com/collections/monnalisa" xr:uid="{6D8A5FCB-E0CD-4485-989C-683E0BA16620}"/>
    <hyperlink ref="J553" r:id="rId387" display="https://www.cettire.com/collections/montblanc" xr:uid="{E3F47AAE-B691-44EA-BF16-2BAB0EA72443}"/>
    <hyperlink ref="J554" r:id="rId388" display="https://www.cettire.com/collections/moose-knuckles" xr:uid="{E54133C0-01E1-48CF-B85E-E5E188BB918A}"/>
    <hyperlink ref="J555" r:id="rId389" display="https://www.cettire.com/collections/moschino" xr:uid="{690F9F5C-2099-4756-A302-49BC86172BBE}"/>
    <hyperlink ref="J556" r:id="rId390" display="https://www.cettire.com/collections/moschino-eyewear" xr:uid="{B895E79D-DE1D-4C03-9207-74C0E97A9CDA}"/>
    <hyperlink ref="J557" r:id="rId391" display="https://www.cettire.com/collections/moschino-kids" xr:uid="{D9754D13-DDFC-450A-83D4-E2ED4DE653B9}"/>
    <hyperlink ref="J558" r:id="rId392" display="https://www.cettire.com/collections/moscot" xr:uid="{E165BC4F-6E2B-4A92-A4E9-3926418B7EE7}"/>
    <hyperlink ref="J559" r:id="rId393" display="https://www.cettire.com/collections/mother" xr:uid="{45314208-E942-47AA-9DB4-9CD9D5834470}"/>
    <hyperlink ref="J560" r:id="rId394" display="https://www.cettire.com/collections/mou-kids" xr:uid="{3D97DB87-4206-4C3E-BA00-13B53CAB4FE4}"/>
    <hyperlink ref="J561" r:id="rId395" display="https://www.cettire.com/collections/msgm" xr:uid="{DB5A70B1-632D-470B-B084-82218AA1C50E}"/>
    <hyperlink ref="J562" r:id="rId396" display="https://www.cettire.com/collections/msgm-kids" xr:uid="{D53BC3F5-966C-4E4D-B8D7-5EE9754BC08B}"/>
    <hyperlink ref="J563" r:id="rId397" display="https://www.cettire.com/collections/mulberry" xr:uid="{44753ADE-77F2-487B-95AC-D2F76CC8D5F1}"/>
    <hyperlink ref="J564" r:id="rId398" display="https://www.cettire.com/collections/mykita" xr:uid="{AB899874-3192-4F22-98D7-7F7795354373}"/>
    <hyperlink ref="J566" r:id="rId399" display="https://www.cettire.com/collections/n-21" xr:uid="{656B1A2D-C05D-438C-8E91-47E65F374B1B}"/>
    <hyperlink ref="J567" r:id="rId400" display="https://www.cettire.com/collections/n-21-kids" xr:uid="{47FA54A9-8343-4387-B755-7B8DFD1308C2}"/>
    <hyperlink ref="J568" r:id="rId401" display="https://www.cettire.com/collections/nana-nana" xr:uid="{1D210EA0-80A0-46D7-81C8-408867436DA2}"/>
    <hyperlink ref="J569" r:id="rId402" display="https://www.cettire.com/collections/nanushka" xr:uid="{0F29D335-9508-4198-967F-62127902DE19}"/>
    <hyperlink ref="J570" r:id="rId403" display="https://www.cettire.com/collections/napa-by-martine-rose" xr:uid="{78A86774-780D-48C3-B65C-FBF6550E5DF4}"/>
    <hyperlink ref="J571" r:id="rId404" display="https://www.cettire.com/collections/natasha-zinko" xr:uid="{CBECB175-F506-4C64-9358-92058E9F45FF}"/>
    <hyperlink ref="J572" r:id="rId405" display="https://www.cettire.com/collections/needles" xr:uid="{8EF6FAA1-F5B6-46C8-844A-A696A086595C}"/>
    <hyperlink ref="J573" r:id="rId406" display="https://www.cettire.com/collections/neil-barrett" xr:uid="{E8B38FE7-D416-430B-BCD9-3B699D2797D7}"/>
    <hyperlink ref="J574" r:id="rId407" display="https://www.cettire.com/collections/neil-barrett-kids" xr:uid="{8E9A6F04-102D-487C-AA5F-68F035C275F6}"/>
    <hyperlink ref="J575" r:id="rId408" display="https://www.cettire.com/collections/neous" xr:uid="{3DFB663F-CFF6-4D36-BF72-1C8EB6FD2DB1}"/>
    <hyperlink ref="J577" r:id="rId409" display="https://www.cettire.com/collections/new-york-industrie" xr:uid="{B2652C7D-79B9-4A40-983C-FC61FEFB8B29}"/>
    <hyperlink ref="J578" r:id="rId410" display="https://www.cettire.com/collections/nicholas-kirkwood" xr:uid="{521CD364-8DA5-4BFD-8FA0-2C5C6DBA8074}"/>
    <hyperlink ref="J579" r:id="rId411" display="https://www.cettire.com/collections/nicomede" xr:uid="{6E1CD44D-320D-4B00-9149-1611156F7E74}"/>
    <hyperlink ref="J580" r:id="rId412" display="https://www.cettire.com/collections/nike" xr:uid="{F1144498-5F9D-41F3-A6C4-616778BDFE73}"/>
    <hyperlink ref="J581" r:id="rId413" display="https://www.cettire.com/collections/nodaleto" xr:uid="{9B8AB406-3BC1-46B3-904F-44C5F2D57405}"/>
    <hyperlink ref="J582" r:id="rId414" display="https://www.cettire.com/collections/noir-kei-ninomiya" xr:uid="{203FF1CB-568C-4B51-A32A-4277DA750207}"/>
    <hyperlink ref="J583" r:id="rId415" display="https://www.cettire.com/collections/noon-goons" xr:uid="{CC924437-15D1-4C99-8CD7-9A7ACE96305A}"/>
    <hyperlink ref="J584" r:id="rId416" display="https://www.cettire.com/collections/norse-projects" xr:uid="{82858AEA-21FC-40A6-9371-D24E244D0B44}"/>
    <hyperlink ref="J585" r:id="rId417" display="https://www.cettire.com/collections/north-sails-x-prada-cup" xr:uid="{C06D42EB-CC3C-4BB0-AF0B-F458FA60A073}"/>
    <hyperlink ref="J586" r:id="rId418" display="https://www.cettire.com/collections/nudie-jeans" xr:uid="{7EDBEA96-C9BE-4E1D-B6A6-4782B0F6095B}"/>
    <hyperlink ref="J588" r:id="rId419" display="https://www.cettire.com/collections/oakley" xr:uid="{10838FD0-738A-4B47-8BA5-5DE081D62503}"/>
    <hyperlink ref="J589" r:id="rId420" display="https://www.cettire.com/collections/oamc" xr:uid="{4106E809-D31A-4D9F-8048-6B9883A76C74}"/>
    <hyperlink ref="J590" r:id="rId421" display="https://www.cettire.com/collections/off-white" xr:uid="{F36543B5-EA0A-48BC-9430-CC5027A9A592}"/>
    <hyperlink ref="J591" r:id="rId422" display="https://www.cettire.com/collections/off-white-kids" xr:uid="{352391EE-DD8B-4640-8FBF-EC174AF681F7}"/>
    <hyperlink ref="J592" r:id="rId423" display="https://www.cettire.com/collections/officine-creative" xr:uid="{44BBF36B-ADC3-4646-8506-6CA60CB32FC6}"/>
    <hyperlink ref="J593" r:id="rId424" display="https://www.cettire.com/collections/oliver-peoples" xr:uid="{CFFF9CF0-42BC-4675-B585-4BF46A5D4077}"/>
    <hyperlink ref="J594" r:id="rId425" display="https://www.cettire.com/collections/opening-ceremony" xr:uid="{F12AF425-B760-4899-AFA2-BCF93607A5A7}"/>
    <hyperlink ref="J595" r:id="rId426" display="https://www.cettire.com/collections/oseree" xr:uid="{C6C99951-D59A-4A0C-8059-007DA7A9D9EE}"/>
    <hyperlink ref="J597" r:id="rId427" display="https://www.cettire.com/collections/our-legacy" xr:uid="{12BB26E1-FE15-4DB3-8E17-5B9EF9CC8CDF}"/>
    <hyperlink ref="J599" r:id="rId428" display="https://www.cettire.com/collections/p-a-r-o-s-h" xr:uid="{6B14B6B0-0D84-4CF4-BFAC-08B98781B99E}"/>
    <hyperlink ref="J600" r:id="rId429" display="https://www.cettire.com/collections/paccbet" xr:uid="{AEC7E749-4EE5-433D-BB72-A7BC67677E46}"/>
    <hyperlink ref="J601" r:id="rId430" display="https://www.cettire.com/collections/paco-rabanne" xr:uid="{58ED6321-A618-44E3-B51D-6D5A41B80671}"/>
    <hyperlink ref="J602" r:id="rId431" display="https://www.cettire.com/collections/palm-angels" xr:uid="{CEDEF557-A666-4667-B4F2-5E901AC281F4}"/>
    <hyperlink ref="J603" r:id="rId432" display="https://www.cettire.com/collections/palm-angels-kids" xr:uid="{AFA4E69E-B218-4F4F-B707-2719A7700447}"/>
    <hyperlink ref="J604" r:id="rId433" display="https://www.cettire.com/collections/paraboot" xr:uid="{E88E7AA6-931B-4E7A-B4A0-2AD352012712}"/>
    <hyperlink ref="J605" r:id="rId434" display="https://www.cettire.com/collections/parajumpers" xr:uid="{656BFA9C-2E8C-42D8-B221-1F78FC7900F6}"/>
    <hyperlink ref="J606" r:id="rId435" display="https://www.cettire.com/collections/paris-texas" xr:uid="{01956697-3085-4FC5-A4E8-6D6E2F7B2044}"/>
    <hyperlink ref="J607" r:id="rId436" display="https://www.cettire.com/collections/paul-smith" xr:uid="{95D1364D-27E4-41D3-BC69-8D11A75758A7}"/>
    <hyperlink ref="J608" r:id="rId437" display="https://www.cettire.com/collections/paura-x-kappa" xr:uid="{314BAF84-A0CC-4D13-A681-2BA846AA35C6}"/>
    <hyperlink ref="J609" r:id="rId438" display="https://www.cettire.com/collections/persol" xr:uid="{47950BFB-7912-4065-93AF-D0ACF50317D8}"/>
    <hyperlink ref="J610" r:id="rId439" display="https://www.cettire.com/collections/philipp-plein" xr:uid="{D85B8F67-4D69-4922-BE5E-BDDE823D172D}"/>
    <hyperlink ref="J611" r:id="rId440" display="https://www.cettire.com/collections/philipp-plein-junior" xr:uid="{3C911AB0-1E39-4B86-ACF4-DC9F4AA7A266}"/>
    <hyperlink ref="J612" r:id="rId441" display="https://www.cettire.com/collections/philippe-model" xr:uid="{7D9343FD-6165-4A3A-9D0D-B5E1E71D9A51}"/>
    <hyperlink ref="J613" r:id="rId442" display="https://www.cettire.com/collections/philippe-model-paris" xr:uid="{4B60594E-EA27-44D5-BE20-70A2578F0007}"/>
    <hyperlink ref="J614" r:id="rId443" display="https://www.cettire.com/collections/philosophy-di-lorenzo-serafini" xr:uid="{25A7A24A-82D2-4777-A3F4-FB963B827A0D}"/>
    <hyperlink ref="J615" r:id="rId444" display="https://www.cettire.com/collections/philosophy-di-lorenzo-serafini-kids" xr:uid="{3423106C-82AA-4DB6-A2B6-EB521DB3387A}"/>
    <hyperlink ref="J616" r:id="rId445" display="https://www.cettire.com/collections/pierre-hardy" xr:uid="{18A4368C-6A46-40C1-B30F-54EABF178D8A}"/>
    <hyperlink ref="J617" r:id="rId446" display="https://www.cettire.com/collections/pierre-louis-mascia" xr:uid="{0B5C5109-2AE1-496D-8AF7-0F875E4430C8}"/>
    <hyperlink ref="J618" r:id="rId447" display="https://www.cettire.com/collections/pinko" xr:uid="{718F953C-7341-462C-9516-61A1FFCFBBDA}"/>
    <hyperlink ref="J619" r:id="rId448" display="https://www.cettire.com/collections/plan-c" xr:uid="{BE90BE35-960C-449B-9246-546BD1324289}"/>
    <hyperlink ref="J620" r:id="rId449" display="https://www.cettire.com/collections/pleats-please-by-issey-miyake" xr:uid="{45848538-342F-4F26-8749-B646C9810C3C}"/>
    <hyperlink ref="J621" r:id="rId450" display="https://www.cettire.com/collections/polo-ralph-lauren" xr:uid="{3A46F9AB-F789-4163-A282-A8AB006B3737}"/>
    <hyperlink ref="J622" r:id="rId451" display="https://www.cettire.com/collections/polo-ralph-lauren-kids" xr:uid="{37931991-E4CB-4284-A98A-CEC1685E6D2D}"/>
    <hyperlink ref="J623" r:id="rId452" display="https://www.cettire.com/collections/porter-yoshida-co" xr:uid="{EC02B693-6EE3-49F8-AA20-5336AC4B6DE2}"/>
    <hyperlink ref="J624" r:id="rId453" display="https://www.cettire.com/collections/ports-1961" xr:uid="{A10D0810-6ECD-49F3-8290-C3DFA400E643}"/>
    <hyperlink ref="J625" r:id="rId454" display="https://www.cettire.com/collections/prada" xr:uid="{52DF769E-7F76-43A3-8BC7-FAA2108CE84E}"/>
    <hyperlink ref="J626" r:id="rId455" display="https://www.cettire.com/collections/prada-eyewear" xr:uid="{EB491DFF-56BA-49FE-8DB6-780EEC3DDB07}"/>
    <hyperlink ref="J627" r:id="rId456" display="https://www.cettire.com/collections/premiata" xr:uid="{479F6356-8139-40A1-86A5-C034F0725215}"/>
    <hyperlink ref="J628" r:id="rId457" display="https://www.cettire.com/collections/pressure" xr:uid="{7EE9BB7B-67CC-4A58-941D-828584EBD047}"/>
    <hyperlink ref="J629" r:id="rId458" display="https://www.cettire.com/collections/proenza-schouler" xr:uid="{90EE3961-0D9C-4C28-ACF4-A42F0B259D96}"/>
    <hyperlink ref="J630" r:id="rId459" display="https://www.cettire.com/collections/proenza-schouler-white-label" xr:uid="{4A6D4F27-07AE-4A40-BEF2-30E28649C8A2}"/>
    <hyperlink ref="J631" r:id="rId460" display="https://www.cettire.com/collections/pt-torino" xr:uid="{4F102667-3263-4494-9E72-E7EE1C7C9E8D}"/>
    <hyperlink ref="J632" r:id="rId461" display="https://www.cettire.com/collections/pt01" xr:uid="{024C9676-5C7B-4EBD-8090-F3FD91DAE5FF}"/>
    <hyperlink ref="J633" r:id="rId462" display="https://www.cettire.com/collections/pt05" xr:uid="{C5756383-21F5-469D-B110-CAFFD0ED028A}"/>
    <hyperlink ref="J634" r:id="rId463" display="https://www.cettire.com/collections/puma" xr:uid="{26DC03FE-F39F-4D9F-AF5C-6F7F5C873A6A}"/>
    <hyperlink ref="J637" r:id="rId464" display="https://www.cettire.com/collections/r13" xr:uid="{69E5E245-B218-45E0-9D13-F9306C30ECA2}"/>
    <hyperlink ref="J638" r:id="rId465" display="https://www.cettire.com/collections/raf-simons" xr:uid="{18D9BF42-905B-4282-AFC3-F4003E4A2B37}"/>
    <hyperlink ref="J639" r:id="rId466" display="https://www.cettire.com/collections/rag-bone" xr:uid="{39510521-A0D3-42BF-80C0-26ECC2F9AC74}"/>
    <hyperlink ref="J640" r:id="rId467" display="https://www.cettire.com/collections/ralph-lauren" xr:uid="{55DC384B-A3FF-4929-8955-034F22BCEAE9}"/>
    <hyperlink ref="J641" r:id="rId468" display="https://www.cettire.com/collections/ralph-lauren-kids" xr:uid="{4EE223EB-6E8E-442C-A391-497D8D6DFD5E}"/>
    <hyperlink ref="J642" r:id="rId469" display="https://www.cettire.com/collections/rave-review" xr:uid="{117BC74D-4947-451E-823E-E920F096424A}"/>
    <hyperlink ref="J643" r:id="rId470" display="https://www.cettire.com/collections/ray-ban" xr:uid="{B618D974-B86D-4751-9A40-041765AE977E}"/>
    <hyperlink ref="J644" r:id="rId471" display="https://www.cettire.com/collections/re-done" xr:uid="{1ED5CC3B-94ED-428C-946A-E33F930FDA3D}"/>
    <hyperlink ref="J645" r:id="rId472" display="https://www.cettire.com/collections/readymade" xr:uid="{1F836805-64C4-4C53-A627-F704E6101B6F}"/>
    <hyperlink ref="J646" r:id="rId473" display="https://www.cettire.com/collections/rebecca-minkoff" xr:uid="{1A888806-51FD-4302-87B8-C36C36A831AC}"/>
    <hyperlink ref="J647" r:id="rId474" display="https://www.cettire.com/collections/red-valentino" xr:uid="{9A462A28-2BAD-474C-B3EE-D6D77A2A4976}"/>
    <hyperlink ref="J648" r:id="rId475" display="https://www.cettire.com/collections/red-wing-shoes" xr:uid="{22EAEAE3-997E-4B17-A348-25569D5C77B5}"/>
    <hyperlink ref="J649" r:id="rId476" display="https://www.cettire.com/collections/reebok" xr:uid="{3148731E-7E54-4861-A780-C7E4B6A3D08D}"/>
    <hyperlink ref="J650" r:id="rId477" display="https://www.cettire.com/collections/reebok-x-victoria-beckham" xr:uid="{3F91F953-FD8C-4EE2-A3DC-B2BCDB444FEA}"/>
    <hyperlink ref="J651" r:id="rId478" display="https://www.cettire.com/collections/reike-nen" xr:uid="{3B1A3784-EB54-4687-B468-4D8975CE7D89}"/>
    <hyperlink ref="J652" r:id="rId479" display="https://www.cettire.com/collections/rejina-pyo" xr:uid="{1B906A4B-B61E-40DD-BC55-6EC953145766}"/>
    <hyperlink ref="J653" r:id="rId480" display="https://www.cettire.com/collections/rene-caovilla" xr:uid="{ED3FC5E9-148C-4A14-9F2A-63DDAC957987}"/>
    <hyperlink ref="J654" r:id="rId481" display="https://www.cettire.com/collections/represent" xr:uid="{7EBAF922-C5F9-4F19-8453-B1A2F260AF87}"/>
    <hyperlink ref="J655" r:id="rId482" display="https://www.cettire.com/collections/retrosuperfuture" xr:uid="{8504D796-D3E2-4ABB-91CC-F98785B76B3C}"/>
    <hyperlink ref="J656" r:id="rId483" display="https://www.cettire.com/collections/rhude" xr:uid="{84C86808-2614-412C-B5D7-E4E09E305128}"/>
    <hyperlink ref="J657" r:id="rId484" display="https://www.cettire.com/collections/rick-owens" xr:uid="{97CF072C-EB94-45E5-BFC4-D00346FDB21B}"/>
    <hyperlink ref="J658" r:id="rId485" display="https://www.cettire.com/collections/rick-owens-drkshdw" xr:uid="{966796A8-EB4C-4E61-998D-0EADCC6A6E70}"/>
    <hyperlink ref="J659" r:id="rId486" display="https://www.cettire.com/collections/rick-owens-lilies" xr:uid="{49D65B62-8BAD-4B5B-9605-53400F0BE03F}"/>
    <hyperlink ref="J660" r:id="rId487" display="https://www.cettire.com/collections/rick-owens-x-birkenstock" xr:uid="{634FB383-7FF9-4B43-ABA6-AF444DC93355}"/>
    <hyperlink ref="J661" r:id="rId488" display="https://www.cettire.com/collections/rick-owens-x-veja" xr:uid="{6E3479E1-9373-4579-A21F-2A6B73B8563B}"/>
    <hyperlink ref="J662" r:id="rId489" display="https://www.cettire.com/collections/rixo" xr:uid="{DEEDA167-05FE-436E-8B41-1B990653CA91}"/>
    <hyperlink ref="J663" r:id="rId490" display="https://www.cettire.com/collections/robert-clergerie" xr:uid="{6AD97D5F-5A83-42ED-BF0F-85E51BE95A9D}"/>
    <hyperlink ref="J665" r:id="rId491" display="https://www.cettire.com/collections/rochas" xr:uid="{18815803-6F7D-474E-9D2C-E3DDEBCAA9E9}"/>
    <hyperlink ref="J666" r:id="rId492" display="https://www.cettire.com/collections/rodebjer" xr:uid="{48A8E01C-62E5-4B80-86B6-8302CC4A4C74}"/>
    <hyperlink ref="J667" r:id="rId493" display="https://www.cettire.com/collections/roger-vivier" xr:uid="{D639279F-EE54-46B6-A270-1F0C9D5DED26}"/>
    <hyperlink ref="J668" r:id="rId494" display="https://www.cettire.com/collections/rombaut" xr:uid="{13E95E7F-2F8B-4E53-9795-6C41009F7860}"/>
    <hyperlink ref="J669" r:id="rId495" display="https://www.cettire.com/collections/rosantica" xr:uid="{3DE61474-A4FD-458E-9E0F-457E384B8079}"/>
    <hyperlink ref="J670" r:id="rId496" display="https://www.cettire.com/collections/rotate" xr:uid="{A8848308-98DF-4C76-8BFB-B91C536F90EB}"/>
    <hyperlink ref="J671" r:id="rId497" display="https://www.cettire.com/collections/ruslan-baginskiy" xr:uid="{BE86F367-357B-4B89-A8B5-248BD447C271}"/>
    <hyperlink ref="J673" r:id="rId498" display="https://www.cettire.com/collections/sacai" xr:uid="{555B0D5F-5164-4F6F-9841-A534B9707E2A}"/>
    <hyperlink ref="J674" r:id="rId499" display="https://www.cettire.com/collections/saint-laurent" xr:uid="{BFA55A59-DFE4-486F-8DC9-327E2B6EDF16}"/>
    <hyperlink ref="J675" r:id="rId500" display="https://www.cettire.com/collections/saint-laurent-eyewear" xr:uid="{79FB84EA-1A7C-466A-B9B1-28F6DBE64722}"/>
    <hyperlink ref="J676" r:id="rId501" display="https://www.cettire.com/collections/saks-potts" xr:uid="{34A548F8-E584-4223-AD5B-409D5F2FFB8B}"/>
    <hyperlink ref="J677" r:id="rId502" display="https://www.cettire.com/collections/salomon-s-lab" xr:uid="{AAA26E61-5D8C-4381-B873-E9D68CA3E95B}"/>
    <hyperlink ref="J678" r:id="rId503" display="https://www.cettire.com/collections/saloni" xr:uid="{E51A74E6-F77F-4946-8E5B-490AD89671D1}"/>
    <hyperlink ref="J679" r:id="rId504" display="https://www.cettire.com/collections/salvatore-ferragamo" xr:uid="{5F98F871-2B66-426D-A144-415BDF979B4F}"/>
    <hyperlink ref="J680" r:id="rId505" display="https://www.cettire.com/collections/salvatore-ferragamo-eyewear" xr:uid="{003933BB-6B69-4F76-BDB0-3D50C75C2766}"/>
    <hyperlink ref="J681" r:id="rId506" display="https://www.cettire.com/collections/salvatore-santoro" xr:uid="{6FA32D4D-1CA4-4003-8FB4-4A1466E5133D}"/>
    <hyperlink ref="J682" r:id="rId507" display="https://www.cettire.com/collections/santoni" xr:uid="{945E53CB-A048-4F24-8CC6-7F4395C9D715}"/>
    <hyperlink ref="J683" r:id="rId508" display="https://www.cettire.com/collections/sara-battaglia" xr:uid="{E5B5971E-B46C-482F-8D2E-2B5586BAF9E6}"/>
    <hyperlink ref="J684" r:id="rId509" display="https://www.cettire.com/collections/save-the-duck" xr:uid="{D5749FB2-8AE9-4A25-B318-5BF88F40AB5E}"/>
    <hyperlink ref="J685" r:id="rId510" display="https://www.cettire.com/collections/save-the-duck-kids" xr:uid="{ABD01F76-9A24-4DAF-B0AE-A2BCB7C39662}"/>
    <hyperlink ref="J686" r:id="rId511" display="https://www.cettire.com/collections/see-by-chloe" xr:uid="{2325485B-962A-4DB2-817F-EF7B6CBF1BFD}"/>
    <hyperlink ref="J687" r:id="rId512" display="https://www.cettire.com/collections/self-portrait" xr:uid="{CE4B7EC6-ED9D-43A4-9019-A29757998910}"/>
    <hyperlink ref="J688" r:id="rId513" display="https://www.cettire.com/collections/sergio-rossi" xr:uid="{06491327-F307-4510-A34F-6DBFC8B88D03}"/>
    <hyperlink ref="J689" r:id="rId514" display="https://www.cettire.com/collections/si-rossi" xr:uid="{78BD98EC-1E99-420B-927F-2C208ED9AED4}"/>
    <hyperlink ref="J690" r:id="rId515" display="https://www.cettire.com/collections/sies-marjan" xr:uid="{4B1BDE20-0104-426D-ACA4-220DE7ACA3AF}"/>
    <hyperlink ref="J691" r:id="rId516" display="https://www.cettire.com/collections/simon-miller" xr:uid="{F8BAD836-F848-4868-8258-572E1DA9241D}"/>
    <hyperlink ref="J692" r:id="rId517" display="https://www.cettire.com/collections/simone-rocha" xr:uid="{4B53EAC0-C58F-4C0E-8A2E-4687A8F5431E}"/>
    <hyperlink ref="J693" r:id="rId518" display="https://www.cettire.com/collections/simonetta" xr:uid="{9468FA61-B504-454B-AE6F-FC25D0B2380B}"/>
    <hyperlink ref="J694" r:id="rId519" display="https://www.cettire.com/collections/sofie-dhoore" xr:uid="{313B32A8-79E4-40EB-B71A-01EFB9FB564C}"/>
    <hyperlink ref="J695" r:id="rId520" display="https://www.cettire.com/collections/sonia-rykiel" xr:uid="{420F1F95-CF7D-4DBC-B5BA-C3B39452512B}"/>
    <hyperlink ref="J696" r:id="rId521" display="https://www.cettire.com/collections/spalwart" xr:uid="{84F709B6-B826-4DB6-965F-BA72046E74AB}"/>
    <hyperlink ref="J697" r:id="rId522" display="https://www.cettire.com/collections/sportmax" xr:uid="{862AABCA-678F-48DB-830C-E9730A91B5BC}"/>
    <hyperlink ref="J698" r:id="rId523" display="https://www.cettire.com/collections/sporty-rich" xr:uid="{505450E6-C1D8-487D-A65E-6107DD5C1F3A}"/>
    <hyperlink ref="J699" r:id="rId524" display="https://www.cettire.com/collections/stand-studio" xr:uid="{E838632D-7008-445B-9B4A-4DDAF51067D1}"/>
    <hyperlink ref="J700" r:id="rId525" display="https://www.cettire.com/collections/staud" xr:uid="{A759D7E7-FBEA-45B4-85BD-6AC62EBF4B0B}"/>
    <hyperlink ref="J701" r:id="rId526" display="https://www.cettire.com/collections/stella-mccartney" xr:uid="{2E5356D5-832D-4CC4-A9F3-FA01BB0B1F36}"/>
    <hyperlink ref="J702" r:id="rId527" display="https://www.cettire.com/collections/stella-mccartney-eyewear" xr:uid="{1916666A-C5C4-42BF-9D3F-01BA0D09F40C}"/>
    <hyperlink ref="J703" r:id="rId528" display="https://www.cettire.com/collections/stella-mccartney-kids" xr:uid="{75ADF8C9-EE75-4A33-8BB5-C5550F96332E}"/>
    <hyperlink ref="J704" r:id="rId529" display="https://www.cettire.com/collections/stone-island" xr:uid="{92D358C3-0046-4672-8EBA-3FC2AA43B068}"/>
    <hyperlink ref="J705" r:id="rId530" display="https://www.cettire.com/collections/stone-island-junior" xr:uid="{10246BA2-AAE1-4F96-8861-9102D39A1101}"/>
    <hyperlink ref="J706" r:id="rId531" display="https://www.cettire.com/collections/stone-island-shadow-project" xr:uid="{0A71BE36-2E1B-4FDC-AC51-EDFA34EE6629}"/>
    <hyperlink ref="J707" r:id="rId532" display="https://www.cettire.com/collections/stuart-weitzman" xr:uid="{FFF10C52-57CB-4D73-920B-FFEE858EF207}"/>
    <hyperlink ref="J708" r:id="rId533" display="https://www.cettire.com/collections/studio-amelia" xr:uid="{09B390AE-8E7C-4CEF-A04A-AA349AEC828F}"/>
    <hyperlink ref="J709" r:id="rId534" display="https://www.cettire.com/collections/stussy" xr:uid="{B54729E0-CDCB-4C95-9405-A3A8D79B39BA}"/>
    <hyperlink ref="J710" r:id="rId535" display="https://www.cettire.com/collections/suicoke" xr:uid="{2BD09D97-C2AE-425C-A2F1-E3775B9F8C8F}"/>
    <hyperlink ref="J711" r:id="rId536" display="https://www.cettire.com/collections/sunflower" xr:uid="{1914A9B5-B148-4FFA-BE40-BC5DCFD17183}"/>
    <hyperlink ref="J712" r:id="rId537" display="https://www.cettire.com/collections/sunnei" xr:uid="{05C5D9AA-C214-4F96-B428-7C408C0B8221}"/>
    <hyperlink ref="J713" r:id="rId538" display="https://www.cettire.com/collections/swarovski" xr:uid="{B0C59D5F-FF89-47EB-9859-51FB17C74602}"/>
    <hyperlink ref="J715" r:id="rId539" display="https://www.cettire.com/collections/t-by-alexander-wang" xr:uid="{696391E4-CCA5-4A35-AFEA-EDBF57DC03E4}"/>
    <hyperlink ref="J716" r:id="rId540" display="https://www.cettire.com/collections/tagliatore" xr:uid="{08E0A8E9-50DB-4B97-875F-750A34DAFE7F}"/>
    <hyperlink ref="J718" r:id="rId541" display="https://www.cettire.com/collections/telfar" xr:uid="{6FDE1173-326D-4785-AFFD-9E682D39EE42}"/>
    <hyperlink ref="J719" r:id="rId542" display="https://www.cettire.com/collections/ten-c" xr:uid="{3EA21133-2DDF-481A-A78D-B052032830A7}"/>
    <hyperlink ref="J720" r:id="rId543" display="https://www.cettire.com/collections/the-attico" xr:uid="{6E863925-771A-4D80-B22C-240F7875AF87}"/>
    <hyperlink ref="J721" r:id="rId544" display="https://www.cettire.com/collections/the-gigi" xr:uid="{84344102-CEE7-4010-B479-FF903B0046FC}"/>
    <hyperlink ref="J722" r:id="rId545" display="https://www.cettire.com/collections/the-marc-jacobs-kids" xr:uid="{F3F602A4-5D1A-4E28-8C73-737D20107F97}"/>
    <hyperlink ref="J723" r:id="rId546" display="https://www.cettire.com/collections/the-north-face" xr:uid="{CBCB4E56-6A69-471C-A2B5-91ABFA73E8FC}"/>
    <hyperlink ref="J724" r:id="rId547" display="https://www.cettire.com/collections/the-north-face-black-series" xr:uid="{391E17DF-03B2-468F-95C7-7C7B850F7D4E}"/>
    <hyperlink ref="J725" r:id="rId548" display="https://www.cettire.com/collections/the-north-face-kids" xr:uid="{93474852-4053-4CB8-89B3-822D005F7406}"/>
    <hyperlink ref="J726" r:id="rId549" display="https://www.cettire.com/collections/the-row" xr:uid="{05AA2658-811D-4207-8A9D-FFDF3BC579C1}"/>
    <hyperlink ref="J727" r:id="rId550" display="https://www.cettire.com/collections/themoire" xr:uid="{07314696-8B1C-4F2D-B58E-CFCCB4E97CBF}"/>
    <hyperlink ref="J728" r:id="rId551" display="https://www.cettire.com/collections/theory" xr:uid="{F34EEADB-93F7-45CD-AFB2-0B139705A722}"/>
    <hyperlink ref="J729" r:id="rId552" display="https://www.cettire.com/collections/thom-browne" xr:uid="{38E560C6-CA1D-45D2-831B-F662181005F8}"/>
    <hyperlink ref="J730" r:id="rId553" display="https://www.cettire.com/collections/thom-browne-eyewear" xr:uid="{394D6569-7CA1-4798-B92E-5C50AA7D3DB8}"/>
    <hyperlink ref="J732" r:id="rId554" display="https://www.cettire.com/collections/tods" xr:uid="{171F7583-BF72-42D2-9B05-A4B17E3F1D27}"/>
    <hyperlink ref="J733" r:id="rId555" display="https://www.cettire.com/collections/tom-ford" xr:uid="{6F1126F1-6686-4091-9351-79A2A8D8B81E}"/>
    <hyperlink ref="J734" r:id="rId556" display="https://www.cettire.com/collections/tom-ford-eyewear" xr:uid="{D656E238-2FE1-4137-A4FF-1EFE12848856}"/>
    <hyperlink ref="J735" r:id="rId557" display="https://www.cettire.com/collections/tommy-hilfiger" xr:uid="{A1B61EF1-B7F5-4883-84DB-810C54882A8E}"/>
    <hyperlink ref="J736" r:id="rId558" display="https://www.cettire.com/collections/tory-burch" xr:uid="{4CF93E82-7027-4A61-8200-13D129504C3E}"/>
    <hyperlink ref="J737" r:id="rId559" display="https://www.cettire.com/collections/toteme" xr:uid="{92619F0E-12C8-4BED-BD62-AA05BD1D3F98}"/>
    <hyperlink ref="J738" r:id="rId560" display="https://www.cettire.com/collections/trickers" xr:uid="{B4BCAC4A-6B83-4567-96F7-18CE57750219}"/>
    <hyperlink ref="J739" r:id="rId561" display="https://www.cettire.com/collections/trippen" xr:uid="{7D9F1A3C-5303-43AD-AAE1-F805A8B28C8F}"/>
    <hyperlink ref="J740" r:id="rId562" display="https://www.cettire.com/collections/twinset" xr:uid="{1849B1CD-01E2-40A0-85C0-49530CFA75F9}"/>
    <hyperlink ref="J741" r:id="rId563" display="https://www.cettire.com/collections/twinset-kids" xr:uid="{45169CB3-DDA3-4596-8D32-FC989D35CF7C}"/>
    <hyperlink ref="J743" r:id="rId564" display="https://www.cettire.com/collections/ugg" xr:uid="{A94275D0-306B-474A-AA02-BAABF8B4E09B}"/>
    <hyperlink ref="J744" r:id="rId565" display="https://www.cettire.com/collections/ugg-kids" xr:uid="{4124F2B3-A5B8-41B2-BC6B-E313913C821D}"/>
    <hyperlink ref="J745" r:id="rId566" display="https://www.cettire.com/collections/uh-nom-uh-nit" xr:uid="{752EBF42-1D39-4A65-954C-7A5C4BF1F13B}"/>
    <hyperlink ref="J746" r:id="rId567" display="https://www.cettire.com/collections/ulla-johnson" xr:uid="{086C5668-30E0-4A51-B2DC-2913CD14556A}"/>
    <hyperlink ref="J747" r:id="rId568" display="https://www.cettire.com/collections/ultrachic" xr:uid="{483B2D61-9622-4DF5-98BB-CD1F933BB59B}"/>
    <hyperlink ref="J748" r:id="rId569" display="https://www.cettire.com/collections/uma-wang" xr:uid="{D2306FDE-5D57-4644-96DC-FD30C7B9CB6C}"/>
    <hyperlink ref="J749" r:id="rId570" display="https://www.cettire.com/collections/undercover" xr:uid="{752F9F17-F2E4-4772-B95A-90EC24C26762}"/>
    <hyperlink ref="J750" r:id="rId571" display="https://www.cettire.com/collections/unravel-project" xr:uid="{1ED02A88-85FC-4E03-A183-A81086286EA2}"/>
    <hyperlink ref="J752" r:id="rId572" display="https://www.cettire.com/collections/valentino" xr:uid="{EDF1AC16-FE32-4D61-85DD-E3E5E704C6DB}"/>
    <hyperlink ref="J753" r:id="rId573" display="https://www.cettire.com/collections/valentino-eyewear" xr:uid="{C7347008-D3FD-4CD1-A560-6283561020D8}"/>
    <hyperlink ref="J754" r:id="rId574" display="https://www.cettire.com/collections/valextra" xr:uid="{88CD1282-E317-4116-B460-24C56319FD14}"/>
    <hyperlink ref="J755" r:id="rId575" display="https://www.cettire.com/collections/vans" xr:uid="{A83EC77D-DF75-4A46-B4ED-3F992900AFC3}"/>
    <hyperlink ref="J756" r:id="rId576" display="https://www.cettire.com/collections/vans-vault" xr:uid="{41EE9D40-385D-40FB-8D12-2E3C4B9DE091}"/>
    <hyperlink ref="J757" r:id="rId577" display="https://www.cettire.com/collections/veja" xr:uid="{7E433494-4461-4358-AC7E-A1BD2D2003D9}"/>
    <hyperlink ref="J758" r:id="rId578" display="https://www.cettire.com/collections/veja-kids" xr:uid="{CC8A4A18-76DC-49BB-B9A7-619A40D9C651}"/>
    <hyperlink ref="J759" r:id="rId579" display="https://www.cettire.com/collections/versace" xr:uid="{7DA502A3-BD9F-4A1C-9EFD-658B802FB24F}"/>
    <hyperlink ref="J760" r:id="rId580" display="https://www.cettire.com/collections/versace-collection" xr:uid="{BE9D0415-3CD9-4CA2-A356-CF6B01CE07FE}"/>
    <hyperlink ref="J761" r:id="rId581" display="https://www.cettire.com/collections/versace-eyewear" xr:uid="{7846B145-8F46-4AAC-93DE-290EB1C1DACC}"/>
    <hyperlink ref="J762" r:id="rId582" display="https://www.cettire.com/collections/versace-jeans-couture" xr:uid="{D18708EB-D7AB-4FFE-ABE9-216D216996BB}"/>
    <hyperlink ref="J763" r:id="rId583" display="https://www.cettire.com/collections/versace-kids" xr:uid="{1C9CC315-B441-4D33-AE4F-2920BAB8FC2D}"/>
    <hyperlink ref="J764" r:id="rId584" display="https://www.cettire.com/collections/vince" xr:uid="{D753DC98-ED90-4907-9E1D-767E106D6851}"/>
    <hyperlink ref="J765" r:id="rId585" display="https://www.cettire.com/collections/vision-of-super" xr:uid="{84388268-678C-4806-AC77-5355FC661FC0}"/>
    <hyperlink ref="J767" r:id="rId586" display="https://www.cettire.com/collections/visvim" xr:uid="{FA0ED9B2-EAA6-4CA3-899C-988B9BE26773}"/>
    <hyperlink ref="J768" r:id="rId587" display="https://www.cettire.com/collections/vivienne-westwood" xr:uid="{502D035D-AFD8-4101-A549-E20B9FC8CC66}"/>
    <hyperlink ref="J770" r:id="rId588" display="https://www.cettire.com/collections/wales-bonner" xr:uid="{D7C681AC-469B-4098-B5C1-60068BB14E7A}"/>
    <hyperlink ref="J771" r:id="rId589" display="https://www.cettire.com/collections/wandler" xr:uid="{87341F2E-531A-49AD-A630-3DE1926B5CC2}"/>
    <hyperlink ref="J772" r:id="rId590" display="https://www.cettire.com/collections/we11done" xr:uid="{A0772582-F1D5-433E-8865-74C017339D0C}"/>
    <hyperlink ref="J773" r:id="rId591" display="https://www.cettire.com/collections/weekend-max-mara" xr:uid="{901A9CF1-1B8D-45B2-A03C-02744E1BBC79}"/>
    <hyperlink ref="J774" r:id="rId592" display="https://www.cettire.com/collections/white-mountaineering" xr:uid="{22038BAC-C141-4D98-BB5A-590BE8E485FF}"/>
    <hyperlink ref="J775" r:id="rId593" display="https://www.cettire.com/collections/woolrich" xr:uid="{352A66E0-A3C2-42AC-8CE8-93D43647E8BB}"/>
    <hyperlink ref="J776" r:id="rId594" display="https://www.cettire.com/collections/woolrich-kids" xr:uid="{BB8AA06A-A436-4FF9-A33B-A79820E12AB3}"/>
    <hyperlink ref="J777" r:id="rId595" display="https://www.cettire.com/collections/woolrich-x-griffin" xr:uid="{C7A30AEF-D861-4E59-9AF2-12F2E88460B5}"/>
    <hyperlink ref="J779" r:id="rId596" display="https://www.cettire.com/collections/y-3" xr:uid="{3E3A98EB-C470-4175-B30C-0871F26CB7D5}"/>
    <hyperlink ref="J780" r:id="rId597" display="https://www.cettire.com/collections/ys" xr:uid="{BA619BA6-8381-41F7-8C38-BBECA702D84C}"/>
    <hyperlink ref="J781" r:id="rId598" display="https://www.cettire.com/collections/y-project" xr:uid="{AEEA5859-AAF6-43C9-8F72-694CBC953A26}"/>
    <hyperlink ref="J782" r:id="rId599" display="https://www.cettire.com/collections/ymc" xr:uid="{66AC8D44-705C-4755-9BAC-5624B98375C5}"/>
    <hyperlink ref="J783" r:id="rId600" display="https://www.cettire.com/collections/yohji-yamamoto" xr:uid="{353C9D61-7DEA-4927-8378-E4B0D1ACE601}"/>
    <hyperlink ref="J784" r:id="rId601" display="https://www.cettire.com/collections/yuzefi" xr:uid="{CF0E0222-724C-4EE5-9690-9261AF63433B}"/>
    <hyperlink ref="J785" r:id="rId602" display="https://www.cettire.com/collections/yves-salomon" xr:uid="{9C049E9D-C54A-4CDA-AE13-FEDC499C3510}"/>
    <hyperlink ref="J787" r:id="rId603" display="https://www.cettire.com/collections/z-zegna" xr:uid="{08B4C176-9D8A-45BD-9D0B-FBB00AB0DFC7}"/>
    <hyperlink ref="J788" r:id="rId604" display="https://www.cettire.com/collections/zadig-voltaire" xr:uid="{B1D234C5-CD64-49CA-893F-B7B8D67B05CE}"/>
    <hyperlink ref="J789" r:id="rId605" display="https://www.cettire.com/collections/zadig-voltaire-kids" xr:uid="{D5779B71-E33B-447C-8217-2DC4B2AD221E}"/>
    <hyperlink ref="J790" r:id="rId606" display="https://www.cettire.com/collections/zimmermann" xr:uid="{B9CFA31A-47CF-41FC-91E2-0D4FB5AB10C5}"/>
    <hyperlink ref="K135" r:id="rId607" display="https://www.cettire.com/collections/s-max-mara" xr:uid="{2EACDFEC-FCF1-4607-BE6B-C039A7235AA3}"/>
    <hyperlink ref="K137" r:id="rId608" display="https://www.cettire.com/collections/1017-alyx-9sm" xr:uid="{C124F362-65CA-4850-88ED-175E7AA0C4E1}"/>
    <hyperlink ref="K138" r:id="rId609" display="https://www.cettire.com/collections/3-1-phillip-lim" xr:uid="{35E27B27-4560-4D99-A86A-16456DBCDDF5}"/>
    <hyperlink ref="K139" r:id="rId610" display="https://www.cettire.com/collections/424" xr:uid="{037A9E62-BF60-423D-9655-042EC39FC034}"/>
    <hyperlink ref="K140" r:id="rId611" display="https://www.cettire.com/collections/7-for-all-mankind" xr:uid="{B6773042-C22F-4497-BD2B-9BC74D29DBD0}"/>
    <hyperlink ref="K142" r:id="rId612" display="https://www.cettire.com/collections/lvin-l-in-kids" xr:uid="{1645B13E-147A-430B-A635-39DEA026A992}"/>
    <hyperlink ref="K143" r:id="rId613" display="https://www.cettire.com/collections/mm-ilfig-r-kids" xr:uid="{BD66E1D6-D99A-4D82-9456-A4413336F87E}"/>
    <hyperlink ref="K145" r:id="rId614" display="https://www.cettire.com/collections/a-cold-wall" xr:uid="{36EBA1CD-2896-4A67-BF2A-E0CDA1512FF2}"/>
    <hyperlink ref="K146" r:id="rId615" display="https://www.cettire.com/collections/a-p-c" xr:uid="{2D5F43C0-2CA6-495F-9BD8-C7818A55235A}"/>
    <hyperlink ref="K147" r:id="rId616" display="https://www.cettire.com/collections/a-w-a-k-e-mode" xr:uid="{170F2635-B9E6-4AFE-8395-CA4E0AE1394A}"/>
    <hyperlink ref="K148" r:id="rId617" display="https://www.cettire.com/collections/abra" xr:uid="{C2437184-8A52-412A-A1E7-126A9794B9E8}"/>
    <hyperlink ref="K149" r:id="rId618" display="https://www.cettire.com/collections/ader-error" xr:uid="{E4D5DDB2-C864-40B6-A6E7-DB2A381F14A3}"/>
    <hyperlink ref="K150" r:id="rId619" display="https://www.cettire.com/collections/adidas" xr:uid="{D53E8D37-33AC-456E-AD8C-5C8164E41CBF}"/>
    <hyperlink ref="K151" r:id="rId620" display="https://www.cettire.com/collections/adidas-by-danielle-cathari" xr:uid="{98F5D5AC-ECF3-4195-9473-4E2DB67E5E75}"/>
    <hyperlink ref="K152" r:id="rId621" display="https://www.cettire.com/collections/adidas-by-human-made" xr:uid="{3E935E4C-AD83-4E1F-903A-BFCF43861037}"/>
    <hyperlink ref="K153" r:id="rId622" display="https://www.cettire.com/collections/adidas-by-pharrell-williams" xr:uid="{E4B47B6B-A3BB-42B8-806A-8FDD0767885F}"/>
    <hyperlink ref="K154" r:id="rId623" display="https://www.cettire.com/collections/adidas-by-raf-simons" xr:uid="{5B10803E-309B-4B76-AB13-C539850974D0}"/>
    <hyperlink ref="K155" r:id="rId624" display="https://www.cettire.com/collections/adidas-by-stella-mccartney" xr:uid="{F4C655EE-48ED-4E07-85C0-7AEF1A925629}"/>
    <hyperlink ref="K156" r:id="rId625" display="https://www.cettire.com/collections/adidas-by-wales-bonner" xr:uid="{23E84A20-469A-4564-B0E4-1E153372D79D}"/>
    <hyperlink ref="K157" r:id="rId626" display="https://www.cettire.com/collections/adidas-kids" xr:uid="{99717821-7D06-40CC-BFC7-E9A6F7520092}"/>
    <hyperlink ref="K158" r:id="rId627" display="https://www.cettire.com/collections/adidas-originals" xr:uid="{76E574AD-100F-47B2-9D28-2E322298D47D}"/>
    <hyperlink ref="K159" r:id="rId628" display="https://www.cettire.com/collections/adidas-originals-by-alexander-wang" xr:uid="{4206F08E-4248-4DB3-A868-2E3991DE6F6C}"/>
    <hyperlink ref="K160" r:id="rId629" display="https://www.cettire.com/collections/adriana-degreas" xr:uid="{F51B9A98-913D-400B-88B3-DE3925DE77E4}"/>
    <hyperlink ref="K161" r:id="rId630" display="https://www.cettire.com/collections/aeyd%C4%93" xr:uid="{C86AD98F-E751-4A63-BBB9-BDA409C7FC57}"/>
    <hyperlink ref="K162" r:id="rId631" display="https://www.cettire.com/collections/agnona" xr:uid="{7E4FBEBF-81D6-4ADD-8EF6-57552CAC46CB}"/>
    <hyperlink ref="K163" r:id="rId632" display="https://www.cettire.com/collections/agolde" xr:uid="{654A17A2-9E05-47C5-B367-3F26B803B32F}"/>
    <hyperlink ref="K164" r:id="rId633" display="https://www.cettire.com/collections/alaia" xr:uid="{A60BFF9F-EBCB-4DF9-8C9B-AC436E5317F8}"/>
    <hyperlink ref="K165" r:id="rId634" display="https://www.cettire.com/collections/alanui" xr:uid="{2BFC44B2-03BB-45DB-83C0-203F145C054F}"/>
    <hyperlink ref="K166" r:id="rId635" display="https://www.cettire.com/collections/alberta-ferretti" xr:uid="{908402E4-DFF3-4541-A591-197A17E26B19}"/>
    <hyperlink ref="K167" r:id="rId636" display="https://www.cettire.com/collections/alberta-ferretti-kids" xr:uid="{8DA3B8EE-2B93-4ADC-9B60-07871AACB6C8}"/>
    <hyperlink ref="K168" r:id="rId637" display="https://www.cettire.com/collections/alberto-biani" xr:uid="{82DFF661-BD79-425F-A14A-16FE95AB0E6F}"/>
    <hyperlink ref="K169" r:id="rId638" display="https://www.cettire.com/collections/alessandra-rich" xr:uid="{1415A30E-A1E2-499E-955E-CFAA77A675DA}"/>
    <hyperlink ref="K170" r:id="rId639" display="https://www.cettire.com/collections/alessia-xoccato" xr:uid="{11FE03C6-8A86-4BF1-BD22-6F590BC366C6}"/>
    <hyperlink ref="K171" r:id="rId640" display="https://www.cettire.com/collections/alexander-mcqueen" xr:uid="{D067CF4B-11C4-4E5D-AC1C-A313F9481BFD}"/>
    <hyperlink ref="K172" r:id="rId641" display="https://www.cettire.com/collections/alexander-mcqueen-eyewear" xr:uid="{47D07F8D-4FB4-4EE5-9BF9-7C5B884AE36C}"/>
    <hyperlink ref="K173" r:id="rId642" display="https://www.cettire.com/collections/alexander-mcqueen-kids" xr:uid="{21FB3FB3-83BD-4CD9-80E3-62AB8405FDF1}"/>
    <hyperlink ref="K174" r:id="rId643" display="https://www.cettire.com/collections/alexander-wang" xr:uid="{698FAA04-5DC0-43A8-B8CF-9300D7D066B4}"/>
    <hyperlink ref="K175" r:id="rId644" display="https://www.cettire.com/collections/alexandre-vauthier" xr:uid="{73CEEED4-1DB6-40F5-BD48-4205B69F0E8C}"/>
    <hyperlink ref="K177" r:id="rId645" display="https://www.cettire.com/collections/alpha-industries" xr:uid="{2119EA87-653D-4B28-A8A8-EA8B1B039EFD}"/>
    <hyperlink ref="K178" r:id="rId646" display="https://www.cettire.com/collections/ambush" xr:uid="{9E712A5A-83FA-45DF-B1E6-F1DF92825BAE}"/>
    <hyperlink ref="K179" r:id="rId647" display="https://www.cettire.com/collections/amen" xr:uid="{35FDC4C6-6C17-47A5-AAD3-45F1C6640508}"/>
    <hyperlink ref="K180" r:id="rId648" display="https://www.cettire.com/collections/ami" xr:uid="{1D308D11-DB61-4F16-AAF2-6F8F48CEE0E0}"/>
    <hyperlink ref="K181" r:id="rId649" display="https://www.cettire.com/collections/amina-muaddi" xr:uid="{2ECD7744-E082-451D-9D9D-0131147DB05A}"/>
    <hyperlink ref="K182" r:id="rId650" display="https://www.cettire.com/collections/amiri" xr:uid="{373798A6-2380-4D70-8848-FA52CE677F48}"/>
    <hyperlink ref="K183" r:id="rId651" display="https://www.cettire.com/collections/ancient-greek-sandals" xr:uid="{F4E6D043-B849-4B59-B246-9909F43B6329}"/>
    <hyperlink ref="K186" r:id="rId652" display="https://www.cettire.com/collections/anita-bilardi" xr:uid="{F035395C-6B1F-47D3-B4DB-296319CF4586}"/>
    <hyperlink ref="K187" r:id="rId653" display="https://www.cettire.com/collections/aniye-by" xr:uid="{FC11D2C2-382D-4A5A-8C92-922971384446}"/>
    <hyperlink ref="K188" r:id="rId654" display="https://www.cettire.com/collections/ann-demeulemeester" xr:uid="{637379BA-5F4F-44A2-B861-7B5591569652}"/>
    <hyperlink ref="K189" r:id="rId655" display="https://www.cettire.com/collections/antonino-valenti" xr:uid="{A5BA82B3-6730-4852-A5D9-816285EB2C92}"/>
    <hyperlink ref="K190" r:id="rId656" display="https://www.cettire.com/collections/anya-hindmarch" xr:uid="{54EE3E72-68AB-4569-A350-35A53415232F}"/>
    <hyperlink ref="K191" r:id="rId657" display="https://www.cettire.com/collections/apesi" xr:uid="{AE425A76-855C-4E64-A3E3-2E40227B9140}"/>
    <hyperlink ref="K192" r:id="rId658" display="https://www.cettire.com/collections/aquazzura" xr:uid="{CBC33534-828E-44A4-BB27-E1F934C5F049}"/>
    <hyperlink ref="K194" r:id="rId659" display="https://www.cettire.com/collections/area" xr:uid="{64733929-4AE6-4354-8C95-0AE7C200C13F}"/>
    <hyperlink ref="K195" r:id="rId660" display="https://www.cettire.com/collections/aries" xr:uid="{A859255D-3249-4D90-AF43-F9E609EB58D3}"/>
    <hyperlink ref="K196" r:id="rId661" display="https://www.cettire.com/collections/arizona-love" xr:uid="{4162A6D6-91A7-4D69-8E34-3C1810E5ABBB}"/>
    <hyperlink ref="K197" r:id="rId662" display="https://www.cettire.com/collections/arma" xr:uid="{3A5758D0-3022-48E7-B875-0B83E717D7E9}"/>
    <hyperlink ref="K198" r:id="rId663" display="https://www.cettire.com/collections/art-dealer" xr:uid="{0895B2BF-ABA9-4AD3-8610-B53648B5D808}"/>
    <hyperlink ref="K199" r:id="rId664" display="https://www.cettire.com/collections/ash" xr:uid="{F879C6E8-FA49-4A09-BF10-B10910D6D59E}"/>
    <hyperlink ref="K200" r:id="rId665" display="https://www.cettire.com/collections/asics" xr:uid="{44A2C826-A458-4627-9D7B-944FA331238E}"/>
    <hyperlink ref="K201" r:id="rId666" display="https://www.cettire.com/collections/aspesi" xr:uid="{77729113-E92E-43A5-A8A9-51B08C46D90B}"/>
    <hyperlink ref="K202" r:id="rId667" display="https://www.cettire.com/collections/attico" xr:uid="{3556F235-1561-4D59-BCBC-C47EEC6A7926}"/>
    <hyperlink ref="K203" r:id="rId668" display="https://www.cettire.com/collections/au-depart" xr:uid="{685B3554-767D-402C-B0DC-1BA75F8D410E}"/>
    <hyperlink ref="K204" r:id="rId669" display="https://www.cettire.com/collections/autry" xr:uid="{A1EB4255-3721-4302-BBE8-F93A4721FD46}"/>
    <hyperlink ref="K205" r:id="rId670" display="https://www.cettire.com/collections/axel-arigato" xr:uid="{85DE78A3-00E4-466B-90E9-092CF20A675C}"/>
    <hyperlink ref="K207" r:id="rId671" display="https://www.cettire.com/collections/balenciaga" xr:uid="{1D6AB2B7-CACA-4B16-9733-A79263661A79}"/>
    <hyperlink ref="K208" r:id="rId672" display="https://www.cettire.com/collections/balenciaga-eyewear" xr:uid="{8F15911F-CDDE-4ECB-B4B3-C1FC42E259E2}"/>
    <hyperlink ref="K209" r:id="rId673" display="https://www.cettire.com/collections/balenciaga-kids" xr:uid="{C1BCD6B2-E7B3-4B2C-B011-F2E1D8FBECC9}"/>
    <hyperlink ref="K210" r:id="rId674" display="https://www.cettire.com/collections/ballantyne" xr:uid="{68AC0A3E-7246-4EEA-9D6F-829CADED272B}"/>
    <hyperlink ref="K212" r:id="rId675" display="https://www.cettire.com/collections/bally" xr:uid="{E6D92ABA-A37A-4EE5-AC9C-B57194174070}"/>
    <hyperlink ref="K213" r:id="rId676" display="https://www.cettire.com/collections/balmain" xr:uid="{16731016-82FC-41CB-878B-7D9EEE6ED1B8}"/>
    <hyperlink ref="K214" r:id="rId677" display="https://www.cettire.com/collections/balmain-kids" xr:uid="{8A24D265-47FE-4C66-B255-E55E727BB1FE}"/>
    <hyperlink ref="K215" r:id="rId678" display="https://www.cettire.com/collections/bao-bao-issey-miyake" xr:uid="{BDD2E31A-AF40-4FDC-BE2D-F993B1CD8C1C}"/>
    <hyperlink ref="K216" r:id="rId679" display="https://www.cettire.com/collections/barba" xr:uid="{89607641-506A-489A-AEE3-2FE671F0C4B8}"/>
    <hyperlink ref="K217" r:id="rId680" display="https://www.cettire.com/collections/barbour" xr:uid="{78C51607-CA7F-4D8C-95E7-A7586A2C5ED9}"/>
    <hyperlink ref="K218" r:id="rId681" display="https://www.cettire.com/collections/barena" xr:uid="{55D4EC5B-44C7-4115-B454-46B1E5043769}"/>
    <hyperlink ref="K219" r:id="rId682" display="https://www.cettire.com/collections/bark-b-rules" xr:uid="{4F0C9C49-BB8B-47B0-8C4E-470C59C86080}"/>
    <hyperlink ref="K220" r:id="rId683" display="https://www.cettire.com/collections/barrow" xr:uid="{5A180B32-6B09-46F5-98F6-5F03AADD2669}"/>
    <hyperlink ref="K221" r:id="rId684" display="https://www.cettire.com/collections/baum-und-pferdgarten" xr:uid="{155D642C-482F-43BB-A9F3-FB1AF0156B4F}"/>
    <hyperlink ref="K222" r:id="rId685" display="https://www.cettire.com/collections/belstaff" xr:uid="{374B401F-ED64-49AE-A0BF-B3C8CE6534E4}"/>
    <hyperlink ref="K223" r:id="rId686" display="https://www.cettire.com/collections/berluti" xr:uid="{7AFBAAED-15B7-4841-A0FC-935C3E84F97F}"/>
    <hyperlink ref="K224" r:id="rId687" display="https://www.cettire.com/collections/billieblush" xr:uid="{CBF31DAB-E3CB-418B-9ADF-63B633BE09C2}"/>
    <hyperlink ref="K225" r:id="rId688" display="https://www.cettire.com/collections/billionaire" xr:uid="{BC5032E1-C18A-4EF7-A7C4-9D3A5A8075B3}"/>
    <hyperlink ref="K226" r:id="rId689" display="https://www.cettire.com/collections/billionaire-boys-club" xr:uid="{278030E4-4F2B-4BE4-9B23-3EF05748134C}"/>
    <hyperlink ref="K227" r:id="rId690" display="https://www.cettire.com/collections/birkenstock" xr:uid="{B8D42565-82FF-47C3-821F-FA85BBCAA276}"/>
    <hyperlink ref="K228" r:id="rId691" display="https://www.cettire.com/collections/bobo-choses" xr:uid="{AC691204-61B2-459B-BA9A-A31BA4151274}"/>
    <hyperlink ref="K230" r:id="rId692" display="https://www.cettire.com/collections/bode" xr:uid="{72C582F3-36BE-4E91-8C99-1C1D533BF782}"/>
    <hyperlink ref="K231" r:id="rId693" display="https://www.cettire.com/collections/boglioli" xr:uid="{C135C926-26F4-46D3-9487-EE32B925ECD4}"/>
    <hyperlink ref="K232" r:id="rId694" display="https://www.cettire.com/collections/bonpoint" xr:uid="{55D206A8-CA81-4D97-A143-E08EB3DD32DD}"/>
    <hyperlink ref="K233" r:id="rId695" display="https://www.cettire.com/collections/bottega-veneta" xr:uid="{BEEB3C01-4587-49E2-9910-F4415FCD603D}"/>
    <hyperlink ref="K234" r:id="rId696" display="https://www.cettire.com/collections/bottega-veneta-eyewear" xr:uid="{FEE2ADBF-EBBA-46AE-B304-160BC51DF79A}"/>
    <hyperlink ref="K235" r:id="rId697" display="https://www.cettire.com/collections/botter" xr:uid="{A6E51CC5-FF11-4965-BC8F-3F27F86D30F6}"/>
    <hyperlink ref="K236" r:id="rId698" display="https://www.cettire.com/collections/boutique-moschino" xr:uid="{C06A7F8C-179F-4A81-9246-6A08465DAFEC}"/>
    <hyperlink ref="K237" r:id="rId699" display="https://www.cettire.com/collections/boyy" xr:uid="{14E90A1D-6F69-4FB8-844F-1CC2F8FCA8F5}"/>
    <hyperlink ref="K238" r:id="rId700" display="https://www.cettire.com/collections/brian-dales" xr:uid="{18E6DE32-5F0A-4BE1-8405-8D760DC3F034}"/>
    <hyperlink ref="K239" r:id="rId701" display="https://www.cettire.com/collections/brunello-cucinelli" xr:uid="{C7E27B47-87C9-4C95-A43A-5F25BD82275D}"/>
    <hyperlink ref="K240" r:id="rId702" display="https://www.cettire.com/collections/brunello-cucinelli-kids" xr:uid="{378CAA48-EBEB-4D05-B711-5282035A5D07}"/>
    <hyperlink ref="K241" r:id="rId703" display="https://www.cettire.com/collections/building-block" xr:uid="{E328DD2B-AAD3-4CFC-898B-B6E363415DD0}"/>
    <hyperlink ref="K242" r:id="rId704" display="https://www.cettire.com/collections/bulgari" xr:uid="{63EFDC7B-245A-4C56-98C9-557742BC7850}"/>
    <hyperlink ref="K243" r:id="rId705" display="https://www.cettire.com/collections/burberry" xr:uid="{BAFC5D4B-AB82-46B8-8097-6522EFC363A9}"/>
    <hyperlink ref="K244" r:id="rId706" display="https://www.cettire.com/collections/burberry-eyewear" xr:uid="{5E5D36F1-B30C-4B79-83AF-9B3FB622A4F6}"/>
    <hyperlink ref="K245" r:id="rId707" display="https://www.cettire.com/collections/burberry-kids" xr:uid="{B5F9252A-2DB4-4136-B8C3-ECF601B148A5}"/>
    <hyperlink ref="K246" r:id="rId708" display="https://www.cettire.com/collections/buscemi" xr:uid="{08639CC4-B1DC-4CA5-BABF-D89FE5DE3ECC}"/>
    <hyperlink ref="K247" r:id="rId709" display="https://www.cettire.com/collections/buttero" xr:uid="{2CD66E32-A128-4727-9968-872567AE2F05}"/>
    <hyperlink ref="K248" r:id="rId710" display="https://www.cettire.com/collections/by-far" xr:uid="{6EDF363E-0C79-410A-8AC4-1A5F92A135CC}"/>
    <hyperlink ref="K250" r:id="rId711" display="https://www.cettire.com/collections/c-p-company" xr:uid="{4A9BDABF-ABB2-47B2-8AAE-5698B9524BB3}"/>
    <hyperlink ref="K251" r:id="rId712" display="https://www.cettire.com/collections/c-p-company-kids" xr:uid="{7F68AB54-3317-4F97-9F52-A8EDCAAA4508}"/>
    <hyperlink ref="K252" r:id="rId713" display="https://www.cettire.com/collections/c2h4" xr:uid="{935C862B-884B-4B2D-97BD-59C1AC3DDABB}"/>
    <hyperlink ref="K253" r:id="rId714" display="https://www.cettire.com/collections/calvin-klein" xr:uid="{A2F36B57-3717-4270-9951-4A7504E692FD}"/>
    <hyperlink ref="K254" r:id="rId715" display="https://www.cettire.com/collections/calvin-klein-jeans-est-1978" xr:uid="{57510399-B2DB-4689-83AE-C116557A3175}"/>
    <hyperlink ref="K255" r:id="rId716" display="https://www.cettire.com/collections/canada-goose" xr:uid="{5A8E52FC-9648-4DC2-930B-C97AF093913A}"/>
    <hyperlink ref="K256" r:id="rId717" display="https://www.cettire.com/collections/canada-goose-kids" xr:uid="{C6CC76C7-8CE4-434F-A750-D945132C3672}"/>
    <hyperlink ref="K257" r:id="rId718" display="https://www.cettire.com/collections/canali" xr:uid="{7570B45A-FFDA-47D0-83BC-37B68B555140}"/>
    <hyperlink ref="K258" r:id="rId719" display="https://www.cettire.com/collections/car-shoe" xr:uid="{30019AD3-4E98-41E3-AA18-C2543446B06E}"/>
    <hyperlink ref="K259" r:id="rId720" display="https://www.cettire.com/collections/carhartt" xr:uid="{A76B72E2-78E5-4A41-B719-CD22729B2826}"/>
    <hyperlink ref="K260" r:id="rId721" display="https://www.cettire.com/collections/carhartt-wip" xr:uid="{723086F8-E941-44E6-BD2E-329D574E4FB6}"/>
    <hyperlink ref="K261" r:id="rId722" display="https://www.cettire.com/collections/carrera" xr:uid="{2B635622-F236-481D-B35A-8C66C4D0ACD9}"/>
    <hyperlink ref="K262" r:id="rId723" display="https://www.cettire.com/collections/cartier" xr:uid="{4971A4EE-532E-49FD-AFE3-BADB106B9D16}"/>
    <hyperlink ref="K263" r:id="rId724" display="https://www.cettire.com/collections/carven" xr:uid="{9FCCA5A3-B948-4FC9-939E-4901CB4EB77E}"/>
    <hyperlink ref="K264" r:id="rId725" display="https://www.cettire.com/collections/casablanca" xr:uid="{53F78736-34FA-4FCA-88F6-098344152257}"/>
    <hyperlink ref="K266" r:id="rId726" display="https://www.cettire.com/collections/cc-collection-corneliani" xr:uid="{770ECC4E-CD86-4944-8CC5-7D19985F8620}"/>
    <hyperlink ref="K267" r:id="rId727" display="https://www.cettire.com/collections/cecilie-bahnsen" xr:uid="{99DCB7BA-33EA-493A-968B-5531C34376EE}"/>
    <hyperlink ref="K268" r:id="rId728" display="https://www.cettire.com/collections/champion" xr:uid="{1AB98899-AA1A-4E8F-B00A-6D4215752218}"/>
    <hyperlink ref="K269" r:id="rId729" display="https://www.cettire.com/collections/chanel" xr:uid="{FCF6C1B6-7953-4A89-8D8D-195DC18518A4}"/>
    <hyperlink ref="K270" r:id="rId730" display="https://www.cettire.com/collections/chiara-ferragni" xr:uid="{24DA1DCC-791F-4EDA-AD3A-0FE7AB92A4A2}"/>
    <hyperlink ref="K271" r:id="rId731" display="https://www.cettire.com/collections/chiara-ferragni-kids" xr:uid="{9FC920F6-818A-4654-92D9-6886DE127D41}"/>
    <hyperlink ref="K272" r:id="rId732" display="https://www.cettire.com/collections/chie-mihara" xr:uid="{F559A208-762D-4058-97C9-D6E995A63C77}"/>
    <hyperlink ref="K274" r:id="rId733" display="https://www.cettire.com/collections/chloe" xr:uid="{4A9AAC91-8FD0-4D51-9090-DD15B20761F1}"/>
    <hyperlink ref="K275" r:id="rId734" display="https://www.cettire.com/collections/chloe-eyewear" xr:uid="{C43556CD-3A58-4F4F-A264-CD0E1761E07A}"/>
    <hyperlink ref="K276" r:id="rId735" display="https://www.cettire.com/collections/chlo%C3%A9 kids" xr:uid="{8A23BFD2-FD4D-4416-BE88-A6E53072C803}"/>
    <hyperlink ref="K277" r:id="rId736" display="https://www.cettire.com/collections/chopard-eyewear" xr:uid="{6BDC7BBB-8B6B-4258-8397-4E7A070C7329}"/>
    <hyperlink ref="K278" r:id="rId737" display="https://www.cettire.com/collections/chopova-lowena" xr:uid="{B5CB1C64-5CF1-4956-8414-B4275B762A15}"/>
    <hyperlink ref="K279" r:id="rId738" display="https://www.cettire.com/collections/christian-louboutin" xr:uid="{A558BDE2-5BD5-4AB3-A85B-F11CF84AC912}"/>
    <hyperlink ref="K280" r:id="rId739" display="https://www.cettire.com/collections/churchs" xr:uid="{38DD55D2-68E7-47EF-A2A5-63262FC7C0C6}"/>
    <hyperlink ref="K281" r:id="rId740" display="https://www.cettire.com/collections/circus-hotel" xr:uid="{A773D905-6970-472A-9E62-219A65E84452}"/>
    <hyperlink ref="K282" r:id="rId741" display="https://www.cettire.com/collections/citizens-of-humanity" xr:uid="{2A1CADB5-5459-4667-95AE-C51DC0E28EE7}"/>
    <hyperlink ref="K283" r:id="rId742" display="https://www.cettire.com/collections/co" xr:uid="{D2D7F8ED-9280-4AF1-B149-06F53AA399C3}"/>
    <hyperlink ref="K284" r:id="rId743" display="https://www.cettire.com/collections/coach" xr:uid="{7A37E4F5-050E-4EB8-914E-65A6B31609C0}"/>
    <hyperlink ref="K285" r:id="rId744" display="https://www.cettire.com/collections/coliac" xr:uid="{865D8599-F893-4F7C-B420-3E0AE78E0DCD}"/>
    <hyperlink ref="K286" r:id="rId745" display="https://www.cettire.com/collections/collina-strada" xr:uid="{E9817710-55CD-4DA5-BC09-BBF1BD562D42}"/>
    <hyperlink ref="K287" r:id="rId746" display="https://www.cettire.com/collections/comme-des-garcons" xr:uid="{2C64D087-5111-4106-8DA8-B44B03B9518A}"/>
    <hyperlink ref="K288" r:id="rId747" display="https://www.cettire.com/collections/comme-des-garcons-comme-des-garcons" xr:uid="{83764CC6-73BE-4395-9B6D-DDE497AA28FD}"/>
    <hyperlink ref="K289" r:id="rId748" display="https://www.cettire.com/collections/comme-des-garcons-girl" xr:uid="{61105E1D-2D33-47ED-9CEF-64DD214DC49B}"/>
    <hyperlink ref="K290" r:id="rId749" display="https://www.cettire.com/collections/comme-des-garcons-homme-plus" xr:uid="{C50541B5-682A-47EF-83D5-33F87C3E7ACB}"/>
    <hyperlink ref="K291" r:id="rId750" display="https://www.cettire.com/collections/comme-des-garcons-noir-kei-ninomiya" xr:uid="{FF1236C5-E290-412D-99A9-425845C2B5C5}"/>
    <hyperlink ref="K292" r:id="rId751" display="https://www.cettire.com/collections/comme-des-garcons-play" xr:uid="{89A6CE13-B242-4DCD-87B6-9EEDC9A225A2}"/>
    <hyperlink ref="K293" r:id="rId752" display="https://www.cettire.com/collections/comme-des-garcons-play-kids" xr:uid="{0B346764-4233-489A-87D1-8393E0088D28}"/>
    <hyperlink ref="K294" r:id="rId753" display="https://www.cettire.com/collections/comme-des-garcons-shirt" xr:uid="{EEC84524-6B19-4479-BFA4-867645B2AE59}"/>
    <hyperlink ref="K295" r:id="rId754" display="https://www.cettire.com/collections/comme-des-garcons-shirt-boys" xr:uid="{DE1011B5-F014-4CF1-A0DC-8F4C7466EC8A}"/>
    <hyperlink ref="K296" r:id="rId755" display="https://www.cettire.com/collections/comme-des-garcons-wallet" xr:uid="{86B57B05-E9DC-4BF2-8AA7-A8AEFEA95F70}"/>
    <hyperlink ref="K297" r:id="rId756" display="https://www.cettire.com/collections/common-projects" xr:uid="{1EB38889-94AE-4143-BEEF-185BCAAE14EF}"/>
    <hyperlink ref="K298" r:id="rId757" display="https://www.cettire.com/collections/converse" xr:uid="{11CCDFF9-592D-422C-A681-0312D311113D}"/>
    <hyperlink ref="K299" r:id="rId758" display="https://www.cettire.com/collections/coperni" xr:uid="{BED62F71-2C56-4A10-8A68-2C6042B1B314}"/>
    <hyperlink ref="K300" r:id="rId759" display="https://www.cettire.com/collections/corneliani" xr:uid="{8C3B4497-92C0-43BC-9F63-BE78EACB141B}"/>
    <hyperlink ref="K301" r:id="rId760" display="https://www.cettire.com/collections/courreges-eyewear" xr:uid="{9534B4FE-6A18-4477-8B26-D88AE3F9722B}"/>
    <hyperlink ref="K302" r:id="rId761" display="https://www.cettire.com/collections/craig-green" xr:uid="{65C76AE5-669D-4C6E-B176-A8A7018625D7}"/>
    <hyperlink ref="K303" r:id="rId762" display="https://www.cettire.com/collections/cult-gaia" xr:uid="{84B2B317-CDC5-4697-BBC0-B5FD86118475}"/>
    <hyperlink ref="K304" r:id="rId763" display="https://www.cettire.com/collections/current-elliott" xr:uid="{AA85D77A-0284-41B3-BFEE-AA5B96D93343}"/>
    <hyperlink ref="K305" r:id="rId764" display="https://www.cettire.com/collections/cutler-gross" xr:uid="{F783F3EA-3A21-4838-858C-7E8AA446332E}"/>
    <hyperlink ref="K307" r:id="rId765" display="https://www.cettire.com/collections/daily-paper" xr:uid="{022A343F-CACD-48F8-A864-1A395151646D}"/>
    <hyperlink ref="K308" r:id="rId766" display="https://www.cettire.com/collections/danse-lente" xr:uid="{BF9B8D76-C8DC-4344-A367-E3832450B856}"/>
    <hyperlink ref="K310" r:id="rId767" display="https://www.cettire.com/collections/department-5" xr:uid="{5E6A4D23-DC93-4A8F-8E65-4F7360AD9BFA}"/>
    <hyperlink ref="K311" r:id="rId768" display="https://www.cettire.com/collections/desa-1972" xr:uid="{83C8423D-76B7-46E1-A86F-6ED4EF59A209}"/>
    <hyperlink ref="K312" r:id="rId769" display="https://www.cettire.com/collections/diadora" xr:uid="{A0C09550-7C86-40DB-A4CF-4C92644EEF40}"/>
    <hyperlink ref="K313" r:id="rId770" display="https://www.cettire.com/collections/diane-von-furstenberg" xr:uid="{BA1FB6E6-2DDB-4751-B174-CA5555BAA400}"/>
    <hyperlink ref="K314" r:id="rId771" display="https://www.cettire.com/collections/diemme" xr:uid="{CCCC2CF9-41C4-4FCB-A20B-AA472C824C3D}"/>
    <hyperlink ref="K315" r:id="rId772" display="https://www.cettire.com/collections/diesel" xr:uid="{BB12BD1D-1A47-46FF-9971-B653303B1617}"/>
    <hyperlink ref="K316" r:id="rId773" display="https://www.cettire.com/collections/diesel-black-gold" xr:uid="{329531C1-1D5B-4E3D-8A9B-6BCF51004553}"/>
    <hyperlink ref="K317" r:id="rId774" display="https://www.cettire.com/collections/diesel-kids" xr:uid="{65A6BEB5-E1EF-497F-B583-9C7CB2E7943F}"/>
    <hyperlink ref="K318" r:id="rId775" display="https://www.cettire.com/collections/diesel-red-tag" xr:uid="{52314D51-9761-4D2D-B76A-A2E5C006E074}"/>
    <hyperlink ref="K319" r:id="rId776" display="https://www.cettire.com/collections/dior" xr:uid="{845EA593-E250-4A26-80B3-E7A7C778D453}"/>
    <hyperlink ref="K320" r:id="rId777" display="https://www.cettire.com/collections/dior-eyewear" xr:uid="{595CCAC4-C353-483B-85BA-21F534907998}"/>
    <hyperlink ref="K321" r:id="rId778" display="https://www.cettire.com/collections/dior-homme" xr:uid="{35C7705A-4C5D-42E1-9A70-A73BA7E9A294}"/>
    <hyperlink ref="K322" r:id="rId779" display="https://www.cettire.com/collections/dita-eyewear" xr:uid="{9B3B038A-E85B-4989-9DB6-9FCB1F1DA892}"/>
    <hyperlink ref="K323" r:id="rId780" display="https://www.cettire.com/collections/dkny-kids" xr:uid="{93722A0D-DAA8-4354-A668-633ACC6B07CE}"/>
    <hyperlink ref="K324" r:id="rId781" display="https://www.cettire.com/collections/dodo-bar-or" xr:uid="{DBF3E62A-5673-496A-91E2-CCD7FB1F2013}"/>
    <hyperlink ref="K325" r:id="rId782" display="https://www.cettire.com/collections/dolce-gabbana" xr:uid="{63E0FB97-3EE7-409A-B26D-F058F0B5CBEE}"/>
    <hyperlink ref="K326" r:id="rId783" display="https://www.cettire.com/collections/dolce-gabbana-eyewear" xr:uid="{041CB811-4A52-40A4-A226-68483B8A81CC}"/>
    <hyperlink ref="K327" r:id="rId784" display="https://www.cettire.com/collections/dolce-gabbana-kids" xr:uid="{757068DE-FBEE-4732-9B23-1FF6C9287258}"/>
    <hyperlink ref="K328" r:id="rId785" display="https://www.cettire.com/collections/dr-martens" xr:uid="{66A1DC3C-98FB-4D41-9CD4-6CEF372F295E}"/>
    <hyperlink ref="K329" r:id="rId786" display="https://www.cettire.com/collections/drole-de-monsieur" xr:uid="{E7D6EB93-D02B-4E9F-B115-DA8F7382F439}"/>
    <hyperlink ref="K330" r:id="rId787" display="https://www.cettire.com/collections/dsquared2" xr:uid="{15C0C9D1-249E-4604-8DC8-5C2BB04AD7C9}"/>
    <hyperlink ref="K331" r:id="rId788" display="https://www.cettire.com/collections/dsquared2-eyewear" xr:uid="{FA99AE6F-DE9B-427A-B5D6-D821A30914FE}"/>
    <hyperlink ref="K332" r:id="rId789" display="https://www.cettire.com/collections/dsquared2-kids" xr:uid="{36E875D9-79AB-4E44-BD78-31106B4E512D}"/>
    <hyperlink ref="K333" r:id="rId790" display="https://www.cettire.com/collections/duvetica" xr:uid="{C5FCE31D-5314-4D3C-B35C-0C6D7C8F4E04}"/>
    <hyperlink ref="K335" r:id="rId791" display="https://www.cettire.com/collections/ea7-emporio-armani" xr:uid="{4F7ACF9B-FADB-4E04-919A-5ED2F76260DD}"/>
    <hyperlink ref="K336" r:id="rId792" display="https://www.cettire.com/collections/eastpak" xr:uid="{1BC2A667-A90C-447C-9F78-0F59DED031C1}"/>
    <hyperlink ref="K337" r:id="rId793" display="https://www.cettire.com/collections/eckhaus-latta" xr:uid="{FB455E08-396B-4086-AEC7-1CBA2615F8AE}"/>
    <hyperlink ref="K338" r:id="rId794" display="https://www.cettire.com/collections/eden-power-corp" xr:uid="{048309D3-EB60-4665-B461-2A52B4B35471}"/>
    <hyperlink ref="K339" r:id="rId795" display="https://www.cettire.com/collections/edward-green" xr:uid="{013DD34C-BC3A-4EBE-8278-DD8864C39BA5}"/>
    <hyperlink ref="K340" r:id="rId796" display="https://www.cettire.com/collections/elie-saab-junior" xr:uid="{539DC74D-E543-4CB9-8D21-7FD470914716}"/>
    <hyperlink ref="K341" r:id="rId797" display="https://www.cettire.com/collections/elisabetta-franchi" xr:uid="{8A678BE6-ED52-45C1-A4AE-76861B4FBF4E}"/>
    <hyperlink ref="K342" r:id="rId798" display="https://www.cettire.com/collections/emile-et-ida" xr:uid="{6FB05EB2-C957-459C-A591-77D34AAE8D0D}"/>
    <hyperlink ref="K343" r:id="rId799" display="https://www.cettire.com/collections/emilio-pucci-junior" xr:uid="{9419DCBA-7C74-4973-AF2F-A4D7F18E664A}"/>
    <hyperlink ref="K344" r:id="rId800" display="https://www.cettire.com/collections/emporio-armani" xr:uid="{4C64DC43-1CE2-4491-A496-523F98EAB3C4}"/>
    <hyperlink ref="K345" r:id="rId801" display="https://www.cettire.com/collections/emporio-armani-kids" xr:uid="{1806F8A7-5F44-44EF-92D4-A0C3E3552557}"/>
    <hyperlink ref="K346" r:id="rId802" display="https://www.cettire.com/collections/enfants-riches-deprimes" xr:uid="{26D91196-AC5A-4B94-B05A-81AF3715C466}"/>
    <hyperlink ref="K347" r:id="rId803" display="https://www.cettire.com/collections/engineered-garments" xr:uid="{6C8D499B-4F39-4CCA-83FF-E3BFD6E561B1}"/>
    <hyperlink ref="K350" r:id="rId804" display="https://www.cettire.com/collections/equipment" xr:uid="{D5B6910C-864D-4720-8FDE-69A7F0D3164F}"/>
    <hyperlink ref="K352" r:id="rId805" display="https://www.cettire.com/collections/ermenegildo-zegna" xr:uid="{8F6D3E67-C299-4ACE-BA6D-0CACF6950024}"/>
    <hyperlink ref="K353" r:id="rId806" display="https://www.cettire.com/collections/etre-cecile" xr:uid="{9C571AA6-0448-43F6-90C6-FA606E572E30}"/>
    <hyperlink ref="K354" r:id="rId807" display="https://www.cettire.com/collections/etro" xr:uid="{CAC13C2A-751A-4192-AD31-6DBB47619A43}"/>
    <hyperlink ref="K355" r:id="rId808" display="https://www.cettire.com/collections/eudon-choi" xr:uid="{93455A54-8DC4-45B4-8D56-12CD170C67E7}"/>
    <hyperlink ref="K356" r:id="rId809" display="https://www.cettire.com/collections/extreme-cashmere" xr:uid="{DAB1AE21-8747-4034-853C-4350518C68A6}"/>
    <hyperlink ref="K357" r:id="rId810" display="https://www.cettire.com/collections/eyevan-7285" xr:uid="{6834A4C6-6AAC-4A1B-ABE2-E87784D69D7A}"/>
    <hyperlink ref="K358" r:id="rId811" display="https://www.cettire.com/collections/eytys" xr:uid="{4B89048A-4425-4526-B268-9B207669BEDF}"/>
    <hyperlink ref="K360" r:id="rId812" display="https://www.cettire.com/collections/fabiana-filippi" xr:uid="{72647EC5-FDBE-4AC5-9C2B-A1074C34F9AA}"/>
    <hyperlink ref="K361" r:id="rId813" display="https://www.cettire.com/collections/facetasm" xr:uid="{358DAC78-0C7D-4CA2-9E1D-D10C1A54B921}"/>
    <hyperlink ref="K362" r:id="rId814" display="https://www.cettire.com/collections/faith-connexion" xr:uid="{013C598B-E33E-41D0-AAC3-E4975D5445B1}"/>
    <hyperlink ref="K363" r:id="rId815" display="https://www.cettire.com/collections/fay" xr:uid="{819B1A50-D9E5-4785-9506-063D6C8DDE44}"/>
    <hyperlink ref="K364" r:id="rId816" display="https://www.cettire.com/collections/fay-kids" xr:uid="{293DF979-6B54-4A2A-BC1F-E4A3F7E6D368}"/>
    <hyperlink ref="K365" r:id="rId817" display="https://www.cettire.com/collections/fear-of-god" xr:uid="{737438CA-8E64-4EDC-BEF6-2EB7A898EF2A}"/>
    <hyperlink ref="K366" r:id="rId818" display="https://www.cettire.com/collections/fendi" xr:uid="{794C421D-86C7-4009-9195-FD65333487C6}"/>
    <hyperlink ref="K367" r:id="rId819" display="https://www.cettire.com/collections/fendi-eyewear" xr:uid="{07BEA528-AECE-4854-A962-CC3ACE5C59EA}"/>
    <hyperlink ref="K368" r:id="rId820" display="https://www.cettire.com/collections/fendi-kids" xr:uid="{2D16A543-882B-4B1F-AD32-E544709A7D70}"/>
    <hyperlink ref="K369" r:id="rId821" display="https://www.cettire.com/collections/feng-chen-wang" xr:uid="{7502BC45-42E8-409E-979A-4A9FDC23DB0A}"/>
    <hyperlink ref="K370" r:id="rId822" display="https://www.cettire.com/collections/fenty-x-puma" xr:uid="{0AE4F5B1-0324-48A5-BB8B-5314A3C32C2F}"/>
    <hyperlink ref="K371" r:id="rId823" display="https://www.cettire.com/collections/fila" xr:uid="{50AAE478-727C-4E0E-BC72-2EFBCE98B8FB}"/>
    <hyperlink ref="K372" r:id="rId824" display="https://www.cettire.com/collections/finamore-1925-napoli" xr:uid="{7254466E-C623-46B1-A5A9-32B86F64A5C7}"/>
    <hyperlink ref="K373" r:id="rId825" display="https://www.cettire.com/collections/flat-apartment" xr:uid="{B1C5186C-5615-4E65-8A5B-9EEB3E7C975B}"/>
    <hyperlink ref="K374" r:id="rId826" display="https://www.cettire.com/collections/forte-dei-marmi-couture" xr:uid="{C13E5839-F7F1-46CB-8B4E-DCAD6E15473B}"/>
    <hyperlink ref="K375" r:id="rId827" display="https://www.cettire.com/collections/forte-forte" xr:uid="{F5E6EF0C-6729-42CA-9BBB-1D85646B3E0A}"/>
    <hyperlink ref="K376" r:id="rId828" display="https://www.cettire.com/collections/frame" xr:uid="{73934334-946A-45D1-A7CC-92404355F7A7}"/>
    <hyperlink ref="K377" r:id="rId829" display="https://www.cettire.com/collections/francesco-russo" xr:uid="{76344681-7E08-4A92-8ED3-0C7ADC9D2903}"/>
    <hyperlink ref="K378" r:id="rId830" display="https://www.cettire.com/collections/freedomday" xr:uid="{1E997A98-CE8D-4BC4-93CE-DF1B287F8238}"/>
    <hyperlink ref="K379" r:id="rId831" display="https://www.cettire.com/collections/fucking-awesome" xr:uid="{C9160B2D-F405-4650-A7F4-0868832547E1}"/>
    <hyperlink ref="K380" r:id="rId832" display="https://www.cettire.com/collections/furla" xr:uid="{80114B2A-E7B1-494E-83FD-1F11E27842E1}"/>
    <hyperlink ref="K382" r:id="rId833" display="https://www.cettire.com/collections/gabriela-hearst" xr:uid="{8C4A2395-4FF4-4397-A387-ED14EF8D5341}"/>
    <hyperlink ref="K383" r:id="rId834" display="https://www.cettire.com/collections/gallery-dept" xr:uid="{51638412-7EE9-4703-880E-0CF4CEBAFDFF}"/>
    <hyperlink ref="K384" r:id="rId835" display="https://www.cettire.com/collections/ganni" xr:uid="{79964A1D-E3ED-48A8-BE00-E6DCEF9A72F8}"/>
    <hyperlink ref="K385" r:id="rId836" display="https://www.cettire.com/collections/garrett-leight" xr:uid="{9E76826F-927E-417A-B251-C5EF7D15FE70}"/>
    <hyperlink ref="K387" r:id="rId837" display="https://www.cettire.com/collections/gcds" xr:uid="{6BDC7FE2-664F-4E29-9CDC-1DDD9D5BA778}"/>
    <hyperlink ref="K388" r:id="rId838" display="https://www.cettire.com/collections/gcds-kids" xr:uid="{61BCA83B-4C34-41F3-81CC-4AFA117626AC}"/>
    <hyperlink ref="K389" r:id="rId839" display="https://www.cettire.com/collections/gia-borghini" xr:uid="{1BCAE7A0-D22D-45D6-9F23-96F9491D7E8F}"/>
    <hyperlink ref="K390" r:id="rId840" display="https://www.cettire.com/collections/gia-couture" xr:uid="{BAADFA3D-1B3B-4F3F-BC2E-7D9FD94BDD8D}"/>
    <hyperlink ref="K391" r:id="rId841" display="https://www.cettire.com/collections/giambattista-valli" xr:uid="{0A3829D1-A808-4328-80AC-1305DE45C81B}"/>
    <hyperlink ref="K392" r:id="rId842" display="https://www.cettire.com/collections/giorgio-armani" xr:uid="{994E9AA5-501F-485B-97AD-817FCAFE3EDB}"/>
    <hyperlink ref="K393" r:id="rId843" display="https://www.cettire.com/collections/givenchy" xr:uid="{CE7DEA38-86BA-406C-9E83-2C5095E8787D}"/>
    <hyperlink ref="K394" r:id="rId844" display="https://www.cettire.com/collections/givenchy-eyewear" xr:uid="{E6F9A37F-127F-4412-806D-03549F633FB0}"/>
    <hyperlink ref="K395" r:id="rId845" display="https://www.cettire.com/collections/givenchy-kids" xr:uid="{CFF6D1FF-51C1-4CC8-8F13-8CA45B0C8B8D}"/>
    <hyperlink ref="K396" r:id="rId846" display="https://www.cettire.com/collections/golden-goose-deluxe-brand" xr:uid="{01843799-2910-4BEA-84C1-0AA8DDCA7657}"/>
    <hyperlink ref="K397" r:id="rId847" display="https://www.cettire.com/collections/golden-goose-kids" xr:uid="{807F93B5-D2CA-4C07-9D5D-FFFE30F0FB18}"/>
    <hyperlink ref="K398" r:id="rId848" display="https://www.cettire.com/collections/greg-lauren" xr:uid="{98303218-0621-4509-B102-2A3EB011D604}"/>
    <hyperlink ref="K399" r:id="rId849" display="https://www.cettire.com/collections/grevi" xr:uid="{4E1E4B06-13A7-42F9-9F8A-A9E8C92E07A2}"/>
    <hyperlink ref="K400" r:id="rId850" display="https://www.cettire.com/collections/gucci" xr:uid="{3D66436E-7BD6-411E-A28E-4E5EBA8D07C0}"/>
    <hyperlink ref="K401" r:id="rId851" display="https://www.cettire.com/collections/gucci-eyewear" xr:uid="{DD2374C5-EA77-49C7-814F-740BF2BAAAB7}"/>
    <hyperlink ref="K402" r:id="rId852" display="https://www.cettire.com/collections/gucci-kids" xr:uid="{9C4641BA-7C54-4719-A839-9DACD6915AA1}"/>
    <hyperlink ref="K403" r:id="rId853" display="https://www.cettire.com/collections/guidi" xr:uid="{E04A122F-C0D3-4601-B10E-4A622DE7BC6A}"/>
    <hyperlink ref="K405" r:id="rId854" display="https://www.cettire.com/collections/haider-ackermann" xr:uid="{A14BFBED-C03C-4D64-8298-9D00BCC4C1B1}"/>
    <hyperlink ref="K406" r:id="rId855" display="https://www.cettire.com/collections/harris-wharf-london" xr:uid="{C36C8396-1C28-4076-9B15-772A24E860A4}"/>
    <hyperlink ref="K407" r:id="rId856" display="https://www.cettire.com/collections/helmut-lang" xr:uid="{CC56AA48-1624-45DE-9792-3D01B17B28DD}"/>
    <hyperlink ref="K408" r:id="rId857" display="https://www.cettire.com/collections/hereu" xr:uid="{2DE82666-3B3A-4342-87F7-02184DC93ADD}"/>
    <hyperlink ref="K409" r:id="rId858" display="https://www.cettire.com/collections/herno" xr:uid="{805E9BBB-7EFE-4804-8127-DB46D6F6080C}"/>
    <hyperlink ref="K410" r:id="rId859" display="https://www.cettire.com/collections/herno-kids" xr:uid="{64EE4F45-6CBF-4912-8D09-970B252D3E5C}"/>
    <hyperlink ref="K411" r:id="rId860" display="https://www.cettire.com/collections/heron-preston" xr:uid="{793FD8C7-E68A-4338-8E03-A9BD9D4B1135}"/>
    <hyperlink ref="K412" r:id="rId861" display="https://www.cettire.com/collections/herschel-supply-co" xr:uid="{6848CC77-DC99-4E0E-BCBC-E1E440A4BB2D}"/>
    <hyperlink ref="K413" r:id="rId862" display="https://www.cettire.com/collections/hogan" xr:uid="{38BDA862-9F9D-4769-8943-6B9D4E57792E}"/>
    <hyperlink ref="K414" r:id="rId863" display="https://www.cettire.com/collections/hogan-kids" xr:uid="{CD499D23-107C-4DE6-AA3C-99F6DE1A8E1C}"/>
    <hyperlink ref="K415" r:id="rId864" display="https://www.cettire.com/collections/hogan-rebel" xr:uid="{029C834E-E3A0-4026-BEB2-0110C81D6473}"/>
    <hyperlink ref="K416" r:id="rId865" display="https://www.cettire.com/collections/hoka-one-one" xr:uid="{3576AF18-C236-44B3-BEA2-0EFA97770DFD}"/>
    <hyperlink ref="K417" r:id="rId866" display="https://www.cettire.com/collections/homme-plisse-issey-miyake" xr:uid="{4D5BB029-16BD-4FC3-AD5C-ED2E9A4FA031}"/>
    <hyperlink ref="K418" r:id="rId867" display="https://www.cettire.com/collections/honey-fucking-dijon" xr:uid="{6ABD5615-85A4-474A-BC2D-220BD0C17A72}"/>
    <hyperlink ref="K419" r:id="rId868" display="https://www.cettire.com/collections/howlin" xr:uid="{38915852-D71E-40B8-BFA9-B9A17CB3EC61}"/>
    <hyperlink ref="K420" r:id="rId869" display="https://www.cettire.com/collections/hugo-boss-kids" xr:uid="{81E15B97-1763-4950-AEA6-5E7E7C52023E}"/>
    <hyperlink ref="K422" r:id="rId870" display="https://www.cettire.com/collections/ienki-ienki" xr:uid="{ADD760BB-99EA-4E93-99DD-F8D6A6D9A0C3}"/>
    <hyperlink ref="K423" r:id="rId871" display="https://www.cettire.com/collections/ih-nom-uh-nit" xr:uid="{6225ED31-98AD-4A65-A550-8F624E7FF2E5}"/>
    <hyperlink ref="K424" r:id="rId872" display="https://www.cettire.com/collections/il-bisonte" xr:uid="{A68AB0A4-E75F-40A0-8784-99432DF540D5}"/>
    <hyperlink ref="K425" r:id="rId873" display="https://www.cettire.com/collections/il-gufo" xr:uid="{8C1D1D01-48F6-4B4C-838E-EABF7E0A0F63}"/>
    <hyperlink ref="K426" r:id="rId874" display="https://www.cettire.com/collections/in-the-mood-for-love" xr:uid="{60114F5B-C1BF-476D-A2FF-147C7092FCA1}"/>
    <hyperlink ref="K427" r:id="rId875" display="https://www.cettire.com/collections/incotex" xr:uid="{FF334F9B-1A86-46CD-98CB-FA27A317D802}"/>
    <hyperlink ref="K428" r:id="rId876" display="https://www.cettire.com/collections/isabel-marant" xr:uid="{75A3C96B-07C7-4292-8B58-59D5B42568B5}"/>
    <hyperlink ref="K429" r:id="rId877" display="https://www.cettire.com/collections/isabel-marant-etoile" xr:uid="{F5633423-733C-41E1-B402-8E88A26386E5}"/>
    <hyperlink ref="K430" r:id="rId878" display="https://www.cettire.com/collections/isaia" xr:uid="{9816B13E-30FA-4F53-8025-F0DCB483CFAF}"/>
    <hyperlink ref="K431" r:id="rId879" display="https://www.cettire.com/collections/issey-miyake" xr:uid="{C5D80D72-273B-4C2F-AE21-3DC1FBF8EE3A}"/>
    <hyperlink ref="K432" r:id="rId880" display="https://www.cettire.com/collections/issey-miyake-men" xr:uid="{D7986758-B00D-42C5-A78D-4B1C14A9DDAE}"/>
    <hyperlink ref="K434" r:id="rId881" display="https://www.cettire.com/collections/j-brand" xr:uid="{F5722FE0-1DEB-42E1-9D79-369721F078C6}"/>
    <hyperlink ref="K435" r:id="rId882" display="https://www.cettire.com/collections/jacquemus" xr:uid="{9245AC16-7E0E-4C34-8801-4CC9AF391D93}"/>
    <hyperlink ref="K436" r:id="rId883" display="https://www.cettire.com/collections/jacques-marie-mage" xr:uid="{C54F6403-C031-42FD-8FB8-898F56671F6F}"/>
    <hyperlink ref="K437" r:id="rId884" display="https://www.cettire.com/collections/jejia" xr:uid="{67437BBC-E5C7-4DA5-94DB-B1ED43F4DB7F}"/>
    <hyperlink ref="K438" r:id="rId885" display="https://www.cettire.com/collections/jessie-western" xr:uid="{13406D0D-3EA9-4C23-A173-86C3A076B7D0}"/>
    <hyperlink ref="K439" r:id="rId886" display="https://www.cettire.com/collections/jil-sander" xr:uid="{F335513B-A673-4A08-ABA1-516C7F37F4C0}"/>
    <hyperlink ref="K440" r:id="rId887" display="https://www.cettire.com/collections/jimmy-choo" xr:uid="{F8B8E8A5-99F5-49E8-AF75-070AAAE1D025}"/>
    <hyperlink ref="K441" r:id="rId888" display="https://www.cettire.com/collections/jimmy-choo-eyewear" xr:uid="{E74B5E34-4402-48D3-8462-634CC7CA62B9}"/>
    <hyperlink ref="K442" r:id="rId889" display="https://www.cettire.com/collections/john-elliott" xr:uid="{C66F251C-7D77-4FDA-BF41-201DDE390D09}"/>
    <hyperlink ref="K443" r:id="rId890" display="https://www.cettire.com/collections/john-lobb" xr:uid="{6FD7E3E1-63A3-4830-929E-DBC2BEF551C9}"/>
    <hyperlink ref="K444" r:id="rId891" display="https://www.cettire.com/collections/john-smedley" xr:uid="{3B303622-D98E-463E-A5A5-FEDF5F3DFF4A}"/>
    <hyperlink ref="K445" r:id="rId892" display="https://www.cettire.com/collections/junya-watanabe" xr:uid="{2FDDE9CE-2EFC-40A1-9C30-A156E92B490F}"/>
    <hyperlink ref="K446" r:id="rId893" display="https://www.cettire.com/collections/junya-watanabe-comme-des-garcons" xr:uid="{6F567DC1-D89D-4670-AF3E-3D837C6802D8}"/>
    <hyperlink ref="K447" r:id="rId894" display="https://www.cettire.com/collections/junya-watanabe-man" xr:uid="{9CD5A2FA-C545-41A1-8273-311D56616684}"/>
    <hyperlink ref="K448" r:id="rId895" display="https://www.cettire.com/collections/just-don" xr:uid="{E2AEF04F-EF04-4A26-9394-6C1C315D9755}"/>
    <hyperlink ref="K449" r:id="rId896" display="https://www.cettire.com/collections/juun-j" xr:uid="{029303ED-2A01-4A9E-9EB2-CCCF1109FBD9}"/>
    <hyperlink ref="K450" r:id="rId897" display="https://www.cettire.com/collections/jw-anderson" xr:uid="{1EAAB681-575F-43B2-A427-4F1524FA8036}"/>
    <hyperlink ref="K453" r:id="rId898" display="https://www.cettire.com/collections/kappa" xr:uid="{45713D4D-B0A4-490E-AB83-DEAC97C54B49}"/>
    <hyperlink ref="K454" r:id="rId899" display="https://www.cettire.com/collections/kappa-kontroll" xr:uid="{AF41119C-730E-4CB2-8813-2E997F5C6F4E}"/>
    <hyperlink ref="K455" r:id="rId900" display="https://www.cettire.com/collections/kara" xr:uid="{50290957-C16E-418B-B1D3-A4EA7DDBCA7C}"/>
    <hyperlink ref="K456" r:id="rId901" display="https://www.cettire.com/collections/karl-lagerfeld" xr:uid="{FFAD60C7-797D-4072-81D8-637DE5256EA5}"/>
    <hyperlink ref="K457" r:id="rId902" display="https://www.cettire.com/collections/karl-lagerfeld-kids" xr:uid="{B2438103-2301-4E46-9B76-7119F0FA04D9}"/>
    <hyperlink ref="K458" r:id="rId903" display="https://www.cettire.com/collections/kenzo" xr:uid="{D8C60E3E-04FE-476B-8CE1-F7B9EB27A542}"/>
    <hyperlink ref="K459" r:id="rId904" display="https://www.cettire.com/collections/kenzo-kids" xr:uid="{7A463851-05EE-4E79-9F19-B82078187319}"/>
    <hyperlink ref="K460" r:id="rId905" display="https://www.cettire.com/collections/khaite" xr:uid="{C223BA81-6DDA-4808-B0EE-0665B8463F49}"/>
    <hyperlink ref="K461" r:id="rId906" display="https://www.cettire.com/collections/khrisjoy" xr:uid="{AC1FA45B-D76C-4C9F-AA0B-F73A20F62396}"/>
    <hyperlink ref="K462" r:id="rId907" display="https://www.cettire.com/collections/khrisjoy-kids" xr:uid="{35686881-BBCE-40B1-9432-0D529E41CBFF}"/>
    <hyperlink ref="K463" r:id="rId908" display="https://www.cettire.com/collections/kuboraum" xr:uid="{005BFC54-21AD-48AB-AB09-F0F7878C8AA5}"/>
    <hyperlink ref="K464" r:id="rId909" display="https://www.cettire.com/collections/kwaidan-editions" xr:uid="{6A12777E-B8F6-47D5-A87A-AFB8A74967FF}"/>
    <hyperlink ref="K466" r:id="rId910" display="https://www.cettire.com/collections/l-b-m-1911" xr:uid="{CD464F39-E725-4E4E-B3CD-600293BD1D5A}"/>
    <hyperlink ref="K467" r:id="rId911" display="https://www.cettire.com/collections/lautre-chose" xr:uid="{26307489-9A90-47F6-AF4E-139321E764CC}"/>
    <hyperlink ref="K469" r:id="rId912" display="https://www.cettire.com/collections/la-stupenderia" xr:uid="{7520ADE2-85AC-4194-9068-71B53CECBB13}"/>
    <hyperlink ref="K471" r:id="rId913" display="https://www.cettire.com/collections/laneus" xr:uid="{B8646618-1587-4DA4-B76F-B318E9D04DB4}"/>
    <hyperlink ref="K472" r:id="rId914" display="https://www.cettire.com/collections/lanvin" xr:uid="{C51F09C6-5A25-47D9-A4A5-9E48B3AC4323}"/>
    <hyperlink ref="K473" r:id="rId915" display="https://www.cettire.com/collections/lanvin-enfant" xr:uid="{B6621D41-67DD-4DA2-9962-8FFFF7F30AE0}"/>
    <hyperlink ref="K474" r:id="rId916" display="https://www.cettire.com/collections/lauren-ralph-lauren" xr:uid="{A622BDB6-3ED1-4DD4-B730-1E27961A80DE}"/>
    <hyperlink ref="K475" r:id="rId917" display="https://www.cettire.com/collections/le beb%C3%A9 enfant" xr:uid="{878B8D82-429F-466E-8FCE-E752AF2CF223}"/>
    <hyperlink ref="K476" r:id="rId918" display="https://www.cettire.com/collections/le-kasha" xr:uid="{B3B8F527-C9D1-43BC-BE55-B39A8405E624}"/>
    <hyperlink ref="K477" r:id="rId919" display="https://www.cettire.com/collections/lemaire" xr:uid="{A45C67EA-C7EF-48F4-A6E0-D0DF7DC013FC}"/>
    <hyperlink ref="K478" r:id="rId920" display="https://www.cettire.com/collections/lesca" xr:uid="{44AD88C8-F962-49DF-BA13-1AB157A3C62A}"/>
    <hyperlink ref="K479" r:id="rId921" display="https://www.cettire.com/collections/levis" xr:uid="{D3B36311-7A0A-4D24-86F6-C7A4C91C2143}"/>
    <hyperlink ref="K480" r:id="rId922" display="https://www.cettire.com/collections/li-ning" xr:uid="{AF24104F-8F48-44F4-A716-11F8FA6D36C6}"/>
    <hyperlink ref="K481" r:id="rId923" display="https://www.cettire.com/collections/linda-farrow" xr:uid="{A254BB95-8C54-4078-9318-9737B9911A2C}"/>
    <hyperlink ref="K482" r:id="rId924" display="https://www.cettire.com/collections/lisa-marie-fernandez" xr:uid="{D86B2DD4-A5C7-472C-B0F5-4F26AE35E628}"/>
    <hyperlink ref="K483" r:id="rId925" display="https://www.cettire.com/collections/liu-jo" xr:uid="{D607AFD9-325B-4177-A020-4C63AB3E91CE}"/>
    <hyperlink ref="K484" r:id="rId926" display="https://www.cettire.com/collections/loewe" xr:uid="{608FB4C6-1A48-4E47-AA08-6F019DC836CE}"/>
    <hyperlink ref="K485" r:id="rId927" display="https://www.cettire.com/collections/longchamp" xr:uid="{D274B5E8-DF47-4E2F-8F89-3E1E833BE875}"/>
    <hyperlink ref="K486" r:id="rId928" display="https://www.cettire.com/collections/loro-piana" xr:uid="{3D7922E7-6931-4064-AEDB-D7B16256848A}"/>
    <hyperlink ref="K487" r:id="rId929" display="https://www.cettire.com/collections/loulou-studio" xr:uid="{F98DB180-0469-4EEC-B14E-82D9A90B967F}"/>
    <hyperlink ref="K488" r:id="rId930" display="https://www.cettire.com/collections/love-moschino" xr:uid="{F0C92911-C3F3-47D3-AB74-D69CE9686FF6}"/>
    <hyperlink ref="K489" r:id="rId931" display="https://www.cettire.com/collections/low-classic" xr:uid="{A25608B1-BF0E-4046-99D2-177756ADAA4B}"/>
    <hyperlink ref="K491" r:id="rId932" display="https://www.cettire.com/collections/m-missoni" xr:uid="{92F35EE6-94DB-4498-B0DB-26251D62C463}"/>
    <hyperlink ref="K492" r:id="rId933" display="https://www.cettire.com/collections/mackintosh" xr:uid="{F142EC45-BADA-41A1-A898-4672954B046E}"/>
    <hyperlink ref="K493" r:id="rId934" display="https://www.cettire.com/collections/magda-butrym" xr:uid="{80DA625F-A080-4F2F-9775-621EF076AD4F}"/>
    <hyperlink ref="K494" r:id="rId935" display="https://www.cettire.com/collections/maisie-wilen" xr:uid="{87F8933A-9D2E-497B-8375-CC810B5218C1}"/>
    <hyperlink ref="K495" r:id="rId936" display="https://www.cettire.com/collections/maison-kitsune" xr:uid="{12D11D5F-E807-40D5-B138-1385AF38CCCD}"/>
    <hyperlink ref="K496" r:id="rId937" display="https://www.cettire.com/collections/maison-margiela" xr:uid="{CE93EB7E-2A61-4FD0-8DFE-556E4A47DF8E}"/>
    <hyperlink ref="K497" r:id="rId938" display="https://www.cettire.com/collections/maison-michel" xr:uid="{A5980A84-685E-47D7-8600-EA9F1791644F}"/>
    <hyperlink ref="K499" r:id="rId939" display="https://www.cettire.com/collections/malone-souliers" xr:uid="{2BFE1460-4700-44D2-8F23-F2973B622078}"/>
    <hyperlink ref="K501" r:id="rId940" display="https://www.cettire.com/collections/manebi" xr:uid="{1C55B04D-D434-4E2C-B15F-612503CEC2D2}"/>
    <hyperlink ref="K502" r:id="rId941" display="https://www.cettire.com/collections/manokhi" xr:uid="{042FE047-B14F-4086-8E9B-1D67D378FC6E}"/>
    <hyperlink ref="K503" r:id="rId942" display="https://www.cettire.com/collections/manolo-blahnik" xr:uid="{F3DE7A19-505F-47D0-A751-4B6AB9C2D2FA}"/>
    <hyperlink ref="K504" r:id="rId943" display="https://www.cettire.com/collections/mansur-gavriel" xr:uid="{81CDC9A6-C8C2-4F92-8095-3565DE1D1BF7}"/>
    <hyperlink ref="K505" r:id="rId944" display="https://www.cettire.com/collections/manu-atelier" xr:uid="{2B539741-2678-4912-81B9-CDB511513977}"/>
    <hyperlink ref="K506" r:id="rId945" display="https://www.cettire.com/collections/marc-jacobs" xr:uid="{23192EB7-D2B9-4048-B7A0-25682B759B98}"/>
    <hyperlink ref="K507" r:id="rId946" display="https://www.cettire.com/collections/marc-jacobs-eyewear" xr:uid="{57FE3536-6F44-45D1-B247-40B9BF6FE656}"/>
    <hyperlink ref="K508" r:id="rId947" display="https://www.cettire.com/collections/marcelo-burlon-county-of-milan" xr:uid="{672B4932-2667-4B6C-93ED-F2FD3F0EE553}"/>
    <hyperlink ref="K509" r:id="rId948" display="https://www.cettire.com/collections/marcelo-burlon-county-of-milan-kids" xr:uid="{A3CC0F6A-7C68-45D0-B84F-EBB494DFAE1F}"/>
    <hyperlink ref="K510" r:id="rId949" display="https://www.cettire.com/collections/marine-serre" xr:uid="{B6859935-2C2E-4513-9F15-67417F24D0B0}"/>
    <hyperlink ref="K511" r:id="rId950" display="https://www.cettire.com/collections/marni" xr:uid="{2B2075D5-6E54-40EC-A52C-5481090E08B8}"/>
    <hyperlink ref="K512" r:id="rId951" display="https://www.cettire.com/collections/marni-eyewear" xr:uid="{6A655CC7-7952-4FF0-BF60-FB336E6422FA}"/>
    <hyperlink ref="K513" r:id="rId952" display="https://www.cettire.com/collections/marni-kids" xr:uid="{033C3EED-D69B-4391-983A-E906D599E78F}"/>
    <hyperlink ref="K514" r:id="rId953" display="https://www.cettire.com/collections/marquesalmeida" xr:uid="{918F62BE-EC4B-4C16-A08F-3197340E2B03}"/>
    <hyperlink ref="K515" r:id="rId954" display="https://www.cettire.com/collections/marsell" xr:uid="{1F0BA8DA-C74A-44E6-B141-5D411DCCD617}"/>
    <hyperlink ref="K516" r:id="rId955" display="https://www.cettire.com/collections/martine-rose" xr:uid="{7A2549AB-2439-4973-A03A-5067CFF512A7}"/>
    <hyperlink ref="K517" r:id="rId956" display="https://www.cettire.com/collections/mastermind-world" xr:uid="{C94E818E-94A5-430F-A6E1-12EA5783B259}"/>
    <hyperlink ref="K518" r:id="rId957" display="https://www.cettire.com/collections/materiel" xr:uid="{C52A399D-8F32-47CE-8016-95B6D8E03447}"/>
    <hyperlink ref="K519" r:id="rId958" display="https://www.cettire.com/collections/mauna-kea" xr:uid="{868AEEA6-3179-45B8-9B7C-35F82FF7EDEB}"/>
    <hyperlink ref="K520" r:id="rId959" display="https://www.cettire.com/collections/maurizio-miri" xr:uid="{0E23CD46-C1B3-45D0-8F88-9E9B8266C5D9}"/>
    <hyperlink ref="K521" r:id="rId960" display="https://www.cettire.com/collections/max-mara" xr:uid="{DEC46CFD-C063-4AAE-8B5C-4843AB99F0AA}"/>
    <hyperlink ref="K522" r:id="rId961" display="https://www.cettire.com/collections/max-mara-atelier" xr:uid="{EB52598D-6A38-4C94-B1AE-CB29926A67C5}"/>
    <hyperlink ref="K524" r:id="rId962" display="https://www.cettire.com/collections/max-mara-studio" xr:uid="{C3955916-43D9-42EA-8DDC-0F38948F4415}"/>
    <hyperlink ref="K525" r:id="rId963" display="https://www.cettire.com/collections/max-mara-the-cube" xr:uid="{7E3C275D-3467-4088-9731-4DB0D581E367}"/>
    <hyperlink ref="K526" r:id="rId964" display="https://www.cettire.com/collections/mc2-saint-barth" xr:uid="{F2A9782B-ED68-455C-9140-038C699BB5EA}"/>
    <hyperlink ref="K527" r:id="rId965" display="https://www.cettire.com/collections/mc2-saint-barth-kids" xr:uid="{2ED2809A-8236-423C-9A58-DD93E9D05361}"/>
    <hyperlink ref="K528" r:id="rId966" display="https://www.cettire.com/collections/mcm" xr:uid="{6B2AA429-6E74-4713-9644-1C4C065FD016}"/>
    <hyperlink ref="K529" r:id="rId967" display="https://www.cettire.com/collections/mcq-alexander-mcqueen" xr:uid="{C9CDEA14-4925-4DC6-A464-F99D3D914B77}"/>
    <hyperlink ref="K530" r:id="rId968" display="https://www.cettire.com/collections/michael-kors" xr:uid="{E41D20B8-C477-4088-8E1F-C0B84BBBE375}"/>
    <hyperlink ref="K531" r:id="rId969" display="https://www.cettire.com/collections/michael-kors-collection" xr:uid="{DA067FE9-EB7D-4EBD-ABD1-806C0826A8BB}"/>
    <hyperlink ref="K532" r:id="rId970" display="https://www.cettire.com/collections/michael-michael-kors" xr:uid="{5E4F5A8C-A8C3-42A4-A248-DF4BD25F72BB}"/>
    <hyperlink ref="K533" r:id="rId971" display="https://www.cettire.com/collections/midnight-00" xr:uid="{77158789-897B-4E68-9CD9-22D4C0AF552C}"/>
    <hyperlink ref="K534" r:id="rId972" display="https://www.cettire.com/collections/mini-rodini" xr:uid="{45A65CBA-8768-470A-8F8A-7EB56422C9FA}"/>
    <hyperlink ref="K535" r:id="rId973" display="https://www.cettire.com/collections/misbhv" xr:uid="{996E0170-AA13-42CD-B9D0-FB268E0929BB}"/>
    <hyperlink ref="K536" r:id="rId974" display="https://www.cettire.com/collections/missoni" xr:uid="{FE80F18A-E971-4DEC-9B01-A3CF002F2772}"/>
    <hyperlink ref="K538" r:id="rId975" display="https://www.cettire.com/collections/missoni-mare" xr:uid="{BB2B86D0-0900-4943-A6E7-F1562A988AA6}"/>
    <hyperlink ref="K539" r:id="rId976" display="https://www.cettire.com/collections/miu-miu" xr:uid="{32013457-D2A5-4A29-B2F5-C04086BFF723}"/>
    <hyperlink ref="K540" r:id="rId977" display="https://www.cettire.com/collections/miu-miu-eyewear" xr:uid="{A4874939-0773-47F9-B7D1-4D40D098EA93}"/>
    <hyperlink ref="K541" r:id="rId978" display="https://www.cettire.com/collections/mjb-marc-jacques-burton" xr:uid="{140805B1-E5AE-4D6F-B66C-6094A1B66FBC}"/>
    <hyperlink ref="K542" r:id="rId979" display="https://www.cettire.com/collections/mm6-maison-margiela" xr:uid="{19B2409E-44C2-495C-83BD-7267206CF334}"/>
    <hyperlink ref="K543" r:id="rId980" display="https://www.cettire.com/collections/mm6-maison-margiela-kids" xr:uid="{DB66EFCF-421B-4E1E-B7C2-82D6D1CC176F}"/>
    <hyperlink ref="K544" r:id="rId981" display="https://www.cettire.com/collections/molo" xr:uid="{17FBD2A2-48BA-4ACA-8C5F-4BA71F1D230D}"/>
    <hyperlink ref="K545" r:id="rId982" display="https://www.cettire.com/collections/moncler" xr:uid="{92B7F831-4457-4B88-BBEF-9E0E56116908}"/>
    <hyperlink ref="K546" r:id="rId983" display="https://www.cettire.com/collections/moncler-rick-owens" xr:uid="{8744BC7B-D0F2-4F69-B0B0-BF0104A3E206}"/>
    <hyperlink ref="K547" r:id="rId984" display="https://www.cettire.com/collections/moncler-enfant" xr:uid="{6E78C1B9-A324-4F08-89FD-B531C28CD251}"/>
    <hyperlink ref="K548" r:id="rId985" display="https://www.cettire.com/collections/moncler-eyewear" xr:uid="{131A948F-A8A4-4C55-841F-868609BC3694}"/>
    <hyperlink ref="K549" r:id="rId986" display="https://www.cettire.com/collections/moncler-gamme-rouge" xr:uid="{49797B63-26F9-4379-B701-4B8007FE81BF}"/>
    <hyperlink ref="K550" r:id="rId987" display="https://www.cettire.com/collections/moncler-genius" xr:uid="{7C547270-4156-496A-BAE6-9A732098831B}"/>
    <hyperlink ref="K551" r:id="rId988" display="https://www.cettire.com/collections/moncler-grenoble" xr:uid="{AB9A0FE1-CF7D-481C-B344-1B8259577C04}"/>
    <hyperlink ref="K552" r:id="rId989" display="https://www.cettire.com/collections/monnalisa" xr:uid="{EA101831-BD24-4E07-95BF-372A1692FAF8}"/>
    <hyperlink ref="K553" r:id="rId990" display="https://www.cettire.com/collections/montblanc" xr:uid="{C21425B3-D08A-4D97-B298-287B3B9EA721}"/>
    <hyperlink ref="K554" r:id="rId991" display="https://www.cettire.com/collections/moose-knuckles" xr:uid="{B50ABF3F-5993-4A81-9D85-C7AEA13857E8}"/>
    <hyperlink ref="K555" r:id="rId992" display="https://www.cettire.com/collections/moschino" xr:uid="{91A980A4-15B5-40DA-8B6F-FFA180E17B9F}"/>
    <hyperlink ref="K556" r:id="rId993" display="https://www.cettire.com/collections/moschino-eyewear" xr:uid="{AC97F896-7717-443A-9AE9-CF8A0482C8B6}"/>
    <hyperlink ref="K557" r:id="rId994" display="https://www.cettire.com/collections/moschino-kids" xr:uid="{C7072FFF-F5D9-419E-87C7-DB4D930DD961}"/>
    <hyperlink ref="K559" r:id="rId995" display="https://www.cettire.com/collections/mother" xr:uid="{6232E3C6-6950-445D-99E7-80E03293ECD9}"/>
    <hyperlink ref="K560" r:id="rId996" display="https://www.cettire.com/collections/mou-kids" xr:uid="{A27C3037-7ECA-4AEC-8B9C-92F6EF778B5F}"/>
    <hyperlink ref="K561" r:id="rId997" display="https://www.cettire.com/collections/msgm" xr:uid="{F5AA303C-294B-4AC9-8B10-55DAB1520084}"/>
    <hyperlink ref="K562" r:id="rId998" display="https://www.cettire.com/collections/msgm-kids" xr:uid="{8670DB14-6503-4EC9-95F1-F6E2D8737485}"/>
    <hyperlink ref="K563" r:id="rId999" display="https://www.cettire.com/collections/mulberry" xr:uid="{DD99D171-A2D0-4895-B413-D41BB37F2CDC}"/>
    <hyperlink ref="K564" r:id="rId1000" display="https://www.cettire.com/collections/mykita" xr:uid="{BF82C303-F6AD-42B5-95B9-31EECD8C0B58}"/>
    <hyperlink ref="K566" r:id="rId1001" display="https://www.cettire.com/collections/n-21" xr:uid="{A7C0F56D-715C-46B0-B3B2-108A151C5954}"/>
    <hyperlink ref="K567" r:id="rId1002" display="https://www.cettire.com/collections/n-21-kids" xr:uid="{D7469859-6655-4709-977F-8C1DD3163703}"/>
    <hyperlink ref="K568" r:id="rId1003" display="https://www.cettire.com/collections/nana-nana" xr:uid="{BD1D3E5D-909B-4AB0-B48E-753E5EB017EE}"/>
    <hyperlink ref="K569" r:id="rId1004" display="https://www.cettire.com/collections/nanushka" xr:uid="{A4C96921-8398-4CB5-9E06-EB344865F2B7}"/>
    <hyperlink ref="K570" r:id="rId1005" display="https://www.cettire.com/collections/napa-by-martine-rose" xr:uid="{42F03460-45C9-4DF5-8A3C-50F6D5FE60C7}"/>
    <hyperlink ref="K571" r:id="rId1006" display="https://www.cettire.com/collections/natasha-zinko" xr:uid="{BF88C514-DAFA-4B0B-B4FE-334B4314A8EF}"/>
    <hyperlink ref="K572" r:id="rId1007" display="https://www.cettire.com/collections/needles" xr:uid="{AFBF1B64-A1A1-41D5-9DD1-7DF1752777EF}"/>
    <hyperlink ref="K573" r:id="rId1008" display="https://www.cettire.com/collections/neil-barrett" xr:uid="{2C310CF1-7E2E-43E1-8A3B-3782249D7D14}"/>
    <hyperlink ref="K574" r:id="rId1009" display="https://www.cettire.com/collections/neil-barrett-kids" xr:uid="{1355E633-7C90-4B23-893C-83B385EE838B}"/>
    <hyperlink ref="K575" r:id="rId1010" display="https://www.cettire.com/collections/neous" xr:uid="{821E52E0-2074-489C-9F48-85511F021432}"/>
    <hyperlink ref="K577" r:id="rId1011" display="https://www.cettire.com/collections/new-york-industrie" xr:uid="{6D5CBEA5-11AC-4380-93A4-9A040E35E395}"/>
    <hyperlink ref="K578" r:id="rId1012" display="https://www.cettire.com/collections/nicholas-kirkwood" xr:uid="{F3CD5171-A9CC-44BA-9030-8A1EC2F6FAB4}"/>
    <hyperlink ref="K579" r:id="rId1013" display="https://www.cettire.com/collections/nicomede" xr:uid="{7B8FD030-B1B7-4C58-A9A8-69931A90277B}"/>
    <hyperlink ref="K580" r:id="rId1014" display="https://www.cettire.com/collections/nike" xr:uid="{A2AD4EA3-07F7-4365-A2BA-2DDA83BC6FFE}"/>
    <hyperlink ref="K581" r:id="rId1015" display="https://www.cettire.com/collections/nodaleto" xr:uid="{6BF6DFFF-D860-4D26-AB50-61A0CF73CDAB}"/>
    <hyperlink ref="K582" r:id="rId1016" display="https://www.cettire.com/collections/noir-kei-ninomiya" xr:uid="{704B3C30-79D0-432A-B7F8-AC6A02D9FD25}"/>
    <hyperlink ref="K583" r:id="rId1017" display="https://www.cettire.com/collections/noon-goons" xr:uid="{10913E78-2936-4CD4-9943-975AC195B773}"/>
    <hyperlink ref="K584" r:id="rId1018" display="https://www.cettire.com/collections/norse-projects" xr:uid="{AA4176EB-0618-47F7-84AB-1C713B1CC3AE}"/>
    <hyperlink ref="K585" r:id="rId1019" display="https://www.cettire.com/collections/north-sails-x-prada-cup" xr:uid="{C0DEA8B2-B909-43F4-ABB3-770DA50EDEC9}"/>
    <hyperlink ref="K586" r:id="rId1020" display="https://www.cettire.com/collections/nudie-jeans" xr:uid="{FD9367C2-934D-4518-887F-E03572AE7901}"/>
    <hyperlink ref="K588" r:id="rId1021" display="https://www.cettire.com/collections/oakley" xr:uid="{972F1502-42CC-40EA-9393-C3939E72CD42}"/>
    <hyperlink ref="K589" r:id="rId1022" display="https://www.cettire.com/collections/oamc" xr:uid="{E87D59F1-3E14-4990-9896-0AD1CFB35BF0}"/>
    <hyperlink ref="K590" r:id="rId1023" display="https://www.cettire.com/collections/off-white" xr:uid="{61E02C08-1BAE-48ED-97A1-7B89CAFC4A1D}"/>
    <hyperlink ref="K591" r:id="rId1024" display="https://www.cettire.com/collections/off-white-kids" xr:uid="{EC9D0BF2-45E8-4841-BDCA-2E8A76AF0C74}"/>
    <hyperlink ref="K592" r:id="rId1025" display="https://www.cettire.com/collections/officine-creative" xr:uid="{5B990588-0DFF-4D6B-AF4A-9C7E9670DBE7}"/>
    <hyperlink ref="K593" r:id="rId1026" display="https://www.cettire.com/collections/oliver-peoples" xr:uid="{28E07E98-291A-48EC-9603-B74FD8706AD9}"/>
    <hyperlink ref="K594" r:id="rId1027" display="https://www.cettire.com/collections/opening-ceremony" xr:uid="{9A3E6D54-598A-4F89-A3ED-CDE0C31A7F6F}"/>
    <hyperlink ref="K595" r:id="rId1028" display="https://www.cettire.com/collections/oseree" xr:uid="{B4D6289B-6548-4D47-A6ED-A09E8890F50F}"/>
    <hyperlink ref="K596" r:id="rId1029" display="https://www.cettire.com/collections/osoi" xr:uid="{6916BAD2-5D35-49E5-B843-69463335C2B3}"/>
    <hyperlink ref="K597" r:id="rId1030" display="https://www.cettire.com/collections/our-legacy" xr:uid="{4D5C2998-E44E-40C9-BEC8-E2C0E355C304}"/>
    <hyperlink ref="K599" r:id="rId1031" display="https://www.cettire.com/collections/p-a-r-o-s-h" xr:uid="{27647917-5117-457D-A2F7-A8294D59D78F}"/>
    <hyperlink ref="K600" r:id="rId1032" display="https://www.cettire.com/collections/paccbet" xr:uid="{7CC96189-687C-42B2-9626-6C2FF7802B33}"/>
    <hyperlink ref="K601" r:id="rId1033" display="https://www.cettire.com/collections/paco-rabanne" xr:uid="{FBC50CBD-CA38-4107-99FF-1A0227C15AA5}"/>
    <hyperlink ref="K602" r:id="rId1034" display="https://www.cettire.com/collections/palm-angels" xr:uid="{FEAA861B-FA1E-465B-A473-FBCF666095BC}"/>
    <hyperlink ref="K603" r:id="rId1035" display="https://www.cettire.com/collections/palm-angels-kids" xr:uid="{7CE32DBB-6C21-4746-B898-783B1BA9C132}"/>
    <hyperlink ref="K604" r:id="rId1036" display="https://www.cettire.com/collections/paraboot" xr:uid="{42BA29B0-9DD4-4F50-AE39-47DF0A41D006}"/>
    <hyperlink ref="K605" r:id="rId1037" display="https://www.cettire.com/collections/parajumpers" xr:uid="{F09CBE8A-F84D-44EF-B901-B378EFDE35AE}"/>
    <hyperlink ref="K606" r:id="rId1038" display="https://www.cettire.com/collections/paris-texas" xr:uid="{041F1A15-2CBA-4B81-A2B5-4CCC6E96DF85}"/>
    <hyperlink ref="K607" r:id="rId1039" display="https://www.cettire.com/collections/paul-smith" xr:uid="{74A150AC-75E7-4F44-98C6-86F4B6FA6CF3}"/>
    <hyperlink ref="K608" r:id="rId1040" display="https://www.cettire.com/collections/paura-x-kappa" xr:uid="{B41DA322-3BD8-44B5-BEDD-600B3BE742D9}"/>
    <hyperlink ref="K609" r:id="rId1041" display="https://www.cettire.com/collections/persol" xr:uid="{279C445D-1207-4592-AC3E-DDF09E5DA0BA}"/>
    <hyperlink ref="K610" r:id="rId1042" display="https://www.cettire.com/collections/philipp-plein" xr:uid="{B1D6D52C-6FCF-4868-9EB8-CA737B9CF22A}"/>
    <hyperlink ref="K611" r:id="rId1043" display="https://www.cettire.com/collections/philipp-plein-junior" xr:uid="{F3E4C52C-96D8-438A-B835-157806FE94AE}"/>
    <hyperlink ref="K612" r:id="rId1044" display="https://www.cettire.com/collections/philippe-model" xr:uid="{E86983B7-594A-4E8E-AD32-7A657C3CD8D8}"/>
    <hyperlink ref="K613" r:id="rId1045" display="https://www.cettire.com/collections/philippe-model-paris" xr:uid="{EFEB9085-72CA-4506-8E35-C339BF5C1248}"/>
    <hyperlink ref="K614" r:id="rId1046" display="https://www.cettire.com/collections/philosophy-di-lorenzo-serafini" xr:uid="{E4D21098-9913-4786-8063-AE56F81F315E}"/>
    <hyperlink ref="K615" r:id="rId1047" display="https://www.cettire.com/collections/philosophy-di-lorenzo-serafini-kids" xr:uid="{F7256A33-2B48-415F-AE18-9EDDE330B318}"/>
    <hyperlink ref="K616" r:id="rId1048" display="https://www.cettire.com/collections/pierre-hardy" xr:uid="{682616CD-543D-4642-9D05-3F4C3F5A7476}"/>
    <hyperlink ref="K617" r:id="rId1049" display="https://www.cettire.com/collections/pierre-louis-mascia" xr:uid="{3EAEE87C-0399-46D3-B02A-BC264831F059}"/>
    <hyperlink ref="K618" r:id="rId1050" display="https://www.cettire.com/collections/pinko" xr:uid="{DB60BBFD-2661-42F6-9FD8-19F075899864}"/>
    <hyperlink ref="K619" r:id="rId1051" display="https://www.cettire.com/collections/plan-c" xr:uid="{585D0C39-9399-4CC1-AE9A-9FA15956C38A}"/>
    <hyperlink ref="K620" r:id="rId1052" display="https://www.cettire.com/collections/pleats-please-by-issey-miyake" xr:uid="{534CE944-DEEE-4A25-AC1E-9400D1B1A71E}"/>
    <hyperlink ref="K621" r:id="rId1053" display="https://www.cettire.com/collections/polo-ralph-lauren" xr:uid="{DDE27C29-303D-4F18-90E8-9569AF5B3A1D}"/>
    <hyperlink ref="K622" r:id="rId1054" display="https://www.cettire.com/collections/polo-ralph-lauren-kids" xr:uid="{2FE7D2F2-B90A-4EB4-BCD1-90A8B395A088}"/>
    <hyperlink ref="K623" r:id="rId1055" display="https://www.cettire.com/collections/porter-yoshida-co" xr:uid="{17700FD8-6211-434C-B95B-14EA686210BD}"/>
    <hyperlink ref="K624" r:id="rId1056" display="https://www.cettire.com/collections/ports-1961" xr:uid="{3DD34D0A-39D4-457F-9C71-F0675FE50239}"/>
    <hyperlink ref="K625" r:id="rId1057" display="https://www.cettire.com/collections/prada" xr:uid="{928029B3-6206-4A35-B069-8F4EC1FC1821}"/>
    <hyperlink ref="K626" r:id="rId1058" display="https://www.cettire.com/collections/prada-eyewear" xr:uid="{66ADB1CE-2A54-482C-A01E-1D207DFBC076}"/>
    <hyperlink ref="K627" r:id="rId1059" display="https://www.cettire.com/collections/premiata" xr:uid="{85FF1F3B-CB4C-4B12-B321-D4810847DB1A}"/>
    <hyperlink ref="K628" r:id="rId1060" display="https://www.cettire.com/collections/pressure" xr:uid="{40062C10-E425-4B50-A840-6D0758AB788A}"/>
    <hyperlink ref="K629" r:id="rId1061" display="https://www.cettire.com/collections/proenza-schouler" xr:uid="{10BF4DC1-AE2D-4187-A59C-26D6081B9C18}"/>
    <hyperlink ref="K630" r:id="rId1062" display="https://www.cettire.com/collections/proenza-schouler-white-label" xr:uid="{D4ABBC45-639E-4867-895F-67CA80C66A7B}"/>
    <hyperlink ref="K631" r:id="rId1063" display="https://www.cettire.com/collections/pt-torino" xr:uid="{C15ACFE4-9B5E-48AD-8058-0C6196F5D50F}"/>
    <hyperlink ref="K632" r:id="rId1064" display="https://www.cettire.com/collections/pt01" xr:uid="{FA34D495-9DB8-4302-B09D-802EB51D51DA}"/>
    <hyperlink ref="K633" r:id="rId1065" display="https://www.cettire.com/collections/pt05" xr:uid="{9593F382-4B6C-46E0-B04A-0810F65C4F35}"/>
    <hyperlink ref="K634" r:id="rId1066" display="https://www.cettire.com/collections/puma" xr:uid="{AD06C1F8-C169-4411-BC7D-F2EB48CB0163}"/>
    <hyperlink ref="K636" r:id="rId1067" display="https://www.cettire.com/collections/r-m-williams" xr:uid="{E1D80B17-5B06-4064-9783-D18821F8A3D3}"/>
    <hyperlink ref="K637" r:id="rId1068" display="https://www.cettire.com/collections/r13" xr:uid="{E740E139-6D62-4A65-A25F-BED0017F0651}"/>
    <hyperlink ref="K638" r:id="rId1069" display="https://www.cettire.com/collections/raf-simons" xr:uid="{A03A20EA-221B-4E75-BEEB-6793AA1A146F}"/>
    <hyperlink ref="K639" r:id="rId1070" display="https://www.cettire.com/collections/rag-bone" xr:uid="{97B22B27-732C-4BC6-A940-BF1C91A7DE25}"/>
    <hyperlink ref="K640" r:id="rId1071" display="https://www.cettire.com/collections/ralph-lauren" xr:uid="{0B729B4E-C99A-4B0F-9924-07B16392AD36}"/>
    <hyperlink ref="K641" r:id="rId1072" display="https://www.cettire.com/collections/ralph-lauren-kids" xr:uid="{18076E35-4B3D-46C2-906E-8712697AEFB9}"/>
    <hyperlink ref="K642" r:id="rId1073" display="https://www.cettire.com/collections/rave-review" xr:uid="{556A0BE5-1C65-419A-861E-E1259C21EFD6}"/>
    <hyperlink ref="K643" r:id="rId1074" display="https://www.cettire.com/collections/ray-ban" xr:uid="{D2767790-882A-4EE1-A3D4-B64E9F468BC5}"/>
    <hyperlink ref="K644" r:id="rId1075" display="https://www.cettire.com/collections/re-done" xr:uid="{3A03B44A-808B-4102-B236-34C100FD9BF5}"/>
    <hyperlink ref="K645" r:id="rId1076" display="https://www.cettire.com/collections/readymade" xr:uid="{1AFA28EF-F516-49AC-8DE1-D73616BD624C}"/>
    <hyperlink ref="K646" r:id="rId1077" display="https://www.cettire.com/collections/rebecca-minkoff" xr:uid="{708BAC4E-8755-4E0D-9F68-1BA2C3543B40}"/>
    <hyperlink ref="K647" r:id="rId1078" display="https://www.cettire.com/collections/red-valentino" xr:uid="{9CAF8B7A-270B-40B9-A17C-CEAC957BA9F8}"/>
    <hyperlink ref="K648" r:id="rId1079" display="https://www.cettire.com/collections/red-wing-shoes" xr:uid="{78D9483E-220B-46EE-81C8-2CAA72E07203}"/>
    <hyperlink ref="K649" r:id="rId1080" display="https://www.cettire.com/collections/reebok" xr:uid="{01C73820-6F68-401C-8083-C43F900BF4EA}"/>
    <hyperlink ref="K650" r:id="rId1081" display="https://www.cettire.com/collections/reebok-x-victoria-beckham" xr:uid="{889A5B47-441B-4970-8405-46CE111E0672}"/>
    <hyperlink ref="K651" r:id="rId1082" display="https://www.cettire.com/collections/reike-nen" xr:uid="{26E90851-486C-4D52-9082-CB75216993AF}"/>
    <hyperlink ref="K652" r:id="rId1083" display="https://www.cettire.com/collections/rejina-pyo" xr:uid="{B58EA52E-0999-49C9-979D-F76BD888DE70}"/>
    <hyperlink ref="K653" r:id="rId1084" display="https://www.cettire.com/collections/rene-caovilla" xr:uid="{27A02CE7-56B3-4797-9772-DD3A0FC15F4E}"/>
    <hyperlink ref="K654" r:id="rId1085" display="https://www.cettire.com/collections/represent" xr:uid="{A78477F2-A24C-4A96-AD74-4468D66D8857}"/>
    <hyperlink ref="K655" r:id="rId1086" display="https://www.cettire.com/collections/retrosuperfuture" xr:uid="{FA7AC19A-BB2A-4367-9215-3F390FE4AE95}"/>
    <hyperlink ref="K656" r:id="rId1087" display="https://www.cettire.com/collections/rhude" xr:uid="{AC255627-9E2E-4CFA-A57D-81AA627B64BB}"/>
    <hyperlink ref="K657" r:id="rId1088" display="https://www.cettire.com/collections/rick-owens" xr:uid="{D65EB2B1-3E06-4372-A66D-C2515CDE1FE4}"/>
    <hyperlink ref="K658" r:id="rId1089" display="https://www.cettire.com/collections/rick-owens-drkshdw" xr:uid="{BFB9679C-762A-42C4-A181-D1761B06C416}"/>
    <hyperlink ref="K659" r:id="rId1090" display="https://www.cettire.com/collections/rick-owens-lilies" xr:uid="{27C695C6-7AC2-4374-AD49-E14EC1F869CB}"/>
    <hyperlink ref="K660" r:id="rId1091" display="https://www.cettire.com/collections/rick-owens-x-birkenstock" xr:uid="{C7F14A0B-AC9D-4FEF-85EA-8DC4F9F2D4BB}"/>
    <hyperlink ref="K661" r:id="rId1092" display="https://www.cettire.com/collections/rick-owens-x-veja" xr:uid="{BEF96384-BB1D-4978-8582-AFB865160403}"/>
    <hyperlink ref="K662" r:id="rId1093" display="https://www.cettire.com/collections/rixo" xr:uid="{38F350A9-6EDC-4F82-9FAD-E3A3C249F624}"/>
    <hyperlink ref="K663" r:id="rId1094" display="https://www.cettire.com/collections/robert-clergerie" xr:uid="{292EB8F5-2302-4AFA-B0C3-AF21809D58A6}"/>
    <hyperlink ref="K665" r:id="rId1095" display="https://www.cettire.com/collections/rochas" xr:uid="{4189B5F7-B9D6-439B-B5CF-CCE42B3D479D}"/>
    <hyperlink ref="K666" r:id="rId1096" display="https://www.cettire.com/collections/rodebjer" xr:uid="{DAAE9A63-B4F3-4CD2-AD05-33BABA5B2175}"/>
    <hyperlink ref="K667" r:id="rId1097" display="https://www.cettire.com/collections/roger-vivier" xr:uid="{53FCADBC-9362-4456-B04F-6643C976C3C9}"/>
    <hyperlink ref="K668" r:id="rId1098" display="https://www.cettire.com/collections/rombaut" xr:uid="{7A3AB16B-02A0-4212-BF55-C52C5CC91EDF}"/>
    <hyperlink ref="K669" r:id="rId1099" display="https://www.cettire.com/collections/rosantica" xr:uid="{CCB4050F-2A2C-4BBF-B3F8-748693C816CA}"/>
    <hyperlink ref="K670" r:id="rId1100" display="https://www.cettire.com/collections/rotate" xr:uid="{861E7675-15D8-4945-BC06-A7D820394346}"/>
    <hyperlink ref="K671" r:id="rId1101" display="https://www.cettire.com/collections/ruslan-baginskiy" xr:uid="{01B7F13D-9690-4503-85FB-0515EF9F87A8}"/>
    <hyperlink ref="K673" r:id="rId1102" display="https://www.cettire.com/collections/sacai" xr:uid="{0533DC07-1CAE-4217-B8B1-70F24D5C8FC4}"/>
    <hyperlink ref="K674" r:id="rId1103" display="https://www.cettire.com/collections/saint-laurent" xr:uid="{AC179F07-8320-4F41-B787-1E7AEF6A2670}"/>
    <hyperlink ref="K675" r:id="rId1104" display="https://www.cettire.com/collections/saint-laurent-eyewear" xr:uid="{44C0F5CE-0E62-4BED-80A3-9D7F3101A594}"/>
    <hyperlink ref="K676" r:id="rId1105" display="https://www.cettire.com/collections/saks-potts" xr:uid="{7F42AED2-AD8A-4965-A61B-7F90DDD0CA52}"/>
    <hyperlink ref="K677" r:id="rId1106" display="https://www.cettire.com/collections/salomon-s-lab" xr:uid="{FFC239CD-FEE4-410C-8496-3DCD187A1530}"/>
    <hyperlink ref="K678" r:id="rId1107" display="https://www.cettire.com/collections/saloni" xr:uid="{976F8720-BC92-4D62-836B-8307417F6DD0}"/>
    <hyperlink ref="K679" r:id="rId1108" display="https://www.cettire.com/collections/salvatore-ferragamo" xr:uid="{59044CE5-2A48-4ED7-B1C6-47C52E550B61}"/>
    <hyperlink ref="K680" r:id="rId1109" display="https://www.cettire.com/collections/salvatore-ferragamo-eyewear" xr:uid="{C3BA81FD-9C4C-4123-810E-A52D6484600D}"/>
    <hyperlink ref="K681" r:id="rId1110" display="https://www.cettire.com/collections/salvatore-santoro" xr:uid="{2CEF4182-549A-494B-9BE4-6A271E03541F}"/>
    <hyperlink ref="K682" r:id="rId1111" display="https://www.cettire.com/collections/santoni" xr:uid="{1D721E17-BE14-4389-8F32-91326301A6A6}"/>
    <hyperlink ref="K683" r:id="rId1112" display="https://www.cettire.com/collections/sara-battaglia" xr:uid="{7EDE18CB-F558-4A32-B1A6-719E3F5E28E1}"/>
    <hyperlink ref="K684" r:id="rId1113" display="https://www.cettire.com/collections/save-the-duck" xr:uid="{73D8311D-49EA-4AB6-80ED-356B24499CA9}"/>
    <hyperlink ref="K685" r:id="rId1114" display="https://www.cettire.com/collections/save-the-duck-kids" xr:uid="{16D8F219-5B20-4305-B57A-E32BBCE0E6A4}"/>
    <hyperlink ref="K686" r:id="rId1115" display="https://www.cettire.com/collections/see-by-chloe" xr:uid="{020EA39D-712B-463F-987C-04193282C0C8}"/>
    <hyperlink ref="K687" r:id="rId1116" display="https://www.cettire.com/collections/self-portrait" xr:uid="{1FF30DFC-D8B4-4972-9080-C590BFDC10A7}"/>
    <hyperlink ref="K688" r:id="rId1117" display="https://www.cettire.com/collections/sergio-rossi" xr:uid="{2C5239A8-6BB3-44FE-BFC5-6EEA1EC80F1F}"/>
    <hyperlink ref="K689" r:id="rId1118" display="https://www.cettire.com/collections/si-rossi" xr:uid="{266635BB-F47A-4405-84F9-76156B00373F}"/>
    <hyperlink ref="K690" r:id="rId1119" display="https://www.cettire.com/collections/sies-marjan" xr:uid="{682DF3FE-E914-42F8-98C3-190B6085DA57}"/>
    <hyperlink ref="K691" r:id="rId1120" display="https://www.cettire.com/collections/simon-miller" xr:uid="{B80A0F15-53E2-4645-B22A-B255C2247521}"/>
    <hyperlink ref="K692" r:id="rId1121" display="https://www.cettire.com/collections/simone-rocha" xr:uid="{2E5F2FD6-DA74-4F9C-AF14-FBAC685928CF}"/>
    <hyperlink ref="K693" r:id="rId1122" display="https://www.cettire.com/collections/simonetta" xr:uid="{60E1D0DE-66E3-4243-9FF1-8F1C39C800B7}"/>
    <hyperlink ref="K694" r:id="rId1123" display="https://www.cettire.com/collections/sofie-dhoore" xr:uid="{723B22E1-E0AB-4561-83AF-223704EF81AF}"/>
    <hyperlink ref="K695" r:id="rId1124" display="https://www.cettire.com/collections/sonia-rykiel" xr:uid="{3411A2D5-B673-4112-BA9A-A65105FDD7F1}"/>
    <hyperlink ref="K696" r:id="rId1125" display="https://www.cettire.com/collections/spalwart" xr:uid="{2C808FEC-FCCD-4547-B0B1-606FD014DD7E}"/>
    <hyperlink ref="K697" r:id="rId1126" display="https://www.cettire.com/collections/sportmax" xr:uid="{F6060612-348D-4921-82B4-B1E9C61D9EEA}"/>
    <hyperlink ref="K698" r:id="rId1127" display="https://www.cettire.com/collections/sporty-rich" xr:uid="{E70D3430-3137-4A31-89B4-5817BD2074AA}"/>
    <hyperlink ref="K699" r:id="rId1128" display="https://www.cettire.com/collections/stand-studio" xr:uid="{29DC7CC9-C8D7-4883-A597-ECC9789FB55C}"/>
    <hyperlink ref="K700" r:id="rId1129" display="https://www.cettire.com/collections/staud" xr:uid="{7313C65A-4EBC-4A12-B97B-B4AD49599562}"/>
    <hyperlink ref="K701" r:id="rId1130" display="https://www.cettire.com/collections/stella-mccartney" xr:uid="{B12EFA9E-CDC7-4028-B565-3A0BC1EEA9B7}"/>
    <hyperlink ref="K702" r:id="rId1131" display="https://www.cettire.com/collections/stella-mccartney-eyewear" xr:uid="{F2CA536F-8680-4994-98DD-3055CEF441AC}"/>
    <hyperlink ref="K703" r:id="rId1132" display="https://www.cettire.com/collections/stella-mccartney-kids" xr:uid="{0B9CDE6F-9754-4432-A886-C237166F2F4C}"/>
    <hyperlink ref="K704" r:id="rId1133" display="https://www.cettire.com/collections/stone-island" xr:uid="{820C3CDB-D803-4884-BA97-703E476CB99F}"/>
    <hyperlink ref="K705" r:id="rId1134" display="https://www.cettire.com/collections/stone-island-junior" xr:uid="{203FBD42-B5D8-4F21-92B6-0F032AF65554}"/>
    <hyperlink ref="K706" r:id="rId1135" display="https://www.cettire.com/collections/stone-island-shadow-project" xr:uid="{02479507-D211-4959-BD31-8104221D5CB0}"/>
    <hyperlink ref="K707" r:id="rId1136" display="https://www.cettire.com/collections/stuart-weitzman" xr:uid="{AF888615-A82D-4691-AD85-C54280519E97}"/>
    <hyperlink ref="K708" r:id="rId1137" display="https://www.cettire.com/collections/studio-amelia" xr:uid="{3751CB17-4955-4D56-9D04-7A1A95A071C6}"/>
    <hyperlink ref="K709" r:id="rId1138" display="https://www.cettire.com/collections/stussy" xr:uid="{ADC9D4E1-82CE-4063-BF28-2AF9C05940D7}"/>
    <hyperlink ref="K710" r:id="rId1139" display="https://www.cettire.com/collections/suicoke" xr:uid="{8C51F2E2-1D33-4A63-BB1C-103D42B4B0E0}"/>
    <hyperlink ref="K711" r:id="rId1140" display="https://www.cettire.com/collections/sunflower" xr:uid="{0A4767BC-F691-4B51-890B-BA9CA91A656F}"/>
    <hyperlink ref="K712" r:id="rId1141" display="https://www.cettire.com/collections/sunnei" xr:uid="{E108B0B3-731F-4734-971C-24801392EF7C}"/>
    <hyperlink ref="K713" r:id="rId1142" display="https://www.cettire.com/collections/swarovski" xr:uid="{34B4E6CD-662F-4CB0-A992-EF339CEDF826}"/>
    <hyperlink ref="K715" r:id="rId1143" display="https://www.cettire.com/collections/t-by-alexander-wang" xr:uid="{67C5E7F6-1B6E-4219-BCD9-145524A3D5EB}"/>
    <hyperlink ref="K716" r:id="rId1144" display="https://www.cettire.com/collections/tagliatore" xr:uid="{1232157B-8EBF-4A41-9EC2-81411A616F32}"/>
    <hyperlink ref="K718" r:id="rId1145" display="https://www.cettire.com/collections/telfar" xr:uid="{9DFA89D3-93BC-4545-ABFC-14825ACED9B5}"/>
    <hyperlink ref="K719" r:id="rId1146" display="https://www.cettire.com/collections/ten-c" xr:uid="{598AA0E0-7463-4295-861E-5761D9882209}"/>
    <hyperlink ref="K720" r:id="rId1147" display="https://www.cettire.com/collections/the-attico" xr:uid="{1ECDCECA-9675-4860-BB80-4F8E1E6A2838}"/>
    <hyperlink ref="K721" r:id="rId1148" display="https://www.cettire.com/collections/the-gigi" xr:uid="{CD5BC3B6-6A01-4E75-8230-F3C50F9C795F}"/>
    <hyperlink ref="K722" r:id="rId1149" display="https://www.cettire.com/collections/the-marc-jacobs-kids" xr:uid="{BB21532C-D9DC-4B50-8217-08ECE805CC5E}"/>
    <hyperlink ref="K723" r:id="rId1150" display="https://www.cettire.com/collections/the-north-face" xr:uid="{77EB7B02-DEA2-44B4-BDA0-AF2BFF8D8E68}"/>
    <hyperlink ref="K724" r:id="rId1151" display="https://www.cettire.com/collections/the-north-face-black-series" xr:uid="{BFE07290-9F7A-4F2A-A511-0C74D5BEA6F0}"/>
    <hyperlink ref="K725" r:id="rId1152" display="https://www.cettire.com/collections/the-north-face-kids" xr:uid="{BE7464B3-2755-443A-B91B-909C3B624063}"/>
    <hyperlink ref="K726" r:id="rId1153" display="https://www.cettire.com/collections/the-row" xr:uid="{4612A8FE-9AA3-4FE6-872B-836B5E0C68F6}"/>
    <hyperlink ref="K727" r:id="rId1154" display="https://www.cettire.com/collections/themoire" xr:uid="{2DD2054E-9E24-4ABE-9759-7A56F2E81BED}"/>
    <hyperlink ref="K728" r:id="rId1155" display="https://www.cettire.com/collections/theory" xr:uid="{300D31E1-78B9-4F82-8F8B-0923E75AC350}"/>
    <hyperlink ref="K729" r:id="rId1156" display="https://www.cettire.com/collections/thom-browne" xr:uid="{0C676E9F-4075-4132-96E1-4A4746FCEAA1}"/>
    <hyperlink ref="K730" r:id="rId1157" display="https://www.cettire.com/collections/thom-browne-eyewear" xr:uid="{B6042666-84EF-4748-8972-7F6FCE3FCA05}"/>
    <hyperlink ref="K732" r:id="rId1158" display="https://www.cettire.com/collections/tods" xr:uid="{10B05C5C-3572-4B05-9C7C-38BCAEC8A53F}"/>
    <hyperlink ref="K733" r:id="rId1159" display="https://www.cettire.com/collections/tom-ford" xr:uid="{52570909-86E9-4E97-A85A-39EA1E49B2D0}"/>
    <hyperlink ref="K734" r:id="rId1160" display="https://www.cettire.com/collections/tom-ford-eyewear" xr:uid="{C58E7F3A-4B5F-4919-99B3-5A770EA59378}"/>
    <hyperlink ref="K735" r:id="rId1161" display="https://www.cettire.com/collections/tommy-hilfiger" xr:uid="{1CEDF426-AF49-4900-8DA6-21BE11FC18C3}"/>
    <hyperlink ref="K736" r:id="rId1162" display="https://www.cettire.com/collections/tory-burch" xr:uid="{A678290E-5A4C-43D6-90CE-C0D8274FAED8}"/>
    <hyperlink ref="K737" r:id="rId1163" display="https://www.cettire.com/collections/toteme" xr:uid="{C6C5B5A6-B8E1-48C0-B1C9-6159643F5C78}"/>
    <hyperlink ref="K738" r:id="rId1164" display="https://www.cettire.com/collections/trickers" xr:uid="{78F10A2C-A48E-48D5-AB47-F7B069DEC302}"/>
    <hyperlink ref="K739" r:id="rId1165" display="https://www.cettire.com/collections/trippen" xr:uid="{8BF74331-22C2-46E9-9FCC-475709492FB3}"/>
    <hyperlink ref="K740" r:id="rId1166" display="https://www.cettire.com/collections/twinset" xr:uid="{8B2C77A9-A512-45E9-8ED5-A40C53BA5C7F}"/>
    <hyperlink ref="K741" r:id="rId1167" display="https://www.cettire.com/collections/twinset-kids" xr:uid="{D74285B8-93DA-415A-917D-5718C9FEC5BC}"/>
    <hyperlink ref="K743" r:id="rId1168" display="https://www.cettire.com/collections/ugg" xr:uid="{7F386096-0F80-4A78-B9AC-6CFA7611A0EF}"/>
    <hyperlink ref="K744" r:id="rId1169" display="https://www.cettire.com/collections/ugg-kids" xr:uid="{585126E8-2566-4D28-8FA2-BC9103FF098C}"/>
    <hyperlink ref="K745" r:id="rId1170" display="https://www.cettire.com/collections/uh-nom-uh-nit" xr:uid="{D27C8E05-B2B2-437D-B446-3F83DEF90C3E}"/>
    <hyperlink ref="K746" r:id="rId1171" display="https://www.cettire.com/collections/ulla-johnson" xr:uid="{359E3C86-EDB5-4D82-898C-37F79C0CB5F6}"/>
    <hyperlink ref="K747" r:id="rId1172" display="https://www.cettire.com/collections/ultrachic" xr:uid="{A36BD8E0-D761-4F8B-B825-BB4C0552E433}"/>
    <hyperlink ref="K748" r:id="rId1173" display="https://www.cettire.com/collections/uma-wang" xr:uid="{710D40E4-85C4-4DF3-9CC6-2DC76F5FD132}"/>
    <hyperlink ref="K749" r:id="rId1174" display="https://www.cettire.com/collections/undercover" xr:uid="{EE75D043-ABEB-4388-9026-261E68203FD7}"/>
    <hyperlink ref="K750" r:id="rId1175" display="https://www.cettire.com/collections/unravel-project" xr:uid="{3E1E67D5-482F-4D80-A8F6-03B3A39CD71D}"/>
    <hyperlink ref="K752" r:id="rId1176" display="https://www.cettire.com/collections/valentino" xr:uid="{12AFF93D-2675-43BA-877D-2CFD732F53FF}"/>
    <hyperlink ref="K753" r:id="rId1177" display="https://www.cettire.com/collections/valentino-eyewear" xr:uid="{2E6AD28B-94E8-4950-8BD0-15748AB77356}"/>
    <hyperlink ref="K754" r:id="rId1178" display="https://www.cettire.com/collections/valextra" xr:uid="{AB014975-935C-47BE-92CE-49F99B795E9C}"/>
    <hyperlink ref="K755" r:id="rId1179" display="https://www.cettire.com/collections/vans" xr:uid="{030E7578-3DCB-445F-B4C4-5494773FCD30}"/>
    <hyperlink ref="K756" r:id="rId1180" display="https://www.cettire.com/collections/vans-vault" xr:uid="{FA4CD7D6-506E-4F01-9330-C11AB03848AC}"/>
    <hyperlink ref="K757" r:id="rId1181" display="https://www.cettire.com/collections/veja" xr:uid="{A57E0037-FE57-46CF-9725-A90EC025E17D}"/>
    <hyperlink ref="K758" r:id="rId1182" display="https://www.cettire.com/collections/veja-kids" xr:uid="{2F3CF4B3-5123-48D5-BA35-6D1208231DD9}"/>
    <hyperlink ref="K759" r:id="rId1183" display="https://www.cettire.com/collections/versace" xr:uid="{B4E5FE6F-35DB-4FDC-92F3-F9D11602EC57}"/>
    <hyperlink ref="K760" r:id="rId1184" display="https://www.cettire.com/collections/versace-collection" xr:uid="{8ADA7D27-B070-4E30-840C-B090C7BB80F4}"/>
    <hyperlink ref="K761" r:id="rId1185" display="https://www.cettire.com/collections/versace-eyewear" xr:uid="{83ED91B1-FD12-4B04-BD2D-0ABBB7C9AD57}"/>
    <hyperlink ref="K762" r:id="rId1186" display="https://www.cettire.com/collections/versace-jeans-couture" xr:uid="{24BF805A-5CFD-4B63-9E52-2AB3816BC721}"/>
    <hyperlink ref="K763" r:id="rId1187" display="https://www.cettire.com/collections/versace-kids" xr:uid="{AA69AAF0-309F-4CB4-8A75-3B0F9B171E66}"/>
    <hyperlink ref="K764" r:id="rId1188" display="https://www.cettire.com/collections/vince" xr:uid="{A2546C9C-0A02-4B72-8795-EF9A938E865B}"/>
    <hyperlink ref="K765" r:id="rId1189" display="https://www.cettire.com/collections/vision-of-super" xr:uid="{1E5B932C-4733-439F-AA6B-B16BC8D889EB}"/>
    <hyperlink ref="K767" r:id="rId1190" display="https://www.cettire.com/collections/visvim" xr:uid="{AC0EE162-8653-4F75-9730-83085F6B85E7}"/>
    <hyperlink ref="K768" r:id="rId1191" display="https://www.cettire.com/collections/vivienne-westwood" xr:uid="{0E91AA67-8252-48B6-99D8-519D89CD3CFA}"/>
    <hyperlink ref="K770" r:id="rId1192" display="https://www.cettire.com/collections/wales-bonner" xr:uid="{20F99BF2-0893-4947-9CA1-40B5FCF2A16C}"/>
    <hyperlink ref="K771" r:id="rId1193" display="https://www.cettire.com/collections/wandler" xr:uid="{37F03BFE-47D8-435F-AE4E-59DC64BDEF46}"/>
    <hyperlink ref="K772" r:id="rId1194" display="https://www.cettire.com/collections/we11done" xr:uid="{9547FE3B-CC1E-4E91-9583-A8F1D2F445C1}"/>
    <hyperlink ref="K773" r:id="rId1195" display="https://www.cettire.com/collections/weekend-max-mara" xr:uid="{B9FF3AEF-2F7F-4EE6-B727-36C11E36F725}"/>
    <hyperlink ref="K774" r:id="rId1196" display="https://www.cettire.com/collections/white-mountaineering" xr:uid="{746D8C32-9863-42E3-AE20-6697ECBC6474}"/>
    <hyperlink ref="K775" r:id="rId1197" display="https://www.cettire.com/collections/woolrich" xr:uid="{5DEC284B-F3C0-47BD-988D-2E72B77F893C}"/>
    <hyperlink ref="K776" r:id="rId1198" display="https://www.cettire.com/collections/woolrich-kids" xr:uid="{5CC5B974-2AF6-4C3E-A4A0-B08EE814ABD3}"/>
    <hyperlink ref="K777" r:id="rId1199" display="https://www.cettire.com/collections/woolrich-x-griffin" xr:uid="{2ACAA55E-004D-4EFA-BE62-224928109070}"/>
    <hyperlink ref="K779" r:id="rId1200" display="https://www.cettire.com/collections/y-3" xr:uid="{792CC39C-FC4C-49A1-BFAB-2DAC40854F1A}"/>
    <hyperlink ref="K780" r:id="rId1201" display="https://www.cettire.com/collections/ys" xr:uid="{15468E77-CCFA-4E35-86B5-9A6C4B3C0755}"/>
    <hyperlink ref="K781" r:id="rId1202" display="https://www.cettire.com/collections/y-project" xr:uid="{36362CFF-AD93-42A5-9DAB-2358CCFF8B07}"/>
    <hyperlink ref="K782" r:id="rId1203" display="https://www.cettire.com/collections/ymc" xr:uid="{264F392E-A6AE-41FF-9CC5-F2487DF524B1}"/>
    <hyperlink ref="K783" r:id="rId1204" display="https://www.cettire.com/collections/yohji-yamamoto" xr:uid="{3A84D03A-D943-4357-99B1-A5BF4EFB8AC2}"/>
    <hyperlink ref="K784" r:id="rId1205" display="https://www.cettire.com/collections/yuzefi" xr:uid="{3F9A72A5-DE06-4EA1-A093-7E32644D8B9B}"/>
    <hyperlink ref="K785" r:id="rId1206" display="https://www.cettire.com/collections/yves-salomon" xr:uid="{65608659-0082-4A35-9171-AB8638EA6F80}"/>
    <hyperlink ref="K787" r:id="rId1207" display="https://www.cettire.com/collections/z-zegna" xr:uid="{C61B182D-ACAA-49AC-B2B6-CC953579B4E9}"/>
    <hyperlink ref="K788" r:id="rId1208" display="https://www.cettire.com/collections/zadig-voltaire" xr:uid="{6BB1756F-9686-4D2B-A3B0-0DC47ED7FA42}"/>
    <hyperlink ref="K789" r:id="rId1209" display="https://www.cettire.com/collections/zadig-voltaire-kids" xr:uid="{F1500368-E5C3-4C7F-8281-A78E999AE7DC}"/>
    <hyperlink ref="K790" r:id="rId1210" display="https://www.cettire.com/collections/zimmermann" xr:uid="{17BFC9FC-46CE-4E60-840C-A323AB92E93E}"/>
    <hyperlink ref="L135" r:id="rId1211" display="https://www.cettire.com/collections/s-max-mara" xr:uid="{78255184-82A4-45DF-BA97-220C035045BE}"/>
    <hyperlink ref="L137" r:id="rId1212" display="https://www.cettire.com/collections/1017-alyx-9sm" xr:uid="{0797C2A0-D14E-4319-B5ED-0187D277507D}"/>
    <hyperlink ref="L138" r:id="rId1213" display="https://www.cettire.com/collections/3-1-phillip-lim" xr:uid="{C6C23228-379A-48AD-9EEE-C78D30245BDA}"/>
    <hyperlink ref="L139" r:id="rId1214" display="https://www.cettire.com/collections/424" xr:uid="{3D19C850-C576-4301-9996-AC172BE1A52A}"/>
    <hyperlink ref="L140" r:id="rId1215" display="https://www.cettire.com/collections/7-for-all-mankind" xr:uid="{1C5454A4-CEB5-4810-941A-EA8740F4E43C}"/>
    <hyperlink ref="L141" r:id="rId1216" display="https://www.cettire.com/collections/ug-ss-kids" xr:uid="{8FDE4E92-9C07-4EAE-B8E6-DEE3CA05D219}"/>
    <hyperlink ref="L142" r:id="rId1217" display="https://www.cettire.com/collections/lvin-l-in-kids" xr:uid="{9D95A3FA-E1B6-4A3D-9B16-02182F18DA27}"/>
    <hyperlink ref="L143" r:id="rId1218" display="https://www.cettire.com/collections/mm-ilfig-r-kids" xr:uid="{71A6A00F-2286-46B1-933D-2A0390B02C5A}"/>
    <hyperlink ref="L145" r:id="rId1219" display="https://www.cettire.com/collections/a-cold-wall" xr:uid="{6483056C-1822-4F35-AE18-16CC23C5F63D}"/>
    <hyperlink ref="L146" r:id="rId1220" display="https://www.cettire.com/collections/a-p-c" xr:uid="{84AEFDCD-F6D1-4998-B89F-D2213C3A42B7}"/>
    <hyperlink ref="L147" r:id="rId1221" display="https://www.cettire.com/collections/a-w-a-k-e-mode" xr:uid="{78EAF07D-B791-419A-B9E2-50CAF88DE569}"/>
    <hyperlink ref="L148" r:id="rId1222" display="https://www.cettire.com/collections/abra" xr:uid="{137EC965-51D6-4FB8-A555-E9A9BFF12D89}"/>
    <hyperlink ref="L149" r:id="rId1223" display="https://www.cettire.com/collections/ader-error" xr:uid="{A464901D-5A62-40E8-BEAB-F5A18382EB2E}"/>
    <hyperlink ref="L150" r:id="rId1224" display="https://www.cettire.com/collections/adidas" xr:uid="{A232B800-988A-4198-A9AD-98020CF51B84}"/>
    <hyperlink ref="L151" r:id="rId1225" display="https://www.cettire.com/collections/adidas-by-danielle-cathari" xr:uid="{C5AF43AE-A9FC-438D-A89F-7AC4A33DE964}"/>
    <hyperlink ref="L152" r:id="rId1226" display="https://www.cettire.com/collections/adidas-by-human-made" xr:uid="{40B05F8A-EA1A-4094-8DD6-651499B5BE33}"/>
    <hyperlink ref="L153" r:id="rId1227" display="https://www.cettire.com/collections/adidas-by-pharrell-williams" xr:uid="{99B204C9-9373-4AE9-A93B-BF6460EBE3AC}"/>
    <hyperlink ref="L154" r:id="rId1228" display="https://www.cettire.com/collections/adidas-by-raf-simons" xr:uid="{F49257C5-93B9-4316-AB80-92314D674E43}"/>
    <hyperlink ref="L155" r:id="rId1229" display="https://www.cettire.com/collections/adidas-by-stella-mccartney" xr:uid="{06D91223-2937-4570-A91B-344A4E59E2A3}"/>
    <hyperlink ref="L156" r:id="rId1230" display="https://www.cettire.com/collections/adidas-by-wales-bonner" xr:uid="{004764F9-E596-402B-8662-7DE2267250A0}"/>
    <hyperlink ref="L157" r:id="rId1231" display="https://www.cettire.com/collections/adidas-kids" xr:uid="{4192D8B5-F2F1-4E44-99EF-0F50538B14EC}"/>
    <hyperlink ref="L158" r:id="rId1232" display="https://www.cettire.com/collections/adidas-originals" xr:uid="{51CC85B4-FFBC-483B-AA51-DDA42D82709A}"/>
    <hyperlink ref="L159" r:id="rId1233" display="https://www.cettire.com/collections/adidas-originals-by-alexander-wang" xr:uid="{930C4895-ABE0-47F7-B653-AE58B5F1A744}"/>
    <hyperlink ref="L160" r:id="rId1234" display="https://www.cettire.com/collections/adriana-degreas" xr:uid="{AB1A34B3-3612-4CCE-B2D5-0F57B087072B}"/>
    <hyperlink ref="L161" r:id="rId1235" display="https://www.cettire.com/collections/aeyd%C4%93" xr:uid="{5CE7FBAD-B4A1-4849-B1C7-DE43DDE125B8}"/>
    <hyperlink ref="L162" r:id="rId1236" display="https://www.cettire.com/collections/agnona" xr:uid="{DB72866D-EF6E-45F6-A331-5AA878A3A128}"/>
    <hyperlink ref="L163" r:id="rId1237" display="https://www.cettire.com/collections/agolde" xr:uid="{81B28014-04E1-4948-99DF-E06A030AF9E0}"/>
    <hyperlink ref="L164" r:id="rId1238" display="https://www.cettire.com/collections/alaia" xr:uid="{9DFC4650-8187-41A6-9EC4-B95E2A49A04A}"/>
    <hyperlink ref="L165" r:id="rId1239" display="https://www.cettire.com/collections/alanui" xr:uid="{CA873C45-F676-4116-96DC-3DB5FF045335}"/>
    <hyperlink ref="L166" r:id="rId1240" display="https://www.cettire.com/collections/alberta-ferretti" xr:uid="{40D6AFA0-DF9F-47D1-9B23-76BDD2942ED3}"/>
    <hyperlink ref="L167" r:id="rId1241" display="https://www.cettire.com/collections/alberta-ferretti-kids" xr:uid="{97898F5F-0702-47BC-AAA8-A5DC0B12D724}"/>
    <hyperlink ref="L168" r:id="rId1242" display="https://www.cettire.com/collections/alberto-biani" xr:uid="{7C5C6B3B-B270-49C2-8254-A10655F3A43D}"/>
    <hyperlink ref="L169" r:id="rId1243" display="https://www.cettire.com/collections/alessandra-rich" xr:uid="{E46DDD02-1D48-4600-9C0D-FCA3663FD4E6}"/>
    <hyperlink ref="L170" r:id="rId1244" display="https://www.cettire.com/collections/alessia-xoccato" xr:uid="{EB34DBB0-CDB6-4867-8D79-986C950E345D}"/>
    <hyperlink ref="L171" r:id="rId1245" display="https://www.cettire.com/collections/alexander-mcqueen" xr:uid="{028494DF-A21B-455A-BD6C-92DEDD5759A9}"/>
    <hyperlink ref="L172" r:id="rId1246" display="https://www.cettire.com/collections/alexander-mcqueen-eyewear" xr:uid="{AC5BF4EE-6F87-4B49-A6F5-9CD28983550A}"/>
    <hyperlink ref="L173" r:id="rId1247" display="https://www.cettire.com/collections/alexander-mcqueen-kids" xr:uid="{427AA196-1A17-495F-BC66-3043B24DA59B}"/>
    <hyperlink ref="L174" r:id="rId1248" display="https://www.cettire.com/collections/alexander-wang" xr:uid="{859BA862-DF46-4EBE-AAA2-9EBD4DB8E2CA}"/>
    <hyperlink ref="L175" r:id="rId1249" display="https://www.cettire.com/collections/alexandre-vauthier" xr:uid="{708362F4-F4AA-4657-8B48-C3D99A895517}"/>
    <hyperlink ref="L176" r:id="rId1250" display="https://www.cettire.com/collections/allude" xr:uid="{B21903AD-E379-4FBB-B056-A4C618692D21}"/>
    <hyperlink ref="L177" r:id="rId1251" display="https://www.cettire.com/collections/alpha-industries" xr:uid="{0499B41C-F234-4437-B27E-6C57623F3EF4}"/>
    <hyperlink ref="L178" r:id="rId1252" display="https://www.cettire.com/collections/ambush" xr:uid="{8C183006-49FE-4EB0-A0D5-82678BDAEE9B}"/>
    <hyperlink ref="L179" r:id="rId1253" display="https://www.cettire.com/collections/amen" xr:uid="{D0F7AD67-1A17-4BA4-86CA-681769340E6E}"/>
    <hyperlink ref="L180" r:id="rId1254" display="https://www.cettire.com/collections/ami" xr:uid="{01A6CC17-B1C1-4BA4-83FF-0F9906C470C4}"/>
    <hyperlink ref="L181" r:id="rId1255" display="https://www.cettire.com/collections/amina-muaddi" xr:uid="{929121DD-6439-4E1C-AE01-729837C38E5F}"/>
    <hyperlink ref="L182" r:id="rId1256" display="https://www.cettire.com/collections/amiri" xr:uid="{4D6D7903-D6DD-4278-946B-CAA5205B8E23}"/>
    <hyperlink ref="L183" r:id="rId1257" display="https://www.cettire.com/collections/ancient-greek-sandals" xr:uid="{F3D1CCB4-7D15-4724-BB12-71294BA0C284}"/>
    <hyperlink ref="L186" r:id="rId1258" display="https://www.cettire.com/collections/anita-bilardi" xr:uid="{929FC52C-414D-4C83-B23B-F97A4575754F}"/>
    <hyperlink ref="L187" r:id="rId1259" display="https://www.cettire.com/collections/aniye-by" xr:uid="{2F344B68-56D0-451E-9578-D3B0A6639F87}"/>
    <hyperlink ref="L188" r:id="rId1260" display="https://www.cettire.com/collections/ann-demeulemeester" xr:uid="{EA116426-2472-40FD-A3CD-4869EFD4AA51}"/>
    <hyperlink ref="L189" r:id="rId1261" display="https://www.cettire.com/collections/antonino-valenti" xr:uid="{36BCCEF3-CCDC-4746-B7C1-6CB308BD433F}"/>
    <hyperlink ref="L190" r:id="rId1262" display="https://www.cettire.com/collections/anya-hindmarch" xr:uid="{CE7E5263-23C6-4285-B822-BB80106A62BA}"/>
    <hyperlink ref="L191" r:id="rId1263" display="https://www.cettire.com/collections/apesi" xr:uid="{B87E5EC8-0159-45CA-94DF-96A554F002E7}"/>
    <hyperlink ref="L192" r:id="rId1264" display="https://www.cettire.com/collections/aquazzura" xr:uid="{B3F989E8-97C6-41E5-8245-95D23D34E1DD}"/>
    <hyperlink ref="L193" r:id="rId1265" display="https://www.cettire.com/collections/aragona" xr:uid="{48903266-858C-4C34-B13E-453B511E8D64}"/>
    <hyperlink ref="L194" r:id="rId1266" display="https://www.cettire.com/collections/area" xr:uid="{E47FB49F-E6CD-4CB1-A3FF-47CCF3CDC3F9}"/>
    <hyperlink ref="L195" r:id="rId1267" display="https://www.cettire.com/collections/aries" xr:uid="{6BDF6498-B023-4F9F-B914-B36AE40F7533}"/>
    <hyperlink ref="L196" r:id="rId1268" display="https://www.cettire.com/collections/arizona-love" xr:uid="{632CEC82-4111-4131-BA01-C06017D74585}"/>
    <hyperlink ref="L197" r:id="rId1269" display="https://www.cettire.com/collections/arma" xr:uid="{82120D24-7706-4A9E-952C-7AB760718E36}"/>
    <hyperlink ref="L198" r:id="rId1270" display="https://www.cettire.com/collections/art-dealer" xr:uid="{93740460-6878-44A8-A48A-F1E3E69DA8F4}"/>
    <hyperlink ref="L199" r:id="rId1271" display="https://www.cettire.com/collections/ash" xr:uid="{5970DC76-18B9-4804-8FC2-80E6F5159AE3}"/>
    <hyperlink ref="L200" r:id="rId1272" display="https://www.cettire.com/collections/asics" xr:uid="{B49AAA59-CD71-4FF0-84D9-99CEFF8A1F70}"/>
    <hyperlink ref="L201" r:id="rId1273" display="https://www.cettire.com/collections/aspesi" xr:uid="{B9B5C004-C4D0-4ACE-8004-45AD15900888}"/>
    <hyperlink ref="L202" r:id="rId1274" display="https://www.cettire.com/collections/attico" xr:uid="{6C579F28-D448-49DB-A8BE-D6FCD4432A2E}"/>
    <hyperlink ref="L203" r:id="rId1275" display="https://www.cettire.com/collections/au-depart" xr:uid="{9D295837-6174-491B-B5F5-33EBA26BC1D3}"/>
    <hyperlink ref="L204" r:id="rId1276" display="https://www.cettire.com/collections/autry" xr:uid="{B7032EC5-3DC3-4839-B388-7F8E4916C818}"/>
    <hyperlink ref="L205" r:id="rId1277" display="https://www.cettire.com/collections/axel-arigato" xr:uid="{1668BC1E-6C29-4486-88F2-E545E51D0486}"/>
    <hyperlink ref="L207" r:id="rId1278" display="https://www.cettire.com/collections/balenciaga" xr:uid="{EB19A5B7-A5BC-4700-B44B-A355D0C77717}"/>
    <hyperlink ref="L208" r:id="rId1279" display="https://www.cettire.com/collections/balenciaga-eyewear" xr:uid="{0FF11B99-50E4-4142-841A-FBBB5CA1A82A}"/>
    <hyperlink ref="L209" r:id="rId1280" display="https://www.cettire.com/collections/balenciaga-kids" xr:uid="{8DF3675D-E2F4-4C0E-A812-71FB29E82F7F}"/>
    <hyperlink ref="L210" r:id="rId1281" display="https://www.cettire.com/collections/ballantyne" xr:uid="{995F1A92-94CC-48EE-BE99-E477D28502FC}"/>
    <hyperlink ref="L212" r:id="rId1282" display="https://www.cettire.com/collections/bally" xr:uid="{76E1449D-E87A-4C86-8167-66B339ED588A}"/>
    <hyperlink ref="L213" r:id="rId1283" display="https://www.cettire.com/collections/balmain" xr:uid="{8FD0F123-0EA1-49C9-9DEC-76D3A28885C8}"/>
    <hyperlink ref="L214" r:id="rId1284" display="https://www.cettire.com/collections/balmain-kids" xr:uid="{DECD431D-47F5-412C-B94E-ABD71B60FE22}"/>
    <hyperlink ref="L215" r:id="rId1285" display="https://www.cettire.com/collections/bao-bao-issey-miyake" xr:uid="{E9341951-EE0B-4561-9536-195B3F9C2FFD}"/>
    <hyperlink ref="L216" r:id="rId1286" display="https://www.cettire.com/collections/barba" xr:uid="{32B919D2-B5EA-437D-A73D-9D2CB99FFE29}"/>
    <hyperlink ref="L217" r:id="rId1287" display="https://www.cettire.com/collections/barbour" xr:uid="{6ED843B5-C6EA-4B83-96C2-9FE1420C430A}"/>
    <hyperlink ref="L218" r:id="rId1288" display="https://www.cettire.com/collections/barena" xr:uid="{D99477A1-B32D-43EC-B8F5-744560C67EB7}"/>
    <hyperlink ref="L219" r:id="rId1289" display="https://www.cettire.com/collections/bark-b-rules" xr:uid="{7645A74D-CFE7-495A-8233-DD77E2BDD1A5}"/>
    <hyperlink ref="L220" r:id="rId1290" display="https://www.cettire.com/collections/barrow" xr:uid="{3B03A0C5-1825-448F-B3AA-D94DC21C3079}"/>
    <hyperlink ref="L221" r:id="rId1291" display="https://www.cettire.com/collections/baum-und-pferdgarten" xr:uid="{D88C7A82-2D18-411B-ADC1-900F669742B5}"/>
    <hyperlink ref="L222" r:id="rId1292" display="https://www.cettire.com/collections/belstaff" xr:uid="{C9C67BC6-92E8-4977-A6F4-2D9C4AA14009}"/>
    <hyperlink ref="L223" r:id="rId1293" display="https://www.cettire.com/collections/berluti" xr:uid="{5C4745BA-B19F-46DD-91B9-E4652E41AABF}"/>
    <hyperlink ref="L224" r:id="rId1294" display="https://www.cettire.com/collections/billieblush" xr:uid="{F3BF7270-B6A1-4B59-8682-F5701AA5F2FE}"/>
    <hyperlink ref="L225" r:id="rId1295" display="https://www.cettire.com/collections/billionaire" xr:uid="{32CCCE42-8110-4D4D-9818-1CAE3F0402EC}"/>
    <hyperlink ref="L226" r:id="rId1296" display="https://www.cettire.com/collections/billionaire-boys-club" xr:uid="{A753CD38-C972-4D10-B847-B4BF0832DEFD}"/>
    <hyperlink ref="L227" r:id="rId1297" display="https://www.cettire.com/collections/birkenstock" xr:uid="{A102463D-A02B-42BF-BBEA-951A87D4D44A}"/>
    <hyperlink ref="L228" r:id="rId1298" display="https://www.cettire.com/collections/bobo-choses" xr:uid="{B3A94AB3-75DA-4614-9957-9FAE926D1700}"/>
    <hyperlink ref="L230" r:id="rId1299" display="https://www.cettire.com/collections/bode" xr:uid="{BF520535-842D-46C6-998D-7C0662CECE28}"/>
    <hyperlink ref="L231" r:id="rId1300" display="https://www.cettire.com/collections/boglioli" xr:uid="{690FDF53-F39D-4F22-877E-B4A35211CB60}"/>
    <hyperlink ref="L232" r:id="rId1301" display="https://www.cettire.com/collections/bonpoint" xr:uid="{2FF4E6BE-D710-43C5-9255-6DCB11CEEA8D}"/>
    <hyperlink ref="L233" r:id="rId1302" display="https://www.cettire.com/collections/bottega-veneta" xr:uid="{2C936DAA-B0CF-4BA4-AF76-C557148A5DB7}"/>
    <hyperlink ref="L234" r:id="rId1303" display="https://www.cettire.com/collections/bottega-veneta-eyewear" xr:uid="{B3F62818-179B-4593-845C-5C07B439043B}"/>
    <hyperlink ref="L235" r:id="rId1304" display="https://www.cettire.com/collections/botter" xr:uid="{94D7A01A-B7A0-4BCC-9D04-7A57C3614404}"/>
    <hyperlink ref="L236" r:id="rId1305" display="https://www.cettire.com/collections/boutique-moschino" xr:uid="{CABC8EE2-F566-41B1-83B9-00F3E142B2EA}"/>
    <hyperlink ref="L237" r:id="rId1306" display="https://www.cettire.com/collections/boyy" xr:uid="{62A851A2-3746-4BA0-9AEA-0B79034EEBAF}"/>
    <hyperlink ref="L238" r:id="rId1307" display="https://www.cettire.com/collections/brian-dales" xr:uid="{6614A281-91B7-47BD-832D-D80B58ACC196}"/>
    <hyperlink ref="L239" r:id="rId1308" display="https://www.cettire.com/collections/brunello-cucinelli" xr:uid="{B60CB4C3-5A23-4B4A-8135-97A8B3116D0E}"/>
    <hyperlink ref="L240" r:id="rId1309" display="https://www.cettire.com/collections/brunello-cucinelli-kids" xr:uid="{788DC976-7880-42FE-92D5-1A238DBFD0B0}"/>
    <hyperlink ref="L241" r:id="rId1310" display="https://www.cettire.com/collections/building-block" xr:uid="{8DD85542-80F8-4A4F-8A74-CDA87CD937D6}"/>
    <hyperlink ref="L242" r:id="rId1311" display="https://www.cettire.com/collections/bulgari" xr:uid="{6DBFAEE5-793E-47C0-AC80-18CAC04FFAC8}"/>
    <hyperlink ref="L243" r:id="rId1312" display="https://www.cettire.com/collections/burberry" xr:uid="{89CF2BA6-E7FA-44BA-9265-E62D525014AE}"/>
    <hyperlink ref="L244" r:id="rId1313" display="https://www.cettire.com/collections/burberry-eyewear" xr:uid="{46AAA3B0-3111-41DF-839E-E27E54B3C752}"/>
    <hyperlink ref="L245" r:id="rId1314" display="https://www.cettire.com/collections/burberry-kids" xr:uid="{0CE438A5-CC4E-483C-880A-611B39E31CA9}"/>
    <hyperlink ref="L246" r:id="rId1315" display="https://www.cettire.com/collections/buscemi" xr:uid="{CF5BBB4B-BC30-407F-98C9-968D9E7D93D8}"/>
    <hyperlink ref="L247" r:id="rId1316" display="https://www.cettire.com/collections/buttero" xr:uid="{0CD7F31E-5F52-4D59-BDFE-2018D9E1D356}"/>
    <hyperlink ref="L248" r:id="rId1317" display="https://www.cettire.com/collections/by-far" xr:uid="{E444E15D-C089-4080-8035-14FD163AF394}"/>
    <hyperlink ref="L250" r:id="rId1318" display="https://www.cettire.com/collections/c-p-company" xr:uid="{122CD777-9579-4F14-B6CD-656959E7829F}"/>
    <hyperlink ref="L251" r:id="rId1319" display="https://www.cettire.com/collections/c-p-company-kids" xr:uid="{531A86CF-E4D8-40C7-86E2-2403BCD5751A}"/>
    <hyperlink ref="L252" r:id="rId1320" display="https://www.cettire.com/collections/c2h4" xr:uid="{7B16675D-8EBF-4A15-B39A-26B0F7AE6C27}"/>
    <hyperlink ref="L253" r:id="rId1321" display="https://www.cettire.com/collections/calvin-klein" xr:uid="{90A2EA63-A9D7-4397-A1BB-167358E05D0A}"/>
    <hyperlink ref="L254" r:id="rId1322" display="https://www.cettire.com/collections/calvin-klein-jeans-est-1978" xr:uid="{338C6193-F552-4DA4-91D7-E079BA78A1EA}"/>
    <hyperlink ref="L255" r:id="rId1323" display="https://www.cettire.com/collections/canada-goose" xr:uid="{A0497DE5-EEF2-45FE-B038-1FD1C1697340}"/>
    <hyperlink ref="L256" r:id="rId1324" display="https://www.cettire.com/collections/canada-goose-kids" xr:uid="{330C39D3-6367-4093-A433-3EE49B3BFD9E}"/>
    <hyperlink ref="L257" r:id="rId1325" display="https://www.cettire.com/collections/canali" xr:uid="{D817332C-6D09-4293-91AD-40DE2ECC3168}"/>
    <hyperlink ref="L258" r:id="rId1326" display="https://www.cettire.com/collections/car-shoe" xr:uid="{F78CD8E3-4F9B-486E-853D-1D00616B9D25}"/>
    <hyperlink ref="L259" r:id="rId1327" display="https://www.cettire.com/collections/carhartt" xr:uid="{4AD8C18B-751A-490F-A226-0B80F77024BF}"/>
    <hyperlink ref="L260" r:id="rId1328" display="https://www.cettire.com/collections/carhartt-wip" xr:uid="{C039B2E7-B292-446D-803E-F24BCF7AFAE2}"/>
    <hyperlink ref="L261" r:id="rId1329" display="https://www.cettire.com/collections/carrera" xr:uid="{4BDC4B78-62F6-4D13-B5BD-177B138B7AF3}"/>
    <hyperlink ref="L262" r:id="rId1330" display="https://www.cettire.com/collections/cartier" xr:uid="{B1E35080-83C7-4686-815B-BD5B952FEC18}"/>
    <hyperlink ref="L263" r:id="rId1331" display="https://www.cettire.com/collections/carven" xr:uid="{9AFA3C59-A765-4E1F-AA86-00C14BA6EA07}"/>
    <hyperlink ref="L264" r:id="rId1332" display="https://www.cettire.com/collections/casablanca" xr:uid="{E06DCBA2-91CD-4642-98BE-D9C4876AE9DA}"/>
    <hyperlink ref="L266" r:id="rId1333" display="https://www.cettire.com/collections/cc-collection-corneliani" xr:uid="{FE86A2FE-BECE-4F74-934F-9C552EB7E2C9}"/>
    <hyperlink ref="L267" r:id="rId1334" display="https://www.cettire.com/collections/cecilie-bahnsen" xr:uid="{BAD2A7A5-9B6D-4201-9E3C-1ED38467010A}"/>
    <hyperlink ref="L268" r:id="rId1335" display="https://www.cettire.com/collections/champion" xr:uid="{9F17C698-9C18-4CFD-B556-52738EBC0B70}"/>
    <hyperlink ref="L269" r:id="rId1336" display="https://www.cettire.com/collections/chanel" xr:uid="{78B3A099-BCB1-4159-8B31-013490C0FB17}"/>
    <hyperlink ref="L270" r:id="rId1337" display="https://www.cettire.com/collections/chiara-ferragni" xr:uid="{9CA896C3-DCB7-4092-9112-B8F4D0054658}"/>
    <hyperlink ref="L271" r:id="rId1338" display="https://www.cettire.com/collections/chiara-ferragni-kids" xr:uid="{BB1982BB-8C5C-4B96-B935-7D8322282CE7}"/>
    <hyperlink ref="L272" r:id="rId1339" display="https://www.cettire.com/collections/chie-mihara" xr:uid="{2A187FC8-BA6C-4C94-9AF3-68D2BB163B24}"/>
    <hyperlink ref="L274" r:id="rId1340" display="https://www.cettire.com/collections/chloe" xr:uid="{CC85942C-001B-4B8E-8970-B5D02B8ECB63}"/>
    <hyperlink ref="L275" r:id="rId1341" display="https://www.cettire.com/collections/chloe-eyewear" xr:uid="{9611E157-69F0-4CF9-A6F1-19750F81FE44}"/>
    <hyperlink ref="L276" r:id="rId1342" display="https://www.cettire.com/collections/chlo%C3%A9 kids" xr:uid="{2458290E-74EC-4E4A-BB1D-2C43641322A3}"/>
    <hyperlink ref="L277" r:id="rId1343" display="https://www.cettire.com/collections/chopard-eyewear" xr:uid="{100B3177-FF98-4F58-A96E-A83802A19FD4}"/>
    <hyperlink ref="L278" r:id="rId1344" display="https://www.cettire.com/collections/chopova-lowena" xr:uid="{E4DEC17C-D65A-424B-9253-833B93DF7530}"/>
    <hyperlink ref="L279" r:id="rId1345" display="https://www.cettire.com/collections/christian-louboutin" xr:uid="{719B7F5B-F0B6-45B4-AA3E-AD88E7F2FEA7}"/>
    <hyperlink ref="L280" r:id="rId1346" display="https://www.cettire.com/collections/churchs" xr:uid="{CF46441A-18D4-4F86-B293-49B9F5FD6BFC}"/>
    <hyperlink ref="L282" r:id="rId1347" display="https://www.cettire.com/collections/citizens-of-humanity" xr:uid="{EF94FA18-9A3F-48D7-B8CA-1E45AA9EE595}"/>
    <hyperlink ref="L283" r:id="rId1348" display="https://www.cettire.com/collections/co" xr:uid="{CFE73BE7-487C-4E56-85D3-3939C415FBDF}"/>
    <hyperlink ref="L284" r:id="rId1349" display="https://www.cettire.com/collections/coach" xr:uid="{F1E475B9-96C9-4652-93AF-E14A3857BD2B}"/>
    <hyperlink ref="L285" r:id="rId1350" display="https://www.cettire.com/collections/coliac" xr:uid="{C33670E9-7D8E-44EE-B529-17FF2531704C}"/>
    <hyperlink ref="L286" r:id="rId1351" display="https://www.cettire.com/collections/collina-strada" xr:uid="{932E8091-46BB-4140-9CC0-4977EB84C198}"/>
    <hyperlink ref="L287" r:id="rId1352" display="https://www.cettire.com/collections/comme-des-garcons" xr:uid="{6819AE31-94DF-4353-8ED2-E2B2908E2462}"/>
    <hyperlink ref="L288" r:id="rId1353" display="https://www.cettire.com/collections/comme-des-garcons-comme-des-garcons" xr:uid="{FCBB1D86-450C-4887-B2D1-09361D7F41AA}"/>
    <hyperlink ref="L289" r:id="rId1354" display="https://www.cettire.com/collections/comme-des-garcons-girl" xr:uid="{DBA9FAC9-A8B0-4E2A-BE16-AB37D9700DBF}"/>
    <hyperlink ref="L290" r:id="rId1355" display="https://www.cettire.com/collections/comme-des-garcons-homme-plus" xr:uid="{194114E7-2265-42B5-ABE5-D63AC94E0E96}"/>
    <hyperlink ref="L291" r:id="rId1356" display="https://www.cettire.com/collections/comme-des-garcons-noir-kei-ninomiya" xr:uid="{FB58846C-0E60-4609-9149-FD470AF57CA0}"/>
    <hyperlink ref="L292" r:id="rId1357" display="https://www.cettire.com/collections/comme-des-garcons-play" xr:uid="{C3F67746-CC8B-468E-ACD3-C6E09C60F011}"/>
    <hyperlink ref="L293" r:id="rId1358" display="https://www.cettire.com/collections/comme-des-garcons-play-kids" xr:uid="{7E2ABD66-E369-40CB-9FC4-FD613729B5EF}"/>
    <hyperlink ref="L294" r:id="rId1359" display="https://www.cettire.com/collections/comme-des-garcons-shirt" xr:uid="{1853307A-77EB-4EB9-BC99-4AE61462E2B5}"/>
    <hyperlink ref="L295" r:id="rId1360" display="https://www.cettire.com/collections/comme-des-garcons-shirt-boys" xr:uid="{21DD148B-9170-4E7D-B78F-68BC34303D01}"/>
    <hyperlink ref="L296" r:id="rId1361" display="https://www.cettire.com/collections/comme-des-garcons-wallet" xr:uid="{9FC00BA3-D0AB-4059-A923-9F95A1BC5ABF}"/>
    <hyperlink ref="L297" r:id="rId1362" display="https://www.cettire.com/collections/common-projects" xr:uid="{BF2E75F0-26B2-4491-928D-C20F1BBA8650}"/>
    <hyperlink ref="L298" r:id="rId1363" display="https://www.cettire.com/collections/converse" xr:uid="{5F94E641-824E-4323-B6CB-B394EB0EDD66}"/>
    <hyperlink ref="L299" r:id="rId1364" display="https://www.cettire.com/collections/coperni" xr:uid="{A13A2A60-A2FB-4330-B68C-BFB93625E17F}"/>
    <hyperlink ref="L300" r:id="rId1365" display="https://www.cettire.com/collections/corneliani" xr:uid="{CE267C58-5D2A-420B-8D36-5EF8D448B11E}"/>
    <hyperlink ref="L301" r:id="rId1366" display="https://www.cettire.com/collections/courreges-eyewear" xr:uid="{5BF5A56A-C4CD-454D-98F8-F4A121F51DFB}"/>
    <hyperlink ref="L302" r:id="rId1367" display="https://www.cettire.com/collections/craig-green" xr:uid="{53B940E4-52F4-441B-BD0E-A848B4ABCC59}"/>
    <hyperlink ref="L303" r:id="rId1368" display="https://www.cettire.com/collections/cult-gaia" xr:uid="{23FBD7C0-2B13-4BBC-90A2-DEE20340D4DE}"/>
    <hyperlink ref="L304" r:id="rId1369" display="https://www.cettire.com/collections/current-elliott" xr:uid="{152B5E7A-EE43-45F3-9498-8DCF7CC54055}"/>
    <hyperlink ref="L305" r:id="rId1370" display="https://www.cettire.com/collections/cutler-gross" xr:uid="{2D9AE44D-74EC-4F2B-ABF9-275177C2514B}"/>
    <hyperlink ref="L307" r:id="rId1371" display="https://www.cettire.com/collections/daily-paper" xr:uid="{326A9501-3CC5-49B4-9094-D7BB1F2825F2}"/>
    <hyperlink ref="L308" r:id="rId1372" display="https://www.cettire.com/collections/danse-lente" xr:uid="{17068F96-1966-4576-9B6B-EAF37E9D9AF8}"/>
    <hyperlink ref="L310" r:id="rId1373" display="https://www.cettire.com/collections/department-5" xr:uid="{D30CFE90-3009-4AAE-BB8A-A2B671688F71}"/>
    <hyperlink ref="L311" r:id="rId1374" display="https://www.cettire.com/collections/desa-1972" xr:uid="{30D2CB36-CD50-4468-A5A3-050A8E7E1B64}"/>
    <hyperlink ref="L312" r:id="rId1375" display="https://www.cettire.com/collections/diadora" xr:uid="{5BC5C57F-1E59-44DF-AED8-32645691B131}"/>
    <hyperlink ref="L313" r:id="rId1376" display="https://www.cettire.com/collections/diane-von-furstenberg" xr:uid="{FE6986A5-3405-43D4-BF47-0282EF9F7B47}"/>
    <hyperlink ref="L314" r:id="rId1377" display="https://www.cettire.com/collections/diemme" xr:uid="{1A01759D-9ABC-4BD8-94AE-43D94C523040}"/>
    <hyperlink ref="L315" r:id="rId1378" display="https://www.cettire.com/collections/diesel" xr:uid="{18B34F0B-443C-4619-8104-AC35264899F9}"/>
    <hyperlink ref="L316" r:id="rId1379" display="https://www.cettire.com/collections/diesel-black-gold" xr:uid="{882D4BD9-5129-4130-91A3-17193DFEC98F}"/>
    <hyperlink ref="L317" r:id="rId1380" display="https://www.cettire.com/collections/diesel-kids" xr:uid="{BE5EDF61-609F-42AA-AD06-1309F61EAE5F}"/>
    <hyperlink ref="L318" r:id="rId1381" display="https://www.cettire.com/collections/diesel-red-tag" xr:uid="{D27A151F-C4AC-4871-B907-EFBF87D303B4}"/>
    <hyperlink ref="L319" r:id="rId1382" display="https://www.cettire.com/collections/dior" xr:uid="{FF68056D-5CFA-4BE8-A78D-C1158D050FF2}"/>
    <hyperlink ref="L320" r:id="rId1383" display="https://www.cettire.com/collections/dior-eyewear" xr:uid="{0DEC9A5B-C683-4A16-8E93-67759BB731D1}"/>
    <hyperlink ref="L321" r:id="rId1384" display="https://www.cettire.com/collections/dior-homme" xr:uid="{DFD6C92E-5B2D-4D2E-BE49-DFD01DCFF54E}"/>
    <hyperlink ref="L322" r:id="rId1385" display="https://www.cettire.com/collections/dita-eyewear" xr:uid="{45C7AA2E-2E68-444C-A717-ECEBEAABBBEB}"/>
    <hyperlink ref="L323" r:id="rId1386" display="https://www.cettire.com/collections/dkny-kids" xr:uid="{FB7468DA-B91A-4341-B786-DD0E61CEC0BA}"/>
    <hyperlink ref="L324" r:id="rId1387" display="https://www.cettire.com/collections/dodo-bar-or" xr:uid="{01B55501-1994-4650-B77B-0BE01907F400}"/>
    <hyperlink ref="L325" r:id="rId1388" display="https://www.cettire.com/collections/dolce-gabbana" xr:uid="{5D368D39-8CB4-4983-A9E9-F504886D64E6}"/>
    <hyperlink ref="L326" r:id="rId1389" display="https://www.cettire.com/collections/dolce-gabbana-eyewear" xr:uid="{ABC5E333-2F8F-4387-93A4-E4ADEC67E57E}"/>
    <hyperlink ref="L327" r:id="rId1390" display="https://www.cettire.com/collections/dolce-gabbana-kids" xr:uid="{83752D94-9A91-4938-B939-403EE2249D14}"/>
    <hyperlink ref="L328" r:id="rId1391" display="https://www.cettire.com/collections/dr-martens" xr:uid="{C0ED8B29-10ED-42C2-8390-6D449B8A550F}"/>
    <hyperlink ref="L329" r:id="rId1392" display="https://www.cettire.com/collections/drole-de-monsieur" xr:uid="{E03042F5-8903-4843-A008-1023392A3CA3}"/>
    <hyperlink ref="L330" r:id="rId1393" display="https://www.cettire.com/collections/dsquared2" xr:uid="{72EC1C3D-DB8C-4732-81BF-9653F3453E13}"/>
    <hyperlink ref="L331" r:id="rId1394" display="https://www.cettire.com/collections/dsquared2-eyewear" xr:uid="{0E28A950-336F-4B2E-BF73-CAA2D63710CC}"/>
    <hyperlink ref="L332" r:id="rId1395" display="https://www.cettire.com/collections/dsquared2-kids" xr:uid="{6E885184-F851-4724-B913-2F4131278934}"/>
    <hyperlink ref="L333" r:id="rId1396" display="https://www.cettire.com/collections/duvetica" xr:uid="{D2B17C56-3E81-477D-8711-B9BCCD1C30AF}"/>
    <hyperlink ref="L335" r:id="rId1397" display="https://www.cettire.com/collections/ea7-emporio-armani" xr:uid="{57075DE0-1BBD-4C64-8480-268DCAAB7E3A}"/>
    <hyperlink ref="L336" r:id="rId1398" display="https://www.cettire.com/collections/eastpak" xr:uid="{6621A515-40D0-460C-8788-5628AB6F52A2}"/>
    <hyperlink ref="L337" r:id="rId1399" display="https://www.cettire.com/collections/eckhaus-latta" xr:uid="{DDAA324B-0CCD-4ADF-992E-FDBBB671B5AC}"/>
    <hyperlink ref="L338" r:id="rId1400" display="https://www.cettire.com/collections/eden-power-corp" xr:uid="{995C96ED-52C5-4B92-B04C-229BD067E38A}"/>
    <hyperlink ref="L339" r:id="rId1401" display="https://www.cettire.com/collections/edward-green" xr:uid="{47226824-9BD1-40A9-9EC2-6DA2D2C87614}"/>
    <hyperlink ref="L340" r:id="rId1402" display="https://www.cettire.com/collections/elie-saab-junior" xr:uid="{692BB63D-7016-4144-8766-BBFA90396FD6}"/>
    <hyperlink ref="L341" r:id="rId1403" display="https://www.cettire.com/collections/elisabetta-franchi" xr:uid="{75EE33D9-4FE8-4DEE-A2A6-081A312024CC}"/>
    <hyperlink ref="L342" r:id="rId1404" display="https://www.cettire.com/collections/emile-et-ida" xr:uid="{6B1D9979-C9A2-4449-95A0-C38FDCA6987A}"/>
    <hyperlink ref="L343" r:id="rId1405" display="https://www.cettire.com/collections/emilio-pucci-junior" xr:uid="{A1D34B46-C12B-4B71-B84E-D06993439146}"/>
    <hyperlink ref="L344" r:id="rId1406" display="https://www.cettire.com/collections/emporio-armani" xr:uid="{6B46C16D-F3A4-4774-9970-57D7004D2147}"/>
    <hyperlink ref="L345" r:id="rId1407" display="https://www.cettire.com/collections/emporio-armani-kids" xr:uid="{6A282B3D-65CD-4BC8-A381-3762543863D0}"/>
    <hyperlink ref="L346" r:id="rId1408" display="https://www.cettire.com/collections/enfants-riches-deprimes" xr:uid="{C475DC82-95CB-40D9-BFD3-EBD1F93DEB90}"/>
    <hyperlink ref="L347" r:id="rId1409" display="https://www.cettire.com/collections/engineered-garments" xr:uid="{EEDB568E-5159-4816-9306-8ADB7BDDEE9E}"/>
    <hyperlink ref="L350" r:id="rId1410" display="https://www.cettire.com/collections/equipment" xr:uid="{1DF66B2B-6435-4636-B939-771FE4F98F23}"/>
    <hyperlink ref="L351" r:id="rId1411" display="https://www.cettire.com/collections/ermanno-scervino" xr:uid="{D9557481-A258-4060-8273-EE76B3856B76}"/>
    <hyperlink ref="L352" r:id="rId1412" display="https://www.cettire.com/collections/ermenegildo-zegna" xr:uid="{BA760D59-96B8-44F4-82C1-B4BC4A9528FE}"/>
    <hyperlink ref="L353" r:id="rId1413" display="https://www.cettire.com/collections/etre-cecile" xr:uid="{3875E0A1-23E5-461C-87B0-DF1369E9515F}"/>
    <hyperlink ref="L354" r:id="rId1414" display="https://www.cettire.com/collections/etro" xr:uid="{FEE63C31-37CE-4E90-9B90-063C444894C7}"/>
    <hyperlink ref="L355" r:id="rId1415" display="https://www.cettire.com/collections/eudon-choi" xr:uid="{65CD6D95-1D78-4B59-8DB4-296EB260B6F7}"/>
    <hyperlink ref="L356" r:id="rId1416" display="https://www.cettire.com/collections/extreme-cashmere" xr:uid="{43663FC3-9730-4698-8C25-FA46946322A2}"/>
    <hyperlink ref="L357" r:id="rId1417" display="https://www.cettire.com/collections/eyevan-7285" xr:uid="{59B74AD2-77D0-454B-BC61-085047BDC507}"/>
    <hyperlink ref="L358" r:id="rId1418" display="https://www.cettire.com/collections/eytys" xr:uid="{F6CF1233-C47B-49F2-A04D-C6344C3AC65B}"/>
    <hyperlink ref="L360" r:id="rId1419" display="https://www.cettire.com/collections/fabiana-filippi" xr:uid="{03EA929E-3401-4283-A43A-E872D190262E}"/>
    <hyperlink ref="L361" r:id="rId1420" display="https://www.cettire.com/collections/facetasm" xr:uid="{EC536A8B-24B8-46F5-900D-33A825A18003}"/>
    <hyperlink ref="L362" r:id="rId1421" display="https://www.cettire.com/collections/faith-connexion" xr:uid="{DD930E5F-0A86-458C-AD26-9877F33948A2}"/>
    <hyperlink ref="L363" r:id="rId1422" display="https://www.cettire.com/collections/fay" xr:uid="{1DAB1041-8293-46B8-9DFB-663E08ACBFE1}"/>
    <hyperlink ref="L364" r:id="rId1423" display="https://www.cettire.com/collections/fay-kids" xr:uid="{5F499C5C-6D95-4906-AB28-2349CFAD934B}"/>
    <hyperlink ref="L365" r:id="rId1424" display="https://www.cettire.com/collections/fear-of-god" xr:uid="{D84FFD02-152E-431C-A7CA-C55143371AC7}"/>
    <hyperlink ref="L366" r:id="rId1425" display="https://www.cettire.com/collections/fendi" xr:uid="{2CED5B86-D271-4D2F-8CA2-DDF83407626C}"/>
    <hyperlink ref="L367" r:id="rId1426" display="https://www.cettire.com/collections/fendi-eyewear" xr:uid="{7329D4AD-20BC-40A0-9BCC-E913B0A53E5D}"/>
    <hyperlink ref="L368" r:id="rId1427" display="https://www.cettire.com/collections/fendi-kids" xr:uid="{CC1009E3-6612-4E36-BB28-52F6C59E1FBC}"/>
    <hyperlink ref="L369" r:id="rId1428" display="https://www.cettire.com/collections/feng-chen-wang" xr:uid="{1D97C2AA-CC82-4DF6-9DF0-D37C383C7619}"/>
    <hyperlink ref="L370" r:id="rId1429" display="https://www.cettire.com/collections/fenty-x-puma" xr:uid="{CCC97DC4-E8C4-4486-B441-FA8916B6F97F}"/>
    <hyperlink ref="L371" r:id="rId1430" display="https://www.cettire.com/collections/fila" xr:uid="{5402352F-1425-4A4F-B840-60C6D58D34EE}"/>
    <hyperlink ref="L372" r:id="rId1431" display="https://www.cettire.com/collections/finamore-1925-napoli" xr:uid="{4F24AC2C-A833-4721-BCE9-BC4AFA5B6576}"/>
    <hyperlink ref="L373" r:id="rId1432" display="https://www.cettire.com/collections/flat-apartment" xr:uid="{77A64DF6-824C-4A2C-96E9-ED1EFC81711F}"/>
    <hyperlink ref="L374" r:id="rId1433" display="https://www.cettire.com/collections/forte-dei-marmi-couture" xr:uid="{C5F6330F-98EA-4A9D-8710-07EAF85EDE31}"/>
    <hyperlink ref="L375" r:id="rId1434" display="https://www.cettire.com/collections/forte-forte" xr:uid="{2A048F63-0643-47BF-B115-130230750B6B}"/>
    <hyperlink ref="L376" r:id="rId1435" display="https://www.cettire.com/collections/frame" xr:uid="{66A015BE-0772-4A30-93B1-6821ED02ABF6}"/>
    <hyperlink ref="L377" r:id="rId1436" display="https://www.cettire.com/collections/francesco-russo" xr:uid="{956D8361-95A0-46A1-8779-FE6B93B1AD74}"/>
    <hyperlink ref="L378" r:id="rId1437" display="https://www.cettire.com/collections/freedomday" xr:uid="{1ABB89D3-5D86-4B6B-9975-F311029E5180}"/>
    <hyperlink ref="L379" r:id="rId1438" display="https://www.cettire.com/collections/fucking-awesome" xr:uid="{DADF91DB-2F56-4A53-8E86-0E755B8C4457}"/>
    <hyperlink ref="L380" r:id="rId1439" display="https://www.cettire.com/collections/furla" xr:uid="{32B399E7-B39B-4707-9FEA-6DFA99FD26EE}"/>
    <hyperlink ref="L382" r:id="rId1440" display="https://www.cettire.com/collections/gabriela-hearst" xr:uid="{2BDAFF33-7A88-4735-8BE3-0A7735448991}"/>
    <hyperlink ref="L383" r:id="rId1441" display="https://www.cettire.com/collections/gallery-dept" xr:uid="{EB683153-331D-4B4A-A50F-A16F434A5760}"/>
    <hyperlink ref="L384" r:id="rId1442" display="https://www.cettire.com/collections/ganni" xr:uid="{F6E46B18-BB7C-457A-B203-7958F57A2288}"/>
    <hyperlink ref="L385" r:id="rId1443" display="https://www.cettire.com/collections/garrett-leight" xr:uid="{BE1069FA-19E3-45D3-8FD0-5AEFB6A4A5CA}"/>
    <hyperlink ref="L387" r:id="rId1444" display="https://www.cettire.com/collections/gcds" xr:uid="{4D394040-636E-485C-B21B-07F0BF3BB45D}"/>
    <hyperlink ref="L388" r:id="rId1445" display="https://www.cettire.com/collections/gcds-kids" xr:uid="{40EFAAFE-5977-4BDA-AADB-067A82BD8454}"/>
    <hyperlink ref="L389" r:id="rId1446" display="https://www.cettire.com/collections/gia-borghini" xr:uid="{0B49960D-E6D7-4ED6-84B6-517A8921CF21}"/>
    <hyperlink ref="L390" r:id="rId1447" display="https://www.cettire.com/collections/giambattista-valli" xr:uid="{2AF4E79A-3E27-42B7-AA3A-AD57A12FF09A}"/>
    <hyperlink ref="L392" r:id="rId1448" display="https://www.cettire.com/collections/giorgio-armani" xr:uid="{F9A7E4B0-86B7-4096-89D2-38C283F2F310}"/>
    <hyperlink ref="L393" r:id="rId1449" display="https://www.cettire.com/collections/givenchy" xr:uid="{B89944FB-B0CA-4280-934D-2B5CF1F1DE0F}"/>
    <hyperlink ref="L394" r:id="rId1450" display="https://www.cettire.com/collections/givenchy-eyewear" xr:uid="{F526C708-4503-4FE5-9120-03FB9F9BC1BC}"/>
    <hyperlink ref="L395" r:id="rId1451" display="https://www.cettire.com/collections/givenchy-kids" xr:uid="{C5B17931-9B9E-487D-B12D-583251B97B3E}"/>
    <hyperlink ref="L396" r:id="rId1452" display="https://www.cettire.com/collections/golden-goose-deluxe-brand" xr:uid="{F47FF662-63B2-4B87-A779-4187FE6531AA}"/>
    <hyperlink ref="L397" r:id="rId1453" display="https://www.cettire.com/collections/golden-goose-kids" xr:uid="{4F70D1FB-F4B6-4D80-877A-120AAB503F00}"/>
    <hyperlink ref="L398" r:id="rId1454" display="https://www.cettire.com/collections/greg-lauren" xr:uid="{22EAE350-4DFF-4E4C-B4C0-28A744D5BA1B}"/>
    <hyperlink ref="L399" r:id="rId1455" display="https://www.cettire.com/collections/grevi" xr:uid="{7222356A-2075-442C-B438-3DCD81DC0CAF}"/>
    <hyperlink ref="L400" r:id="rId1456" display="https://www.cettire.com/collections/gucci" xr:uid="{D0443CD7-867D-4A11-8297-B232890612F9}"/>
    <hyperlink ref="L401" r:id="rId1457" display="https://www.cettire.com/collections/gucci-eyewear" xr:uid="{45A2C07E-B8D0-402F-BB9D-58116620B080}"/>
    <hyperlink ref="L402" r:id="rId1458" display="https://www.cettire.com/collections/gucci-kids" xr:uid="{71AE4D26-F04F-4907-ABB3-3A7EF2DAC003}"/>
    <hyperlink ref="L403" r:id="rId1459" display="https://www.cettire.com/collections/guidi" xr:uid="{DC8CB0C0-0A3E-466F-B926-3EE3CDFEF144}"/>
    <hyperlink ref="L405" r:id="rId1460" display="https://www.cettire.com/collections/haider-ackermann" xr:uid="{D4638E75-D946-4C60-B118-9380C0CF3032}"/>
    <hyperlink ref="L406" r:id="rId1461" display="https://www.cettire.com/collections/harris-wharf-london" xr:uid="{B211594B-E2ED-4166-AD70-2AA2607184CC}"/>
    <hyperlink ref="L407" r:id="rId1462" display="https://www.cettire.com/collections/helmut-lang" xr:uid="{B092EA72-559F-4F70-91FA-FB9DCEAD7774}"/>
    <hyperlink ref="L408" r:id="rId1463" display="https://www.cettire.com/collections/hereu" xr:uid="{F985350E-BE7D-4F06-B1D8-B6A6ADD649B6}"/>
    <hyperlink ref="L409" r:id="rId1464" display="https://www.cettire.com/collections/herno" xr:uid="{1D2C1106-46DB-433D-BE80-51D6A5A087FE}"/>
    <hyperlink ref="L410" r:id="rId1465" display="https://www.cettire.com/collections/herno-kids" xr:uid="{72C29BE1-26A5-4372-B48E-4D4276738B9D}"/>
    <hyperlink ref="L411" r:id="rId1466" display="https://www.cettire.com/collections/heron-preston" xr:uid="{63A07F3B-61F5-4E83-9535-2AB5DA704ED0}"/>
    <hyperlink ref="L412" r:id="rId1467" display="https://www.cettire.com/collections/herschel-supply-co" xr:uid="{914A3C4D-4A4D-4088-870F-523C55217A0E}"/>
    <hyperlink ref="L413" r:id="rId1468" display="https://www.cettire.com/collections/hogan" xr:uid="{3290D15F-C7A0-45EF-8C07-ED6B4600EDC5}"/>
    <hyperlink ref="L414" r:id="rId1469" display="https://www.cettire.com/collections/hogan-kids" xr:uid="{5EA272E7-CDE9-4A32-AC32-98659509E6C2}"/>
    <hyperlink ref="L415" r:id="rId1470" display="https://www.cettire.com/collections/hogan-rebel" xr:uid="{03AC59D8-4318-4CC3-97BB-DF10EAF7DA78}"/>
    <hyperlink ref="L416" r:id="rId1471" display="https://www.cettire.com/collections/hoka-one-one" xr:uid="{E9256BEA-E970-4D84-91AF-C250FA695D9B}"/>
    <hyperlink ref="L417" r:id="rId1472" display="https://www.cettire.com/collections/homme-plisse-issey-miyake" xr:uid="{A879577D-BD2B-40B7-8100-54E597B8AE20}"/>
    <hyperlink ref="L418" r:id="rId1473" display="https://www.cettire.com/collections/honey-fucking-dijon" xr:uid="{DFAF36C5-D67D-448D-857F-7981890E0381}"/>
    <hyperlink ref="L419" r:id="rId1474" display="https://www.cettire.com/collections/howlin" xr:uid="{E5F84AC5-2825-4AA7-B5B8-D23F2577B009}"/>
    <hyperlink ref="L420" r:id="rId1475" display="https://www.cettire.com/collections/hugo-boss-kids" xr:uid="{FCE26672-5333-4C1E-B128-4EADCD2A30B3}"/>
    <hyperlink ref="L422" r:id="rId1476" display="https://www.cettire.com/collections/ienki-ienki" xr:uid="{BD940F1A-99F2-4246-A83A-27F9DD82A351}"/>
    <hyperlink ref="L423" r:id="rId1477" display="https://www.cettire.com/collections/ih-nom-uh-nit" xr:uid="{5ED422B0-E848-4FEC-89CE-6066E5593356}"/>
    <hyperlink ref="L424" r:id="rId1478" display="https://www.cettire.com/collections/il-bisonte" xr:uid="{CD171C35-FD1D-44E0-8120-D455EF4C4AA2}"/>
    <hyperlink ref="L425" r:id="rId1479" display="https://www.cettire.com/collections/il-gufo" xr:uid="{0416D298-22CF-4940-936D-4BB0F88AFF9A}"/>
    <hyperlink ref="L426" r:id="rId1480" display="https://www.cettire.com/collections/in-the-mood-for-love" xr:uid="{62C14EA1-BFFB-4C19-8D2A-4DCFE28CBE95}"/>
    <hyperlink ref="L427" r:id="rId1481" display="https://www.cettire.com/collections/incotex" xr:uid="{DAFEB3F9-3E09-4477-8BA5-989240F735D9}"/>
    <hyperlink ref="L428" r:id="rId1482" display="https://www.cettire.com/collections/isabel-marant" xr:uid="{1A8A5192-EB91-4832-8308-EB3272130C7E}"/>
    <hyperlink ref="L429" r:id="rId1483" display="https://www.cettire.com/collections/isabel-marant-etoile" xr:uid="{BC1ED18B-F6FC-41C8-93AD-BD3C0A272F35}"/>
    <hyperlink ref="L430" r:id="rId1484" display="https://www.cettire.com/collections/isaia" xr:uid="{217AB6C5-1378-443F-A5FD-C943A3285530}"/>
    <hyperlink ref="L431" r:id="rId1485" display="https://www.cettire.com/collections/issey-miyake" xr:uid="{35570428-E535-44EB-B1B0-BB84F097A219}"/>
    <hyperlink ref="L432" r:id="rId1486" display="https://www.cettire.com/collections/issey-miyake-men" xr:uid="{34704A3E-32D7-454E-8E98-22701830E6EB}"/>
    <hyperlink ref="L434" r:id="rId1487" display="https://www.cettire.com/collections/j-brand" xr:uid="{E1CBBD35-B653-476D-A86A-F6BE948BA249}"/>
    <hyperlink ref="L435" r:id="rId1488" display="https://www.cettire.com/collections/jacquemus" xr:uid="{7E71DAA3-A802-494D-9DBF-A7ADAC8F5B9D}"/>
    <hyperlink ref="L436" r:id="rId1489" display="https://www.cettire.com/collections/jacques-marie-mage" xr:uid="{F115F5C7-F6C8-4823-A3A9-A2971803A883}"/>
    <hyperlink ref="L437" r:id="rId1490" display="https://www.cettire.com/collections/jejia" xr:uid="{A60FF207-2675-4E93-9824-3BB87FB58678}"/>
    <hyperlink ref="L438" r:id="rId1491" display="https://www.cettire.com/collections/jessie-western" xr:uid="{E29F3C27-CBF5-41B9-B300-755DDFB8196C}"/>
    <hyperlink ref="L439" r:id="rId1492" display="https://www.cettire.com/collections/jil-sander" xr:uid="{4403BC0F-1BBA-4FF3-925E-1A0B2FAC71A6}"/>
    <hyperlink ref="L440" r:id="rId1493" display="https://www.cettire.com/collections/jimmy-choo" xr:uid="{23EF135A-E85C-4FE5-B059-9EC081201B13}"/>
    <hyperlink ref="L441" r:id="rId1494" display="https://www.cettire.com/collections/jimmy-choo-eyewear" xr:uid="{DB7205E1-E586-4DB5-AF1C-3350C586BAA9}"/>
    <hyperlink ref="L442" r:id="rId1495" display="https://www.cettire.com/collections/john-elliott" xr:uid="{18D00186-C63D-44F9-B418-38587029FAFA}"/>
    <hyperlink ref="L443" r:id="rId1496" display="https://www.cettire.com/collections/john-lobb" xr:uid="{5CCA288F-D9E8-4C48-86C9-519D35256121}"/>
    <hyperlink ref="L444" r:id="rId1497" display="https://www.cettire.com/collections/john-smedley" xr:uid="{8F015CB3-C8B3-4BD9-9E91-C378661DDD68}"/>
    <hyperlink ref="L445" r:id="rId1498" display="https://www.cettire.com/collections/junya-watanabe" xr:uid="{7B5199B5-4FA2-4EB7-B5FE-198B8F9991B8}"/>
    <hyperlink ref="L446" r:id="rId1499" display="https://www.cettire.com/collections/junya-watanabe-comme-des-garcons" xr:uid="{24306C00-9548-4060-B61D-11441B455977}"/>
    <hyperlink ref="L447" r:id="rId1500" display="https://www.cettire.com/collections/junya-watanabe-man" xr:uid="{C4422F31-BFFD-4727-B301-8D2DB1B0AB15}"/>
    <hyperlink ref="L448" r:id="rId1501" display="https://www.cettire.com/collections/just-don" xr:uid="{789D3A8C-012D-4693-BF9A-8D897CB858A1}"/>
    <hyperlink ref="L449" r:id="rId1502" display="https://www.cettire.com/collections/juun-j" xr:uid="{B0CEF3D1-33AC-4C47-A248-3A4596B3006B}"/>
    <hyperlink ref="L450" r:id="rId1503" display="https://www.cettire.com/collections/jw-anderson" xr:uid="{C711E767-4D90-4463-B1C7-A75C922AF75E}"/>
    <hyperlink ref="L453" r:id="rId1504" display="https://www.cettire.com/collections/kappa" xr:uid="{DAD35D0F-A0BA-43E0-8CFF-77E47E65850D}"/>
    <hyperlink ref="L454" r:id="rId1505" display="https://www.cettire.com/collections/kappa-kontroll" xr:uid="{CF1D7D8A-5A9A-4902-AABC-C10673076B12}"/>
    <hyperlink ref="L455" r:id="rId1506" display="https://www.cettire.com/collections/kara" xr:uid="{61AC99E9-B7D8-4568-B50F-78A9E1F94E97}"/>
    <hyperlink ref="L456" r:id="rId1507" display="https://www.cettire.com/collections/karl-lagerfeld" xr:uid="{B3C58465-77B5-484B-985E-A182933B0F9C}"/>
    <hyperlink ref="L457" r:id="rId1508" display="https://www.cettire.com/collections/karl-lagerfeld-kids" xr:uid="{8D8A7542-F464-44FA-8615-0B9D22217F00}"/>
    <hyperlink ref="L458" r:id="rId1509" display="https://www.cettire.com/collections/kenzo" xr:uid="{BCF38612-289B-4E1C-90E9-7B5F2465EE3D}"/>
    <hyperlink ref="L459" r:id="rId1510" display="https://www.cettire.com/collections/kenzo-kids" xr:uid="{C3351039-604F-4318-8CE1-C99BE84C14E3}"/>
    <hyperlink ref="L460" r:id="rId1511" display="https://www.cettire.com/collections/khaite" xr:uid="{63731312-D657-4CDB-92F4-9A8858EA171E}"/>
    <hyperlink ref="L461" r:id="rId1512" display="https://www.cettire.com/collections/khrisjoy" xr:uid="{66242ED7-9EEB-4507-8338-40E1368D5F5E}"/>
    <hyperlink ref="L462" r:id="rId1513" display="https://www.cettire.com/collections/khrisjoy-kids" xr:uid="{5CC8DE84-5FF5-46E2-968F-926B7EF517D2}"/>
    <hyperlink ref="L463" r:id="rId1514" display="https://www.cettire.com/collections/kuboraum" xr:uid="{2ACD5813-00A3-4A74-8FED-B679EB9FC0A2}"/>
    <hyperlink ref="L464" r:id="rId1515" display="https://www.cettire.com/collections/kwaidan-editions" xr:uid="{DA5E80A8-666B-4C08-8CC7-734A3AC9F9FE}"/>
    <hyperlink ref="L466" r:id="rId1516" display="https://www.cettire.com/collections/l-b-m-1911" xr:uid="{78904C03-6568-40DC-91BA-46FC97F4FCE0}"/>
    <hyperlink ref="L467" r:id="rId1517" display="https://www.cettire.com/collections/lautre-chose" xr:uid="{6635A888-F447-425F-B729-D0C5BE4F3A16}"/>
    <hyperlink ref="L469" r:id="rId1518" display="https://www.cettire.com/collections/la-stupenderia" xr:uid="{69EA462E-30A5-45CA-B80E-4F50561D7FF2}"/>
    <hyperlink ref="L471" r:id="rId1519" display="https://www.cettire.com/collections/laneus" xr:uid="{59D296F0-C7F0-4A96-A04A-6A5B4CBBBBF5}"/>
    <hyperlink ref="L472" r:id="rId1520" display="https://www.cettire.com/collections/lanvin" xr:uid="{D2066098-BEAC-4A46-8355-47E62B70DBD0}"/>
    <hyperlink ref="L473" r:id="rId1521" display="https://www.cettire.com/collections/lanvin-enfant" xr:uid="{0B29AB5D-6819-4735-9C93-B7FE1937E5CB}"/>
    <hyperlink ref="L474" r:id="rId1522" display="https://www.cettire.com/collections/lauren-ralph-lauren" xr:uid="{93815166-4663-4D12-B4E0-322B6B6F68F6}"/>
    <hyperlink ref="L475" r:id="rId1523" display="https://www.cettire.com/collections/le beb%C3%A9 enfant" xr:uid="{1409B263-6F3B-4617-B5C4-29E7B670184E}"/>
    <hyperlink ref="L476" r:id="rId1524" display="https://www.cettire.com/collections/le-kasha" xr:uid="{F15CD179-7B37-4D0D-9510-C888875B3074}"/>
    <hyperlink ref="L477" r:id="rId1525" display="https://www.cettire.com/collections/lemaire" xr:uid="{FEDDD482-C8C9-456E-800A-0AF358372195}"/>
    <hyperlink ref="L478" r:id="rId1526" display="https://www.cettire.com/collections/lesca" xr:uid="{FFC60597-A230-44AC-9D22-F6376BDAC93B}"/>
    <hyperlink ref="L479" r:id="rId1527" display="https://www.cettire.com/collections/levis" xr:uid="{2D613812-6C27-4F3C-BFC7-D5A6EAAB078C}"/>
    <hyperlink ref="L480" r:id="rId1528" display="https://www.cettire.com/collections/li-ning" xr:uid="{E37B7033-EBE5-452C-AF71-7843E157631F}"/>
    <hyperlink ref="L481" r:id="rId1529" display="https://www.cettire.com/collections/linda-farrow" xr:uid="{D6F69465-F579-445C-BAED-E90BF920AA36}"/>
    <hyperlink ref="L482" r:id="rId1530" display="https://www.cettire.com/collections/lisa-marie-fernandez" xr:uid="{2347F7EC-34F0-4ACB-A335-DA89E3776C25}"/>
    <hyperlink ref="L483" r:id="rId1531" display="https://www.cettire.com/collections/liu-jo" xr:uid="{4371E9C0-1675-4D4E-B0EA-DEC9004B6967}"/>
    <hyperlink ref="L484" r:id="rId1532" display="https://www.cettire.com/collections/loewe" xr:uid="{0CF55354-40DC-4DF3-9A61-E8604BB91396}"/>
    <hyperlink ref="L485" r:id="rId1533" display="https://www.cettire.com/collections/longchamp" xr:uid="{0227F148-9691-4FC0-BB58-C97211B1ECF5}"/>
    <hyperlink ref="L486" r:id="rId1534" display="https://www.cettire.com/collections/loro-piana" xr:uid="{F20AA867-1E77-4157-A722-61D22279A87C}"/>
    <hyperlink ref="L487" r:id="rId1535" display="https://www.cettire.com/collections/loulou-studio" xr:uid="{119C99A0-36EB-40D7-904D-52052D6C846E}"/>
    <hyperlink ref="L488" r:id="rId1536" display="https://www.cettire.com/collections/love-moschino" xr:uid="{E4457DBC-F0B2-4F75-984B-4D8C896B9C43}"/>
    <hyperlink ref="L489" r:id="rId1537" display="https://www.cettire.com/collections/low-classic" xr:uid="{21CC52C9-CDB1-48F9-B75A-F1D0C500A3E9}"/>
    <hyperlink ref="L491" r:id="rId1538" display="https://www.cettire.com/collections/m-missoni" xr:uid="{9E0EFF62-D5F9-482F-A9D4-5A1A153ABE9B}"/>
    <hyperlink ref="L492" r:id="rId1539" display="https://www.cettire.com/collections/mackintosh" xr:uid="{1E2051FD-ABB5-4479-A409-3314D6BD83C0}"/>
    <hyperlink ref="L493" r:id="rId1540" display="https://www.cettire.com/collections/magda-butrym" xr:uid="{4E044934-84E8-477C-BD79-E93FD2B59A12}"/>
    <hyperlink ref="L494" r:id="rId1541" display="https://www.cettire.com/collections/maisie-wilen" xr:uid="{4D102EB6-E979-44BD-83B1-9A687BA2A184}"/>
    <hyperlink ref="L495" r:id="rId1542" display="https://www.cettire.com/collections/maison-kitsune" xr:uid="{A66FE525-C45F-43AF-8887-CB3A03E5E791}"/>
    <hyperlink ref="L496" r:id="rId1543" display="https://www.cettire.com/collections/maison-margiela" xr:uid="{0E8A73FC-C35F-4CF1-A282-70B6774F5105}"/>
    <hyperlink ref="L497" r:id="rId1544" display="https://www.cettire.com/collections/maison-michel" xr:uid="{8EE0F03F-3738-46C5-9CD8-6A00677E5A54}"/>
    <hyperlink ref="L499" r:id="rId1545" display="https://www.cettire.com/collections/malone-souliers" xr:uid="{969CF6DF-4CE5-4297-AF78-C728ED4D9F5E}"/>
    <hyperlink ref="L500" r:id="rId1546" display="https://www.cettire.com/collections/manebi" xr:uid="{19009500-0119-4392-8990-68320EC66B85}"/>
    <hyperlink ref="L501" r:id="rId1547" display="https://www.cettire.com/collections/manokhi" xr:uid="{F49A896E-A819-4941-8C63-FB6F50FDD158}"/>
    <hyperlink ref="L502" r:id="rId1548" display="https://www.cettire.com/collections/manolo-blahnik" xr:uid="{F6C52268-C8DE-4E89-9C87-5A8011D4C7B3}"/>
    <hyperlink ref="L503" r:id="rId1549" display="https://www.cettire.com/collections/mansur-gavriel" xr:uid="{C58B763F-45B1-4F85-AEBC-912AF4BD82CA}"/>
    <hyperlink ref="L504" r:id="rId1550" display="https://www.cettire.com/collections/manu-atelier" xr:uid="{5D899B5F-2799-4107-A354-C9E6D6001DDB}"/>
    <hyperlink ref="L505" r:id="rId1551" display="https://www.cettire.com/collections/marc-jacobs" xr:uid="{076C351C-1392-409E-BC18-1F0A6213FCC3}"/>
    <hyperlink ref="L506" r:id="rId1552" display="https://www.cettire.com/collections/marc-jacobs-eyewear" xr:uid="{0F94107F-5DBB-421D-8D40-9A9C5B576A6A}"/>
    <hyperlink ref="L507" r:id="rId1553" display="https://www.cettire.com/collections/marcelo-burlon-county-of-milan" xr:uid="{B11CF699-C684-4A95-9055-315CBB4A5824}"/>
    <hyperlink ref="L508" r:id="rId1554" display="https://www.cettire.com/collections/marcelo-burlon-county-of-milan-kids" xr:uid="{A62E3B53-4B86-4F24-B4A6-3863037ABD21}"/>
    <hyperlink ref="L510" r:id="rId1555" display="https://www.cettire.com/collections/marine-serre" xr:uid="{50B3870E-DDE9-42EB-A3E7-661FE3A73DE1}"/>
    <hyperlink ref="L511" r:id="rId1556" display="https://www.cettire.com/collections/marni" xr:uid="{2EECE627-3121-44EF-9403-AF88D5E8C757}"/>
    <hyperlink ref="L512" r:id="rId1557" display="https://www.cettire.com/collections/marni-eyewear" xr:uid="{DB19C4E1-A1E0-46C2-B0D6-72FE258E93E4}"/>
    <hyperlink ref="L513" r:id="rId1558" display="https://www.cettire.com/collections/marni-kids" xr:uid="{F41B4446-BCBD-418D-AD2F-F138F256A11A}"/>
    <hyperlink ref="L514" r:id="rId1559" display="https://www.cettire.com/collections/marquesalmeida" xr:uid="{5269277A-0273-44B3-9E1C-4B4F70BC2A0A}"/>
    <hyperlink ref="L515" r:id="rId1560" display="https://www.cettire.com/collections/marsell" xr:uid="{18CA88B8-9B06-4E26-B404-53D4BDA0CCCB}"/>
    <hyperlink ref="L516" r:id="rId1561" display="https://www.cettire.com/collections/martine-rose" xr:uid="{249DC246-CBAB-4A70-AA1A-289F5184A7ED}"/>
    <hyperlink ref="L517" r:id="rId1562" display="https://www.cettire.com/collections/mastermind-world" xr:uid="{CA691106-AA96-4D23-B525-0664E548C59F}"/>
    <hyperlink ref="L518" r:id="rId1563" display="https://www.cettire.com/collections/materiel" xr:uid="{427BC469-915C-495E-90B7-C8EF286A7DEA}"/>
    <hyperlink ref="L519" r:id="rId1564" display="https://www.cettire.com/collections/mauna-kea" xr:uid="{C95AF665-4F9B-4932-9B92-3F8B1EB67495}"/>
    <hyperlink ref="L520" r:id="rId1565" display="https://www.cettire.com/collections/maurizio-miri" xr:uid="{BD275DB5-45FC-4613-BE0D-00E8D72E6E87}"/>
    <hyperlink ref="L521" r:id="rId1566" display="https://www.cettire.com/collections/max-mara" xr:uid="{F472C8B1-AFA5-4D6C-B2EA-1594BE33F1D6}"/>
    <hyperlink ref="L522" r:id="rId1567" display="https://www.cettire.com/collections/max-mara-atelier" xr:uid="{76892997-BE78-489E-A4A8-CF0227041B04}"/>
    <hyperlink ref="L524" r:id="rId1568" display="https://www.cettire.com/collections/max-mara-studio" xr:uid="{1EE1088F-DE62-4893-A1F0-9BFBA9268F24}"/>
    <hyperlink ref="L525" r:id="rId1569" display="https://www.cettire.com/collections/max-mara-the-cube" xr:uid="{4E57A5FB-3C23-460F-99F8-3A096A2AB759}"/>
    <hyperlink ref="L526" r:id="rId1570" display="https://www.cettire.com/collections/mc2-saint-barth" xr:uid="{C4755AC2-A87D-41A0-A31D-62357E63F69A}"/>
    <hyperlink ref="L527" r:id="rId1571" display="https://www.cettire.com/collections/mc2-saint-barth-kids" xr:uid="{860E78EF-2D57-40E9-869C-9DFC8A473840}"/>
    <hyperlink ref="L528" r:id="rId1572" display="https://www.cettire.com/collections/mcm" xr:uid="{4D9B646D-3252-4B68-BD4F-82C2E2577014}"/>
    <hyperlink ref="L529" r:id="rId1573" display="https://www.cettire.com/collections/mcq-alexander-mcqueen" xr:uid="{B5B0CD3F-CF1C-4A79-81C6-9CBC701D9557}"/>
    <hyperlink ref="L530" r:id="rId1574" display="https://www.cettire.com/collections/michael-kors" xr:uid="{19590E27-A4C4-4D97-A85E-E93C28BD38A7}"/>
    <hyperlink ref="L531" r:id="rId1575" display="https://www.cettire.com/collections/michael-kors-collection" xr:uid="{4A8307E4-E02D-4AA5-B6BE-92D861A22061}"/>
    <hyperlink ref="L532" r:id="rId1576" display="https://www.cettire.com/collections/michael-michael-kors" xr:uid="{9AFFADDD-C615-4932-A802-219D4FD73137}"/>
    <hyperlink ref="L533" r:id="rId1577" display="https://www.cettire.com/collections/midnight-00" xr:uid="{5C557F44-C71E-4C83-A4BD-5D28A9B71236}"/>
    <hyperlink ref="L534" r:id="rId1578" display="https://www.cettire.com/collections/mini-rodini" xr:uid="{376A0C15-5C40-4681-9CF0-2692423E819A}"/>
    <hyperlink ref="L535" r:id="rId1579" display="https://www.cettire.com/collections/misbhv" xr:uid="{6158904F-97C1-483D-B4B7-046ABB5A2DA9}"/>
    <hyperlink ref="L536" r:id="rId1580" display="https://www.cettire.com/collections/missoni" xr:uid="{B99183CD-896F-44B2-99E4-B3B5F40FB89D}"/>
    <hyperlink ref="L538" r:id="rId1581" display="https://www.cettire.com/collections/missoni-mare" xr:uid="{8C571A11-800E-4654-8A37-8AC1A57E1797}"/>
    <hyperlink ref="L539" r:id="rId1582" display="https://www.cettire.com/collections/miu-miu" xr:uid="{54D1F083-C4B9-4983-A499-2DD3DAD34FB8}"/>
    <hyperlink ref="L540" r:id="rId1583" display="https://www.cettire.com/collections/miu-miu-eyewear" xr:uid="{6BF8DC28-BCE8-49BD-9CAA-647B7E9245F0}"/>
    <hyperlink ref="L541" r:id="rId1584" display="https://www.cettire.com/collections/mjb-marc-jacques-burton" xr:uid="{D28C11EF-90E0-4366-BABA-0398CCA5C2CE}"/>
    <hyperlink ref="L542" r:id="rId1585" display="https://www.cettire.com/collections/mm6-maison-margiela" xr:uid="{BC721CA1-3455-4DDA-B3CA-CA37BCE96798}"/>
    <hyperlink ref="L543" r:id="rId1586" display="https://www.cettire.com/collections/mm6-maison-margiela-kids" xr:uid="{C6AB8888-663F-454E-8532-5FB670B98976}"/>
    <hyperlink ref="L544" r:id="rId1587" display="https://www.cettire.com/collections/molo" xr:uid="{A02756F6-4975-4673-8559-4329E8990BB1}"/>
    <hyperlink ref="L545" r:id="rId1588" display="https://www.cettire.com/collections/moncler" xr:uid="{3F003714-78A7-446E-BDB7-AEB370B19B26}"/>
    <hyperlink ref="L546" r:id="rId1589" display="https://www.cettire.com/collections/moncler-rick-owens" xr:uid="{40815B20-3625-4853-B851-A351FFA8AF05}"/>
    <hyperlink ref="L547" r:id="rId1590" display="https://www.cettire.com/collections/moncler-enfant" xr:uid="{38C8BCA6-8872-4EBA-8527-29C47F06B2C6}"/>
    <hyperlink ref="L548" r:id="rId1591" display="https://www.cettire.com/collections/moncler-eyewear" xr:uid="{494D6919-C0C7-4362-A8FA-1DE450E307D9}"/>
    <hyperlink ref="L549" r:id="rId1592" display="https://www.cettire.com/collections/moncler-gamme-rouge" xr:uid="{2813C0E5-6A46-4590-A868-EC222AFB40A8}"/>
    <hyperlink ref="L550" r:id="rId1593" display="https://www.cettire.com/collections/moncler-genius" xr:uid="{AF75D991-C406-4C5F-AD8E-1C72DCE47187}"/>
    <hyperlink ref="L551" r:id="rId1594" display="https://www.cettire.com/collections/moncler-grenoble" xr:uid="{B8FFA89B-B2D1-4222-9736-D23C81CB294F}"/>
    <hyperlink ref="L552" r:id="rId1595" display="https://www.cettire.com/collections/monnalisa" xr:uid="{A7E30485-7C85-47EC-B3EE-D3145F76DB7F}"/>
    <hyperlink ref="L553" r:id="rId1596" display="https://www.cettire.com/collections/montblanc" xr:uid="{9D0640AC-754F-4F14-9E62-3AD6F905CD50}"/>
    <hyperlink ref="L554" r:id="rId1597" display="https://www.cettire.com/collections/moose-knuckles" xr:uid="{A0D225B5-A564-4120-9103-9FD55D0B433C}"/>
    <hyperlink ref="L555" r:id="rId1598" display="https://www.cettire.com/collections/moschino" xr:uid="{0848ACA6-28EC-4053-8D31-7E668C77C3CA}"/>
    <hyperlink ref="L556" r:id="rId1599" display="https://www.cettire.com/collections/moschino-eyewear" xr:uid="{2BC5F3C1-914B-4ED1-9AD6-427C4AE23DA7}"/>
    <hyperlink ref="L557" r:id="rId1600" display="https://www.cettire.com/collections/moschino-kids" xr:uid="{45830C9B-950F-4784-BC8C-0B308059AC35}"/>
    <hyperlink ref="L559" r:id="rId1601" display="https://www.cettire.com/collections/mother" xr:uid="{AF98CE47-008E-4E8A-B3D7-7C65F4AD2154}"/>
    <hyperlink ref="L560" r:id="rId1602" display="https://www.cettire.com/collections/mou-kids" xr:uid="{03624D36-38DD-4A0C-A661-571FA86A83F3}"/>
    <hyperlink ref="L561" r:id="rId1603" display="https://www.cettire.com/collections/msgm" xr:uid="{48EF54D2-4982-4C75-8B98-FC13CF6927CC}"/>
    <hyperlink ref="L562" r:id="rId1604" display="https://www.cettire.com/collections/msgm-kids" xr:uid="{42263C19-89C4-4D29-9023-0C19355099F7}"/>
    <hyperlink ref="L563" r:id="rId1605" display="https://www.cettire.com/collections/mulberry" xr:uid="{1ACB61B3-51A4-4BC8-849C-738BD0D189AA}"/>
    <hyperlink ref="L564" r:id="rId1606" display="https://www.cettire.com/collections/mykita" xr:uid="{292697E6-5CAF-47F0-AC44-FB2BA95FB70A}"/>
    <hyperlink ref="L566" r:id="rId1607" display="https://www.cettire.com/collections/n-21" xr:uid="{DAA6DC09-D863-4076-B93F-7AB28EE48CAA}"/>
    <hyperlink ref="L567" r:id="rId1608" display="https://www.cettire.com/collections/n-21-kids" xr:uid="{E025122F-3147-4C67-A270-8B81DCA537CA}"/>
    <hyperlink ref="L568" r:id="rId1609" display="https://www.cettire.com/collections/nana-nana" xr:uid="{E64BD735-CEDB-497F-B88C-2F8DB95ED4DF}"/>
    <hyperlink ref="L569" r:id="rId1610" display="https://www.cettire.com/collections/nanushka" xr:uid="{B2AB655A-8D50-4835-81E1-BF22CC1849D5}"/>
    <hyperlink ref="L570" r:id="rId1611" display="https://www.cettire.com/collections/napa-by-martine-rose" xr:uid="{63A1FDBF-DCC6-4E8C-9C40-0B4C9A8BDBCC}"/>
    <hyperlink ref="L571" r:id="rId1612" display="https://www.cettire.com/collections/natasha-zinko" xr:uid="{8AD50806-F9E2-46E7-8811-3BF2742B65BC}"/>
    <hyperlink ref="L572" r:id="rId1613" display="https://www.cettire.com/collections/needles" xr:uid="{ADFA94F5-9039-4EAE-80FF-4B323903B5B3}"/>
    <hyperlink ref="L573" r:id="rId1614" display="https://www.cettire.com/collections/neil-barrett" xr:uid="{2C11A3B9-B917-49B3-A434-37EC589C3156}"/>
    <hyperlink ref="L574" r:id="rId1615" display="https://www.cettire.com/collections/neil-barrett-kids" xr:uid="{3E33FB6B-5224-49C7-AF37-D6651643AB1B}"/>
    <hyperlink ref="L575" r:id="rId1616" display="https://www.cettire.com/collections/neous" xr:uid="{B4B37C2D-CE1A-4BA1-83F1-DEF8B053E3D6}"/>
    <hyperlink ref="L577" r:id="rId1617" display="https://www.cettire.com/collections/new-york-industrie" xr:uid="{BB74C7A3-E7D0-4734-BC0E-3E275CC02BF8}"/>
    <hyperlink ref="L578" r:id="rId1618" display="https://www.cettire.com/collections/nicholas-kirkwood" xr:uid="{949E3173-BB50-4616-BEEB-F713F068A220}"/>
    <hyperlink ref="L579" r:id="rId1619" display="https://www.cettire.com/collections/nicomede" xr:uid="{E0B68EB4-A3F3-471C-83DA-5FCB6EE18C9D}"/>
    <hyperlink ref="L580" r:id="rId1620" display="https://www.cettire.com/collections/nike" xr:uid="{53E4374B-A158-431E-A521-9441D80F9425}"/>
    <hyperlink ref="L581" r:id="rId1621" display="https://www.cettire.com/collections/nodaleto" xr:uid="{6F4F1807-CB93-4218-B6C0-36D96A70FB23}"/>
    <hyperlink ref="L582" r:id="rId1622" display="https://www.cettire.com/collections/noir-kei-ninomiya" xr:uid="{2AC62FC9-9E2A-4934-8655-149FE183318B}"/>
    <hyperlink ref="L583" r:id="rId1623" display="https://www.cettire.com/collections/noon-goons" xr:uid="{3E20E56C-72AC-4378-BE7F-67A23527BFC7}"/>
    <hyperlink ref="L584" r:id="rId1624" display="https://www.cettire.com/collections/norse-projects" xr:uid="{6BA6A3CB-FBB2-4868-B0C9-AD3899FC9E81}"/>
    <hyperlink ref="L585" r:id="rId1625" display="https://www.cettire.com/collections/north-sails-x-prada-cup" xr:uid="{2C051AEE-392E-4905-AF69-BB743E619CE6}"/>
    <hyperlink ref="L586" r:id="rId1626" display="https://www.cettire.com/collections/nudie-jeans" xr:uid="{19FB409C-3080-4747-97D9-CCAE53CE5856}"/>
    <hyperlink ref="L588" r:id="rId1627" display="https://www.cettire.com/collections/oakley" xr:uid="{8A3E1A41-215F-45A4-A595-501325255CD8}"/>
    <hyperlink ref="L589" r:id="rId1628" display="https://www.cettire.com/collections/oamc" xr:uid="{2E414495-02FC-4C46-8CAB-80D81339331D}"/>
    <hyperlink ref="L590" r:id="rId1629" display="https://www.cettire.com/collections/off-white" xr:uid="{410915E3-A439-4B54-938A-5B405941DAD0}"/>
    <hyperlink ref="L591" r:id="rId1630" display="https://www.cettire.com/collections/off-white-kids" xr:uid="{6AD41057-77B6-497C-AF79-05BDB3F04C63}"/>
    <hyperlink ref="L592" r:id="rId1631" display="https://www.cettire.com/collections/officine-creative" xr:uid="{0DB345C7-5F49-45EE-BDB6-8835C9F311FC}"/>
    <hyperlink ref="L593" r:id="rId1632" display="https://www.cettire.com/collections/oliver-peoples" xr:uid="{20739433-5484-42D2-A576-86144BC47737}"/>
    <hyperlink ref="L594" r:id="rId1633" display="https://www.cettire.com/collections/opening-ceremony" xr:uid="{D2B2E03F-AD53-4984-8056-6C1B151E3D32}"/>
    <hyperlink ref="L595" r:id="rId1634" display="https://www.cettire.com/collections/oseree" xr:uid="{BD15B1D0-3F3A-47B4-9F94-6D6F07C27930}"/>
    <hyperlink ref="L596" r:id="rId1635" display="https://www.cettire.com/collections/osoi" xr:uid="{4C465280-4176-41B1-8F01-EEEC34B0FB0B}"/>
    <hyperlink ref="L597" r:id="rId1636" display="https://www.cettire.com/collections/our-legacy" xr:uid="{5AC7A116-4BF8-4872-9510-BBBD69E164E6}"/>
    <hyperlink ref="L599" r:id="rId1637" display="https://www.cettire.com/collections/p-a-r-o-s-h" xr:uid="{9BF827AF-9911-4C94-A449-45372F93C57E}"/>
    <hyperlink ref="L600" r:id="rId1638" display="https://www.cettire.com/collections/paccbet" xr:uid="{CC9020FD-1126-45EF-AA17-015DA3518181}"/>
    <hyperlink ref="L601" r:id="rId1639" display="https://www.cettire.com/collections/paco-rabanne" xr:uid="{767A934B-AAE4-4BCC-BC33-76DFF0CC13F0}"/>
    <hyperlink ref="L602" r:id="rId1640" display="https://www.cettire.com/collections/palm-angels" xr:uid="{0F5975C5-AE2F-4BA1-B2B6-95E7C359DD57}"/>
    <hyperlink ref="L603" r:id="rId1641" display="https://www.cettire.com/collections/palm-angels-kids" xr:uid="{A53E4369-FDF5-4E31-820A-E844D2F088DC}"/>
    <hyperlink ref="L604" r:id="rId1642" display="https://www.cettire.com/collections/paraboot" xr:uid="{8E046BC0-AFE0-4C5C-95D1-6F1552B79D4E}"/>
    <hyperlink ref="L605" r:id="rId1643" display="https://www.cettire.com/collections/parajumpers" xr:uid="{0A92ADF6-C44B-45B0-9947-796645DB997F}"/>
    <hyperlink ref="L606" r:id="rId1644" display="https://www.cettire.com/collections/paris-texas" xr:uid="{E00DB1DE-432E-4A95-A8DA-B407CCE9E63D}"/>
    <hyperlink ref="L607" r:id="rId1645" display="https://www.cettire.com/collections/paul-smith" xr:uid="{BDD4945B-DC49-4F22-97EF-2391CE5C766A}"/>
    <hyperlink ref="L608" r:id="rId1646" display="https://www.cettire.com/collections/paura-x-kappa" xr:uid="{A38FF475-BB12-4AE3-8191-F80B5B19E206}"/>
    <hyperlink ref="L609" r:id="rId1647" display="https://www.cettire.com/collections/persol" xr:uid="{4F52CF37-DF5C-4656-AA6A-D10583F6B06D}"/>
    <hyperlink ref="L610" r:id="rId1648" display="https://www.cettire.com/collections/philipp-plein" xr:uid="{B6847A39-6993-4AA8-94CE-6E443C84376D}"/>
    <hyperlink ref="L611" r:id="rId1649" display="https://www.cettire.com/collections/philipp-plein-junior" xr:uid="{4C9B1FCB-7CC4-449C-82C4-82C0F8312F51}"/>
    <hyperlink ref="L612" r:id="rId1650" display="https://www.cettire.com/collections/philippe-model" xr:uid="{25D64F5D-53BA-4B04-BA9D-EDAB87131F8D}"/>
    <hyperlink ref="L613" r:id="rId1651" display="https://www.cettire.com/collections/philippe-model-paris" xr:uid="{DD7ABEA0-AD96-48A0-8356-61A21C7F91F7}"/>
    <hyperlink ref="L614" r:id="rId1652" display="https://www.cettire.com/collections/philosophy-di-lorenzo-serafini" xr:uid="{FB92B04E-1382-47FC-B478-BF39D36AB9C2}"/>
    <hyperlink ref="L615" r:id="rId1653" display="https://www.cettire.com/collections/philosophy-di-lorenzo-serafini-kids" xr:uid="{4335D367-B30A-42CC-980E-EAA23A9A624D}"/>
    <hyperlink ref="L616" r:id="rId1654" display="https://www.cettire.com/collections/pierre-hardy" xr:uid="{B98E06CC-4860-42B6-A60E-E11A509EB27C}"/>
    <hyperlink ref="L617" r:id="rId1655" display="https://www.cettire.com/collections/pierre-louis-mascia" xr:uid="{6F692B55-00CA-4138-BDA4-AE39E9C660D8}"/>
    <hyperlink ref="L618" r:id="rId1656" display="https://www.cettire.com/collections/pinko" xr:uid="{42C838D4-7913-4B5E-8FAD-6EC81A4835A9}"/>
    <hyperlink ref="L619" r:id="rId1657" display="https://www.cettire.com/collections/plan-c" xr:uid="{CB8CAB9D-D11C-4D36-B79D-ED32CC3478F5}"/>
    <hyperlink ref="L620" r:id="rId1658" display="https://www.cettire.com/collections/pleats-please-by-issey-miyake" xr:uid="{CD8EF2DA-264E-454B-AD78-1F5B40DDB881}"/>
    <hyperlink ref="L621" r:id="rId1659" display="https://www.cettire.com/collections/polo-ralph-lauren" xr:uid="{84D45B5B-DF98-4FCD-BD43-A436CC8A9BA3}"/>
    <hyperlink ref="L622" r:id="rId1660" display="https://www.cettire.com/collections/polo-ralph-lauren-kids" xr:uid="{E4817C7A-8BEA-4986-BD20-69F099AA7B21}"/>
    <hyperlink ref="L623" r:id="rId1661" display="https://www.cettire.com/collections/porter-yoshida-co" xr:uid="{805B6F39-4B3A-4907-A7D9-9AFA8BE55EFD}"/>
    <hyperlink ref="L624" r:id="rId1662" display="https://www.cettire.com/collections/ports-1961" xr:uid="{FAADEF10-2F9A-4858-9046-EFCD9984C0F5}"/>
    <hyperlink ref="L625" r:id="rId1663" display="https://www.cettire.com/collections/prada" xr:uid="{EF25C655-13F2-4E75-AFD8-928AD5829E1F}"/>
    <hyperlink ref="L626" r:id="rId1664" display="https://www.cettire.com/collections/prada-eyewear" xr:uid="{7EEAE9F0-59B5-493B-9A50-082F2547CB86}"/>
    <hyperlink ref="L627" r:id="rId1665" display="https://www.cettire.com/collections/premiata" xr:uid="{8F30F519-BEAE-463D-89BB-1EE394AA3F12}"/>
    <hyperlink ref="L628" r:id="rId1666" display="https://www.cettire.com/collections/pressure" xr:uid="{ED48E51F-EB0B-4F44-9739-8986EA0238B2}"/>
    <hyperlink ref="L629" r:id="rId1667" display="https://www.cettire.com/collections/proenza-schouler" xr:uid="{1770B9AB-261B-4165-9AF7-83F4962B04A6}"/>
    <hyperlink ref="L630" r:id="rId1668" display="https://www.cettire.com/collections/proenza-schouler-white-label" xr:uid="{DBC7DCF0-B7A6-40A3-AC12-5C78B8733358}"/>
    <hyperlink ref="L631" r:id="rId1669" display="https://www.cettire.com/collections/pt-torino" xr:uid="{8B4B429E-6824-4711-9D92-1D4D82657A6A}"/>
    <hyperlink ref="L632" r:id="rId1670" display="https://www.cettire.com/collections/pt01" xr:uid="{A1C7D1AC-9426-40CC-AA4E-19775CF723F1}"/>
    <hyperlink ref="L633" r:id="rId1671" display="https://www.cettire.com/collections/pt05" xr:uid="{2E60238B-E0E8-4980-AA6C-722553E6E3BF}"/>
    <hyperlink ref="L634" r:id="rId1672" display="https://www.cettire.com/collections/puma" xr:uid="{8CE24884-7B3E-475F-8415-85792D10C6F5}"/>
    <hyperlink ref="L636" r:id="rId1673" display="https://www.cettire.com/collections/r-m-williams" xr:uid="{1D9EAD06-3D01-429C-90C6-F9D2B2D8B7FF}"/>
    <hyperlink ref="L637" r:id="rId1674" display="https://www.cettire.com/collections/r13" xr:uid="{6F48E3BD-0992-4F8D-AF59-30ECE473AE89}"/>
    <hyperlink ref="L638" r:id="rId1675" display="https://www.cettire.com/collections/raf-simons" xr:uid="{468CBDB0-08BD-4ED9-A5D1-FB343F46FB79}"/>
    <hyperlink ref="L639" r:id="rId1676" display="https://www.cettire.com/collections/rag-bone" xr:uid="{4D1A1060-A5EA-4193-BBCD-1A4D309FF5CA}"/>
    <hyperlink ref="L640" r:id="rId1677" display="https://www.cettire.com/collections/ralph-lauren" xr:uid="{58D86114-DB2B-4758-9B3D-19124A6E3F66}"/>
    <hyperlink ref="L641" r:id="rId1678" display="https://www.cettire.com/collections/ralph-lauren-kids" xr:uid="{317B3281-468D-4255-BD70-78188562032B}"/>
    <hyperlink ref="L642" r:id="rId1679" display="https://www.cettire.com/collections/rave-review" xr:uid="{7317643D-C148-4679-AE58-BDCCBBDCAFB7}"/>
    <hyperlink ref="L643" r:id="rId1680" display="https://www.cettire.com/collections/ray-ban" xr:uid="{0D1A5A5F-BB88-4069-8F0A-9147C25CCA77}"/>
    <hyperlink ref="L644" r:id="rId1681" display="https://www.cettire.com/collections/re-done" xr:uid="{CA83962E-E111-47EE-B264-B2257E7357DA}"/>
    <hyperlink ref="L645" r:id="rId1682" display="https://www.cettire.com/collections/readymade" xr:uid="{3F8E5456-BE36-4ACB-86EC-BBCBC05D3D4C}"/>
    <hyperlink ref="L646" r:id="rId1683" display="https://www.cettire.com/collections/rebecca-minkoff" xr:uid="{1462094E-06C8-4734-9A6E-9B7270AFB734}"/>
    <hyperlink ref="L647" r:id="rId1684" display="https://www.cettire.com/collections/red-valentino" xr:uid="{817A698C-8F43-469F-9F79-AE8F2B7D8602}"/>
    <hyperlink ref="L648" r:id="rId1685" display="https://www.cettire.com/collections/red-wing-shoes" xr:uid="{957CBB7A-845F-4C84-B289-9659AB8679D6}"/>
    <hyperlink ref="L649" r:id="rId1686" display="https://www.cettire.com/collections/reebok" xr:uid="{77E37CFE-77D3-45AC-B34A-992EABCF727B}"/>
    <hyperlink ref="L650" r:id="rId1687" display="https://www.cettire.com/collections/reebok-x-victoria-beckham" xr:uid="{66433172-8547-4C07-9751-89D0C4FEEBDE}"/>
    <hyperlink ref="L651" r:id="rId1688" display="https://www.cettire.com/collections/reike-nen" xr:uid="{3C2587EF-749B-4097-B7A7-53600389F22D}"/>
    <hyperlink ref="L652" r:id="rId1689" display="https://www.cettire.com/collections/rejina-pyo" xr:uid="{25771E37-75CC-40FB-9DFE-E5260D890070}"/>
    <hyperlink ref="L653" r:id="rId1690" display="https://www.cettire.com/collections/rene-caovilla" xr:uid="{AC8E0DCC-D947-4B48-B452-0E7A5F27ACDA}"/>
    <hyperlink ref="L654" r:id="rId1691" display="https://www.cettire.com/collections/represent" xr:uid="{76EEFF64-EA44-4378-BC43-97534A7EA1C4}"/>
    <hyperlink ref="L655" r:id="rId1692" display="https://www.cettire.com/collections/retrosuperfuture" xr:uid="{D2720CF5-3D72-4473-913D-46AC5AF8AB54}"/>
    <hyperlink ref="L656" r:id="rId1693" display="https://www.cettire.com/collections/rhude" xr:uid="{6FB7149F-05F1-4541-9B28-4A3E1483E8CF}"/>
    <hyperlink ref="L657" r:id="rId1694" display="https://www.cettire.com/collections/rick-owens" xr:uid="{124DF2F2-35CA-4D7A-909B-5554BFCBED9F}"/>
    <hyperlink ref="L658" r:id="rId1695" display="https://www.cettire.com/collections/rick-owens-drkshdw" xr:uid="{9DAD02AA-8616-4FB3-895D-D94ECF53C588}"/>
    <hyperlink ref="L659" r:id="rId1696" display="https://www.cettire.com/collections/rick-owens-lilies" xr:uid="{507CFE15-CFA2-4A2C-B143-45EBF702C8A7}"/>
    <hyperlink ref="L660" r:id="rId1697" display="https://www.cettire.com/collections/rick-owens-x-birkenstock" xr:uid="{EB29C7E6-2FA0-4439-A854-F2C6C7F19BA9}"/>
    <hyperlink ref="L661" r:id="rId1698" display="https://www.cettire.com/collections/rick-owens-x-veja" xr:uid="{82794795-40C8-4845-9FB2-F6177B233F88}"/>
    <hyperlink ref="L662" r:id="rId1699" display="https://www.cettire.com/collections/rixo" xr:uid="{96C33DE9-E293-49DB-8B03-8E443512A67F}"/>
    <hyperlink ref="L663" r:id="rId1700" display="https://www.cettire.com/collections/robert-clergerie" xr:uid="{7DC31F5D-0DB6-4C9D-8C88-CDFED1EDF46F}"/>
    <hyperlink ref="L665" r:id="rId1701" display="https://www.cettire.com/collections/rochas" xr:uid="{ABAA2DFF-7D5E-494A-9C04-FD713A53CFB4}"/>
    <hyperlink ref="L666" r:id="rId1702" display="https://www.cettire.com/collections/rodebjer" xr:uid="{465B95B3-5EE3-49EC-BB6D-0F2D8CEDCC5E}"/>
    <hyperlink ref="L667" r:id="rId1703" display="https://www.cettire.com/collections/roger-vivier" xr:uid="{E38AF386-91FD-46A5-A104-78917815BE43}"/>
    <hyperlink ref="L668" r:id="rId1704" display="https://www.cettire.com/collections/rombaut" xr:uid="{12E01238-C731-490E-BC60-F0AF1F83EDE7}"/>
    <hyperlink ref="L669" r:id="rId1705" display="https://www.cettire.com/collections/rosantica" xr:uid="{2688EF44-0D9E-4292-A070-37672FF8B357}"/>
    <hyperlink ref="L670" r:id="rId1706" display="https://www.cettire.com/collections/rotate" xr:uid="{79D22E78-3D10-49EA-B112-FDF6BBA5A66F}"/>
    <hyperlink ref="L671" r:id="rId1707" display="https://www.cettire.com/collections/ruslan-baginskiy" xr:uid="{655C0D4F-6D17-41D7-98FA-79ECC7320BA3}"/>
    <hyperlink ref="L673" r:id="rId1708" display="https://www.cettire.com/collections/sacai" xr:uid="{BB034DEA-1AA8-4C4A-B63C-3398DEAF3B36}"/>
    <hyperlink ref="L674" r:id="rId1709" display="https://www.cettire.com/collections/saint-laurent" xr:uid="{71A8DD67-9B74-4FD2-9D2C-AA0E50E07643}"/>
    <hyperlink ref="L675" r:id="rId1710" display="https://www.cettire.com/collections/saint-laurent-eyewear" xr:uid="{0E4A72C3-B69F-4507-9D74-0A3B3B370D57}"/>
    <hyperlink ref="L676" r:id="rId1711" display="https://www.cettire.com/collections/saks-potts" xr:uid="{6EBEA4F0-F22D-4BE3-9797-4F4F8187478C}"/>
    <hyperlink ref="L677" r:id="rId1712" display="https://www.cettire.com/collections/salomon-s-lab" xr:uid="{9596DC69-F150-426C-86E5-72C847E901F7}"/>
    <hyperlink ref="L678" r:id="rId1713" display="https://www.cettire.com/collections/saloni" xr:uid="{66210943-4EE4-4862-8B7B-9A8341B837B3}"/>
    <hyperlink ref="L679" r:id="rId1714" display="https://www.cettire.com/collections/salvatore-ferragamo" xr:uid="{8C35B607-B695-4C29-BC54-3E633A60D8B5}"/>
    <hyperlink ref="L680" r:id="rId1715" display="https://www.cettire.com/collections/salvatore-ferragamo-eyewear" xr:uid="{C4511359-95C9-4780-B92E-4183458012C7}"/>
    <hyperlink ref="L681" r:id="rId1716" display="https://www.cettire.com/collections/salvatore-santoro" xr:uid="{3A4A5FAC-8CA9-45DD-B4F4-5755B7FC49BE}"/>
    <hyperlink ref="L682" r:id="rId1717" display="https://www.cettire.com/collections/santoni" xr:uid="{EB9CD9A1-41F0-4E17-9FD0-45FE1CAFB509}"/>
    <hyperlink ref="L683" r:id="rId1718" display="https://www.cettire.com/collections/sara-battaglia" xr:uid="{2DAC3FF6-C733-4F3A-9A93-4C237F7D7467}"/>
    <hyperlink ref="L684" r:id="rId1719" display="https://www.cettire.com/collections/save-the-duck" xr:uid="{45A77D00-5E30-4E08-9664-20DE9D5C13D5}"/>
    <hyperlink ref="L685" r:id="rId1720" display="https://www.cettire.com/collections/save-the-duck-kids" xr:uid="{7F0F7E19-1F85-4D51-8F0D-E514990B9E25}"/>
    <hyperlink ref="L686" r:id="rId1721" display="https://www.cettire.com/collections/see-by-chloe" xr:uid="{67D0CDB8-9938-4810-9B9A-D0878D76584E}"/>
    <hyperlink ref="L687" r:id="rId1722" display="https://www.cettire.com/collections/self-portrait" xr:uid="{605CD190-92BB-43C3-B1BA-8B130688A0AB}"/>
    <hyperlink ref="L688" r:id="rId1723" display="https://www.cettire.com/collections/sergio-rossi" xr:uid="{F6A39399-3F4C-4136-BFBC-0EF3D5C7C797}"/>
    <hyperlink ref="L689" r:id="rId1724" display="https://www.cettire.com/collections/si-rossi" xr:uid="{F18586A0-14CC-4353-97E1-270D5F3E9863}"/>
    <hyperlink ref="L690" r:id="rId1725" display="https://www.cettire.com/collections/sies-marjan" xr:uid="{98324CEA-8D9D-4934-972A-4C71836EC270}"/>
    <hyperlink ref="L691" r:id="rId1726" display="https://www.cettire.com/collections/simon-miller" xr:uid="{0485E94A-C484-4CC9-BAE3-CE902F012400}"/>
    <hyperlink ref="L692" r:id="rId1727" display="https://www.cettire.com/collections/simone-rocha" xr:uid="{9F8BA718-4B9F-4354-A387-EED84131145E}"/>
    <hyperlink ref="L693" r:id="rId1728" display="https://www.cettire.com/collections/simonetta" xr:uid="{8CE225A7-E771-406F-8497-0D5423D2F047}"/>
    <hyperlink ref="L694" r:id="rId1729" display="https://www.cettire.com/collections/sofie-dhoore" xr:uid="{73D80817-CA16-4072-96C5-38C0DE076F63}"/>
    <hyperlink ref="L695" r:id="rId1730" display="https://www.cettire.com/collections/sonia-rykiel" xr:uid="{E6B39FB1-9E1F-48B2-A52A-3F1D6E9119CA}"/>
    <hyperlink ref="L696" r:id="rId1731" display="https://www.cettire.com/collections/spalwart" xr:uid="{A02720F6-BE63-466C-AC56-0F4913B6EDBF}"/>
    <hyperlink ref="L697" r:id="rId1732" display="https://www.cettire.com/collections/sportmax" xr:uid="{B6535AD7-1A73-4310-BD74-2416A4A91A65}"/>
    <hyperlink ref="L698" r:id="rId1733" display="https://www.cettire.com/collections/sporty-rich" xr:uid="{6882FE93-BA6F-4F92-BDE2-9535837A9F2D}"/>
    <hyperlink ref="L699" r:id="rId1734" display="https://www.cettire.com/collections/stand-studio" xr:uid="{E06C9917-A884-41BE-A085-CF5AA7C168CC}"/>
    <hyperlink ref="L700" r:id="rId1735" display="https://www.cettire.com/collections/staud" xr:uid="{B070377D-B193-43FD-8408-5EB5617ADDED}"/>
    <hyperlink ref="L701" r:id="rId1736" display="https://www.cettire.com/collections/stella-mccartney" xr:uid="{C4A72F71-31D3-40F9-8D02-B4FF351D36F2}"/>
    <hyperlink ref="L702" r:id="rId1737" display="https://www.cettire.com/collections/stella-mccartney-eyewear" xr:uid="{775F6FB4-559D-4223-8826-5027ECE53394}"/>
    <hyperlink ref="L703" r:id="rId1738" display="https://www.cettire.com/collections/stella-mccartney-kids" xr:uid="{051C432D-9A35-41B2-98E4-8F4AB2A86FF4}"/>
    <hyperlink ref="L704" r:id="rId1739" display="https://www.cettire.com/collections/stone-island" xr:uid="{5E0728C0-413F-4D20-A7AE-FC821D0CEFEC}"/>
    <hyperlink ref="L705" r:id="rId1740" display="https://www.cettire.com/collections/stone-island-junior" xr:uid="{1F674D62-0791-41B2-BF43-2D33FE1F933E}"/>
    <hyperlink ref="L706" r:id="rId1741" display="https://www.cettire.com/collections/stone-island-shadow-project" xr:uid="{A0AEAB6B-A8DC-424B-A1F5-39DD7E23AB23}"/>
    <hyperlink ref="L707" r:id="rId1742" display="https://www.cettire.com/collections/stuart-weitzman" xr:uid="{50584823-73DD-4E27-AB39-F9693DF67F91}"/>
    <hyperlink ref="L708" r:id="rId1743" display="https://www.cettire.com/collections/studio-amelia" xr:uid="{A6F4398B-F9C2-48F7-A402-9CA78C2859F2}"/>
    <hyperlink ref="L709" r:id="rId1744" display="https://www.cettire.com/collections/stussy" xr:uid="{9239150D-A893-42B3-8523-877E76F1B530}"/>
    <hyperlink ref="L710" r:id="rId1745" display="https://www.cettire.com/collections/suicoke" xr:uid="{711B553C-552D-4634-8224-AF91611AE045}"/>
    <hyperlink ref="L711" r:id="rId1746" display="https://www.cettire.com/collections/sunflower" xr:uid="{FB117E85-2CD5-4393-83CF-B0BFBC869DB2}"/>
    <hyperlink ref="L712" r:id="rId1747" display="https://www.cettire.com/collections/sunnei" xr:uid="{F34ADFC5-6337-4F98-98F5-81BA74BECEE8}"/>
    <hyperlink ref="L713" r:id="rId1748" display="https://www.cettire.com/collections/swarovski" xr:uid="{12D3C014-BCE8-463D-A969-405EB982E201}"/>
    <hyperlink ref="L715" r:id="rId1749" display="https://www.cettire.com/collections/t-by-alexander-wang" xr:uid="{90A66ED9-1596-4A23-8E6D-E1C77E86A911}"/>
    <hyperlink ref="L716" r:id="rId1750" display="https://www.cettire.com/collections/tagliatore" xr:uid="{FD445B21-B03D-4F0D-9A61-9D5FC918C189}"/>
    <hyperlink ref="L718" r:id="rId1751" display="https://www.cettire.com/collections/telfar" xr:uid="{796EBEF4-8928-4518-963E-F1B28D852617}"/>
    <hyperlink ref="L719" r:id="rId1752" display="https://www.cettire.com/collections/ten-c" xr:uid="{4CC2023D-5911-46CA-845A-9DA01EFC121E}"/>
    <hyperlink ref="L720" r:id="rId1753" display="https://www.cettire.com/collections/the-attico" xr:uid="{C85FE496-5D57-43B9-B6B2-F4FEE25A2F6E}"/>
    <hyperlink ref="L721" r:id="rId1754" display="https://www.cettire.com/collections/the-gigi" xr:uid="{A2947477-D9DE-4AEF-96E8-6EB069ABE40A}"/>
    <hyperlink ref="L722" r:id="rId1755" display="https://www.cettire.com/collections/the-marc-jacobs-kids" xr:uid="{F731F26C-4D83-45DD-B4B3-2AF4E78829B1}"/>
    <hyperlink ref="L723" r:id="rId1756" display="https://www.cettire.com/collections/the-north-face" xr:uid="{478059C8-D08F-42AC-ACF9-B2A95E6EC1AD}"/>
    <hyperlink ref="L724" r:id="rId1757" display="https://www.cettire.com/collections/the-north-face-black-series" xr:uid="{F133F28E-FD6B-4DAC-85B1-615DA2344521}"/>
    <hyperlink ref="L725" r:id="rId1758" display="https://www.cettire.com/collections/the-north-face-kids" xr:uid="{85B35C45-A97B-4F28-B1CC-22070591A357}"/>
    <hyperlink ref="L726" r:id="rId1759" display="https://www.cettire.com/collections/the-row" xr:uid="{3334F54D-828D-4185-B9D5-569CC9D42E7B}"/>
    <hyperlink ref="L727" r:id="rId1760" display="https://www.cettire.com/collections/themoire" xr:uid="{ADF24DCA-B72B-4B94-B894-21A3E9D0BFF0}"/>
    <hyperlink ref="L728" r:id="rId1761" display="https://www.cettire.com/collections/theory" xr:uid="{E2973D65-913B-4B69-A07D-BBC65E277F54}"/>
    <hyperlink ref="L729" r:id="rId1762" display="https://www.cettire.com/collections/thom-browne" xr:uid="{383FD5B9-91D5-4CAD-8EED-AC8310F7FC01}"/>
    <hyperlink ref="L730" r:id="rId1763" display="https://www.cettire.com/collections/thom-browne-eyewear" xr:uid="{C35B1DCA-21B0-45DD-A2E8-CDB31F1F019D}"/>
    <hyperlink ref="L732" r:id="rId1764" display="https://www.cettire.com/collections/tods" xr:uid="{FED2D5DE-15F5-4432-B01F-8AA141BEAED5}"/>
    <hyperlink ref="L733" r:id="rId1765" display="https://www.cettire.com/collections/tom-ford" xr:uid="{90901E37-EFE3-4596-9EAD-375AF1A30CC4}"/>
    <hyperlink ref="L734" r:id="rId1766" display="https://www.cettire.com/collections/tom-ford-eyewear" xr:uid="{ED174085-E314-41DF-AE70-F9024857E9F2}"/>
    <hyperlink ref="L735" r:id="rId1767" display="https://www.cettire.com/collections/tommy-hilfiger" xr:uid="{7E6E940E-0D67-48DE-9609-A598D22FB0CF}"/>
    <hyperlink ref="L736" r:id="rId1768" display="https://www.cettire.com/collections/tory-burch" xr:uid="{96933372-1FDB-44D6-9707-AA150B5D387A}"/>
    <hyperlink ref="L737" r:id="rId1769" display="https://www.cettire.com/collections/toteme" xr:uid="{B716C0C4-1986-4DC7-B1F8-C35CE9ADA897}"/>
    <hyperlink ref="L738" r:id="rId1770" display="https://www.cettire.com/collections/trickers" xr:uid="{F20B51DC-B1F9-4E0A-A59D-B44AA02AE584}"/>
    <hyperlink ref="L739" r:id="rId1771" display="https://www.cettire.com/collections/trippen" xr:uid="{22347038-A3FC-456C-9CD2-86407A89D824}"/>
    <hyperlink ref="L740" r:id="rId1772" display="https://www.cettire.com/collections/twinset" xr:uid="{670E0BD6-9ED0-4103-8F00-E9886FC08357}"/>
    <hyperlink ref="L741" r:id="rId1773" display="https://www.cettire.com/collections/twinset-kids" xr:uid="{3F390EE8-2BAC-4D3D-A98B-119791C1C1AC}"/>
    <hyperlink ref="L743" r:id="rId1774" display="https://www.cettire.com/collections/ugg" xr:uid="{CFC0E92F-E118-48FE-9586-4DB27A718D69}"/>
    <hyperlink ref="L744" r:id="rId1775" display="https://www.cettire.com/collections/ugg-kids" xr:uid="{47814DFC-F855-4E9C-A3A8-6FBAFAB33A98}"/>
    <hyperlink ref="L745" r:id="rId1776" display="https://www.cettire.com/collections/uh-nom-uh-nit" xr:uid="{A806C1A0-0E1E-4D0A-9E26-6A8D9AB22E49}"/>
    <hyperlink ref="L746" r:id="rId1777" display="https://www.cettire.com/collections/ulla-johnson" xr:uid="{E4AC1407-5423-4C5D-9805-6C57E491E77C}"/>
    <hyperlink ref="L747" r:id="rId1778" display="https://www.cettire.com/collections/ultrachic" xr:uid="{25D99AE5-EB7A-44CF-B0C4-9A029427D541}"/>
    <hyperlink ref="L748" r:id="rId1779" display="https://www.cettire.com/collections/uma-wang" xr:uid="{4333BE89-6F87-4E0E-BFCA-FE35A63A4544}"/>
    <hyperlink ref="L749" r:id="rId1780" display="https://www.cettire.com/collections/undercover" xr:uid="{69238B00-08C5-4688-B992-E813C51CA524}"/>
    <hyperlink ref="L750" r:id="rId1781" display="https://www.cettire.com/collections/unravel-project" xr:uid="{00269547-2D35-4392-BEB8-759CA04A49E5}"/>
    <hyperlink ref="L752" r:id="rId1782" display="https://www.cettire.com/collections/valentino" xr:uid="{CBCED575-6E2C-436D-BA76-D402C9366009}"/>
    <hyperlink ref="L753" r:id="rId1783" display="https://www.cettire.com/collections/valentino-eyewear" xr:uid="{A97ED653-C704-44DD-B79D-4CFC7326B97E}"/>
    <hyperlink ref="L754" r:id="rId1784" display="https://www.cettire.com/collections/valextra" xr:uid="{3E298F5D-D933-431C-A47F-D385043E17E3}"/>
    <hyperlink ref="L755" r:id="rId1785" display="https://www.cettire.com/collections/vans" xr:uid="{6ABFA769-90DF-433E-AF97-31646F3B7B03}"/>
    <hyperlink ref="L756" r:id="rId1786" display="https://www.cettire.com/collections/vans-vault" xr:uid="{7F788151-0988-436D-8B9A-1A671D8C3826}"/>
    <hyperlink ref="L757" r:id="rId1787" display="https://www.cettire.com/collections/veja" xr:uid="{8F91BE0D-E130-44AE-B19B-6B19E9AA9500}"/>
    <hyperlink ref="L758" r:id="rId1788" display="https://www.cettire.com/collections/veja-kids" xr:uid="{CD5707B3-ADB4-4A99-87F7-3454863D570C}"/>
    <hyperlink ref="L759" r:id="rId1789" display="https://www.cettire.com/collections/versace" xr:uid="{2F81437A-4691-4566-8493-51A198A28FE5}"/>
    <hyperlink ref="L760" r:id="rId1790" display="https://www.cettire.com/collections/versace-collection" xr:uid="{4B3B5D74-B6B2-4523-AC29-4A5AD297CA3B}"/>
    <hyperlink ref="L761" r:id="rId1791" display="https://www.cettire.com/collections/versace-eyewear" xr:uid="{AEFD5698-160C-4699-B901-D97654C9E07C}"/>
    <hyperlink ref="L762" r:id="rId1792" display="https://www.cettire.com/collections/versace-jeans-couture" xr:uid="{1D0FB9BA-836D-4D8C-997A-55BE75D7B42F}"/>
    <hyperlink ref="L763" r:id="rId1793" display="https://www.cettire.com/collections/versace-kids" xr:uid="{C65A90CF-99EB-4B35-B57B-0F0BDD1F853D}"/>
    <hyperlink ref="L764" r:id="rId1794" display="https://www.cettire.com/collections/vince" xr:uid="{8FDF1565-0FF1-49EC-82B2-726278BB0273}"/>
    <hyperlink ref="L765" r:id="rId1795" display="https://www.cettire.com/collections/vision-of-super" xr:uid="{31C34D97-39B1-4638-955F-7960E392137F}"/>
    <hyperlink ref="L766" r:id="rId1796" display="https://www.cettire.com/collections/vision-of-super-kids" xr:uid="{D30FFF93-D75F-42BD-930A-00EFCC3AD99F}"/>
    <hyperlink ref="L767" r:id="rId1797" display="https://www.cettire.com/collections/visvim" xr:uid="{802525D3-8C58-4F70-B305-80428F0FF195}"/>
    <hyperlink ref="L768" r:id="rId1798" display="https://www.cettire.com/collections/vivienne-westwood" xr:uid="{BCE2A501-3A29-4890-8CE9-B7E17E658731}"/>
    <hyperlink ref="L770" r:id="rId1799" display="https://www.cettire.com/collections/wales-bonner" xr:uid="{056F1B1A-E32F-4DE8-8D0A-791264D3B5D9}"/>
    <hyperlink ref="L771" r:id="rId1800" display="https://www.cettire.com/collections/wandler" xr:uid="{9EAE6ECE-CB79-4326-99CA-83D2C0CDE6F8}"/>
    <hyperlink ref="L772" r:id="rId1801" display="https://www.cettire.com/collections/we11done" xr:uid="{87A003E9-A3E1-4036-966A-131EC77039B9}"/>
    <hyperlink ref="L773" r:id="rId1802" display="https://www.cettire.com/collections/weekend-max-mara" xr:uid="{1586A08A-22F8-4987-BFB6-5A2EC193E6A2}"/>
    <hyperlink ref="L774" r:id="rId1803" display="https://www.cettire.com/collections/white-mountaineering" xr:uid="{F012A505-BE24-4D1F-A28F-E58DA56A7F1B}"/>
    <hyperlink ref="L775" r:id="rId1804" display="https://www.cettire.com/collections/woolrich" xr:uid="{50D37767-DEAC-40FB-ACE1-1E5BE1A1F659}"/>
    <hyperlink ref="L776" r:id="rId1805" display="https://www.cettire.com/collections/woolrich-kids" xr:uid="{D2846485-EB5D-4312-8E05-E0646449C1D2}"/>
    <hyperlink ref="L777" r:id="rId1806" display="https://www.cettire.com/collections/woolrich-x-griffin" xr:uid="{AF434989-0D80-4EBB-B1B8-FB852A89F50B}"/>
    <hyperlink ref="L779" r:id="rId1807" display="https://www.cettire.com/collections/y-3" xr:uid="{5E00D1A7-727D-4662-AC67-037ED1619612}"/>
    <hyperlink ref="L780" r:id="rId1808" display="https://www.cettire.com/collections/ys" xr:uid="{49C8FEF6-A880-4DBD-8257-2D5D3EEE7E2F}"/>
    <hyperlink ref="L781" r:id="rId1809" display="https://www.cettire.com/collections/y-project" xr:uid="{659B2104-7BEE-455D-8F87-90826109A684}"/>
    <hyperlink ref="L782" r:id="rId1810" display="https://www.cettire.com/collections/ymc" xr:uid="{62D60745-FF37-43C4-93FF-27E337F0BC7C}"/>
    <hyperlink ref="L783" r:id="rId1811" display="https://www.cettire.com/collections/yohji-yamamoto" xr:uid="{BFBBBD9A-8B0C-482C-9D6E-414A070667C1}"/>
    <hyperlink ref="L784" r:id="rId1812" display="https://www.cettire.com/collections/yuzefi" xr:uid="{EAE9A4E6-E0B4-4BE7-B452-24046E87E8BC}"/>
    <hyperlink ref="L785" r:id="rId1813" display="https://www.cettire.com/collections/yves-salomon" xr:uid="{F8F89274-71DB-4CF6-8A7C-AB4FC3BEA1A8}"/>
    <hyperlink ref="L787" r:id="rId1814" display="https://www.cettire.com/collections/z-zegna" xr:uid="{59E44343-321F-4390-9696-3425B7B31A4B}"/>
    <hyperlink ref="L788" r:id="rId1815" display="https://www.cettire.com/collections/zadig-voltaire" xr:uid="{5CC3CC10-2D8F-477C-A57A-514294A293C6}"/>
    <hyperlink ref="L789" r:id="rId1816" display="https://www.cettire.com/collections/zadig-voltaire-kids" xr:uid="{3E52EBC0-72F8-4A50-BC73-CE2EDB677CFB}"/>
    <hyperlink ref="L790" r:id="rId1817" display="https://www.cettire.com/collections/zimmermann" xr:uid="{F7D48EB6-9C66-49BE-9EBC-024225208E72}"/>
    <hyperlink ref="M135" r:id="rId1818" display="https://www.cettire.com/collections/s-max-mara" xr:uid="{E652DAD9-B31E-4378-A3A1-95A27AA7CDBE}"/>
    <hyperlink ref="M137" r:id="rId1819" display="https://www.cettire.com/collections/1017-alyx-9sm" xr:uid="{27997B8D-34C8-484F-B001-81B799513A00}"/>
    <hyperlink ref="M138" r:id="rId1820" display="https://www.cettire.com/collections/3-1-phillip-lim" xr:uid="{9CF85777-8C24-4D40-AAF9-2E1C7E58F1B1}"/>
    <hyperlink ref="M139" r:id="rId1821" display="https://www.cettire.com/collections/424" xr:uid="{DA168D99-8E7B-4A8B-BF52-4F3DCB31E63C}"/>
    <hyperlink ref="M140" r:id="rId1822" display="https://www.cettire.com/collections/7-for-all-mankind" xr:uid="{30013245-F68A-4953-BBC8-BB63ECC20902}"/>
    <hyperlink ref="M141" r:id="rId1823" display="https://www.cettire.com/collections/ug-ss-kids" xr:uid="{262996E4-B7E1-4FFF-8734-B1DE3AF75432}"/>
    <hyperlink ref="M142" r:id="rId1824" display="https://www.cettire.com/collections/lvin-l-in-kids" xr:uid="{974F827D-4D50-4940-B810-6BCF4C38652A}"/>
    <hyperlink ref="M143" r:id="rId1825" display="https://www.cettire.com/collections/mm-ilfig-r-kids" xr:uid="{57A1E4A2-F693-4875-8687-5738AE34FD39}"/>
    <hyperlink ref="M145" r:id="rId1826" display="https://www.cettire.com/collections/a-cold-wall" xr:uid="{C40172F9-22E2-4E94-9ADA-97C7262A7D8C}"/>
    <hyperlink ref="M146" r:id="rId1827" display="https://www.cettire.com/collections/a-p-c" xr:uid="{0BA46460-087B-44CD-870F-757F808C041A}"/>
    <hyperlink ref="M147" r:id="rId1828" display="https://www.cettire.com/collections/a-w-a-k-e-mode" xr:uid="{70700378-1FF7-4B52-919C-3985457A362E}"/>
    <hyperlink ref="M148" r:id="rId1829" display="https://www.cettire.com/collections/abra" xr:uid="{458FED16-8851-4380-BC78-0C175BC8001B}"/>
    <hyperlink ref="M149" r:id="rId1830" display="https://www.cettire.com/collections/ader-error" xr:uid="{1E777B09-D825-47AC-9B4B-AF11ED48AF98}"/>
    <hyperlink ref="M150" r:id="rId1831" display="https://www.cettire.com/collections/adidas" xr:uid="{7945A29D-27F5-4AC6-99DF-4DE7649EBF78}"/>
    <hyperlink ref="M151" r:id="rId1832" display="https://www.cettire.com/collections/adidas-by-danielle-cathari" xr:uid="{548ED3E3-BE20-44E6-8B99-2477F3B996B4}"/>
    <hyperlink ref="M152" r:id="rId1833" display="https://www.cettire.com/collections/adidas-by-human-made" xr:uid="{B265210F-5E27-4783-9B01-088A92DAEDD9}"/>
    <hyperlink ref="M153" r:id="rId1834" display="https://www.cettire.com/collections/adidas-by-pharrell-williams" xr:uid="{269EE023-A402-4633-9D14-1D965159EDDA}"/>
    <hyperlink ref="M154" r:id="rId1835" display="https://www.cettire.com/collections/adidas-by-raf-simons" xr:uid="{F89FD160-55ED-4AAC-BE65-04852093CB0A}"/>
    <hyperlink ref="M155" r:id="rId1836" display="https://www.cettire.com/collections/adidas-by-stella-mccartney" xr:uid="{BD29500E-B014-4F75-BFCC-B0B4C86EBED4}"/>
    <hyperlink ref="M156" r:id="rId1837" display="https://www.cettire.com/collections/adidas-by-wales-bonner" xr:uid="{7288B330-7523-41C9-937F-8C9D9FFBA1AA}"/>
    <hyperlink ref="M157" r:id="rId1838" display="https://www.cettire.com/collections/adidas-kids" xr:uid="{DDFD77D9-8649-4E75-A1F5-6F09A3E6A520}"/>
    <hyperlink ref="M158" r:id="rId1839" display="https://www.cettire.com/collections/adidas-originals" xr:uid="{932C7139-60B7-444B-82ED-053FCD53C6B8}"/>
    <hyperlink ref="M159" r:id="rId1840" display="https://www.cettire.com/collections/adidas-originals-by-alexander-wang" xr:uid="{53FA7DD8-E61C-477F-8651-426BE4300125}"/>
    <hyperlink ref="M160" r:id="rId1841" display="https://www.cettire.com/collections/adriana-degreas" xr:uid="{E829795D-5A61-40A6-8429-1B761398EECF}"/>
    <hyperlink ref="M161" r:id="rId1842" display="https://www.cettire.com/collections/aeyd%C4%93" xr:uid="{736CB96D-80CB-40AA-B1FF-B2AECA796CB0}"/>
    <hyperlink ref="M162" r:id="rId1843" display="https://www.cettire.com/collections/agnona" xr:uid="{66F5A946-DBB3-4762-8578-3101566BF31A}"/>
    <hyperlink ref="M163" r:id="rId1844" display="https://www.cettire.com/collections/agolde" xr:uid="{05B08ADB-C69C-47FB-AA8D-81C6DC1B6951}"/>
    <hyperlink ref="M164" r:id="rId1845" display="https://www.cettire.com/collections/alaia" xr:uid="{8946F46E-8BB4-4182-A2E4-3E4A6980F379}"/>
    <hyperlink ref="M165" r:id="rId1846" display="https://www.cettire.com/collections/alanui" xr:uid="{DF9B49A4-A8B5-48EE-B4C4-BF0C93088C5E}"/>
    <hyperlink ref="M166" r:id="rId1847" display="https://www.cettire.com/collections/alberta-ferretti" xr:uid="{3BBAD2D4-4CF5-49B8-BBD7-1BE23887231A}"/>
    <hyperlink ref="M167" r:id="rId1848" display="https://www.cettire.com/collections/alberta-ferretti-kids" xr:uid="{DC0D6C44-AE15-41EF-8CC0-444B61DDDC44}"/>
    <hyperlink ref="M168" r:id="rId1849" display="https://www.cettire.com/collections/alberto-biani" xr:uid="{B6B43C87-21E7-4018-828B-68ED2A0D8946}"/>
    <hyperlink ref="M169" r:id="rId1850" display="https://www.cettire.com/collections/alessandra-rich" xr:uid="{2871BBF6-D67A-4FFE-A5F6-833D74861BC1}"/>
    <hyperlink ref="M171" r:id="rId1851" display="https://www.cettire.com/collections/alexander-mcqueen" xr:uid="{1C47F15F-2995-463C-9FD3-234CF39762E4}"/>
    <hyperlink ref="M172" r:id="rId1852" display="https://www.cettire.com/collections/alexander-mcqueen-eyewear" xr:uid="{67AF07CA-E260-4F8F-99F3-C4B641D5B34E}"/>
    <hyperlink ref="M173" r:id="rId1853" display="https://www.cettire.com/collections/alexander-mcqueen-kids" xr:uid="{56A2D610-6844-4184-B9E9-A895FF3DB42F}"/>
    <hyperlink ref="M174" r:id="rId1854" display="https://www.cettire.com/collections/alexander-wang" xr:uid="{6C1461D7-D784-4F42-85AF-C564F8A96771}"/>
    <hyperlink ref="M175" r:id="rId1855" display="https://www.cettire.com/collections/alexandre-vauthier" xr:uid="{342B301B-9519-48E3-8240-E3CD083360B8}"/>
    <hyperlink ref="M176" r:id="rId1856" display="https://www.cettire.com/collections/allude" xr:uid="{96124C3F-CFEA-439A-B3F3-49C779BE1E8F}"/>
    <hyperlink ref="M177" r:id="rId1857" display="https://www.cettire.com/collections/alpha-industries" xr:uid="{26389D25-0329-4D5C-8135-3BBF9126F9B4}"/>
    <hyperlink ref="M178" r:id="rId1858" display="https://www.cettire.com/collections/ambush" xr:uid="{8A3E9EE3-3B15-4081-B2B6-0CC2FA17EE59}"/>
    <hyperlink ref="M179" r:id="rId1859" display="https://www.cettire.com/collections/amen" xr:uid="{E55E421B-37D6-430E-95A8-4D4D69C405D5}"/>
    <hyperlink ref="M180" r:id="rId1860" display="https://www.cettire.com/collections/ami" xr:uid="{0E8DD725-3793-4BF0-AA4F-C6E82CEA7D2A}"/>
    <hyperlink ref="M181" r:id="rId1861" display="https://www.cettire.com/collections/amina-muaddi" xr:uid="{3BB49113-F361-41A5-9481-D7F903CF402B}"/>
    <hyperlink ref="M182" r:id="rId1862" display="https://www.cettire.com/collections/amiri" xr:uid="{EABA397E-A847-4A6B-BE47-C1714CEAE041}"/>
    <hyperlink ref="M183" r:id="rId1863" display="https://www.cettire.com/collections/ancient-greek-sandals" xr:uid="{733D1710-F630-445D-9E49-2AB6C9C172B9}"/>
    <hyperlink ref="M186" r:id="rId1864" display="https://www.cettire.com/collections/anita-bilardi" xr:uid="{3F6AD7C7-D9F7-4790-8FD3-55711568FED4}"/>
    <hyperlink ref="M187" r:id="rId1865" display="https://www.cettire.com/collections/aniye-by" xr:uid="{621CF961-14F2-4B55-A688-75E727CFA44A}"/>
    <hyperlink ref="M188" r:id="rId1866" display="https://www.cettire.com/collections/ann-demeulemeester" xr:uid="{A3B1217C-1522-4AB6-8846-5D18DDF10E7E}"/>
    <hyperlink ref="M189" r:id="rId1867" display="https://www.cettire.com/collections/antonino-valenti" xr:uid="{2401CFEB-62D5-425A-9A8F-393C6AFF5732}"/>
    <hyperlink ref="M190" r:id="rId1868" display="https://www.cettire.com/collections/anya-hindmarch" xr:uid="{CD8CEC81-D05E-4332-B665-B08ECB622776}"/>
    <hyperlink ref="M191" r:id="rId1869" display="https://www.cettire.com/collections/apesi" xr:uid="{CBF9E329-C940-4A14-8262-18BA9E71F6CF}"/>
    <hyperlink ref="M192" r:id="rId1870" display="https://www.cettire.com/collections/aquazzura" xr:uid="{CC2E46C4-2F1B-476A-8220-008B04D75012}"/>
    <hyperlink ref="M193" r:id="rId1871" display="https://www.cettire.com/collections/aragona" xr:uid="{88AAAF2A-C6E2-43C5-8745-9040D064CB39}"/>
    <hyperlink ref="M194" r:id="rId1872" display="https://www.cettire.com/collections/area" xr:uid="{69DC431B-BFF5-49F4-A055-C6800374FA63}"/>
    <hyperlink ref="M195" r:id="rId1873" display="https://www.cettire.com/collections/aries" xr:uid="{ABFE32B4-C9D9-4C55-A6C2-8AB256A53D84}"/>
    <hyperlink ref="M196" r:id="rId1874" display="https://www.cettire.com/collections/arizona-love" xr:uid="{04DD5C88-C641-42FC-8EC8-3D86ECD1C458}"/>
    <hyperlink ref="M197" r:id="rId1875" display="https://www.cettire.com/collections/arma" xr:uid="{DE649582-AE7E-452D-81E0-5B3B157E12AD}"/>
    <hyperlink ref="M198" r:id="rId1876" display="https://www.cettire.com/collections/art-dealer" xr:uid="{C3DB4195-FD66-466A-AA7A-36E4A732B3C0}"/>
    <hyperlink ref="M199" r:id="rId1877" display="https://www.cettire.com/collections/ash" xr:uid="{C2A4427C-45BC-4F3B-8A97-CB0440E65F1D}"/>
    <hyperlink ref="M200" r:id="rId1878" display="https://www.cettire.com/collections/asics" xr:uid="{38764E27-D0ED-489F-90DB-7188D234F3D7}"/>
    <hyperlink ref="M201" r:id="rId1879" display="https://www.cettire.com/collections/aspesi" xr:uid="{BBF7DC73-8B11-4D35-AA58-2AFDC4A4290C}"/>
    <hyperlink ref="M202" r:id="rId1880" display="https://www.cettire.com/collections/attico" xr:uid="{9E3D7B1D-06BE-4CB2-B6BC-05CB1C5DD420}"/>
    <hyperlink ref="M203" r:id="rId1881" display="https://www.cettire.com/collections/au-depart" xr:uid="{EC1E1AC9-7B3D-4EBE-8553-F98318627A47}"/>
    <hyperlink ref="M204" r:id="rId1882" display="https://www.cettire.com/collections/autry" xr:uid="{903865CE-8B0A-4C01-BFE0-21FBF7CB0958}"/>
    <hyperlink ref="M205" r:id="rId1883" display="https://www.cettire.com/collections/axel-arigato" xr:uid="{5F4C768D-F5CC-4561-A411-3627672D5A51}"/>
    <hyperlink ref="M207" r:id="rId1884" display="https://www.cettire.com/collections/balenciaga" xr:uid="{32A53115-31C3-4B6F-93E9-3CE20727168A}"/>
    <hyperlink ref="M208" r:id="rId1885" display="https://www.cettire.com/collections/balenciaga-eyewear" xr:uid="{0D457A52-7C35-4B33-AE46-A887A5439335}"/>
    <hyperlink ref="M209" r:id="rId1886" display="https://www.cettire.com/collections/balenciaga-kids" xr:uid="{F4184A96-B891-4BC5-A177-6F62AB49E2C1}"/>
    <hyperlink ref="M210" r:id="rId1887" display="https://www.cettire.com/collections/ballantyne" xr:uid="{E1F5234F-1D0C-4B21-B6EB-6483CBAC988E}"/>
    <hyperlink ref="M212" r:id="rId1888" display="https://www.cettire.com/collections/bally" xr:uid="{1BF69656-4EDA-4DD9-9071-F158B7234B4F}"/>
    <hyperlink ref="M213" r:id="rId1889" display="https://www.cettire.com/collections/balmain" xr:uid="{1FD1CCEA-41E9-499E-8D33-E059DBFFBF7F}"/>
    <hyperlink ref="M214" r:id="rId1890" display="https://www.cettire.com/collections/balmain-kids" xr:uid="{4CEEECA9-D29E-45A4-B03F-AE6FD5D7C921}"/>
    <hyperlink ref="M215" r:id="rId1891" display="https://www.cettire.com/collections/bao-bao-issey-miyake" xr:uid="{05DFE57B-CDB6-4F44-8AE7-1B668855039E}"/>
    <hyperlink ref="M216" r:id="rId1892" display="https://www.cettire.com/collections/barba" xr:uid="{2B5D2B37-45A6-4D21-A5B4-41D3669DC18F}"/>
    <hyperlink ref="M217" r:id="rId1893" display="https://www.cettire.com/collections/barbour" xr:uid="{ED438CE8-663A-4599-AEB2-E6143F4BB436}"/>
    <hyperlink ref="M218" r:id="rId1894" display="https://www.cettire.com/collections/barena" xr:uid="{ED55728F-083B-4CFA-974A-BE41B240308E}"/>
    <hyperlink ref="M219" r:id="rId1895" display="https://www.cettire.com/collections/bark-b-rules" xr:uid="{F35DD41E-2ABC-441D-9FFC-5877129FB224}"/>
    <hyperlink ref="M220" r:id="rId1896" display="https://www.cettire.com/collections/barrow" xr:uid="{774B5D74-3DD7-4F6E-B66F-B6EC92870535}"/>
    <hyperlink ref="M221" r:id="rId1897" display="https://www.cettire.com/collections/baum-und-pferdgarten" xr:uid="{865492E2-4B35-40E7-AC83-EBE45D76C2E5}"/>
    <hyperlink ref="M222" r:id="rId1898" display="https://www.cettire.com/collections/belstaff" xr:uid="{5037FBE4-00A0-4E10-A7E7-60F922B93202}"/>
    <hyperlink ref="M223" r:id="rId1899" display="https://www.cettire.com/collections/berluti" xr:uid="{C1C5CAEB-9A44-4E18-980A-F5888DF7B1D2}"/>
    <hyperlink ref="M224" r:id="rId1900" display="https://www.cettire.com/collections/billieblush" xr:uid="{D1197BDA-B0C5-44F8-9D0A-39417924D6C1}"/>
    <hyperlink ref="M225" r:id="rId1901" display="https://www.cettire.com/collections/billionaire" xr:uid="{56DAC9D3-8E7C-436F-A928-669EFEBB0EF5}"/>
    <hyperlink ref="M226" r:id="rId1902" display="https://www.cettire.com/collections/billionaire-boys-club" xr:uid="{F887FC24-6708-4F4D-802B-2B9E0206B23C}"/>
    <hyperlink ref="M227" r:id="rId1903" display="https://www.cettire.com/collections/birkenstock" xr:uid="{D363CB26-8D43-4F73-A388-E1A9A622700D}"/>
    <hyperlink ref="M228" r:id="rId1904" display="https://www.cettire.com/collections/bobo-choses" xr:uid="{52E67685-1F4A-4B9F-98D4-085AEE6CBA9A}"/>
    <hyperlink ref="M230" r:id="rId1905" display="https://www.cettire.com/collections/bode" xr:uid="{0F0B102A-38B5-4216-943B-46F8818D47D1}"/>
    <hyperlink ref="M231" r:id="rId1906" display="https://www.cettire.com/collections/boglioli" xr:uid="{4F7B18FE-3813-4AF6-AF34-6223461C484C}"/>
    <hyperlink ref="M232" r:id="rId1907" display="https://www.cettire.com/collections/bonpoint" xr:uid="{D0E5EC96-7909-4A71-B3F9-5588A9E0CD9A}"/>
    <hyperlink ref="M233" r:id="rId1908" display="https://www.cettire.com/collections/bottega-veneta" xr:uid="{42BCE521-2CE8-4722-881E-06AF78DE9216}"/>
    <hyperlink ref="M234" r:id="rId1909" display="https://www.cettire.com/collections/bottega-veneta-eyewear" xr:uid="{F193EBBB-E6AE-4EBC-BF5D-C316C7A12674}"/>
    <hyperlink ref="M235" r:id="rId1910" display="https://www.cettire.com/collections/botter" xr:uid="{3CECE30D-BDA4-4261-9F6E-3F6CD25EFB4D}"/>
    <hyperlink ref="M236" r:id="rId1911" display="https://www.cettire.com/collections/boutique-moschino" xr:uid="{E5633A92-65C7-4272-9F6B-12E7391DFDB4}"/>
    <hyperlink ref="M237" r:id="rId1912" display="https://www.cettire.com/collections/boyy" xr:uid="{58C6186B-1A6B-4CAF-AFCB-82D2FEB1309F}"/>
    <hyperlink ref="M238" r:id="rId1913" display="https://www.cettire.com/collections/brian-dales" xr:uid="{63D05AC3-9765-48F4-8948-CEE49DDDAC01}"/>
    <hyperlink ref="M239" r:id="rId1914" display="https://www.cettire.com/collections/brunello-cucinelli" xr:uid="{187B0A93-387F-4B5C-B4F3-F85EAADD21A3}"/>
    <hyperlink ref="M240" r:id="rId1915" display="https://www.cettire.com/collections/brunello-cucinelli-kids" xr:uid="{3657458A-F859-4AF8-B8F5-CBECD8BFEB43}"/>
    <hyperlink ref="M241" r:id="rId1916" display="https://www.cettire.com/collections/building-block" xr:uid="{81AAF6A9-2077-4280-8F43-1F3780BA6FE4}"/>
    <hyperlink ref="M242" r:id="rId1917" display="https://www.cettire.com/collections/bulgari" xr:uid="{6CC79778-A74C-40E8-8404-248F0B4AC1D5}"/>
    <hyperlink ref="M243" r:id="rId1918" display="https://www.cettire.com/collections/burberry" xr:uid="{3DBFF954-AFAF-43CD-A7CE-19F862E3E74B}"/>
    <hyperlink ref="M244" r:id="rId1919" display="https://www.cettire.com/collections/burberry-eyewear" xr:uid="{1D780D83-9A36-4A0C-A240-BB3020EDD43E}"/>
    <hyperlink ref="M245" r:id="rId1920" display="https://www.cettire.com/collections/burberry-kids" xr:uid="{EED85483-D6AA-4990-BFE8-9B987209971A}"/>
    <hyperlink ref="M246" r:id="rId1921" display="https://www.cettire.com/collections/buscemi" xr:uid="{C22B493A-A374-4E31-9B85-00DBFACE5E54}"/>
    <hyperlink ref="M247" r:id="rId1922" display="https://www.cettire.com/collections/buttero" xr:uid="{05E356F6-F38F-4B13-B612-06B048F174BE}"/>
    <hyperlink ref="M248" r:id="rId1923" display="https://www.cettire.com/collections/by-far" xr:uid="{E8836910-CE0F-479D-AC20-07B02ECF74AE}"/>
    <hyperlink ref="M250" r:id="rId1924" display="https://www.cettire.com/collections/c-p-company" xr:uid="{37AB45F3-E1CD-4EBF-AC3D-40A586C1FBF8}"/>
    <hyperlink ref="M251" r:id="rId1925" display="https://www.cettire.com/collections/c-p-company-kids" xr:uid="{2E392577-CB28-4C4C-808A-D5BB0B81C6C4}"/>
    <hyperlink ref="M252" r:id="rId1926" display="https://www.cettire.com/collections/c2h4" xr:uid="{AE5FCDE7-C207-4260-AFE4-9BC579E8E77F}"/>
    <hyperlink ref="M253" r:id="rId1927" display="https://www.cettire.com/collections/calvin-klein" xr:uid="{8A83365A-AB83-4FEE-BAF4-C80293AD4991}"/>
    <hyperlink ref="M254" r:id="rId1928" display="https://www.cettire.com/collections/calvin-klein-jeans-est-1978" xr:uid="{9D8C7F31-D588-4CE5-8895-2F63B4BF0985}"/>
    <hyperlink ref="M255" r:id="rId1929" display="https://www.cettire.com/collections/canada-goose" xr:uid="{514645C1-6B98-422E-B087-947ADDED1435}"/>
    <hyperlink ref="M256" r:id="rId1930" display="https://www.cettire.com/collections/canada-goose-kids" xr:uid="{273AE5B0-2801-4E0E-8810-F4B23F84B792}"/>
    <hyperlink ref="M257" r:id="rId1931" display="https://www.cettire.com/collections/canali" xr:uid="{3371186E-4E97-4710-8E4D-A08B33DA281E}"/>
    <hyperlink ref="M258" r:id="rId1932" display="https://www.cettire.com/collections/car-shoe" xr:uid="{834E4F13-3359-42FF-A435-4C99159C54F3}"/>
    <hyperlink ref="M259" r:id="rId1933" display="https://www.cettire.com/collections/carhartt" xr:uid="{219DF480-0337-4F92-9646-D1E0CEA96AD4}"/>
    <hyperlink ref="M260" r:id="rId1934" display="https://www.cettire.com/collections/carhartt-wip" xr:uid="{D9E142CC-844E-41B4-98B9-C68C1654F905}"/>
    <hyperlink ref="M261" r:id="rId1935" display="https://www.cettire.com/collections/carrera" xr:uid="{211490DE-90E9-454A-A479-0AD68C903DAD}"/>
    <hyperlink ref="M262" r:id="rId1936" display="https://www.cettire.com/collections/cartier" xr:uid="{0BE53E4F-BCF1-4F79-A382-B1EFBA0A5A3D}"/>
    <hyperlink ref="M263" r:id="rId1937" display="https://www.cettire.com/collections/carven" xr:uid="{5A4561BB-EAF3-4099-969A-7849BAB53564}"/>
    <hyperlink ref="M264" r:id="rId1938" display="https://www.cettire.com/collections/casablanca" xr:uid="{FC39AD22-C43D-4FF8-AD49-B116B1933FDE}"/>
    <hyperlink ref="M266" r:id="rId1939" display="https://www.cettire.com/collections/cc-collection-corneliani" xr:uid="{52CD9970-AE24-442C-A44D-95EE90F95F77}"/>
    <hyperlink ref="M267" r:id="rId1940" display="https://www.cettire.com/collections/cecilie-bahnsen" xr:uid="{252827C1-4B8D-4CB9-B09B-259F0BD161C7}"/>
    <hyperlink ref="M268" r:id="rId1941" display="https://www.cettire.com/collections/champion" xr:uid="{9F331F80-A345-411D-BABB-7884709177EE}"/>
    <hyperlink ref="M269" r:id="rId1942" display="https://www.cettire.com/collections/chanel" xr:uid="{D4477A9B-BBC2-40B0-B2E0-09E8327FE414}"/>
    <hyperlink ref="M270" r:id="rId1943" display="https://www.cettire.com/collections/chiara-ferragni" xr:uid="{04588A5F-B1C2-4264-9E41-F2B373D78283}"/>
    <hyperlink ref="M271" r:id="rId1944" display="https://www.cettire.com/collections/chiara-ferragni-kids" xr:uid="{C204F78E-3CA7-4CA1-A537-E3C971679B73}"/>
    <hyperlink ref="M272" r:id="rId1945" display="https://www.cettire.com/collections/chie-mihara" xr:uid="{034DE550-721B-47E9-969B-54CB582555F4}"/>
    <hyperlink ref="M274" r:id="rId1946" display="https://www.cettire.com/collections/chloe" xr:uid="{AB3FA0F1-7994-44BF-9807-B5C2A0D6F961}"/>
    <hyperlink ref="M275" r:id="rId1947" display="https://www.cettire.com/collections/chloe-eyewear" xr:uid="{FF5AFF0E-62DB-491D-AFB8-A9D48279D017}"/>
    <hyperlink ref="M276" r:id="rId1948" display="https://www.cettire.com/collections/chlo%C3%A9 kids" xr:uid="{4F112581-2221-404C-9A73-0F4EB5800FD6}"/>
    <hyperlink ref="M277" r:id="rId1949" display="https://www.cettire.com/collections/chopard-eyewear" xr:uid="{5D3A4278-937F-4D5D-82EB-32D410811F14}"/>
    <hyperlink ref="M278" r:id="rId1950" display="https://www.cettire.com/collections/chopova-lowena" xr:uid="{F7C5BB36-3087-4779-88FA-E30670D9026B}"/>
    <hyperlink ref="M279" r:id="rId1951" display="https://www.cettire.com/collections/christian-louboutin" xr:uid="{E2F85008-1482-4975-B2E7-15B1BF6421A0}"/>
    <hyperlink ref="M280" r:id="rId1952" display="https://www.cettire.com/collections/churchs" xr:uid="{B58D7840-7F9D-4F69-B8A4-1C50C2922C7A}"/>
    <hyperlink ref="M282" r:id="rId1953" display="https://www.cettire.com/collections/citizens-of-humanity" xr:uid="{0475C942-747E-42D9-85F1-464EB30B1083}"/>
    <hyperlink ref="M283" r:id="rId1954" display="https://www.cettire.com/collections/co" xr:uid="{53F16C2B-FB61-462E-8497-029D98021665}"/>
    <hyperlink ref="M284" r:id="rId1955" display="https://www.cettire.com/collections/coach" xr:uid="{229FF613-A109-4550-BCEF-2C6F5F7B76A1}"/>
    <hyperlink ref="M285" r:id="rId1956" display="https://www.cettire.com/collections/coliac" xr:uid="{F00342A3-0A2D-4BA7-9EE0-A5795A9EF015}"/>
    <hyperlink ref="M286" r:id="rId1957" display="https://www.cettire.com/collections/collina-strada" xr:uid="{2CCAC703-9409-4B7A-B98D-FD23EDCB7569}"/>
    <hyperlink ref="M287" r:id="rId1958" display="https://www.cettire.com/collections/comme-des-garcons" xr:uid="{8A193D80-EC1B-4DAB-9E8A-192D5863D1CA}"/>
    <hyperlink ref="M288" r:id="rId1959" display="https://www.cettire.com/collections/comme-des-garcons-comme-des-garcons" xr:uid="{39EC4D6B-5333-48C2-824C-A6D15CC80485}"/>
    <hyperlink ref="M289" r:id="rId1960" display="https://www.cettire.com/collections/comme-des-garcons-girl" xr:uid="{00B29A9F-A2FB-4E06-8275-4B75836BB2C2}"/>
    <hyperlink ref="M290" r:id="rId1961" display="https://www.cettire.com/collections/comme-des-garcons-homme-plus" xr:uid="{2A357A5C-9BD2-42BA-8F2D-AE05728E8807}"/>
    <hyperlink ref="M291" r:id="rId1962" display="https://www.cettire.com/collections/comme-des-garcons-noir-kei-ninomiya" xr:uid="{DB5998BE-E861-4D2B-BAAB-00B3335E1A62}"/>
    <hyperlink ref="M292" r:id="rId1963" display="https://www.cettire.com/collections/comme-des-garcons-play" xr:uid="{C48E6739-AF26-4499-97C1-5B6BD545FF13}"/>
    <hyperlink ref="M293" r:id="rId1964" display="https://www.cettire.com/collections/comme-des-garcons-play-kids" xr:uid="{F2951FC6-BBF6-458D-862F-88B4866819C1}"/>
    <hyperlink ref="M294" r:id="rId1965" display="https://www.cettire.com/collections/comme-des-garcons-shirt" xr:uid="{8F32642A-FBAF-453D-BEF3-749D0F4527E4}"/>
    <hyperlink ref="M295" r:id="rId1966" display="https://www.cettire.com/collections/comme-des-garcons-shirt-boys" xr:uid="{B72C3660-32DB-4689-80B5-4CB902FA3C9B}"/>
    <hyperlink ref="M296" r:id="rId1967" display="https://www.cettire.com/collections/comme-des-garcons-wallet" xr:uid="{B67047E6-7851-4971-8319-9DF519B2460C}"/>
    <hyperlink ref="M297" r:id="rId1968" display="https://www.cettire.com/collections/common-projects" xr:uid="{2533F375-6E1A-49D2-AC3A-409BC0612EE8}"/>
    <hyperlink ref="M298" r:id="rId1969" display="https://www.cettire.com/collections/converse" xr:uid="{82EB317F-8817-4AC5-8CFA-40F98AFE6CDC}"/>
    <hyperlink ref="M299" r:id="rId1970" display="https://www.cettire.com/collections/coperni" xr:uid="{1CD3709E-5111-4C73-85D7-A6EFA4D111C6}"/>
    <hyperlink ref="M300" r:id="rId1971" display="https://www.cettire.com/collections/corneliani" xr:uid="{7CC86C35-0DE1-4816-ACB9-6153B8165A66}"/>
    <hyperlink ref="M301" r:id="rId1972" display="https://www.cettire.com/collections/courreges-eyewear" xr:uid="{50D06677-CE10-448C-88AD-51A3E9503031}"/>
    <hyperlink ref="M302" r:id="rId1973" display="https://www.cettire.com/collections/craig-green" xr:uid="{5E26C0FD-D166-4259-9493-B63D78C0ACDC}"/>
    <hyperlink ref="M303" r:id="rId1974" display="https://www.cettire.com/collections/cult-gaia" xr:uid="{1E49C334-8C13-46A2-9B19-41611B37EA35}"/>
    <hyperlink ref="M304" r:id="rId1975" display="https://www.cettire.com/collections/current-elliott" xr:uid="{1DE6738B-BA2B-43C5-83C6-A064CA394F76}"/>
    <hyperlink ref="M305" r:id="rId1976" display="https://www.cettire.com/collections/cutler-gross" xr:uid="{B864CCF8-BE6A-4FDA-B15A-D7D9185937D1}"/>
    <hyperlink ref="M307" r:id="rId1977" display="https://www.cettire.com/collections/daily-paper" xr:uid="{22DE6075-5259-4948-A41D-40D165E60CEE}"/>
    <hyperlink ref="M308" r:id="rId1978" display="https://www.cettire.com/collections/danse-lente" xr:uid="{C5CD64C0-2313-4450-8869-63C328226B3B}"/>
    <hyperlink ref="M310" r:id="rId1979" display="https://www.cettire.com/collections/department-5" xr:uid="{38C75E5B-7422-4EAE-ADE1-43F6A2156D48}"/>
    <hyperlink ref="M311" r:id="rId1980" display="https://www.cettire.com/collections/desa-1972" xr:uid="{D6222F32-8C28-4637-A0C7-B67CFD3BF43B}"/>
    <hyperlink ref="M312" r:id="rId1981" display="https://www.cettire.com/collections/diadora" xr:uid="{D53F9111-493B-4A08-94E3-38DEED46D6FB}"/>
    <hyperlink ref="M313" r:id="rId1982" display="https://www.cettire.com/collections/diane-von-furstenberg" xr:uid="{D900F36C-2F87-46E4-A15B-A80D7C92D4D2}"/>
    <hyperlink ref="M314" r:id="rId1983" display="https://www.cettire.com/collections/diemme" xr:uid="{280644CE-5F0E-4A69-B92B-D94F96A5A678}"/>
    <hyperlink ref="M315" r:id="rId1984" display="https://www.cettire.com/collections/diesel" xr:uid="{F3F043E8-2797-4F15-837E-DA468D5407F0}"/>
    <hyperlink ref="M316" r:id="rId1985" display="https://www.cettire.com/collections/diesel-black-gold" xr:uid="{FFEEF127-6C4A-4199-B329-CB0C581B14F7}"/>
    <hyperlink ref="M317" r:id="rId1986" display="https://www.cettire.com/collections/diesel-kids" xr:uid="{994217C8-EB10-4BE7-B94B-88C0AF06E25B}"/>
    <hyperlink ref="M318" r:id="rId1987" display="https://www.cettire.com/collections/diesel-red-tag" xr:uid="{320EA533-285F-41FB-B388-C847EDC75AC6}"/>
    <hyperlink ref="M319" r:id="rId1988" display="https://www.cettire.com/collections/dior" xr:uid="{C1C330EA-BC98-410C-9276-9AC6248379C4}"/>
    <hyperlink ref="M320" r:id="rId1989" display="https://www.cettire.com/collections/dior-eyewear" xr:uid="{7309231A-A78C-42EE-BDC0-626876F31C3D}"/>
    <hyperlink ref="M321" r:id="rId1990" display="https://www.cettire.com/collections/dior-homme" xr:uid="{86ED19D7-B0C4-40C3-9464-0A2BEDBDC556}"/>
    <hyperlink ref="M322" r:id="rId1991" display="https://www.cettire.com/collections/dita-eyewear" xr:uid="{6BFDFD7F-CA2D-4918-88C4-F7F5AB2D9835}"/>
    <hyperlink ref="M323" r:id="rId1992" display="https://www.cettire.com/collections/dkny-kids" xr:uid="{EAA473C6-2D87-4F03-8E5F-E202592DF4B4}"/>
    <hyperlink ref="M324" r:id="rId1993" display="https://www.cettire.com/collections/dodo-bar-or" xr:uid="{C8DD5EB0-A44F-476F-8DC7-2E804B33EDC2}"/>
    <hyperlink ref="M325" r:id="rId1994" display="https://www.cettire.com/collections/dolce-gabbana" xr:uid="{5E10F4E4-C669-42F2-A44B-3497CA4B9840}"/>
    <hyperlink ref="M326" r:id="rId1995" display="https://www.cettire.com/collections/dolce-gabbana-eyewear" xr:uid="{6F8FA5C1-8453-4D58-AE8A-42FB92A01310}"/>
    <hyperlink ref="M327" r:id="rId1996" display="https://www.cettire.com/collections/dolce-gabbana-kids" xr:uid="{F27BCD7E-063D-4334-98C2-A117E1D09F5D}"/>
    <hyperlink ref="M328" r:id="rId1997" display="https://www.cettire.com/collections/dr-martens" xr:uid="{1068F818-944D-4BE2-9853-34FC648F3AE9}"/>
    <hyperlink ref="M329" r:id="rId1998" display="https://www.cettire.com/collections/drole-de-monsieur" xr:uid="{C63A8E53-8EE8-4E09-B810-DB839C2F3034}"/>
    <hyperlink ref="M330" r:id="rId1999" display="https://www.cettire.com/collections/dsquared2" xr:uid="{B2914290-2A22-4A3D-B29C-96B51A56C97B}"/>
    <hyperlink ref="M331" r:id="rId2000" display="https://www.cettire.com/collections/dsquared2-eyewear" xr:uid="{FFEB5E5F-31A5-4A7F-AC6F-FC948D964B8B}"/>
    <hyperlink ref="M332" r:id="rId2001" display="https://www.cettire.com/collections/dsquared2-kids" xr:uid="{62D20257-B7F6-4C41-A634-0D31614B4221}"/>
    <hyperlink ref="M333" r:id="rId2002" display="https://www.cettire.com/collections/duvetica" xr:uid="{C7440549-2E48-4E30-A5E2-2CB519A28BB7}"/>
    <hyperlink ref="M335" r:id="rId2003" display="https://www.cettire.com/collections/ea7-emporio-armani" xr:uid="{CB07F876-42B5-4FEB-8077-231191555712}"/>
    <hyperlink ref="M336" r:id="rId2004" display="https://www.cettire.com/collections/eastpak" xr:uid="{3AF62AD3-FC70-44B4-A58C-52993742DA8B}"/>
    <hyperlink ref="M337" r:id="rId2005" display="https://www.cettire.com/collections/eckhaus-latta" xr:uid="{4B5DEB9C-5678-4A6E-8E77-1E71857F193B}"/>
    <hyperlink ref="M338" r:id="rId2006" display="https://www.cettire.com/collections/eden-power-corp" xr:uid="{1000DBB5-3230-4A41-9EDC-7D65284C4C25}"/>
    <hyperlink ref="M339" r:id="rId2007" display="https://www.cettire.com/collections/edward-green" xr:uid="{9E0000FE-2E5E-41F6-9B86-01E717AE3BD3}"/>
    <hyperlink ref="M340" r:id="rId2008" display="https://www.cettire.com/collections/elie-saab-junior" xr:uid="{493F9D91-75E2-40CD-BAA0-489A4194BFEE}"/>
    <hyperlink ref="M341" r:id="rId2009" display="https://www.cettire.com/collections/elisabetta-franchi" xr:uid="{968D1BE4-FA9D-4143-A9DE-F2C92C129375}"/>
    <hyperlink ref="M342" r:id="rId2010" display="https://www.cettire.com/collections/emile-et-ida" xr:uid="{AD506071-BB79-40A5-888F-83BAE9FF1468}"/>
    <hyperlink ref="M343" r:id="rId2011" display="https://www.cettire.com/collections/emilio-pucci-junior" xr:uid="{376E2827-959E-45AD-A977-8BDB455C5A4B}"/>
    <hyperlink ref="M344" r:id="rId2012" display="https://www.cettire.com/collections/emporio-armani" xr:uid="{78A2BDFB-7EFD-468F-83F0-40B4F5064B4E}"/>
    <hyperlink ref="M345" r:id="rId2013" display="https://www.cettire.com/collections/emporio-armani-kids" xr:uid="{14B7CF21-0436-4DDA-8AC7-B3705FA15351}"/>
    <hyperlink ref="M346" r:id="rId2014" display="https://www.cettire.com/collections/enfants-riches-deprimes" xr:uid="{CD5026DA-1CC0-4C8F-9CD3-4212D3067F9C}"/>
    <hyperlink ref="M347" r:id="rId2015" display="https://www.cettire.com/collections/engineered-garments" xr:uid="{A7D07E06-2D28-406B-8C02-A152EFBC5B0A}"/>
    <hyperlink ref="M350" r:id="rId2016" display="https://www.cettire.com/collections/equipment" xr:uid="{23760FEE-D777-4998-88EA-52A41C4D931D}"/>
    <hyperlink ref="M351" r:id="rId2017" display="https://www.cettire.com/collections/ermanno-scervino" xr:uid="{29DE414C-9FEE-43D7-8B70-AF3E2424AE8D}"/>
    <hyperlink ref="M352" r:id="rId2018" display="https://www.cettire.com/collections/ermenegildo-zegna" xr:uid="{4F496198-6D9F-4475-B7D6-B1B16AEA2FAF}"/>
    <hyperlink ref="M353" r:id="rId2019" display="https://www.cettire.com/collections/etre-cecile" xr:uid="{0D3A9A67-E6DC-400C-8C35-1013F56EAB04}"/>
    <hyperlink ref="M354" r:id="rId2020" display="https://www.cettire.com/collections/etro" xr:uid="{60FE5CE8-C675-44C2-B8A1-63DCEA2D7A64}"/>
    <hyperlink ref="M355" r:id="rId2021" display="https://www.cettire.com/collections/eudon-choi" xr:uid="{62AC7765-0F2D-435A-BCA0-D2C89423BB96}"/>
    <hyperlink ref="M356" r:id="rId2022" display="https://www.cettire.com/collections/extreme-cashmere" xr:uid="{616FD7EF-0159-4C08-B8BA-B5BBDF497AA3}"/>
    <hyperlink ref="M357" r:id="rId2023" display="https://www.cettire.com/collections/eyevan-7285" xr:uid="{E9FD353C-DED7-4424-B532-94A6BF468CF2}"/>
    <hyperlink ref="M358" r:id="rId2024" display="https://www.cettire.com/collections/eytys" xr:uid="{184D4B75-5F67-47C2-BDFE-6DB8428C30DC}"/>
    <hyperlink ref="M360" r:id="rId2025" display="https://www.cettire.com/collections/fabiana-filippi" xr:uid="{440AE5C3-543A-4D4E-A986-93E91449B7F5}"/>
    <hyperlink ref="M361" r:id="rId2026" display="https://www.cettire.com/collections/facetasm" xr:uid="{9CE4DC45-708B-44F3-AE76-2581158C2C5A}"/>
    <hyperlink ref="M362" r:id="rId2027" display="https://www.cettire.com/collections/faith-connexion" xr:uid="{9222BD9F-0E96-44D9-813C-97BB9A0A60AE}"/>
    <hyperlink ref="M363" r:id="rId2028" display="https://www.cettire.com/collections/fay" xr:uid="{DEA44849-006B-4CB4-8314-7D1F39C341FE}"/>
    <hyperlink ref="M364" r:id="rId2029" display="https://www.cettire.com/collections/fay-kids" xr:uid="{B342CD50-DC85-4DA0-B19B-DCD15010DD05}"/>
    <hyperlink ref="M365" r:id="rId2030" display="https://www.cettire.com/collections/fear-of-god" xr:uid="{6B259407-E1C5-4CE3-8AF3-B935942ED118}"/>
    <hyperlink ref="M366" r:id="rId2031" display="https://www.cettire.com/collections/fendi" xr:uid="{9FC1BCFD-C8D9-489D-8BD0-3CE63E2385A5}"/>
    <hyperlink ref="M367" r:id="rId2032" display="https://www.cettire.com/collections/fendi-eyewear" xr:uid="{6D55C9AD-678E-4F47-B8F7-93AF1B86D550}"/>
    <hyperlink ref="M368" r:id="rId2033" display="https://www.cettire.com/collections/fendi-kids" xr:uid="{3DFD821E-B9D5-49FA-B11C-497F8855C811}"/>
    <hyperlink ref="M369" r:id="rId2034" display="https://www.cettire.com/collections/feng-chen-wang" xr:uid="{ECC9FDEF-2663-4262-A3BB-C66583FFB3FE}"/>
    <hyperlink ref="M370" r:id="rId2035" display="https://www.cettire.com/collections/fenty-x-puma" xr:uid="{376254C1-1732-4AD5-B349-7D52CDF48CD7}"/>
    <hyperlink ref="M371" r:id="rId2036" display="https://www.cettire.com/collections/fila" xr:uid="{CD8377DC-CF4F-40EF-9B4B-6380A45EB132}"/>
    <hyperlink ref="M372" r:id="rId2037" display="https://www.cettire.com/collections/finamore-1925-napoli" xr:uid="{9AD406DF-BE02-4A57-A547-504759D4A15C}"/>
    <hyperlink ref="M373" r:id="rId2038" display="https://www.cettire.com/collections/flat-apartment" xr:uid="{1C43A5B0-EBA0-47B6-97F2-DE2F8CEAE2A4}"/>
    <hyperlink ref="M374" r:id="rId2039" display="https://www.cettire.com/collections/forte-dei-marmi-couture" xr:uid="{02D1929A-A5F0-47B9-81D4-EE25A9247AD1}"/>
    <hyperlink ref="M375" r:id="rId2040" display="https://www.cettire.com/collections/forte-forte" xr:uid="{6CCE36ED-FCD6-48CA-BA15-797C667F3478}"/>
    <hyperlink ref="M376" r:id="rId2041" display="https://www.cettire.com/collections/frame" xr:uid="{7EC1EE2F-8827-4840-B80A-C55C18F945A3}"/>
    <hyperlink ref="M377" r:id="rId2042" display="https://www.cettire.com/collections/francesco-russo" xr:uid="{7C4620EB-F9C4-407A-8E04-717A96CCD2DE}"/>
    <hyperlink ref="M378" r:id="rId2043" display="https://www.cettire.com/collections/freedomday" xr:uid="{CA37C012-F7D2-4175-A266-8BD91F9C34B2}"/>
    <hyperlink ref="M379" r:id="rId2044" display="https://www.cettire.com/collections/fucking-awesome" xr:uid="{BDE1973C-D62A-4D99-8037-C3F9928174A2}"/>
    <hyperlink ref="M380" r:id="rId2045" display="https://www.cettire.com/collections/furla" xr:uid="{96065353-FF44-4FEB-AD89-4E6EB927AFD2}"/>
    <hyperlink ref="M382" r:id="rId2046" display="https://www.cettire.com/collections/gabriela-hearst" xr:uid="{ACF20FC5-D814-42CD-A5AD-1E0091D58534}"/>
    <hyperlink ref="M383" r:id="rId2047" display="https://www.cettire.com/collections/gallery-dept" xr:uid="{6DA70025-EC9B-4FD1-B032-65CC865DE7E5}"/>
    <hyperlink ref="M384" r:id="rId2048" display="https://www.cettire.com/collections/ganni" xr:uid="{83B522B4-3A0C-4875-97DC-926B3613D031}"/>
    <hyperlink ref="M385" r:id="rId2049" display="https://www.cettire.com/collections/garrett-leight" xr:uid="{C19D2DB2-A22A-4365-A11E-7CC39382F6C1}"/>
    <hyperlink ref="M387" r:id="rId2050" display="https://www.cettire.com/collections/gcds" xr:uid="{0451712E-0AA9-453B-A4D3-8F2DA262280A}"/>
    <hyperlink ref="M388" r:id="rId2051" display="https://www.cettire.com/collections/gcds-kids" xr:uid="{1622538D-DBF0-4315-A145-89F6F23B6D09}"/>
    <hyperlink ref="M389" r:id="rId2052" display="https://www.cettire.com/collections/gia-borghini" xr:uid="{0D5A4545-C5FF-40DA-90A5-1E47BA575529}"/>
    <hyperlink ref="M390" r:id="rId2053" display="https://www.cettire.com/collections/giambattista-valli" xr:uid="{8EFC76F7-1CE7-4A67-9297-68DB47CBDD2C}"/>
    <hyperlink ref="M392" r:id="rId2054" display="https://www.cettire.com/collections/giorgio-armani" xr:uid="{CBDD9FE1-9B9F-447A-AD1C-7954CC5A5900}"/>
    <hyperlink ref="M393" r:id="rId2055" display="https://www.cettire.com/collections/givenchy" xr:uid="{667E4885-796E-463F-9332-6185A3FECEDA}"/>
    <hyperlink ref="M394" r:id="rId2056" display="https://www.cettire.com/collections/givenchy-eyewear" xr:uid="{E31AC483-A0A0-4A28-AE4F-6D6D0DF80F8C}"/>
    <hyperlink ref="M395" r:id="rId2057" display="https://www.cettire.com/collections/givenchy-kids" xr:uid="{BB5FA072-C6A7-4D11-BB36-99EF13C7E9E3}"/>
    <hyperlink ref="M396" r:id="rId2058" display="https://www.cettire.com/collections/golden-goose-deluxe-brand" xr:uid="{0054726C-7B53-4041-AC04-4DA27B03B003}"/>
    <hyperlink ref="M397" r:id="rId2059" display="https://www.cettire.com/collections/golden-goose-kids" xr:uid="{982DD42A-073C-4CDE-AE5B-3DD5DE685D89}"/>
    <hyperlink ref="M398" r:id="rId2060" display="https://www.cettire.com/collections/greg-lauren" xr:uid="{D20C742F-D630-4CBC-905A-975C0F019315}"/>
    <hyperlink ref="M399" r:id="rId2061" display="https://www.cettire.com/collections/grevi" xr:uid="{DA435154-FB73-488D-957B-69E55B18B237}"/>
    <hyperlink ref="M400" r:id="rId2062" display="https://www.cettire.com/collections/gucci" xr:uid="{B46987B7-0D6D-4CCD-AFAB-878C12E02A09}"/>
    <hyperlink ref="M401" r:id="rId2063" display="https://www.cettire.com/collections/gucci-eyewear" xr:uid="{7D4D0645-E5BE-4B45-9E1E-2F71145FB553}"/>
    <hyperlink ref="M402" r:id="rId2064" display="https://www.cettire.com/collections/gucci-kids" xr:uid="{4F488ECD-B0BA-44B3-A58F-9F35D24B5285}"/>
    <hyperlink ref="M403" r:id="rId2065" display="https://www.cettire.com/collections/guidi" xr:uid="{BB70121A-EF7E-4D10-9A7D-6116E8D54913}"/>
    <hyperlink ref="M405" r:id="rId2066" display="https://www.cettire.com/collections/haider-ackermann" xr:uid="{6A3EF00F-F258-4EF7-8F89-FE8ABD0F81A6}"/>
    <hyperlink ref="M406" r:id="rId2067" display="https://www.cettire.com/collections/harris-wharf-london" xr:uid="{F55A0670-B05B-4EE9-AB34-E950798F93BA}"/>
    <hyperlink ref="M407" r:id="rId2068" display="https://www.cettire.com/collections/helmut-lang" xr:uid="{353520C7-385C-4194-BB8E-01AE1862BAA8}"/>
    <hyperlink ref="M408" r:id="rId2069" display="https://www.cettire.com/collections/hereu" xr:uid="{177E27FA-8238-4437-BC01-33647D9CE823}"/>
    <hyperlink ref="M409" r:id="rId2070" display="https://www.cettire.com/collections/herno" xr:uid="{99E967FC-FA4B-4C9D-8A4B-70608B00A292}"/>
    <hyperlink ref="M410" r:id="rId2071" display="https://www.cettire.com/collections/herno-kids" xr:uid="{722DDFB4-C106-40F2-BEBD-9ABFA12645F1}"/>
    <hyperlink ref="M411" r:id="rId2072" display="https://www.cettire.com/collections/heron-preston" xr:uid="{F210C001-A6A7-4B1A-8AEC-8482C2AA0A2A}"/>
    <hyperlink ref="M412" r:id="rId2073" display="https://www.cettire.com/collections/herschel-supply-co" xr:uid="{B85AD824-81D3-4E65-AE9F-E6F065CBF739}"/>
    <hyperlink ref="M413" r:id="rId2074" display="https://www.cettire.com/collections/hogan" xr:uid="{20CA2895-0D61-45C2-90A9-40608327C264}"/>
    <hyperlink ref="M414" r:id="rId2075" display="https://www.cettire.com/collections/hogan-kids" xr:uid="{668500DE-3207-449B-BB95-C89A197338A1}"/>
    <hyperlink ref="M415" r:id="rId2076" display="https://www.cettire.com/collections/hogan-rebel" xr:uid="{2C366B24-932E-468D-B547-6EEC60DB334F}"/>
    <hyperlink ref="M416" r:id="rId2077" display="https://www.cettire.com/collections/hoka-one-one" xr:uid="{023F96F1-4B21-408E-B270-CCFD6DF02EAE}"/>
    <hyperlink ref="M417" r:id="rId2078" display="https://www.cettire.com/collections/homme-plisse-issey-miyake" xr:uid="{79EDB1E5-1606-4BA4-8B2C-DA9EE5426927}"/>
    <hyperlink ref="M418" r:id="rId2079" display="https://www.cettire.com/collections/honey-fucking-dijon" xr:uid="{EC3C0714-709A-428D-A3DA-C118A5DE24E1}"/>
    <hyperlink ref="M419" r:id="rId2080" display="https://www.cettire.com/collections/howlin" xr:uid="{C6BB4D52-453E-402B-BF94-726830FF5C65}"/>
    <hyperlink ref="M420" r:id="rId2081" display="https://www.cettire.com/collections/hugo-boss-kids" xr:uid="{8477D657-A002-4AD3-8D56-C948CE5EB8E7}"/>
    <hyperlink ref="M422" r:id="rId2082" display="https://www.cettire.com/collections/ienki-ienki" xr:uid="{E59A63AF-14FF-4114-B1FD-242473E4FF60}"/>
    <hyperlink ref="M423" r:id="rId2083" display="https://www.cettire.com/collections/ih-nom-uh-nit" xr:uid="{5D2CDF95-BE14-49DD-AA3C-67601DC9F2F3}"/>
    <hyperlink ref="M425" r:id="rId2084" display="https://www.cettire.com/collections/il-gufo" xr:uid="{BA85059B-E4B4-4D5B-B091-107CACE52B2D}"/>
    <hyperlink ref="M426" r:id="rId2085" display="https://www.cettire.com/collections/in-the-mood-for-love" xr:uid="{F4AB976A-7BE6-4833-8DCE-7F878AFF7C2C}"/>
    <hyperlink ref="M427" r:id="rId2086" display="https://www.cettire.com/collections/incotex" xr:uid="{781FAC3F-F16B-454C-BDE7-97609ED2E0F4}"/>
    <hyperlink ref="M428" r:id="rId2087" display="https://www.cettire.com/collections/isabel-marant" xr:uid="{E74514EC-14C2-4B52-9B67-5EEDB8538998}"/>
    <hyperlink ref="M429" r:id="rId2088" display="https://www.cettire.com/collections/isabel-marant-etoile" xr:uid="{34261998-788B-491F-ACC6-75D4B589BB95}"/>
    <hyperlink ref="M430" r:id="rId2089" display="https://www.cettire.com/collections/isaia" xr:uid="{F9207110-6866-4CDA-AA03-3FDCB3CC25F3}"/>
    <hyperlink ref="M431" r:id="rId2090" display="https://www.cettire.com/collections/issey-miyake" xr:uid="{9729B25A-9C64-4A51-99D6-8BC77D49EAAD}"/>
    <hyperlink ref="M432" r:id="rId2091" display="https://www.cettire.com/collections/issey-miyake-men" xr:uid="{C3B50C49-1522-40EA-ADF9-BBCAE8A3FFAE}"/>
    <hyperlink ref="M434" r:id="rId2092" display="https://www.cettire.com/collections/j-brand" xr:uid="{DAE411E1-E15E-4497-9249-F2C8881DBC26}"/>
    <hyperlink ref="M435" r:id="rId2093" display="https://www.cettire.com/collections/jacquemus" xr:uid="{78226C55-1816-4F84-A7FD-895A8EBE94C9}"/>
    <hyperlink ref="M436" r:id="rId2094" display="https://www.cettire.com/collections/jacques-marie-mage" xr:uid="{B40DFBD9-1C90-4A78-B0E4-BB0E53929959}"/>
    <hyperlink ref="M437" r:id="rId2095" display="https://www.cettire.com/collections/jejia" xr:uid="{DC649F30-C288-4BD4-B163-CB6F9531FEE1}"/>
    <hyperlink ref="M438" r:id="rId2096" display="https://www.cettire.com/collections/jessie-western" xr:uid="{C09CFB7B-1175-4C38-81A2-1DD8EA758E16}"/>
    <hyperlink ref="M439" r:id="rId2097" display="https://www.cettire.com/collections/jil-sander" xr:uid="{12D2ABFE-7A84-4646-A647-447AF81D857D}"/>
    <hyperlink ref="M440" r:id="rId2098" display="https://www.cettire.com/collections/jimmy-choo" xr:uid="{24E4A697-4F35-487C-BF19-FCBE9DE3BFE2}"/>
    <hyperlink ref="M441" r:id="rId2099" display="https://www.cettire.com/collections/jimmy-choo-eyewear" xr:uid="{5AEF9161-126E-49DB-9B8F-6AE41E15F1C3}"/>
    <hyperlink ref="M442" r:id="rId2100" display="https://www.cettire.com/collections/john-elliott" xr:uid="{6F3AD8B0-2D62-4BF2-99B5-47A22A9BBD6B}"/>
    <hyperlink ref="M443" r:id="rId2101" display="https://www.cettire.com/collections/john-lobb" xr:uid="{238D0071-8034-49A1-A21E-4E5282D1D7E6}"/>
    <hyperlink ref="M444" r:id="rId2102" display="https://www.cettire.com/collections/john-smedley" xr:uid="{77D443EE-6469-407B-B5BE-C387A51CCA65}"/>
    <hyperlink ref="M445" r:id="rId2103" display="https://www.cettire.com/collections/junya-watanabe" xr:uid="{085EF253-C720-4A16-81C6-AFF04CB230F1}"/>
    <hyperlink ref="M446" r:id="rId2104" display="https://www.cettire.com/collections/junya-watanabe-comme-des-garcons" xr:uid="{FD63FCB9-A9FE-4419-859A-C7175F19A1B4}"/>
    <hyperlink ref="M447" r:id="rId2105" display="https://www.cettire.com/collections/junya-watanabe-man" xr:uid="{E42D825E-FCF0-459D-84A6-59F25F279D33}"/>
    <hyperlink ref="M448" r:id="rId2106" display="https://www.cettire.com/collections/just-don" xr:uid="{8A2B483E-26D1-4B99-AF15-404396A3DB4A}"/>
    <hyperlink ref="M449" r:id="rId2107" display="https://www.cettire.com/collections/juun-j" xr:uid="{6F4EB307-BAFA-447B-8D4C-BD442826B8EC}"/>
    <hyperlink ref="M450" r:id="rId2108" display="https://www.cettire.com/collections/jw-anderson" xr:uid="{899BA521-CB10-4E90-9F6D-8995BBB1A732}"/>
    <hyperlink ref="M453" r:id="rId2109" display="https://www.cettire.com/collections/kappa" xr:uid="{CB190560-144F-4CEC-B74C-D6ED642A8276}"/>
    <hyperlink ref="M454" r:id="rId2110" display="https://www.cettire.com/collections/kappa-kontroll" xr:uid="{B76BD3CB-12D1-4E7A-AA18-75FFB30B3F85}"/>
    <hyperlink ref="M455" r:id="rId2111" display="https://www.cettire.com/collections/kara" xr:uid="{EEBDB8EB-7179-44BF-945E-31912EBEFC8D}"/>
    <hyperlink ref="M456" r:id="rId2112" display="https://www.cettire.com/collections/karl-lagerfeld" xr:uid="{A772B53D-3A9B-4706-9E24-5743FC1BE201}"/>
    <hyperlink ref="M457" r:id="rId2113" display="https://www.cettire.com/collections/karl-lagerfeld-kids" xr:uid="{C47B14E6-6B69-4C0F-95C2-9452E1414F70}"/>
    <hyperlink ref="M458" r:id="rId2114" display="https://www.cettire.com/collections/kenzo" xr:uid="{D042CBB9-8A32-4188-8E65-E0BEB4AB2935}"/>
    <hyperlink ref="M459" r:id="rId2115" display="https://www.cettire.com/collections/kenzo-kids" xr:uid="{E48FC978-EC3D-4681-83A6-77E577A9290D}"/>
    <hyperlink ref="M460" r:id="rId2116" display="https://www.cettire.com/collections/khaite" xr:uid="{6A1FD35B-EC76-4440-B335-1E2CE2678DF6}"/>
    <hyperlink ref="M461" r:id="rId2117" display="https://www.cettire.com/collections/khrisjoy" xr:uid="{96F4F9BD-5389-4BB8-8241-996D192E1DB1}"/>
    <hyperlink ref="M462" r:id="rId2118" display="https://www.cettire.com/collections/khrisjoy-kids" xr:uid="{4997A874-F4CE-41B4-8F1B-2D7E070E4AFE}"/>
    <hyperlink ref="M463" r:id="rId2119" display="https://www.cettire.com/collections/kuboraum" xr:uid="{42F3E994-DA25-4883-8C67-C655C83E52A1}"/>
    <hyperlink ref="M464" r:id="rId2120" display="https://www.cettire.com/collections/kwaidan-editions" xr:uid="{D8EC43E6-BCEF-4C44-BE86-28264A6BE3CF}"/>
    <hyperlink ref="M466" r:id="rId2121" display="https://www.cettire.com/collections/lautre-chose" xr:uid="{B1B84C79-6BD7-49AF-BF1A-6A2FD0C7C31E}"/>
    <hyperlink ref="M469" r:id="rId2122" display="https://www.cettire.com/collections/la-stupenderia" xr:uid="{B9B7EF0D-71DD-43EA-856B-7FB2ECF1957F}"/>
    <hyperlink ref="M471" r:id="rId2123" display="https://www.cettire.com/collections/laneus" xr:uid="{57F0FD97-625B-401B-A3D5-13D894AB41D9}"/>
    <hyperlink ref="M472" r:id="rId2124" display="https://www.cettire.com/collections/lanvin" xr:uid="{94567211-7418-4624-9921-3EF9D47F51E1}"/>
    <hyperlink ref="M473" r:id="rId2125" display="https://www.cettire.com/collections/lanvin-enfant" xr:uid="{95C524CA-5B40-452E-9E9F-A21E24BD75F4}"/>
    <hyperlink ref="M474" r:id="rId2126" display="https://www.cettire.com/collections/lauren-ralph-lauren" xr:uid="{B0DF2ABD-818A-4466-9FD8-82033E398703}"/>
    <hyperlink ref="M475" r:id="rId2127" display="https://www.cettire.com/collections/le beb%C3%A9 enfant" xr:uid="{FB1C1D93-F1D2-4F77-A28F-F4AF34CCE3DB}"/>
    <hyperlink ref="M476" r:id="rId2128" display="https://www.cettire.com/collections/le-kasha" xr:uid="{4B6EFA0E-3D7B-4020-AFF5-585B61620421}"/>
    <hyperlink ref="M477" r:id="rId2129" display="https://www.cettire.com/collections/lemaire" xr:uid="{9A443E17-545F-4F86-A43F-F46F4FFC9BED}"/>
    <hyperlink ref="M478" r:id="rId2130" display="https://www.cettire.com/collections/lesca" xr:uid="{44490A0A-B507-4F32-9670-D040F0B87142}"/>
    <hyperlink ref="M479" r:id="rId2131" display="https://www.cettire.com/collections/levis" xr:uid="{FF8878EF-28B1-4814-AA79-746B7F65B918}"/>
    <hyperlink ref="M480" r:id="rId2132" display="https://www.cettire.com/collections/li-ning" xr:uid="{FB33E32E-F48C-4670-963F-6BD63EA847F3}"/>
    <hyperlink ref="M481" r:id="rId2133" display="https://www.cettire.com/collections/linda-farrow" xr:uid="{D76188A0-ED6B-4E64-A64C-DD7DF19A58E0}"/>
    <hyperlink ref="M482" r:id="rId2134" display="https://www.cettire.com/collections/lisa-marie-fernandez" xr:uid="{FBCC236B-D78F-4638-B13F-0C7D4BE2B69F}"/>
    <hyperlink ref="M483" r:id="rId2135" display="https://www.cettire.com/collections/liu-jo" xr:uid="{04F81CE5-AEEF-4E0E-82D8-73235038FBFA}"/>
    <hyperlink ref="M484" r:id="rId2136" display="https://www.cettire.com/collections/loewe" xr:uid="{C557ED59-4936-45F8-8752-51BDAFDE9562}"/>
    <hyperlink ref="M485" r:id="rId2137" display="https://www.cettire.com/collections/longchamp" xr:uid="{C15BF828-58FE-4D74-A40B-6FC6F6D9E549}"/>
    <hyperlink ref="M486" r:id="rId2138" display="https://www.cettire.com/collections/loro-piana" xr:uid="{BBCB0E16-DD5B-43F8-9427-B661E7DAEA2D}"/>
    <hyperlink ref="M487" r:id="rId2139" display="https://www.cettire.com/collections/loulou-studio" xr:uid="{FF4C52A2-1F7A-4F15-BDC7-5C98B710448C}"/>
    <hyperlink ref="M488" r:id="rId2140" display="https://www.cettire.com/collections/love-moschino" xr:uid="{83944CF9-EE18-4D0E-B267-FE567AE6C81D}"/>
    <hyperlink ref="M489" r:id="rId2141" display="https://www.cettire.com/collections/low-classic" xr:uid="{6E0060AA-096E-45A9-AF42-003FD5CD9DB5}"/>
    <hyperlink ref="M491" r:id="rId2142" display="https://www.cettire.com/collections/m-missoni" xr:uid="{40648FE6-FC59-4848-A66E-3BFE20D51624}"/>
    <hyperlink ref="M492" r:id="rId2143" display="https://www.cettire.com/collections/mackintosh" xr:uid="{1C1ADA74-CFC0-4F45-9D4E-8ABF679E271B}"/>
    <hyperlink ref="M493" r:id="rId2144" display="https://www.cettire.com/collections/magda-butrym" xr:uid="{9C7E257B-2087-4208-80DA-558B90D329A2}"/>
    <hyperlink ref="M494" r:id="rId2145" display="https://www.cettire.com/collections/maisie-wilen" xr:uid="{B122F25D-0DCF-46A9-AC5F-999A014F5C21}"/>
    <hyperlink ref="M495" r:id="rId2146" display="https://www.cettire.com/collections/maison-kitsune" xr:uid="{EB8E8D2F-C359-44D7-924A-149AF951E872}"/>
    <hyperlink ref="M496" r:id="rId2147" display="https://www.cettire.com/collections/maison-margiela" xr:uid="{AE1580C6-2591-4159-8E35-A5CC62A42302}"/>
    <hyperlink ref="M497" r:id="rId2148" display="https://www.cettire.com/collections/maison-michel" xr:uid="{1E3B1969-29E7-4DDB-9D10-BBA23201FD31}"/>
    <hyperlink ref="M499" r:id="rId2149" display="https://www.cettire.com/collections/malone-souliers" xr:uid="{08F06414-6C5C-4A12-949C-422C7E105AC5}"/>
    <hyperlink ref="M500" r:id="rId2150" display="https://www.cettire.com/collections/manebi" xr:uid="{3495CA70-561A-4720-8A9C-7907CE2EB018}"/>
    <hyperlink ref="M501" r:id="rId2151" display="https://www.cettire.com/collections/manokhi" xr:uid="{819CF988-71C1-445B-8993-E7B6C549E541}"/>
    <hyperlink ref="M502" r:id="rId2152" display="https://www.cettire.com/collections/manolo-blahnik" xr:uid="{6798848A-5F32-4DF6-8ECA-C029260ACFEC}"/>
    <hyperlink ref="M503" r:id="rId2153" display="https://www.cettire.com/collections/mansur-gavriel" xr:uid="{F87E1FE1-A6EC-429C-A3FB-179FA0F1BE3D}"/>
    <hyperlink ref="M504" r:id="rId2154" display="https://www.cettire.com/collections/manu-atelier" xr:uid="{045719D7-1B7B-4959-843B-FC0A04D45E75}"/>
    <hyperlink ref="M505" r:id="rId2155" display="https://www.cettire.com/collections/marc-jacobs" xr:uid="{12082333-4EDB-4C16-B479-738804F01857}"/>
    <hyperlink ref="M506" r:id="rId2156" display="https://www.cettire.com/collections/marc-jacobs-eyewear" xr:uid="{B3C383D8-D556-471F-89DD-A9B1EC6F13E7}"/>
    <hyperlink ref="M507" r:id="rId2157" display="https://www.cettire.com/collections/marcelo-burlon-county-of-milan" xr:uid="{D24927D6-9F26-466A-BE35-019AD6A00940}"/>
    <hyperlink ref="M508" r:id="rId2158" display="https://www.cettire.com/collections/marcelo-burlon-county-of-milan-kids" xr:uid="{63ACCC3D-B463-4157-B5F3-EDB03FDC3E84}"/>
    <hyperlink ref="M510" r:id="rId2159" display="https://www.cettire.com/collections/marine-serre" xr:uid="{1E619CBD-E7CE-4464-8DFB-BFCDA5CEE040}"/>
    <hyperlink ref="M511" r:id="rId2160" display="https://www.cettire.com/collections/marni" xr:uid="{450B1BDD-2D12-498B-BF7D-8147AE98AABB}"/>
    <hyperlink ref="M512" r:id="rId2161" display="https://www.cettire.com/collections/marni-eyewear" xr:uid="{D553FE9D-ECB6-4627-B66F-19EDD46E43DB}"/>
    <hyperlink ref="M513" r:id="rId2162" display="https://www.cettire.com/collections/marni-kids" xr:uid="{533DAA23-D76D-45C1-A860-ECF17490390C}"/>
    <hyperlink ref="M514" r:id="rId2163" display="https://www.cettire.com/collections/marquesalmeida" xr:uid="{B137F450-573F-49D9-ACCE-56F03A75290B}"/>
    <hyperlink ref="M515" r:id="rId2164" display="https://www.cettire.com/collections/marsell" xr:uid="{228447AC-2475-41F4-8222-D1EE8E8344F5}"/>
    <hyperlink ref="M516" r:id="rId2165" display="https://www.cettire.com/collections/martine-rose" xr:uid="{069AB0A4-EE7C-443B-A2B7-C9BB6FCA7C34}"/>
    <hyperlink ref="M517" r:id="rId2166" display="https://www.cettire.com/collections/mastermind-world" xr:uid="{58BF6D9D-7FDB-4224-A27B-1EB68E95689D}"/>
    <hyperlink ref="M518" r:id="rId2167" display="https://www.cettire.com/collections/materiel" xr:uid="{E98F0FB1-6902-45F9-9F3D-7BCC0721E11E}"/>
    <hyperlink ref="M519" r:id="rId2168" display="https://www.cettire.com/collections/mauna-kea" xr:uid="{2BF5CBF9-159D-4CC2-ADD0-0518B5D9454B}"/>
    <hyperlink ref="M520" r:id="rId2169" display="https://www.cettire.com/collections/maurizio-miri" xr:uid="{200A0AC3-D6B5-4599-BA44-345785635DA6}"/>
    <hyperlink ref="M521" r:id="rId2170" display="https://www.cettire.com/collections/max-mara" xr:uid="{8B9EEE5C-B803-42C1-AB90-4021292E390B}"/>
    <hyperlink ref="M522" r:id="rId2171" display="https://www.cettire.com/collections/max-mara-atelier" xr:uid="{61CE731A-8D44-422C-B222-67242C2647E9}"/>
    <hyperlink ref="M524" r:id="rId2172" display="https://www.cettire.com/collections/max-mara-studio" xr:uid="{1F7C5250-5A71-4067-8396-ADB00D0D2595}"/>
    <hyperlink ref="M525" r:id="rId2173" display="https://www.cettire.com/collections/max-mara-the-cube" xr:uid="{999521D0-4917-4C06-9A12-2858F23858E1}"/>
    <hyperlink ref="M526" r:id="rId2174" display="https://www.cettire.com/collections/mc2-saint-barth" xr:uid="{06FACC30-ACD3-4469-B799-D473C034E30A}"/>
    <hyperlink ref="M527" r:id="rId2175" display="https://www.cettire.com/collections/mc2-saint-barth-kids" xr:uid="{31B3F949-D903-45C4-91F0-2A707B2DF113}"/>
    <hyperlink ref="M528" r:id="rId2176" display="https://www.cettire.com/collections/mcm" xr:uid="{65F935A0-9B3E-46D1-A48D-7755604F4115}"/>
    <hyperlink ref="M529" r:id="rId2177" display="https://www.cettire.com/collections/mcq-alexander-mcqueen" xr:uid="{FAE81841-A105-4474-8624-63CDED82F441}"/>
    <hyperlink ref="M530" r:id="rId2178" display="https://www.cettire.com/collections/michael-kors" xr:uid="{F3B08C04-6EF5-48D0-9064-55A6E3B08D91}"/>
    <hyperlink ref="M531" r:id="rId2179" display="https://www.cettire.com/collections/michael-kors-collection" xr:uid="{D678BD3B-5509-4346-9C06-688B9233828E}"/>
    <hyperlink ref="M532" r:id="rId2180" display="https://www.cettire.com/collections/michael-michael-kors" xr:uid="{B008CF3B-3041-4D3A-9DB1-BBA87BE9437D}"/>
    <hyperlink ref="M533" r:id="rId2181" display="https://www.cettire.com/collections/midnight-00" xr:uid="{AFB8B05A-EB27-4ADF-90DF-438F9C6D8CDE}"/>
    <hyperlink ref="M534" r:id="rId2182" display="https://www.cettire.com/collections/mini-rodini" xr:uid="{0B98B623-1537-42D0-9557-E3D74BE24B70}"/>
    <hyperlink ref="M535" r:id="rId2183" display="https://www.cettire.com/collections/misbhv" xr:uid="{E8586BCC-60E2-41A0-B8D5-5748AB1C54CC}"/>
    <hyperlink ref="M536" r:id="rId2184" display="https://www.cettire.com/collections/missoni" xr:uid="{60CEACB9-6184-42E8-B629-ADB3750D63B3}"/>
    <hyperlink ref="M538" r:id="rId2185" display="https://www.cettire.com/collections/missoni-mare" xr:uid="{0D426179-8A62-4B04-9212-0D81231FB4F1}"/>
    <hyperlink ref="M539" r:id="rId2186" display="https://www.cettire.com/collections/miu-miu" xr:uid="{FFE1473D-BFDC-46F8-9806-7DD6C1BE47C8}"/>
    <hyperlink ref="M540" r:id="rId2187" display="https://www.cettire.com/collections/miu-miu-eyewear" xr:uid="{BB343D1E-4294-4378-A5F5-1BDEC5110315}"/>
    <hyperlink ref="M541" r:id="rId2188" display="https://www.cettire.com/collections/mjb-marc-jacques-burton" xr:uid="{AA14E2FF-E7D3-4DB3-BCC3-44B07625FA06}"/>
    <hyperlink ref="M542" r:id="rId2189" display="https://www.cettire.com/collections/mm6-maison-margiela" xr:uid="{95CDF996-6269-49BD-9F5B-12CF8ACF4D39}"/>
    <hyperlink ref="M543" r:id="rId2190" display="https://www.cettire.com/collections/mm6-maison-margiela-kids" xr:uid="{34E0E1AC-6BEC-4607-B13F-5CA6EA0840DC}"/>
    <hyperlink ref="M544" r:id="rId2191" display="https://www.cettire.com/collections/molo" xr:uid="{4C131881-E44E-4CEA-85CD-EC57A124BAC4}"/>
    <hyperlink ref="M545" r:id="rId2192" display="https://www.cettire.com/collections/moncler" xr:uid="{F983D630-2AD8-45F7-A5C6-DCA8DB8D3C3B}"/>
    <hyperlink ref="M546" r:id="rId2193" display="https://www.cettire.com/collections/moncler-rick-owens" xr:uid="{2B296945-F9E4-4ACA-A76A-BC717870611D}"/>
    <hyperlink ref="M547" r:id="rId2194" display="https://www.cettire.com/collections/moncler-enfant" xr:uid="{4582F3CA-2FF8-432F-A3BC-33D5DDD585C3}"/>
    <hyperlink ref="M548" r:id="rId2195" display="https://www.cettire.com/collections/moncler-eyewear" xr:uid="{9D0F7094-D8CF-4A3D-BC7F-294D99A3AAA3}"/>
    <hyperlink ref="M549" r:id="rId2196" display="https://www.cettire.com/collections/moncler-gamme-rouge" xr:uid="{C5CC87CB-D42D-43B8-BA0E-B1F50EB15FE4}"/>
    <hyperlink ref="M550" r:id="rId2197" display="https://www.cettire.com/collections/moncler-genius" xr:uid="{BADD1069-D566-408A-8B44-30CD9C98B17D}"/>
    <hyperlink ref="M551" r:id="rId2198" display="https://www.cettire.com/collections/moncler-grenoble" xr:uid="{A6A46737-BD85-4E10-B3AA-64C3CD24C451}"/>
    <hyperlink ref="M552" r:id="rId2199" display="https://www.cettire.com/collections/monnalisa" xr:uid="{7BC07310-BFA3-41E3-A8A4-A641999EA9FF}"/>
    <hyperlink ref="M553" r:id="rId2200" display="https://www.cettire.com/collections/montblanc" xr:uid="{B33173BF-8081-4864-B643-D3120BE70647}"/>
    <hyperlink ref="M554" r:id="rId2201" display="https://www.cettire.com/collections/moose-knuckles" xr:uid="{B69F42DF-AF5B-4D8E-8E1A-D606CA953051}"/>
    <hyperlink ref="M555" r:id="rId2202" display="https://www.cettire.com/collections/moschino" xr:uid="{DDE42356-42CB-49BA-83AA-C4D9E00059C1}"/>
    <hyperlink ref="M556" r:id="rId2203" display="https://www.cettire.com/collections/moschino-eyewear" xr:uid="{72317D6B-4ABE-424A-9A3A-F6DCFE73BE28}"/>
    <hyperlink ref="M557" r:id="rId2204" display="https://www.cettire.com/collections/moschino-kids" xr:uid="{00437059-3D64-449B-B2EC-1014C60AE32C}"/>
    <hyperlink ref="M559" r:id="rId2205" display="https://www.cettire.com/collections/mother" xr:uid="{FEF3F902-2E86-4B43-A482-E6817B7077A3}"/>
    <hyperlink ref="M560" r:id="rId2206" display="https://www.cettire.com/collections/mou-kids" xr:uid="{8185ECBB-8C82-4E6D-95CE-84D735C9BA8A}"/>
    <hyperlink ref="M561" r:id="rId2207" display="https://www.cettire.com/collections/msgm" xr:uid="{0D8426A7-F08B-484F-9D40-7935732D517E}"/>
    <hyperlink ref="M562" r:id="rId2208" display="https://www.cettire.com/collections/msgm-kids" xr:uid="{3CF6F5CA-8425-4D69-8DA2-A5514F03457E}"/>
    <hyperlink ref="M563" r:id="rId2209" display="https://www.cettire.com/collections/mulberry" xr:uid="{2FC74D32-EA37-4844-B5C0-126EA5182CFC}"/>
    <hyperlink ref="M564" r:id="rId2210" display="https://www.cettire.com/collections/mykita" xr:uid="{6AC198E6-665F-4AA5-902E-49E0621FCA78}"/>
    <hyperlink ref="M566" r:id="rId2211" display="https://www.cettire.com/collections/n-21" xr:uid="{DB878477-ED12-419E-80B3-65BDA1B5C0F0}"/>
    <hyperlink ref="M567" r:id="rId2212" display="https://www.cettire.com/collections/n-21-kids" xr:uid="{087F138C-87CA-438C-A99D-FA376EAA1AF5}"/>
    <hyperlink ref="M568" r:id="rId2213" display="https://www.cettire.com/collections/nana-nana" xr:uid="{7FA04C65-C2DD-4E4E-A7D7-5F6725E23E38}"/>
    <hyperlink ref="M569" r:id="rId2214" display="https://www.cettire.com/collections/nanushka" xr:uid="{050D4F3D-38B1-45A5-BA02-1B0EB0823089}"/>
    <hyperlink ref="M570" r:id="rId2215" display="https://www.cettire.com/collections/napa-by-martine-rose" xr:uid="{8FC7E32F-55E9-40B8-B5BB-8AD948A454EE}"/>
    <hyperlink ref="M571" r:id="rId2216" display="https://www.cettire.com/collections/natasha-zinko" xr:uid="{A8F645DE-A6A3-4250-ACA3-BAFAED83A8C1}"/>
    <hyperlink ref="M572" r:id="rId2217" display="https://www.cettire.com/collections/needles" xr:uid="{20A9DEAC-470C-44AA-8C46-78DEECC3432D}"/>
    <hyperlink ref="M573" r:id="rId2218" display="https://www.cettire.com/collections/neil-barrett" xr:uid="{2292F8A0-C24E-4D08-9B70-97BC2A68C3A4}"/>
    <hyperlink ref="M574" r:id="rId2219" display="https://www.cettire.com/collections/neil-barrett-kids" xr:uid="{3AE4FF1F-07A6-43FD-8DB9-A8D941A00541}"/>
    <hyperlink ref="M575" r:id="rId2220" display="https://www.cettire.com/collections/neous" xr:uid="{E6CDBBD2-F3DB-43CE-AF14-3DD6ED9CFB05}"/>
    <hyperlink ref="M577" r:id="rId2221" display="https://www.cettire.com/collections/new-york-industrie" xr:uid="{00C7D27B-F5EE-4EC6-9157-F66543F0DC05}"/>
    <hyperlink ref="M578" r:id="rId2222" display="https://www.cettire.com/collections/nicholas-kirkwood" xr:uid="{057E5642-E88D-4A24-A353-D878EB77E1D6}"/>
    <hyperlink ref="M579" r:id="rId2223" display="https://www.cettire.com/collections/nicomede" xr:uid="{B2C8FD05-04E4-4216-8045-812E93D7A739}"/>
    <hyperlink ref="M580" r:id="rId2224" display="https://www.cettire.com/collections/nike" xr:uid="{DC091275-CC6F-418F-9BEE-4E03301A4219}"/>
    <hyperlink ref="M581" r:id="rId2225" display="https://www.cettire.com/collections/nodaleto" xr:uid="{D5DB6CC1-9535-4B42-925E-56FBDF2CCC2C}"/>
    <hyperlink ref="M582" r:id="rId2226" display="https://www.cettire.com/collections/noir-kei-ninomiya" xr:uid="{02F614CE-89F9-4969-877C-3FB6D5B07BCE}"/>
    <hyperlink ref="M583" r:id="rId2227" display="https://www.cettire.com/collections/noon-goons" xr:uid="{D5481AB0-3741-4229-870A-01831BB72D9D}"/>
    <hyperlink ref="M584" r:id="rId2228" display="https://www.cettire.com/collections/norse-projects" xr:uid="{82E6A7CF-507B-424A-8AED-60DB2CEF4A33}"/>
    <hyperlink ref="M585" r:id="rId2229" display="https://www.cettire.com/collections/north-sails-x-prada-cup" xr:uid="{B8D3DDF9-ADF4-4F3B-B31A-DA5107F09381}"/>
    <hyperlink ref="M586" r:id="rId2230" display="https://www.cettire.com/collections/nudie-jeans" xr:uid="{84D7493F-0957-4EA2-9986-BE480FE481C1}"/>
    <hyperlink ref="M588" r:id="rId2231" display="https://www.cettire.com/collections/oakley" xr:uid="{39E64A67-2DC1-4BA4-A381-114C4BA3B352}"/>
    <hyperlink ref="M589" r:id="rId2232" display="https://www.cettire.com/collections/oamc" xr:uid="{5E519EDA-A0F8-4EF4-9975-9046E7E335C8}"/>
    <hyperlink ref="M590" r:id="rId2233" display="https://www.cettire.com/collections/off-white" xr:uid="{90B166A9-F788-45C5-9E81-0CE6366ACEBE}"/>
    <hyperlink ref="M591" r:id="rId2234" display="https://www.cettire.com/collections/off-white-kids" xr:uid="{A6B35F33-1FC4-402E-84F2-EFD697C597EF}"/>
    <hyperlink ref="M592" r:id="rId2235" display="https://www.cettire.com/collections/officine-creative" xr:uid="{EA90DB24-6C8F-4617-B655-F304FEE485C9}"/>
    <hyperlink ref="M593" r:id="rId2236" display="https://www.cettire.com/collections/oliver-peoples" xr:uid="{F009AB32-070E-4457-B340-957DEA297096}"/>
    <hyperlink ref="M594" r:id="rId2237" display="https://www.cettire.com/collections/opening-ceremony" xr:uid="{A0070F43-B6D9-46C8-9223-DA5FB1102D05}"/>
    <hyperlink ref="M595" r:id="rId2238" display="https://www.cettire.com/collections/oseree" xr:uid="{27EA4921-1728-4AEB-B750-7428CC63411D}"/>
    <hyperlink ref="M596" r:id="rId2239" display="https://www.cettire.com/collections/osoi" xr:uid="{BAFD2BFC-E38D-47EA-8D98-BC9C142639C1}"/>
    <hyperlink ref="M597" r:id="rId2240" display="https://www.cettire.com/collections/our-legacy" xr:uid="{0F9A4B7F-9515-4513-8BA6-7B16BCA30393}"/>
    <hyperlink ref="M599" r:id="rId2241" display="https://www.cettire.com/collections/p-a-r-o-s-h" xr:uid="{5F5F0669-5A4A-48D2-A98D-C30BBD8B5557}"/>
    <hyperlink ref="M600" r:id="rId2242" display="https://www.cettire.com/collections/paccbet" xr:uid="{2A3974FC-DFA2-4370-9F4F-8E3F1AAFEF99}"/>
    <hyperlink ref="M601" r:id="rId2243" display="https://www.cettire.com/collections/paco-rabanne" xr:uid="{4293BC8D-7903-49AB-BFA0-BA0AFAA0EE81}"/>
    <hyperlink ref="M602" r:id="rId2244" display="https://www.cettire.com/collections/palm-angels" xr:uid="{95F88EF3-1DAD-4D14-969D-DFF09D9373BD}"/>
    <hyperlink ref="M603" r:id="rId2245" display="https://www.cettire.com/collections/palm-angels-kids" xr:uid="{FE8B3255-71AF-4D6F-AE7A-00F476B893C6}"/>
    <hyperlink ref="M604" r:id="rId2246" display="https://www.cettire.com/collections/paraboot" xr:uid="{4290788E-3173-488E-BB0A-CBE661BB169B}"/>
    <hyperlink ref="M605" r:id="rId2247" display="https://www.cettire.com/collections/parajumpers" xr:uid="{85096ACE-FA70-495A-98EA-6ADEEDA215B1}"/>
    <hyperlink ref="M606" r:id="rId2248" display="https://www.cettire.com/collections/paris-texas" xr:uid="{AB7603AE-35D5-45EA-98B1-2FB1F353998D}"/>
    <hyperlink ref="M607" r:id="rId2249" display="https://www.cettire.com/collections/paul-smith" xr:uid="{36583FAF-3C11-4063-82B0-CCE78978146C}"/>
    <hyperlink ref="M608" r:id="rId2250" display="https://www.cettire.com/collections/paura-x-kappa" xr:uid="{5A1FB165-E694-43C6-8EA0-207B199980A1}"/>
    <hyperlink ref="M609" r:id="rId2251" display="https://www.cettire.com/collections/persol" xr:uid="{F475A8CA-CC21-4518-83D8-EC39F963EB93}"/>
    <hyperlink ref="M610" r:id="rId2252" display="https://www.cettire.com/collections/philipp-plein" xr:uid="{03474643-1B11-471F-AA36-41CE54590F86}"/>
    <hyperlink ref="M611" r:id="rId2253" display="https://www.cettire.com/collections/philipp-plein-junior" xr:uid="{ABC7066E-B6D2-4F23-81EB-1037BDCD69D1}"/>
    <hyperlink ref="M612" r:id="rId2254" display="https://www.cettire.com/collections/philippe-model" xr:uid="{07FED0C4-DEA5-40D9-8FD7-F3C20BDCAD86}"/>
    <hyperlink ref="M613" r:id="rId2255" display="https://www.cettire.com/collections/philippe-model-paris" xr:uid="{A8F6DE70-FB67-47D9-AC60-64852664E765}"/>
    <hyperlink ref="M614" r:id="rId2256" display="https://www.cettire.com/collections/philosophy-di-lorenzo-serafini" xr:uid="{35A31A82-8C20-4570-A114-D9D5DB6008C4}"/>
    <hyperlink ref="M615" r:id="rId2257" display="https://www.cettire.com/collections/philosophy-di-lorenzo-serafini-kids" xr:uid="{25E4C2BB-2F0A-422F-8833-63D2D71FB618}"/>
    <hyperlink ref="M616" r:id="rId2258" display="https://www.cettire.com/collections/pierre-hardy" xr:uid="{2858AA30-9C16-405B-991C-30213D23A5C8}"/>
    <hyperlink ref="M617" r:id="rId2259" display="https://www.cettire.com/collections/pierre-louis-mascia" xr:uid="{845617D3-0237-4716-AC2C-83B85B48B48D}"/>
    <hyperlink ref="M618" r:id="rId2260" display="https://www.cettire.com/collections/pinko" xr:uid="{6F3AF515-AC6E-4FAB-88DD-E88655C92C97}"/>
    <hyperlink ref="M619" r:id="rId2261" display="https://www.cettire.com/collections/plan-c" xr:uid="{BAAB7B9E-38E8-4A00-B561-0CB553C14CEE}"/>
    <hyperlink ref="M620" r:id="rId2262" display="https://www.cettire.com/collections/pleats-please-by-issey-miyake" xr:uid="{82BCE6DF-2522-484E-92B9-DAB2900BB74F}"/>
    <hyperlink ref="M621" r:id="rId2263" display="https://www.cettire.com/collections/polo-ralph-lauren" xr:uid="{1F948122-D8AB-4647-B713-C2A8933E24B0}"/>
    <hyperlink ref="M622" r:id="rId2264" display="https://www.cettire.com/collections/polo-ralph-lauren-kids" xr:uid="{879D7B1B-5499-49FB-9216-08435B50DCEB}"/>
    <hyperlink ref="M623" r:id="rId2265" display="https://www.cettire.com/collections/porter-yoshida-co" xr:uid="{A524ADFA-320D-4A1B-B648-DAB6DED1428F}"/>
    <hyperlink ref="M624" r:id="rId2266" display="https://www.cettire.com/collections/ports-1961" xr:uid="{088D1735-945E-46F7-A88A-CFF5036350DD}"/>
    <hyperlink ref="M625" r:id="rId2267" display="https://www.cettire.com/collections/prada" xr:uid="{DB47FD3F-3704-4DB0-9C77-2BC14CB1B9A4}"/>
    <hyperlink ref="M626" r:id="rId2268" display="https://www.cettire.com/collections/prada-eyewear" xr:uid="{FC799DE7-C836-4A9E-8294-F9857220BCC5}"/>
    <hyperlink ref="M627" r:id="rId2269" display="https://www.cettire.com/collections/premiata" xr:uid="{DE654C61-462E-4C08-BCD8-33BC932CD03E}"/>
    <hyperlink ref="M628" r:id="rId2270" display="https://www.cettire.com/collections/pressure" xr:uid="{D519562B-CD3B-4A9C-9D09-383422F4E556}"/>
    <hyperlink ref="M629" r:id="rId2271" display="https://www.cettire.com/collections/proenza-schouler" xr:uid="{F8688DB8-E8D3-4893-85F8-1AC6976F9C57}"/>
    <hyperlink ref="M630" r:id="rId2272" display="https://www.cettire.com/collections/proenza-schouler-white-label" xr:uid="{5F6EB5A2-2087-46CB-B62F-10F21B822062}"/>
    <hyperlink ref="M631" r:id="rId2273" display="https://www.cettire.com/collections/pt-torino" xr:uid="{29A1C5B7-0E25-4B18-A13C-C3F70760C553}"/>
    <hyperlink ref="M632" r:id="rId2274" display="https://www.cettire.com/collections/pt01" xr:uid="{FD57F60E-1E0F-43F3-B545-2CAB7C5A5D0C}"/>
    <hyperlink ref="M633" r:id="rId2275" display="https://www.cettire.com/collections/pt05" xr:uid="{40879E88-17B3-4926-BA22-FFD7F6B46B40}"/>
    <hyperlink ref="M634" r:id="rId2276" display="https://www.cettire.com/collections/puma" xr:uid="{8E1D3FC7-8746-4E23-BD96-2C05AED39756}"/>
    <hyperlink ref="M636" r:id="rId2277" display="https://www.cettire.com/collections/r-m-williams" xr:uid="{015FB044-5C3C-4756-BE53-A9D13F6531A5}"/>
    <hyperlink ref="M637" r:id="rId2278" display="https://www.cettire.com/collections/r13" xr:uid="{610F474D-0E80-4D05-B5B0-F4714834F354}"/>
    <hyperlink ref="M638" r:id="rId2279" display="https://www.cettire.com/collections/raf-simons" xr:uid="{9BB15B63-10EE-44EA-AE32-46A1B192AF9A}"/>
    <hyperlink ref="M639" r:id="rId2280" display="https://www.cettire.com/collections/rag-bone" xr:uid="{1A4A7C08-6165-416A-B982-4CA20169A35B}"/>
    <hyperlink ref="M640" r:id="rId2281" display="https://www.cettire.com/collections/ralph-lauren" xr:uid="{E58E47EC-9F76-4337-9D56-DC9EB3FAEAC2}"/>
    <hyperlink ref="M641" r:id="rId2282" display="https://www.cettire.com/collections/ralph-lauren-kids" xr:uid="{443F35D4-F1EC-4E1D-8998-E6E8201F2C28}"/>
    <hyperlink ref="M642" r:id="rId2283" display="https://www.cettire.com/collections/rave-review" xr:uid="{4FE8E531-8166-44FD-89D5-FFFE8C3F8B3D}"/>
    <hyperlink ref="M643" r:id="rId2284" display="https://www.cettire.com/collections/ray-ban" xr:uid="{6F71E789-97BA-47BF-9D0D-56B48AD61B95}"/>
    <hyperlink ref="M644" r:id="rId2285" display="https://www.cettire.com/collections/re-done" xr:uid="{3FDDF3BA-9F52-479F-A9D9-7D59046A63AB}"/>
    <hyperlink ref="M645" r:id="rId2286" display="https://www.cettire.com/collections/readymade" xr:uid="{AFA71BF1-6633-4093-96AD-53199E039944}"/>
    <hyperlink ref="M646" r:id="rId2287" display="https://www.cettire.com/collections/rebecca-minkoff" xr:uid="{11ADFD32-23B4-4C90-A0EB-BC353B0D49AB}"/>
    <hyperlink ref="M647" r:id="rId2288" display="https://www.cettire.com/collections/red-valentino" xr:uid="{6C37F21D-8F93-4CBC-BE7C-8AD9ED5603E0}"/>
    <hyperlink ref="M648" r:id="rId2289" display="https://www.cettire.com/collections/red-wing-shoes" xr:uid="{001E39D8-CC0F-40F2-9EBE-DFF86071DD06}"/>
    <hyperlink ref="M649" r:id="rId2290" display="https://www.cettire.com/collections/reebok" xr:uid="{4BA33CDA-2069-4DAD-B075-BCB39C7C308D}"/>
    <hyperlink ref="M650" r:id="rId2291" display="https://www.cettire.com/collections/reebok-x-victoria-beckham" xr:uid="{9E23F6D9-B5FB-40CA-A8BD-6A075787908A}"/>
    <hyperlink ref="M651" r:id="rId2292" display="https://www.cettire.com/collections/reike-nen" xr:uid="{69416B92-AF05-42F1-98E5-E6CA3D1D2031}"/>
    <hyperlink ref="M652" r:id="rId2293" display="https://www.cettire.com/collections/rejina-pyo" xr:uid="{F8328DEA-1724-4485-85FC-9C54FCB6B6E9}"/>
    <hyperlink ref="M653" r:id="rId2294" display="https://www.cettire.com/collections/rene-caovilla" xr:uid="{00E89157-402F-4EC3-8CBA-CE971FD799C0}"/>
    <hyperlink ref="M654" r:id="rId2295" display="https://www.cettire.com/collections/represent" xr:uid="{03D4DF6E-E607-453F-B5C1-FDFCFD3BE415}"/>
    <hyperlink ref="M655" r:id="rId2296" display="https://www.cettire.com/collections/retrosuperfuture" xr:uid="{32A2142E-E874-4D6A-9E04-D81C54EF7055}"/>
    <hyperlink ref="M656" r:id="rId2297" display="https://www.cettire.com/collections/rhude" xr:uid="{6946AF8B-F970-4473-A43E-8BA401C95124}"/>
    <hyperlink ref="M657" r:id="rId2298" display="https://www.cettire.com/collections/rick-owens" xr:uid="{0ED06CF1-F0C8-410E-98E8-652E4344D3CD}"/>
    <hyperlink ref="M658" r:id="rId2299" display="https://www.cettire.com/collections/rick-owens-drkshdw" xr:uid="{9F4879AB-4BCB-4948-BD22-421533A424EA}"/>
    <hyperlink ref="M659" r:id="rId2300" display="https://www.cettire.com/collections/rick-owens-lilies" xr:uid="{045F4E44-EE1E-4BA1-85BA-CAAA0939B386}"/>
    <hyperlink ref="M660" r:id="rId2301" display="https://www.cettire.com/collections/rick-owens-x-birkenstock" xr:uid="{105A0B8D-1758-4353-BEF1-E81DC1B72258}"/>
    <hyperlink ref="M661" r:id="rId2302" display="https://www.cettire.com/collections/rick-owens-x-veja" xr:uid="{E1D8094A-9690-4E75-A8C6-BADE3F403924}"/>
    <hyperlink ref="M662" r:id="rId2303" display="https://www.cettire.com/collections/rixo" xr:uid="{6ACEE59B-C845-4E20-A9B3-DB55EA71BB16}"/>
    <hyperlink ref="M663" r:id="rId2304" display="https://www.cettire.com/collections/robert-clergerie" xr:uid="{9204679D-35C5-4E36-B8E0-5F0B2784C37D}"/>
    <hyperlink ref="M665" r:id="rId2305" display="https://www.cettire.com/collections/rochas" xr:uid="{560CCD14-8E8B-45DD-8574-14359A48A660}"/>
    <hyperlink ref="M666" r:id="rId2306" display="https://www.cettire.com/collections/rodebjer" xr:uid="{4D9B6609-D3C0-41E2-8E59-620529206358}"/>
    <hyperlink ref="M667" r:id="rId2307" display="https://www.cettire.com/collections/roger-vivier" xr:uid="{3B6EC992-6E3F-4BB6-8DB7-60E1CFCD3BD8}"/>
    <hyperlink ref="M668" r:id="rId2308" display="https://www.cettire.com/collections/rombaut" xr:uid="{B523A81E-FA16-404B-A543-A456811B88A3}"/>
    <hyperlink ref="M669" r:id="rId2309" display="https://www.cettire.com/collections/rosantica" xr:uid="{0A10E13C-BBD1-4F19-860F-25B24663991D}"/>
    <hyperlink ref="M670" r:id="rId2310" display="https://www.cettire.com/collections/rotate" xr:uid="{ABBD41A2-94CB-47A2-BA12-44415BED4A80}"/>
    <hyperlink ref="M671" r:id="rId2311" display="https://www.cettire.com/collections/ruslan-baginskiy" xr:uid="{A39F9334-212D-44D5-8CEC-17126DB330FF}"/>
    <hyperlink ref="M673" r:id="rId2312" display="https://www.cettire.com/collections/sacai" xr:uid="{3A7B9DBB-B31B-4B3A-A214-119D3D918C4E}"/>
    <hyperlink ref="M674" r:id="rId2313" display="https://www.cettire.com/collections/saint-laurent" xr:uid="{B9809B6F-827D-4A31-9198-165C20BB9A31}"/>
    <hyperlink ref="M675" r:id="rId2314" display="https://www.cettire.com/collections/saint-laurent-eyewear" xr:uid="{B4A0A9F6-771D-4276-BAA5-07957BD82453}"/>
    <hyperlink ref="M676" r:id="rId2315" display="https://www.cettire.com/collections/saks-potts" xr:uid="{BD43DA8A-F401-4BEE-8811-67FFD74EF95F}"/>
    <hyperlink ref="M677" r:id="rId2316" display="https://www.cettire.com/collections/salomon-s-lab" xr:uid="{D600CDDD-285B-41B7-A359-B2F185D5FFE5}"/>
    <hyperlink ref="M678" r:id="rId2317" display="https://www.cettire.com/collections/saloni" xr:uid="{7C3B42C8-A3A0-40FA-AFDE-5B0CFEF4BBEB}"/>
    <hyperlink ref="M679" r:id="rId2318" display="https://www.cettire.com/collections/salvatore-ferragamo" xr:uid="{0559D788-9506-43D7-889C-6FE7ED11560E}"/>
    <hyperlink ref="M680" r:id="rId2319" display="https://www.cettire.com/collections/salvatore-ferragamo-eyewear" xr:uid="{EC7F7995-B50E-406E-826D-BEBFFE019CA0}"/>
    <hyperlink ref="M681" r:id="rId2320" display="https://www.cettire.com/collections/salvatore-santoro" xr:uid="{3509A7B2-9BF7-4EE3-B54C-F8BA93A4DF24}"/>
    <hyperlink ref="M682" r:id="rId2321" display="https://www.cettire.com/collections/santoni" xr:uid="{3DBCE117-8220-4F67-9F14-4228B804D226}"/>
    <hyperlink ref="M683" r:id="rId2322" display="https://www.cettire.com/collections/sara-battaglia" xr:uid="{D20ADFAE-D0BC-4FB6-9875-B0D4F3618022}"/>
    <hyperlink ref="M684" r:id="rId2323" display="https://www.cettire.com/collections/save-the-duck" xr:uid="{74DC238E-7A6A-4A40-B9BC-DF7ABE940A72}"/>
    <hyperlink ref="M685" r:id="rId2324" display="https://www.cettire.com/collections/save-the-duck-kids" xr:uid="{86077087-40A6-4840-A9D9-AB54D4CE4AE5}"/>
    <hyperlink ref="M686" r:id="rId2325" display="https://www.cettire.com/collections/see-by-chloe" xr:uid="{B8D37AB6-9F89-463B-AC24-E6BD15D8405A}"/>
    <hyperlink ref="M687" r:id="rId2326" display="https://www.cettire.com/collections/self-portrait" xr:uid="{F4B34A19-5959-43C9-94D2-0A6317987F77}"/>
    <hyperlink ref="M688" r:id="rId2327" display="https://www.cettire.com/collections/sergio-rossi" xr:uid="{FA7C00B0-D057-4878-81CD-89CD27BAF38B}"/>
    <hyperlink ref="M689" r:id="rId2328" display="https://www.cettire.com/collections/si-rossi" xr:uid="{732501A7-50B6-4952-B1DF-62553A7A786F}"/>
    <hyperlink ref="M690" r:id="rId2329" display="https://www.cettire.com/collections/sies-marjan" xr:uid="{2B292264-EC5F-41D1-8C0A-553B077C7354}"/>
    <hyperlink ref="M691" r:id="rId2330" display="https://www.cettire.com/collections/simon-miller" xr:uid="{A2DB3232-523A-4075-876C-6FDFADBAF54F}"/>
    <hyperlink ref="M692" r:id="rId2331" display="https://www.cettire.com/collections/simone-rocha" xr:uid="{FAF52A94-B4C8-468C-A6E4-EFECE26C159F}"/>
    <hyperlink ref="M693" r:id="rId2332" display="https://www.cettire.com/collections/simonetta" xr:uid="{7768EC62-6063-4FA8-9C78-C637FEA71EDD}"/>
    <hyperlink ref="M694" r:id="rId2333" display="https://www.cettire.com/collections/sofie-dhoore" xr:uid="{F89C988A-FCA8-4D50-A66B-ABEE56D4D71E}"/>
    <hyperlink ref="M695" r:id="rId2334" display="https://www.cettire.com/collections/sonia-rykiel" xr:uid="{89358BFC-2A52-42E0-9835-8CD90AC36DEC}"/>
    <hyperlink ref="M696" r:id="rId2335" display="https://www.cettire.com/collections/spalwart" xr:uid="{8CB2FAE5-F32C-4607-A7C5-83D1FA206369}"/>
    <hyperlink ref="M697" r:id="rId2336" display="https://www.cettire.com/collections/sportmax" xr:uid="{0F18CE9E-C3A2-4DD2-80AA-7893F8AC0DD8}"/>
    <hyperlink ref="M698" r:id="rId2337" display="https://www.cettire.com/collections/sporty-rich" xr:uid="{5C5DF50C-C6D3-4B36-AE7A-7492C70E3C08}"/>
    <hyperlink ref="M699" r:id="rId2338" display="https://www.cettire.com/collections/stand-studio" xr:uid="{AD42DA05-80C8-497D-BC5D-0A0E077FDE42}"/>
    <hyperlink ref="M700" r:id="rId2339" display="https://www.cettire.com/collections/staud" xr:uid="{F60D3992-6249-451B-9F0F-B8C39A245EB1}"/>
    <hyperlink ref="M701" r:id="rId2340" display="https://www.cettire.com/collections/stella-mccartney" xr:uid="{F2F8A49C-E211-4C2B-AA6C-CF7CC941DAAD}"/>
    <hyperlink ref="M702" r:id="rId2341" display="https://www.cettire.com/collections/stella-mccartney-eyewear" xr:uid="{0513374F-500D-4B18-B597-0C9ADC80B311}"/>
    <hyperlink ref="M703" r:id="rId2342" display="https://www.cettire.com/collections/stella-mccartney-kids" xr:uid="{41ACA075-BBD3-45C8-8AEE-7B6A1C977E7D}"/>
    <hyperlink ref="M704" r:id="rId2343" display="https://www.cettire.com/collections/stone-island" xr:uid="{3421DC1F-E4E8-4815-AD14-4CD11F5D625A}"/>
    <hyperlink ref="M705" r:id="rId2344" display="https://www.cettire.com/collections/stone-island-junior" xr:uid="{6F4D2BF9-A6CA-4ADA-BB3C-2290ABDD9668}"/>
    <hyperlink ref="M706" r:id="rId2345" display="https://www.cettire.com/collections/stone-island-shadow-project" xr:uid="{8B76C9C0-0788-4FBF-BF36-9A84EE0425C4}"/>
    <hyperlink ref="M707" r:id="rId2346" display="https://www.cettire.com/collections/stuart-weitzman" xr:uid="{A3E0B048-7E26-4492-AECC-8FB8B90FF254}"/>
    <hyperlink ref="M708" r:id="rId2347" display="https://www.cettire.com/collections/studio-amelia" xr:uid="{4F4188A7-D826-48A8-BBF4-1E5C4C1D750A}"/>
    <hyperlink ref="M709" r:id="rId2348" display="https://www.cettire.com/collections/stussy" xr:uid="{D8C6198F-43C6-456C-80D0-F6FF86310FE3}"/>
    <hyperlink ref="M710" r:id="rId2349" display="https://www.cettire.com/collections/suicoke" xr:uid="{7EF771FD-80D1-4CB9-A139-582ABEEDED0A}"/>
    <hyperlink ref="M711" r:id="rId2350" display="https://www.cettire.com/collections/sunflower" xr:uid="{35E2AE74-06DE-4FF4-A7DA-A3F81CB8CB2A}"/>
    <hyperlink ref="M712" r:id="rId2351" display="https://www.cettire.com/collections/sunnei" xr:uid="{9BE0C1E9-FAB1-404E-84C3-DABE8DE37F01}"/>
    <hyperlink ref="M713" r:id="rId2352" display="https://www.cettire.com/collections/swarovski" xr:uid="{D1AF24A0-21F8-4001-9528-81E291C9BFFD}"/>
    <hyperlink ref="M715" r:id="rId2353" display="https://www.cettire.com/collections/t-by-alexander-wang" xr:uid="{F0D25236-1534-4BE1-9C1B-49FD2C4FAD7C}"/>
    <hyperlink ref="M716" r:id="rId2354" display="https://www.cettire.com/collections/tagliatore" xr:uid="{B54A4485-1838-4E63-A4C3-3FA5E6645CD2}"/>
    <hyperlink ref="M718" r:id="rId2355" display="https://www.cettire.com/collections/telfar" xr:uid="{F46EB701-D745-408C-8CFD-04E441A4ACBC}"/>
    <hyperlink ref="M719" r:id="rId2356" display="https://www.cettire.com/collections/ten-c" xr:uid="{D847096D-587C-4EDE-9C42-6A5523906374}"/>
    <hyperlink ref="M720" r:id="rId2357" display="https://www.cettire.com/collections/the-attico" xr:uid="{440152F7-ADF2-4F0B-9561-C66318A6CAD5}"/>
    <hyperlink ref="M721" r:id="rId2358" display="https://www.cettire.com/collections/the-gigi" xr:uid="{5E38ED94-964E-47D3-B198-16852B1C9DC2}"/>
    <hyperlink ref="M722" r:id="rId2359" display="https://www.cettire.com/collections/the-marc-jacobs-kids" xr:uid="{934B858A-1B39-4459-B18A-5DA181001874}"/>
    <hyperlink ref="M723" r:id="rId2360" display="https://www.cettire.com/collections/the-north-face" xr:uid="{A294319A-C566-4DC1-B98D-ABFB222552F3}"/>
    <hyperlink ref="M724" r:id="rId2361" display="https://www.cettire.com/collections/the-north-face-black-series" xr:uid="{FC94D59F-5E82-4DD3-ACF7-48E787380287}"/>
    <hyperlink ref="M725" r:id="rId2362" display="https://www.cettire.com/collections/the-north-face-kids" xr:uid="{83EA4847-A234-4B87-A485-B82B167BF11A}"/>
    <hyperlink ref="M726" r:id="rId2363" display="https://www.cettire.com/collections/the-row" xr:uid="{C5B73968-83EC-4712-B982-166083049CAF}"/>
    <hyperlink ref="M727" r:id="rId2364" display="https://www.cettire.com/collections/themoire" xr:uid="{E1381F19-F335-49FE-ACE1-56242C6C3E93}"/>
    <hyperlink ref="M728" r:id="rId2365" display="https://www.cettire.com/collections/theory" xr:uid="{CCD266D2-AF52-4680-96DD-4F92590A8BA8}"/>
    <hyperlink ref="M729" r:id="rId2366" display="https://www.cettire.com/collections/thom-browne" xr:uid="{F84B9179-674F-4717-A858-F639B80F5208}"/>
    <hyperlink ref="M730" r:id="rId2367" display="https://www.cettire.com/collections/thom-browne-eyewear" xr:uid="{28FF9C06-4E67-43C8-BDCA-7685866CFA6C}"/>
    <hyperlink ref="M732" r:id="rId2368" display="https://www.cettire.com/collections/tods" xr:uid="{1631E352-A344-4E8F-A1DD-E3AB1C9E3583}"/>
    <hyperlink ref="M733" r:id="rId2369" display="https://www.cettire.com/collections/tom-ford" xr:uid="{8D42429B-F7A8-4185-9B85-E85B7EC707AC}"/>
    <hyperlink ref="M734" r:id="rId2370" display="https://www.cettire.com/collections/tom-ford-eyewear" xr:uid="{DDE64184-14F9-43FF-840F-BDC240A753C3}"/>
    <hyperlink ref="M735" r:id="rId2371" display="https://www.cettire.com/collections/tommy-hilfiger" xr:uid="{63C3479B-B6FE-478A-9AD3-6A8F3A775ACC}"/>
    <hyperlink ref="M736" r:id="rId2372" display="https://www.cettire.com/collections/tory-burch" xr:uid="{D5AEDCC0-B203-4773-84E2-B7730AF65E77}"/>
    <hyperlink ref="M737" r:id="rId2373" display="https://www.cettire.com/collections/toteme" xr:uid="{788A0E7C-57A3-4797-BD3F-70D66B72D473}"/>
    <hyperlink ref="M738" r:id="rId2374" display="https://www.cettire.com/collections/trickers" xr:uid="{B9ABD4BC-7562-45CA-832C-2E7EAD674B00}"/>
    <hyperlink ref="M739" r:id="rId2375" display="https://www.cettire.com/collections/trippen" xr:uid="{F3B7CCDE-89CE-4B27-9B00-1588B83AFC77}"/>
    <hyperlink ref="M740" r:id="rId2376" display="https://www.cettire.com/collections/twinset" xr:uid="{52F91785-0EB8-4CB4-BA58-E01A904B73AF}"/>
    <hyperlink ref="M741" r:id="rId2377" display="https://www.cettire.com/collections/twinset-kids" xr:uid="{C25B5D0D-C601-434E-82F5-4610BDD2DE7B}"/>
    <hyperlink ref="M743" r:id="rId2378" display="https://www.cettire.com/collections/ugg" xr:uid="{7A7B19AC-AE90-4CA3-A8CF-1036E16032F6}"/>
    <hyperlink ref="M744" r:id="rId2379" display="https://www.cettire.com/collections/ugg-kids" xr:uid="{AAE1991F-3E9E-4109-AF44-BA3ADF4B2D16}"/>
    <hyperlink ref="M745" r:id="rId2380" display="https://www.cettire.com/collections/uh-nom-uh-nit" xr:uid="{099FE91B-5C0E-4EC0-A2C8-3FE09476FF2A}"/>
    <hyperlink ref="M746" r:id="rId2381" display="https://www.cettire.com/collections/ulla-johnson" xr:uid="{F26C135E-E30B-40FF-9562-062F121DB006}"/>
    <hyperlink ref="M747" r:id="rId2382" display="https://www.cettire.com/collections/ultrachic" xr:uid="{F6E5C48B-26D0-4717-ACF7-A1F638A5AF87}"/>
    <hyperlink ref="M748" r:id="rId2383" display="https://www.cettire.com/collections/uma-wang" xr:uid="{3BF29411-9620-45F5-B4B6-819B10597D3D}"/>
    <hyperlink ref="M749" r:id="rId2384" display="https://www.cettire.com/collections/undercover" xr:uid="{F17D4901-4DE8-48FF-945B-6DE9C3706C9D}"/>
    <hyperlink ref="M750" r:id="rId2385" display="https://www.cettire.com/collections/unravel-project" xr:uid="{CF638F13-2268-4960-B8B0-778B4EE45478}"/>
    <hyperlink ref="M752" r:id="rId2386" display="https://www.cettire.com/collections/valentino" xr:uid="{4F5A1757-51DB-4766-AA9D-605F48919B42}"/>
    <hyperlink ref="M753" r:id="rId2387" display="https://www.cettire.com/collections/valentino-eyewear" xr:uid="{7429803B-DB1E-427E-856D-4291C381FCE9}"/>
    <hyperlink ref="M754" r:id="rId2388" display="https://www.cettire.com/collections/valextra" xr:uid="{04C2F324-5C2D-467D-85F3-3F8C649C2CC7}"/>
    <hyperlink ref="M755" r:id="rId2389" display="https://www.cettire.com/collections/vans" xr:uid="{C89C61FF-6B65-4EBE-9E06-780C70A38CA5}"/>
    <hyperlink ref="M756" r:id="rId2390" display="https://www.cettire.com/collections/vans-vault" xr:uid="{161F3D19-4B80-4228-98A2-C4F8C6233FD6}"/>
    <hyperlink ref="M757" r:id="rId2391" display="https://www.cettire.com/collections/veja" xr:uid="{C9334A98-F347-4F90-931E-04CA1BEEA74F}"/>
    <hyperlink ref="M758" r:id="rId2392" display="https://www.cettire.com/collections/veja-kids" xr:uid="{F4D92085-36B2-4512-B58B-EDD82E44FF7C}"/>
    <hyperlink ref="M759" r:id="rId2393" display="https://www.cettire.com/collections/versace" xr:uid="{1F458615-DCE9-476B-B181-B8CA3D0EA44B}"/>
    <hyperlink ref="M760" r:id="rId2394" display="https://www.cettire.com/collections/versace-collection" xr:uid="{E759D2C8-76CA-4168-8BC5-32539FAA044E}"/>
    <hyperlink ref="M761" r:id="rId2395" display="https://www.cettire.com/collections/versace-eyewear" xr:uid="{8D659972-6931-4F24-A69F-8A3996E97D11}"/>
    <hyperlink ref="M762" r:id="rId2396" display="https://www.cettire.com/collections/versace-jeans-couture" xr:uid="{30E9A742-FF33-4F2F-BABB-791DF1ACD7B8}"/>
    <hyperlink ref="M763" r:id="rId2397" display="https://www.cettire.com/collections/versace-kids" xr:uid="{097D450E-B195-4FC1-A5B1-2462D5707F02}"/>
    <hyperlink ref="M764" r:id="rId2398" display="https://www.cettire.com/collections/vince" xr:uid="{2ACCC0D0-EC56-45C5-9541-E90EE3B84FC0}"/>
    <hyperlink ref="M765" r:id="rId2399" display="https://www.cettire.com/collections/vision-of-super" xr:uid="{1E3065E2-D873-49D9-8587-A8A4E3B61913}"/>
    <hyperlink ref="M766" r:id="rId2400" display="https://www.cettire.com/collections/vision-of-super-kids" xr:uid="{631769CA-3275-453C-A286-5EA9D3A7B4BD}"/>
    <hyperlink ref="M767" r:id="rId2401" display="https://www.cettire.com/collections/visvim" xr:uid="{63A788A6-9AA6-4680-B208-DA2086C3F962}"/>
    <hyperlink ref="M768" r:id="rId2402" display="https://www.cettire.com/collections/vivienne-westwood" xr:uid="{DE7022C2-3E3B-4665-B9C7-C582C1BF46A5}"/>
    <hyperlink ref="M770" r:id="rId2403" display="https://www.cettire.com/collections/wales-bonner" xr:uid="{7DF6012F-C810-4A66-A139-F382FF497395}"/>
    <hyperlink ref="M771" r:id="rId2404" display="https://www.cettire.com/collections/wandler" xr:uid="{E8FAE749-AEF4-499F-ADAA-0C9EC68F0CF2}"/>
    <hyperlink ref="M772" r:id="rId2405" display="https://www.cettire.com/collections/we11done" xr:uid="{335F320A-4ABD-4256-AB0C-B57E40513FF0}"/>
    <hyperlink ref="M773" r:id="rId2406" display="https://www.cettire.com/collections/weekend-max-mara" xr:uid="{EB29FC2B-B74B-4E7C-972E-548B434947FB}"/>
    <hyperlink ref="M774" r:id="rId2407" display="https://www.cettire.com/collections/white-mountaineering" xr:uid="{4031B9CB-CDC1-42F3-AEFD-7B303AF0E1C2}"/>
    <hyperlink ref="M775" r:id="rId2408" display="https://www.cettire.com/collections/woolrich" xr:uid="{46659DF2-1035-4414-B246-BF83DFCEE526}"/>
    <hyperlink ref="M776" r:id="rId2409" display="https://www.cettire.com/collections/woolrich-kids" xr:uid="{8B481695-3D38-4841-9BFF-F30855AD9487}"/>
    <hyperlink ref="M777" r:id="rId2410" display="https://www.cettire.com/collections/woolrich-x-griffin" xr:uid="{3C3FB520-A5A8-43DB-BAC3-9CA149850CD6}"/>
    <hyperlink ref="M779" r:id="rId2411" display="https://www.cettire.com/collections/y-3" xr:uid="{B58CDC92-7F9D-4629-82F8-675183351884}"/>
    <hyperlink ref="M780" r:id="rId2412" display="https://www.cettire.com/collections/ys" xr:uid="{5295F136-2DB7-443A-A4FF-91D12D4767E0}"/>
    <hyperlink ref="M781" r:id="rId2413" display="https://www.cettire.com/collections/y-project" xr:uid="{0009616B-4D78-480B-8B48-6E6FBFCBE50E}"/>
    <hyperlink ref="M782" r:id="rId2414" display="https://www.cettire.com/collections/ymc" xr:uid="{F6B60026-ABD7-440B-96A8-BFEF1C487241}"/>
    <hyperlink ref="M783" r:id="rId2415" display="https://www.cettire.com/collections/yohji-yamamoto" xr:uid="{A50A548C-B4BE-4A65-A8A7-9665FA690529}"/>
    <hyperlink ref="M784" r:id="rId2416" display="https://www.cettire.com/collections/yuzefi" xr:uid="{E368751D-DD60-478A-92D1-44C299C3BC16}"/>
    <hyperlink ref="M785" r:id="rId2417" display="https://www.cettire.com/collections/yves-salomon" xr:uid="{A8327A25-60B8-4404-B786-69360B00B3F1}"/>
    <hyperlink ref="M787" r:id="rId2418" display="https://www.cettire.com/collections/z-zegna" xr:uid="{A37F3957-5863-4799-8934-3FEA7BB6D93E}"/>
    <hyperlink ref="M788" r:id="rId2419" display="https://www.cettire.com/collections/zadig-voltaire" xr:uid="{E44D0E3F-F7E5-4D23-B2C6-85CBB991CC45}"/>
    <hyperlink ref="M789" r:id="rId2420" display="https://www.cettire.com/collections/zadig-voltaire-kids" xr:uid="{1E6E6468-B529-4F01-8AC8-E772E572D2E5}"/>
    <hyperlink ref="M790" r:id="rId2421" display="https://www.cettire.com/collections/zimmermann" xr:uid="{4A0FEF0E-5BD0-4200-BD74-50897BAEDD5F}"/>
    <hyperlink ref="N135" r:id="rId2422" display="https://www.cettire.com/collections/s-max-mara" xr:uid="{9F141F5E-9FC2-49C1-8153-9BD8063B19DA}"/>
    <hyperlink ref="N136" r:id="rId2423" display="https://www.cettire.com/collections/09-profumi" xr:uid="{FA0FE540-EC23-4F62-B780-8BA84F0363D0}"/>
    <hyperlink ref="N137" r:id="rId2424" display="https://www.cettire.com/collections/1017-alyx-9sm" xr:uid="{DD4C6446-FE86-4FC7-B166-03A1E9DAE6FA}"/>
    <hyperlink ref="N138" r:id="rId2425" display="https://www.cettire.com/collections/3-1-phillip-lim" xr:uid="{821DCF1B-5D2A-43D1-A188-54F91009E75F}"/>
    <hyperlink ref="N139" r:id="rId2426" display="https://www.cettire.com/collections/424" xr:uid="{05C146CB-0A03-4FF1-B9E0-F862D4C3D3D8}"/>
    <hyperlink ref="N140" r:id="rId2427" display="https://www.cettire.com/collections/7-for-all-mankind" xr:uid="{9EAAC6F7-66FB-4311-8C85-1499403134EF}"/>
    <hyperlink ref="N141" r:id="rId2428" display="https://www.cettire.com/collections/ug-ss-kids" xr:uid="{DD6F95F5-7FC3-43B1-B27D-1483293DB8AC}"/>
    <hyperlink ref="N142" r:id="rId2429" display="https://www.cettire.com/collections/lvin-l-in-kids" xr:uid="{884E7888-9DFA-4F76-A23E-8A20FA655E81}"/>
    <hyperlink ref="N143" r:id="rId2430" display="https://www.cettire.com/collections/mm-ilfig-r-kids" xr:uid="{44BCC57A-2CCD-4540-8E7D-C7292C8B0197}"/>
    <hyperlink ref="N145" r:id="rId2431" display="https://www.cettire.com/collections/a-cold-wall" xr:uid="{EEF65643-DC29-4C4D-949A-AB2042FAE013}"/>
    <hyperlink ref="N146" r:id="rId2432" display="https://www.cettire.com/collections/a-p-c" xr:uid="{E11226B3-9066-411F-9F3B-9EF225F2CE0C}"/>
    <hyperlink ref="N147" r:id="rId2433" display="https://www.cettire.com/collections/a-w-a-k-e-mode" xr:uid="{059C3073-CEE7-4094-82C1-AD1780880649}"/>
    <hyperlink ref="N148" r:id="rId2434" display="https://www.cettire.com/collections/abra" xr:uid="{48C90248-1FB9-45FC-BAB2-9EC51681384C}"/>
    <hyperlink ref="N149" r:id="rId2435" display="https://www.cettire.com/collections/ader-error" xr:uid="{E551D774-C852-4BF3-8B08-40E2ABA65B40}"/>
    <hyperlink ref="N150" r:id="rId2436" display="https://www.cettire.com/collections/adidas" xr:uid="{BF3C4C3D-CACE-4795-83AB-89AA1A042B23}"/>
    <hyperlink ref="N151" r:id="rId2437" display="https://www.cettire.com/collections/adidas-by-danielle-cathari" xr:uid="{94A0F06D-4372-401F-A3C7-D7258BCF9B05}"/>
    <hyperlink ref="N152" r:id="rId2438" display="https://www.cettire.com/collections/adidas-by-human-made" xr:uid="{90C9CDE4-6893-4240-9694-7259487EF501}"/>
    <hyperlink ref="N153" r:id="rId2439" display="https://www.cettire.com/collections/adidas-by-pharrell-williams" xr:uid="{7A919F7F-04D9-40EF-AC51-A48237817C55}"/>
    <hyperlink ref="N154" r:id="rId2440" display="https://www.cettire.com/collections/adidas-by-raf-simons" xr:uid="{E58DBF1E-1CC5-45DC-9075-0AEFAE4FC1A1}"/>
    <hyperlink ref="N155" r:id="rId2441" display="https://www.cettire.com/collections/adidas-by-stella-mccartney" xr:uid="{2EFA7F49-4171-4D22-B17F-912D22DBD913}"/>
    <hyperlink ref="N156" r:id="rId2442" display="https://www.cettire.com/collections/adidas-by-wales-bonner" xr:uid="{97CCCA2D-7701-418E-88BB-E6F0F60E65AD}"/>
    <hyperlink ref="N157" r:id="rId2443" display="https://www.cettire.com/collections/adidas-kids" xr:uid="{D6C5E46B-185F-4D5F-965D-6DE5D38A5FA5}"/>
    <hyperlink ref="N158" r:id="rId2444" display="https://www.cettire.com/collections/adidas-originals" xr:uid="{65EA45D8-C70C-439D-A688-226F62F2250C}"/>
    <hyperlink ref="N159" r:id="rId2445" display="https://www.cettire.com/collections/adidas-originals-by-alexander-wang" xr:uid="{6982A1B3-DA1D-4367-A3F8-BA3EB44B78BF}"/>
    <hyperlink ref="N160" r:id="rId2446" display="https://www.cettire.com/collections/adriana-degreas" xr:uid="{6BD6B2EC-B4A9-4B9A-BBA5-92921A1F3DAC}"/>
    <hyperlink ref="N161" r:id="rId2447" display="https://www.cettire.com/collections/aeyd%C4%93" xr:uid="{F1066E47-A678-475B-956D-047EEF87EE36}"/>
    <hyperlink ref="N162" r:id="rId2448" display="https://www.cettire.com/collections/agnona" xr:uid="{A713CE52-D56F-4F84-AEFE-22B166A24399}"/>
    <hyperlink ref="N163" r:id="rId2449" display="https://www.cettire.com/collections/agolde" xr:uid="{C3715D34-B1EA-427C-844F-F038F4E05D88}"/>
    <hyperlink ref="N164" r:id="rId2450" display="https://www.cettire.com/collections/alaia" xr:uid="{8FA2E52A-3DB5-45A6-9AC1-415996CEB918}"/>
    <hyperlink ref="N165" r:id="rId2451" display="https://www.cettire.com/collections/alanui" xr:uid="{46A60542-3DC4-48AD-87DF-AA8B843ADB5F}"/>
    <hyperlink ref="N166" r:id="rId2452" display="https://www.cettire.com/collections/alberta-ferretti" xr:uid="{A8811809-1B9C-4947-B3AC-FE55F4189E9E}"/>
    <hyperlink ref="N167" r:id="rId2453" display="https://www.cettire.com/collections/alberta-ferretti-kids" xr:uid="{495EF272-EAA5-4EA6-A953-75800AB3C1B2}"/>
    <hyperlink ref="N168" r:id="rId2454" display="https://www.cettire.com/collections/alberto-biani" xr:uid="{87DF1403-588D-4F07-ADF3-92A7AEE39FFD}"/>
    <hyperlink ref="N169" r:id="rId2455" display="https://www.cettire.com/collections/alessandra-rich" xr:uid="{41819FD6-D903-45DB-A04E-9652AFCB9597}"/>
    <hyperlink ref="N171" r:id="rId2456" display="https://www.cettire.com/collections/alexander-mcqueen" xr:uid="{DE265680-FBB6-4A0C-9A30-06B25E6CCF7E}"/>
    <hyperlink ref="N172" r:id="rId2457" display="https://www.cettire.com/collections/alexander-mcqueen-eyewear" xr:uid="{7EF7A0C1-5591-4A99-9454-79F96774220E}"/>
    <hyperlink ref="N173" r:id="rId2458" display="https://www.cettire.com/collections/alexander-mcqueen-kids" xr:uid="{06103821-77A5-41AC-8C6A-8D6FB81F225E}"/>
    <hyperlink ref="N174" r:id="rId2459" display="https://www.cettire.com/collections/alexander-wang" xr:uid="{B681D85D-58BD-4DE6-BA2F-71F7B9953192}"/>
    <hyperlink ref="N175" r:id="rId2460" display="https://www.cettire.com/collections/alexandre-vauthier" xr:uid="{1E4990E9-19B5-4FF8-9BA9-38B451BC64C7}"/>
    <hyperlink ref="N176" r:id="rId2461" display="https://www.cettire.com/collections/allude" xr:uid="{FD7ADB5F-3229-4706-963A-C0A434256F9F}"/>
    <hyperlink ref="N177" r:id="rId2462" display="https://www.cettire.com/collections/alpha-industries" xr:uid="{825459E8-C3F4-4D7C-BC3B-276E806DF918}"/>
    <hyperlink ref="N178" r:id="rId2463" display="https://www.cettire.com/collections/ambush" xr:uid="{B2E279BA-E84A-4CAF-B1FC-76C45AB65E93}"/>
    <hyperlink ref="N179" r:id="rId2464" display="https://www.cettire.com/collections/amen" xr:uid="{3B8D534D-AF03-493B-A35C-787986D3EAC0}"/>
    <hyperlink ref="N180" r:id="rId2465" display="https://www.cettire.com/collections/ami" xr:uid="{E8FBB6B3-B63F-481B-A454-847A322ED39E}"/>
    <hyperlink ref="N181" r:id="rId2466" display="https://www.cettire.com/collections/amina-muaddi" xr:uid="{D4557978-0098-434B-883E-233B036153A7}"/>
    <hyperlink ref="N182" r:id="rId2467" display="https://www.cettire.com/collections/amiri" xr:uid="{A6A80771-2989-44F8-BBB9-84A1312F8A0F}"/>
    <hyperlink ref="N183" r:id="rId2468" display="https://www.cettire.com/collections/ancient-greek-sandals" xr:uid="{CD70ED1F-1DDB-4821-80D3-9D9D58335F83}"/>
    <hyperlink ref="N186" r:id="rId2469" display="https://www.cettire.com/collections/anita-bilardi" xr:uid="{5AFE753C-F519-4171-9B7D-400E1D7B69EE}"/>
    <hyperlink ref="N187" r:id="rId2470" display="https://www.cettire.com/collections/aniye-by" xr:uid="{B2FD7F09-BAEC-4288-A1F7-042041A385A8}"/>
    <hyperlink ref="N188" r:id="rId2471" display="https://www.cettire.com/collections/ann-demeulemeester" xr:uid="{669970FB-01AB-4523-9F9A-548664C7A5A3}"/>
    <hyperlink ref="N189" r:id="rId2472" display="https://www.cettire.com/collections/antonino-valenti" xr:uid="{E001E9AB-77FC-4847-B1EF-E22B06B02858}"/>
    <hyperlink ref="N190" r:id="rId2473" display="https://www.cettire.com/collections/anya-hindmarch" xr:uid="{9D0BBB26-7486-4DE2-9AE9-C214CE51B0EC}"/>
    <hyperlink ref="N191" r:id="rId2474" display="https://www.cettire.com/collections/apesi" xr:uid="{A8C765A3-7EE8-4D56-AE48-ECBD3DCF2950}"/>
    <hyperlink ref="N192" r:id="rId2475" display="https://www.cettire.com/collections/aquazzura" xr:uid="{A1283D36-E497-4706-9772-691465A5C635}"/>
    <hyperlink ref="N193" r:id="rId2476" display="https://www.cettire.com/collections/aragona" xr:uid="{875C0CAF-D30A-4634-9FB0-B944C2CDCA59}"/>
    <hyperlink ref="N194" r:id="rId2477" display="https://www.cettire.com/collections/area" xr:uid="{4DDE2ECA-4B29-4A06-8FFD-F01F73E81977}"/>
    <hyperlink ref="N195" r:id="rId2478" display="https://www.cettire.com/collections/aries" xr:uid="{CF1C9917-44E4-4077-B383-C9071F05258F}"/>
    <hyperlink ref="N196" r:id="rId2479" display="https://www.cettire.com/collections/arizona-love" xr:uid="{5BAACB46-BF99-4E47-AD9C-C68D56BAC636}"/>
    <hyperlink ref="N197" r:id="rId2480" display="https://www.cettire.com/collections/arma" xr:uid="{7298DA45-5FF6-4509-9EAE-C2BCD2806702}"/>
    <hyperlink ref="N198" r:id="rId2481" display="https://www.cettire.com/collections/art-dealer" xr:uid="{D12A257B-B120-4785-9477-E1B5C8C525C5}"/>
    <hyperlink ref="N199" r:id="rId2482" display="https://www.cettire.com/collections/ash" xr:uid="{C7AF8AE7-8360-474D-9FA0-C59588281280}"/>
    <hyperlink ref="N200" r:id="rId2483" display="https://www.cettire.com/collections/asics" xr:uid="{F8A1E7A4-780B-440E-8F99-54CCCCA09139}"/>
    <hyperlink ref="N201" r:id="rId2484" display="https://www.cettire.com/collections/aspesi" xr:uid="{1591A328-4AFA-48D3-9EED-671702A2FB66}"/>
    <hyperlink ref="N202" r:id="rId2485" display="https://www.cettire.com/collections/attico" xr:uid="{10C61FD2-B528-4E67-933F-737C56CC2CB6}"/>
    <hyperlink ref="N203" r:id="rId2486" display="https://www.cettire.com/collections/au-depart" xr:uid="{404F4D53-520E-401D-AE97-E77C2EE9F0C8}"/>
    <hyperlink ref="N204" r:id="rId2487" display="https://www.cettire.com/collections/autry" xr:uid="{15ADAA92-B895-4439-9FC7-F97D98D09304}"/>
    <hyperlink ref="N205" r:id="rId2488" display="https://www.cettire.com/collections/axel-arigato" xr:uid="{8D50C900-A805-4189-869C-78C92936BF43}"/>
    <hyperlink ref="N207" r:id="rId2489" display="https://www.cettire.com/collections/balenciaga" xr:uid="{E7FC8C7F-A960-4D46-B21D-0AEAB3E79FEF}"/>
    <hyperlink ref="N208" r:id="rId2490" display="https://www.cettire.com/collections/balenciaga-eyewear" xr:uid="{64BD8153-4B61-4AED-B170-0FF33E5C321B}"/>
    <hyperlink ref="N209" r:id="rId2491" display="https://www.cettire.com/collections/balenciaga-kids" xr:uid="{CC42CE4C-3695-4DF6-8A6F-77D40221CD36}"/>
    <hyperlink ref="N210" r:id="rId2492" display="https://www.cettire.com/collections/ballantyne" xr:uid="{C13169AF-F722-4E35-85C3-B5089A392A9F}"/>
    <hyperlink ref="N212" r:id="rId2493" display="https://www.cettire.com/collections/bally" xr:uid="{9F5CD3EC-CA73-4236-9C13-E088EF17DAB1}"/>
    <hyperlink ref="N213" r:id="rId2494" display="https://www.cettire.com/collections/balmain" xr:uid="{E03F5BD1-5160-4898-9599-97AB71E5CC01}"/>
    <hyperlink ref="N214" r:id="rId2495" display="https://www.cettire.com/collections/balmain-kids" xr:uid="{B46367EA-415A-45CE-ABBB-C0F0F4A760DE}"/>
    <hyperlink ref="N215" r:id="rId2496" display="https://www.cettire.com/collections/bao-bao-issey-miyake" xr:uid="{4301C2EF-2C75-4068-AE6E-41A04142965D}"/>
    <hyperlink ref="N216" r:id="rId2497" display="https://www.cettire.com/collections/barba" xr:uid="{84172412-47D5-46AE-B781-1AC624E23E7B}"/>
    <hyperlink ref="N217" r:id="rId2498" display="https://www.cettire.com/collections/barbour" xr:uid="{8783BDA6-D972-4BC3-A59F-84EAFA5BF319}"/>
    <hyperlink ref="N218" r:id="rId2499" display="https://www.cettire.com/collections/barena" xr:uid="{6CB5720A-2168-4900-9DDD-70BB5FB5C8A2}"/>
    <hyperlink ref="N219" r:id="rId2500" display="https://www.cettire.com/collections/bark-b-rules" xr:uid="{076D0120-F1B2-4CB8-ABC0-56D9949F1989}"/>
    <hyperlink ref="N220" r:id="rId2501" display="https://www.cettire.com/collections/barrow" xr:uid="{50B41B61-CD96-468F-A44A-66C3D37281CD}"/>
    <hyperlink ref="N221" r:id="rId2502" display="https://www.cettire.com/collections/baum-und-pferdgarten" xr:uid="{56502528-7F98-402A-B410-B5FF0F5D4DBA}"/>
    <hyperlink ref="N222" r:id="rId2503" display="https://www.cettire.com/collections/belstaff" xr:uid="{E9929026-C6BD-4642-8619-942B719358E7}"/>
    <hyperlink ref="N223" r:id="rId2504" display="https://www.cettire.com/collections/berluti" xr:uid="{CF602CFC-533E-4FD8-A616-3FC33C9641E4}"/>
    <hyperlink ref="N224" r:id="rId2505" display="https://www.cettire.com/collections/billieblush" xr:uid="{3E789837-8979-44C1-B07B-DA170957C756}"/>
    <hyperlink ref="N225" r:id="rId2506" display="https://www.cettire.com/collections/billionaire" xr:uid="{A5012F9A-2270-4DEC-8CFA-D2E1A1122760}"/>
    <hyperlink ref="N226" r:id="rId2507" display="https://www.cettire.com/collections/billionaire-boys-club" xr:uid="{7F7A81B1-58C4-488A-96A7-82B219F128E0}"/>
    <hyperlink ref="N227" r:id="rId2508" display="https://www.cettire.com/collections/birkenstock" xr:uid="{8908D457-1EE6-4FC2-A8FC-463E2A20C2BF}"/>
    <hyperlink ref="N228" r:id="rId2509" display="https://www.cettire.com/collections/bobo-choses" xr:uid="{B70EADFE-85D4-4177-8F95-813C566143D9}"/>
    <hyperlink ref="N230" r:id="rId2510" display="https://www.cettire.com/collections/bode" xr:uid="{7CCF5F0E-F8AE-4BC2-A6FD-0F9E9E222E98}"/>
    <hyperlink ref="N231" r:id="rId2511" display="https://www.cettire.com/collections/boglioli" xr:uid="{D3AEB2BC-BB03-4E11-9D15-0237D6C0DC4D}"/>
    <hyperlink ref="N232" r:id="rId2512" display="https://www.cettire.com/collections/bonpoint" xr:uid="{392A2740-6171-4623-91C3-5B16C304D4A7}"/>
    <hyperlink ref="N233" r:id="rId2513" display="https://www.cettire.com/collections/bottega-veneta" xr:uid="{7B5658FE-7CC8-4D87-B71B-87BE32D850FD}"/>
    <hyperlink ref="N234" r:id="rId2514" display="https://www.cettire.com/collections/bottega-veneta-eyewear" xr:uid="{C5A7AF68-20D6-4FE2-8EE9-78AD786E1AC2}"/>
    <hyperlink ref="N235" r:id="rId2515" display="https://www.cettire.com/collections/botter" xr:uid="{2A2C80B1-AA03-4523-9704-24C6BAC9F047}"/>
    <hyperlink ref="N236" r:id="rId2516" display="https://www.cettire.com/collections/boutique-moschino" xr:uid="{EEBE64DE-DD84-446C-A897-F925FB55ECC9}"/>
    <hyperlink ref="N237" r:id="rId2517" display="https://www.cettire.com/collections/boyy" xr:uid="{9F779EE0-69B4-4EEC-88C8-720300D653C1}"/>
    <hyperlink ref="N238" r:id="rId2518" display="https://www.cettire.com/collections/brian-dales" xr:uid="{A6C6075A-6475-42CB-A708-473A54F70005}"/>
    <hyperlink ref="N239" r:id="rId2519" display="https://www.cettire.com/collections/brunello-cucinelli" xr:uid="{48805F1D-FD67-4E5A-8107-9EFDA1225D99}"/>
    <hyperlink ref="N240" r:id="rId2520" display="https://www.cettire.com/collections/brunello-cucinelli-kids" xr:uid="{4B67E4DB-68BF-48D5-9B9D-2A0BC48EF6E3}"/>
    <hyperlink ref="N241" r:id="rId2521" display="https://www.cettire.com/collections/building-block" xr:uid="{70145249-3FF4-444E-91CE-16DFD6FA5FEA}"/>
    <hyperlink ref="N242" r:id="rId2522" display="https://www.cettire.com/collections/bulgari" xr:uid="{641FFA93-2C7A-43A8-994E-FF47F31AA798}"/>
    <hyperlink ref="N243" r:id="rId2523" display="https://www.cettire.com/collections/burberry" xr:uid="{2532736C-1DB5-4F75-A769-5CAAFF838CC7}"/>
    <hyperlink ref="N244" r:id="rId2524" display="https://www.cettire.com/collections/burberry-eyewear" xr:uid="{CD596F4D-B0B4-44B1-9546-271F958B278A}"/>
    <hyperlink ref="N245" r:id="rId2525" display="https://www.cettire.com/collections/burberry-kids" xr:uid="{480E3F5F-53DE-40AF-91A8-54A903292C94}"/>
    <hyperlink ref="N246" r:id="rId2526" display="https://www.cettire.com/collections/buscemi" xr:uid="{F8EBDA6F-633B-4003-8C34-7B027B21F714}"/>
    <hyperlink ref="N247" r:id="rId2527" display="https://www.cettire.com/collections/buttero" xr:uid="{B7404A5F-5824-41D8-B434-0CE66157D758}"/>
    <hyperlink ref="N248" r:id="rId2528" display="https://www.cettire.com/collections/by-far" xr:uid="{7541EA22-D399-44DC-AC72-61B73E1467DF}"/>
    <hyperlink ref="N250" r:id="rId2529" display="https://www.cettire.com/collections/c-p-company" xr:uid="{B2126C07-E906-4F49-BFE3-EC4C6710D4DB}"/>
    <hyperlink ref="N251" r:id="rId2530" display="https://www.cettire.com/collections/c-p-company-kids" xr:uid="{8102A620-FD67-4D87-924D-EE3F6589F42E}"/>
    <hyperlink ref="N252" r:id="rId2531" display="https://www.cettire.com/collections/c2h4" xr:uid="{CAB9E35E-E619-4A1D-BCEE-669F786164E5}"/>
    <hyperlink ref="N253" r:id="rId2532" display="https://www.cettire.com/collections/calvin-klein" xr:uid="{5150BC87-6A12-4AD3-8583-4C4B4368B350}"/>
    <hyperlink ref="N254" r:id="rId2533" display="https://www.cettire.com/collections/calvin-klein-jeans-est-1978" xr:uid="{AB31296F-3BF9-4167-A393-8139502A0B90}"/>
    <hyperlink ref="N255" r:id="rId2534" display="https://www.cettire.com/collections/canada-goose" xr:uid="{A0F9BC04-F540-4F41-BBD4-619ADB8454AB}"/>
    <hyperlink ref="N256" r:id="rId2535" display="https://www.cettire.com/collections/canada-goose-kids" xr:uid="{5F4D8D4A-E069-4AC2-A9A4-17F2613CAC36}"/>
    <hyperlink ref="N257" r:id="rId2536" display="https://www.cettire.com/collections/canali" xr:uid="{20E50E4A-A60A-4040-95B6-03CEA2E36B03}"/>
    <hyperlink ref="N258" r:id="rId2537" display="https://www.cettire.com/collections/car-shoe" xr:uid="{EFB4A861-EC87-48EA-8910-877365E9ECC1}"/>
    <hyperlink ref="N259" r:id="rId2538" display="https://www.cettire.com/collections/carhartt" xr:uid="{49164E45-DB84-4ACD-B425-5EBB7B4C338B}"/>
    <hyperlink ref="N260" r:id="rId2539" display="https://www.cettire.com/collections/carhartt-wip" xr:uid="{7C5D4A84-1564-4BFE-ACF1-3372016D05FC}"/>
    <hyperlink ref="N261" r:id="rId2540" display="https://www.cettire.com/collections/carrera" xr:uid="{F769DF72-61FD-41BC-B8AC-81C95786C310}"/>
    <hyperlink ref="N262" r:id="rId2541" display="https://www.cettire.com/collections/cartier" xr:uid="{DA20330C-08E5-4627-81BF-F802B5A84B18}"/>
    <hyperlink ref="N263" r:id="rId2542" display="https://www.cettire.com/collections/carven" xr:uid="{F8DCB6C2-1718-444B-9CE0-2953511727C6}"/>
    <hyperlink ref="N264" r:id="rId2543" display="https://www.cettire.com/collections/casablanca" xr:uid="{FC28F574-248E-4B5E-A1DB-0AF158A43FAB}"/>
    <hyperlink ref="N266" r:id="rId2544" display="https://www.cettire.com/collections/cc-collection-corneliani" xr:uid="{599ECD08-88E3-4E60-BEBB-00E0E8959E39}"/>
    <hyperlink ref="N267" r:id="rId2545" display="https://www.cettire.com/collections/cecilie-bahnsen" xr:uid="{0798E44A-C4AA-434E-8F82-ECE84575F39A}"/>
    <hyperlink ref="N268" r:id="rId2546" display="https://www.cettire.com/collections/champion" xr:uid="{64BCD555-2BA1-4331-94BD-CF8F001565BD}"/>
    <hyperlink ref="N269" r:id="rId2547" display="https://www.cettire.com/collections/chanel" xr:uid="{4A9C56C9-6E72-4990-9E05-126EB188370D}"/>
    <hyperlink ref="N270" r:id="rId2548" display="https://www.cettire.com/collections/chiara-ferragni" xr:uid="{CCEC9A84-66C1-4D30-9E26-9B987BE35E82}"/>
    <hyperlink ref="N271" r:id="rId2549" display="https://www.cettire.com/collections/chiara-ferragni-kids" xr:uid="{434DA502-96CA-4CE6-9CF5-C8634CC34C25}"/>
    <hyperlink ref="N272" r:id="rId2550" display="https://www.cettire.com/collections/chie-mihara" xr:uid="{CA1BFCF4-7AD5-4958-A431-76C166030B5B}"/>
    <hyperlink ref="N274" r:id="rId2551" display="https://www.cettire.com/collections/chloe" xr:uid="{ABFECAC2-5D9D-40F8-9DF3-E45D68033F14}"/>
    <hyperlink ref="N275" r:id="rId2552" display="https://www.cettire.com/collections/chloe-eyewear" xr:uid="{4907A358-E2E2-4ECF-A8F1-BD3905F58701}"/>
    <hyperlink ref="N276" r:id="rId2553" display="https://www.cettire.com/collections/chlo%C3%A9 kids" xr:uid="{5CCC87B8-96BF-439A-B565-22FBBD6CE1C4}"/>
    <hyperlink ref="N277" r:id="rId2554" display="https://www.cettire.com/collections/chopard-eyewear" xr:uid="{6AE1EC96-67F4-4C00-9A9D-6EE29EBE91EB}"/>
    <hyperlink ref="N278" r:id="rId2555" display="https://www.cettire.com/collections/chopova-lowena" xr:uid="{486C3622-999A-41C2-BBB4-5A7AA215EBC6}"/>
    <hyperlink ref="N279" r:id="rId2556" display="https://www.cettire.com/collections/christian-louboutin" xr:uid="{EB301DFC-84A0-4F48-9CF5-AC63C74AA5D0}"/>
    <hyperlink ref="N280" r:id="rId2557" display="https://www.cettire.com/collections/churchs" xr:uid="{4D4EEC44-DE2D-47BD-9FFE-882CDE771FB8}"/>
    <hyperlink ref="N282" r:id="rId2558" display="https://www.cettire.com/collections/citizens-of-humanity" xr:uid="{DE39DB05-59E0-44DC-99EC-3EAF33C03184}"/>
    <hyperlink ref="N283" r:id="rId2559" display="https://www.cettire.com/collections/co" xr:uid="{74CFF5D0-EA91-4421-B007-6CCE181F07F5}"/>
    <hyperlink ref="N284" r:id="rId2560" display="https://www.cettire.com/collections/coach" xr:uid="{BEB40F3F-3662-441F-8ACF-CA44B8BB26CC}"/>
    <hyperlink ref="N285" r:id="rId2561" display="https://www.cettire.com/collections/coliac" xr:uid="{9AFDD805-14F9-4FDD-AF4E-B1B1146620AC}"/>
    <hyperlink ref="N286" r:id="rId2562" display="https://www.cettire.com/collections/collina-strada" xr:uid="{59B99A88-71A0-4EC7-BE95-166AA7DEE210}"/>
    <hyperlink ref="N287" r:id="rId2563" display="https://www.cettire.com/collections/comme-des-garcons" xr:uid="{177A5EC2-0D4D-4FBD-970A-6D8A0EFF50A4}"/>
    <hyperlink ref="N288" r:id="rId2564" display="https://www.cettire.com/collections/comme-des-garcons-comme-des-garcons" xr:uid="{80A83EBB-128E-4D17-B08A-AB7BBD1396A6}"/>
    <hyperlink ref="N289" r:id="rId2565" display="https://www.cettire.com/collections/comme-des-garcons-girl" xr:uid="{3944F90A-C5F1-4D90-9633-701CAF7C8359}"/>
    <hyperlink ref="N290" r:id="rId2566" display="https://www.cettire.com/collections/comme-des-garcons-homme-plus" xr:uid="{BFC6BC08-1959-4D96-BCD9-0AE38922DB5F}"/>
    <hyperlink ref="N291" r:id="rId2567" display="https://www.cettire.com/collections/comme-des-garcons-noir-kei-ninomiya" xr:uid="{36712122-D8B9-4728-98B8-1D2D67BB479A}"/>
    <hyperlink ref="N292" r:id="rId2568" display="https://www.cettire.com/collections/comme-des-garcons-play" xr:uid="{C84415A1-FE67-40EA-A0EC-88D00D55543B}"/>
    <hyperlink ref="N293" r:id="rId2569" display="https://www.cettire.com/collections/comme-des-garcons-play-kids" xr:uid="{4F1DFB46-7609-475E-BFCB-60437DC11D8B}"/>
    <hyperlink ref="N294" r:id="rId2570" display="https://www.cettire.com/collections/comme-des-garcons-shirt" xr:uid="{F0E5C39D-5A35-4AE2-8D3C-F0FCEE25A62D}"/>
    <hyperlink ref="N295" r:id="rId2571" display="https://www.cettire.com/collections/comme-des-garcons-shirt-boys" xr:uid="{5BB6596F-91F7-4B5E-8134-576B320171EC}"/>
    <hyperlink ref="N296" r:id="rId2572" display="https://www.cettire.com/collections/comme-des-garcons-wallet" xr:uid="{82624FD7-44A4-46E7-8996-A4856F18D03F}"/>
    <hyperlink ref="N297" r:id="rId2573" display="https://www.cettire.com/collections/common-projects" xr:uid="{67F56DA8-0E29-4CB6-89EF-A0A713B95341}"/>
    <hyperlink ref="N298" r:id="rId2574" display="https://www.cettire.com/collections/converse" xr:uid="{798721D1-8FB6-4A7C-9A5B-87900E21A7A1}"/>
    <hyperlink ref="N299" r:id="rId2575" display="https://www.cettire.com/collections/coperni" xr:uid="{CF02F54F-2D39-491B-B9D2-0BBCC0308EAA}"/>
    <hyperlink ref="N300" r:id="rId2576" display="https://www.cettire.com/collections/corneliani" xr:uid="{E736E830-6DE5-4F50-9EDF-7ABB09FE3B67}"/>
    <hyperlink ref="N301" r:id="rId2577" display="https://www.cettire.com/collections/courreges-eyewear" xr:uid="{F8F02159-17C6-41FE-83B0-AC1C05B24D9E}"/>
    <hyperlink ref="N302" r:id="rId2578" display="https://www.cettire.com/collections/craig-green" xr:uid="{DFD46395-117C-4862-9A37-FEACAFD01AEB}"/>
    <hyperlink ref="N303" r:id="rId2579" display="https://www.cettire.com/collections/cult-gaia" xr:uid="{413F0906-A9C4-4251-8985-3D07590FEFE2}"/>
    <hyperlink ref="N304" r:id="rId2580" display="https://www.cettire.com/collections/current-elliott" xr:uid="{7E8BDCEC-7860-4B2B-A3D9-F3419CD51178}"/>
    <hyperlink ref="N305" r:id="rId2581" display="https://www.cettire.com/collections/cutler-gross" xr:uid="{72B0763E-95B4-4749-A612-C3E49B263167}"/>
    <hyperlink ref="N307" r:id="rId2582" display="https://www.cettire.com/collections/daily-paper" xr:uid="{8CA7F02C-9A18-462E-B36D-A316F957CF56}"/>
    <hyperlink ref="N308" r:id="rId2583" display="https://www.cettire.com/collections/danse-lente" xr:uid="{05D400B2-30A2-4786-ABC0-A01728F0E377}"/>
    <hyperlink ref="N309" r:id="rId2584" display="https://www.cettire.com/collections/delvaux" xr:uid="{D2143CE3-D7EE-4A4B-AC16-5DBB6A2BA4A7}"/>
    <hyperlink ref="N310" r:id="rId2585" display="https://www.cettire.com/collections/department-5" xr:uid="{8EC3A41D-B529-4C3C-8A51-DD38767705C6}"/>
    <hyperlink ref="N311" r:id="rId2586" display="https://www.cettire.com/collections/desa-1972" xr:uid="{487B1851-EA24-4BAC-817F-C1764DD21297}"/>
    <hyperlink ref="N312" r:id="rId2587" display="https://www.cettire.com/collections/diadora" xr:uid="{7B6C9129-B65B-4B6F-83E4-5A620633DB7C}"/>
    <hyperlink ref="N313" r:id="rId2588" display="https://www.cettire.com/collections/diane-von-furstenberg" xr:uid="{5CE4EFCB-32D5-4009-A7C7-501494CE5DF3}"/>
    <hyperlink ref="N314" r:id="rId2589" display="https://www.cettire.com/collections/diemme" xr:uid="{D8ED2684-9D9D-42C5-86B1-D4E124BB9912}"/>
    <hyperlink ref="N315" r:id="rId2590" display="https://www.cettire.com/collections/diesel" xr:uid="{C15B771D-86D2-4208-AF64-EC12BACD0F19}"/>
    <hyperlink ref="N316" r:id="rId2591" display="https://www.cettire.com/collections/diesel-black-gold" xr:uid="{F1A6A22B-1B57-4E38-9ABB-1D6B0E35240A}"/>
    <hyperlink ref="N317" r:id="rId2592" display="https://www.cettire.com/collections/diesel-kids" xr:uid="{0AC058D7-05EF-4338-82F2-8D78C6840CAC}"/>
    <hyperlink ref="N318" r:id="rId2593" display="https://www.cettire.com/collections/diesel-red-tag" xr:uid="{A4B9E4E8-819C-49DC-84E8-F027201C4936}"/>
    <hyperlink ref="N319" r:id="rId2594" display="https://www.cettire.com/collections/dior" xr:uid="{22C12319-B3DC-428F-8B76-022613CC8FCC}"/>
    <hyperlink ref="N320" r:id="rId2595" display="https://www.cettire.com/collections/dior-eyewear" xr:uid="{E9B0EF24-F286-45D5-A581-138B52E665A2}"/>
    <hyperlink ref="N321" r:id="rId2596" display="https://www.cettire.com/collections/dior-homme" xr:uid="{200EA1E3-A525-47E0-8CEF-B449BF5768C9}"/>
    <hyperlink ref="N322" r:id="rId2597" display="https://www.cettire.com/collections/dita-eyewear" xr:uid="{335FB279-DA33-4EAA-8035-567691B0BBA4}"/>
    <hyperlink ref="N323" r:id="rId2598" display="https://www.cettire.com/collections/dkny-kids" xr:uid="{CAC9C641-DFBD-4CA7-8F2A-8CBBCF1A6403}"/>
    <hyperlink ref="N324" r:id="rId2599" display="https://www.cettire.com/collections/dodo-bar-or" xr:uid="{93E61A04-4C7D-4AF3-830C-D9D6078D68ED}"/>
    <hyperlink ref="N325" r:id="rId2600" display="https://www.cettire.com/collections/dolce-gabbana" xr:uid="{D322DE58-A6C2-41BE-9F3E-CB9AFF73C9C2}"/>
    <hyperlink ref="N326" r:id="rId2601" display="https://www.cettire.com/collections/dolce-gabbana-eyewear" xr:uid="{A9FE408D-BE45-4E46-9BC2-E80862B89FAA}"/>
    <hyperlink ref="N327" r:id="rId2602" display="https://www.cettire.com/collections/dolce-gabbana-kids" xr:uid="{0C8FEF83-6567-4536-ACED-A087EF857177}"/>
    <hyperlink ref="N328" r:id="rId2603" display="https://www.cettire.com/collections/dr-martens" xr:uid="{07D4B2B5-5B05-4E12-95AF-500586CBD4F4}"/>
    <hyperlink ref="N329" r:id="rId2604" display="https://www.cettire.com/collections/drole-de-monsieur" xr:uid="{28F854DF-AA97-49AA-B77D-C39720D85289}"/>
    <hyperlink ref="N330" r:id="rId2605" display="https://www.cettire.com/collections/dsquared2" xr:uid="{09FCEB40-FAC4-4F66-8BE3-81EF15433385}"/>
    <hyperlink ref="N331" r:id="rId2606" display="https://www.cettire.com/collections/dsquared2-eyewear" xr:uid="{A0D05BC7-A85C-4469-A996-15F68631FEB2}"/>
    <hyperlink ref="N332" r:id="rId2607" display="https://www.cettire.com/collections/dsquared2-kids" xr:uid="{3CEA2669-8E35-40B2-9E3D-396CE0CC3AE8}"/>
    <hyperlink ref="N333" r:id="rId2608" display="https://www.cettire.com/collections/duvetica" xr:uid="{960D2A39-E626-48D6-A410-EDC0A631A771}"/>
    <hyperlink ref="N335" r:id="rId2609" display="https://www.cettire.com/collections/ea7-emporio-armani" xr:uid="{CECEC0A2-8356-4A06-8AF6-CFF5CE85C020}"/>
    <hyperlink ref="N336" r:id="rId2610" display="https://www.cettire.com/collections/eastpak" xr:uid="{5A333B08-3C0E-4FC8-BAE6-CB9FE05E928C}"/>
    <hyperlink ref="N337" r:id="rId2611" display="https://www.cettire.com/collections/eckhaus-latta" xr:uid="{6D7E5A9F-52FB-41DD-AB4B-1BF6D82E3BBF}"/>
    <hyperlink ref="N338" r:id="rId2612" display="https://www.cettire.com/collections/eden-power-corp" xr:uid="{CEFD61AD-CDE2-43F5-A156-96848799ED53}"/>
    <hyperlink ref="N339" r:id="rId2613" display="https://www.cettire.com/collections/edward-green" xr:uid="{8B572E01-A8DD-4C77-B621-86D8139D2103}"/>
    <hyperlink ref="N340" r:id="rId2614" display="https://www.cettire.com/collections/elie-saab-junior" xr:uid="{2BFC956B-D9ED-4B4C-AB92-4E43C11AD022}"/>
    <hyperlink ref="N341" r:id="rId2615" display="https://www.cettire.com/collections/elisabetta-franchi" xr:uid="{7FB09589-ED4E-4F66-A67F-5DE1851A3B9B}"/>
    <hyperlink ref="N342" r:id="rId2616" display="https://www.cettire.com/collections/emile-et-ida" xr:uid="{841FB73E-BE02-4344-B7CF-256A1367E9D1}"/>
    <hyperlink ref="N343" r:id="rId2617" display="https://www.cettire.com/collections/emilio-pucci-junior" xr:uid="{3EF43E57-3318-484C-AB91-9ABF3113BAB3}"/>
    <hyperlink ref="N344" r:id="rId2618" display="https://www.cettire.com/collections/emporio-armani" xr:uid="{3CD010B8-4880-4247-92EE-4D8939991C43}"/>
    <hyperlink ref="N345" r:id="rId2619" display="https://www.cettire.com/collections/emporio-armani-kids" xr:uid="{A0B285BF-8B25-450B-8EB7-EF0CFE1CB6D8}"/>
    <hyperlink ref="N346" r:id="rId2620" display="https://www.cettire.com/collections/enfants-riches-deprimes" xr:uid="{9942FF96-906E-474F-AB25-B0017871F2AD}"/>
    <hyperlink ref="N347" r:id="rId2621" display="https://www.cettire.com/collections/engineered-garments" xr:uid="{DE8509D8-B895-4D38-9711-A3E5602641E6}"/>
    <hyperlink ref="N350" r:id="rId2622" display="https://www.cettire.com/collections/equipment" xr:uid="{807B60E0-34CF-4363-B4A2-2A8D955F5304}"/>
    <hyperlink ref="N351" r:id="rId2623" display="https://www.cettire.com/collections/ermanno-scervino" xr:uid="{2B85FD60-A072-47AF-A41F-7493A392286D}"/>
    <hyperlink ref="N352" r:id="rId2624" display="https://www.cettire.com/collections/ermenegildo-zegna" xr:uid="{623C2E41-EF10-41EA-AD07-C30BDA45B918}"/>
    <hyperlink ref="N353" r:id="rId2625" display="https://www.cettire.com/collections/etre-cecile" xr:uid="{BF26F0BF-DCD5-4E90-BEF9-486F66E13108}"/>
    <hyperlink ref="N354" r:id="rId2626" display="https://www.cettire.com/collections/etro" xr:uid="{C9E4921E-EC9E-4CE1-807D-9D72628081E8}"/>
    <hyperlink ref="N355" r:id="rId2627" display="https://www.cettire.com/collections/eudon-choi" xr:uid="{9C8BC846-322F-466F-9A1C-9628AE0E9714}"/>
    <hyperlink ref="N356" r:id="rId2628" display="https://www.cettire.com/collections/extreme-cashmere" xr:uid="{FD716F16-0B0B-4226-B893-67B3F14EB0C6}"/>
    <hyperlink ref="N357" r:id="rId2629" display="https://www.cettire.com/collections/eyevan-7285" xr:uid="{189854B7-093F-46C8-9DAE-7FDC6C577D6D}"/>
    <hyperlink ref="N358" r:id="rId2630" display="https://www.cettire.com/collections/eytys" xr:uid="{A5687BD2-C22F-4450-A9DA-B1861462B1FC}"/>
    <hyperlink ref="N360" r:id="rId2631" display="https://www.cettire.com/collections/fabiana-filippi" xr:uid="{96027699-8331-4183-89B1-32B55F88313A}"/>
    <hyperlink ref="N361" r:id="rId2632" display="https://www.cettire.com/collections/facetasm" xr:uid="{FC98A5AE-2C3E-41D9-A056-419336D93F58}"/>
    <hyperlink ref="N362" r:id="rId2633" display="https://www.cettire.com/collections/faith-connexion" xr:uid="{12DB7A62-9702-47F2-A5BB-7748DC647B17}"/>
    <hyperlink ref="N363" r:id="rId2634" display="https://www.cettire.com/collections/fay" xr:uid="{7F596E92-9196-4F0F-B908-86F7F068CC8D}"/>
    <hyperlink ref="N364" r:id="rId2635" display="https://www.cettire.com/collections/fay-kids" xr:uid="{892CC7D9-367C-4BCF-8734-3F3AB56D27ED}"/>
    <hyperlink ref="N365" r:id="rId2636" display="https://www.cettire.com/collections/fear-of-god" xr:uid="{68079D20-C59B-47A7-BBD3-B8CC06B0A61C}"/>
    <hyperlink ref="N366" r:id="rId2637" display="https://www.cettire.com/collections/fendi" xr:uid="{094C074D-3D9D-42BD-A7C5-C45364C4C177}"/>
    <hyperlink ref="N367" r:id="rId2638" display="https://www.cettire.com/collections/fendi-eyewear" xr:uid="{F6D3CC6D-DBD9-44A9-9672-1E6F7CC22D75}"/>
    <hyperlink ref="N368" r:id="rId2639" display="https://www.cettire.com/collections/fendi-kids" xr:uid="{2FF1B487-8F59-4E24-B8F5-CB9580A1E051}"/>
    <hyperlink ref="N369" r:id="rId2640" display="https://www.cettire.com/collections/feng-chen-wang" xr:uid="{8E8604CA-6FB6-4F7A-8738-0AD4ECC146BB}"/>
    <hyperlink ref="N370" r:id="rId2641" display="https://www.cettire.com/collections/fenty-x-puma" xr:uid="{A71E6400-EC9B-44B0-9E39-49F68C17E5F8}"/>
    <hyperlink ref="N371" r:id="rId2642" display="https://www.cettire.com/collections/fila" xr:uid="{A176148F-FA58-45EE-844C-71052FC291BC}"/>
    <hyperlink ref="N372" r:id="rId2643" display="https://www.cettire.com/collections/finamore-1925-napoli" xr:uid="{C4CD182D-8F47-4345-8E1A-84B97F8707A5}"/>
    <hyperlink ref="N374" r:id="rId2644" display="https://www.cettire.com/collections/forte-dei-marmi-couture" xr:uid="{B1E04CA7-52C2-4DB1-9782-DE60FF0D2D8F}"/>
    <hyperlink ref="N375" r:id="rId2645" display="https://www.cettire.com/collections/forte-forte" xr:uid="{4B14A492-D0DE-42DA-A878-A3A04FA43048}"/>
    <hyperlink ref="N376" r:id="rId2646" display="https://www.cettire.com/collections/frame" xr:uid="{C7D21FB8-35C4-4EDD-9678-4DC17979DC56}"/>
    <hyperlink ref="N377" r:id="rId2647" display="https://www.cettire.com/collections/francesco-russo" xr:uid="{35338D6D-005E-4634-BE60-128CA428A13D}"/>
    <hyperlink ref="N378" r:id="rId2648" display="https://www.cettire.com/collections/freedomday" xr:uid="{0D23161A-5160-4459-86FF-0446114F3AC2}"/>
    <hyperlink ref="N379" r:id="rId2649" display="https://www.cettire.com/collections/fucking-awesome" xr:uid="{7F12FFDF-52CF-4BDA-A496-9F7788441E52}"/>
    <hyperlink ref="N380" r:id="rId2650" display="https://www.cettire.com/collections/furla" xr:uid="{F36038C1-DAD0-4809-BFE8-D8BCDDDBFC91}"/>
    <hyperlink ref="N382" r:id="rId2651" display="https://www.cettire.com/collections/gabriela-hearst" xr:uid="{52C9DBAE-D047-4A41-BC35-8CDF8D27A72D}"/>
    <hyperlink ref="N383" r:id="rId2652" display="https://www.cettire.com/collections/gallery-dept" xr:uid="{217F90D4-A054-4C8D-8CDA-FD6874548473}"/>
    <hyperlink ref="N384" r:id="rId2653" display="https://www.cettire.com/collections/ganni" xr:uid="{243E5CFD-732D-43E3-9A45-FF0BA0F22819}"/>
    <hyperlink ref="N385" r:id="rId2654" display="https://www.cettire.com/collections/garrett-leight" xr:uid="{A79A800F-AE11-4A87-B63A-752C9C619E90}"/>
    <hyperlink ref="N387" r:id="rId2655" display="https://www.cettire.com/collections/gcds" xr:uid="{8507BF37-C1B8-4E59-BD56-8370AD4CE2BA}"/>
    <hyperlink ref="N388" r:id="rId2656" display="https://www.cettire.com/collections/gcds-kids" xr:uid="{2596EAE0-4C01-4EFC-94B3-F69B5EE865F9}"/>
    <hyperlink ref="N389" r:id="rId2657" display="https://www.cettire.com/collections/gia-borghini" xr:uid="{B79F96B8-D12E-49CA-990F-C3348BBA6B01}"/>
    <hyperlink ref="N390" r:id="rId2658" display="https://www.cettire.com/collections/giambattista-valli" xr:uid="{AFE99CEF-EF22-4FAB-8D98-B99BEF0FBFE7}"/>
    <hyperlink ref="N392" r:id="rId2659" display="https://www.cettire.com/collections/giorgio-armani" xr:uid="{F19CE1B1-2B02-4878-887C-89633168EEC9}"/>
    <hyperlink ref="N393" r:id="rId2660" display="https://www.cettire.com/collections/givenchy" xr:uid="{8AE39631-C1A4-4637-95FF-0E0F8C55D4B9}"/>
    <hyperlink ref="N394" r:id="rId2661" display="https://www.cettire.com/collections/givenchy-eyewear" xr:uid="{C0361A4D-CE5F-478F-BD36-1551C3021F1E}"/>
    <hyperlink ref="N395" r:id="rId2662" display="https://www.cettire.com/collections/givenchy-kids" xr:uid="{A045E5A7-19BC-4F7F-ABA4-CB9E0EA474D5}"/>
    <hyperlink ref="N396" r:id="rId2663" display="https://www.cettire.com/collections/golden-goose-deluxe-brand" xr:uid="{5F0F2522-A9DF-47C3-BAF5-23B2A006A39B}"/>
    <hyperlink ref="N397" r:id="rId2664" display="https://www.cettire.com/collections/golden-goose-kids" xr:uid="{AFD45F43-E53D-4D05-B687-19D2F5BC0EC1}"/>
    <hyperlink ref="N398" r:id="rId2665" display="https://www.cettire.com/collections/greg-lauren" xr:uid="{52FCCDED-D815-414B-A246-6F28AE532BDD}"/>
    <hyperlink ref="N399" r:id="rId2666" display="https://www.cettire.com/collections/grevi" xr:uid="{299A5822-7F7D-44FD-B080-F362C7B494C4}"/>
    <hyperlink ref="N400" r:id="rId2667" display="https://www.cettire.com/collections/gucci" xr:uid="{DDBD6C01-6B8F-4949-AB9C-A1DDD81ED3D3}"/>
    <hyperlink ref="N401" r:id="rId2668" display="https://www.cettire.com/collections/gucci-eyewear" xr:uid="{84349483-5D19-4C7B-9573-CE3781A52BBC}"/>
    <hyperlink ref="N402" r:id="rId2669" display="https://www.cettire.com/collections/gucci-kids" xr:uid="{BDE376FE-7A1D-47BF-B668-22B598267B7D}"/>
    <hyperlink ref="N403" r:id="rId2670" display="https://www.cettire.com/collections/guidi" xr:uid="{73F21767-0FC6-4032-BFC9-02EC83AD5F21}"/>
    <hyperlink ref="N405" r:id="rId2671" display="https://www.cettire.com/collections/haider-ackermann" xr:uid="{CDA6ECD1-C3A5-4104-99E0-60C74CEF7C4D}"/>
    <hyperlink ref="N406" r:id="rId2672" display="https://www.cettire.com/collections/harris-wharf-london" xr:uid="{1E8BB899-7B98-4640-8948-9E3854C77D1C}"/>
    <hyperlink ref="N407" r:id="rId2673" display="https://www.cettire.com/collections/helmut-lang" xr:uid="{1550F4D3-512F-4990-84A6-6223A13154CE}"/>
    <hyperlink ref="N408" r:id="rId2674" display="https://www.cettire.com/collections/hereu" xr:uid="{83236999-66CA-4421-89D6-534A9CBF8DC2}"/>
    <hyperlink ref="N409" r:id="rId2675" display="https://www.cettire.com/collections/herno" xr:uid="{892F1A4F-03FC-4580-BDB5-692262F69F3E}"/>
    <hyperlink ref="N410" r:id="rId2676" display="https://www.cettire.com/collections/herno-kids" xr:uid="{1A48BF7E-C3AC-48F2-ADC3-50A8BA13BA73}"/>
    <hyperlink ref="N411" r:id="rId2677" display="https://www.cettire.com/collections/heron-preston" xr:uid="{C7F60B5D-417C-4752-A710-003744DCED0B}"/>
    <hyperlink ref="N412" r:id="rId2678" display="https://www.cettire.com/collections/herschel-supply-co" xr:uid="{B85B8449-D5E4-4EEA-951A-BEEECA384778}"/>
    <hyperlink ref="N413" r:id="rId2679" display="https://www.cettire.com/collections/hogan" xr:uid="{DF6F4389-A7F2-498C-9D3B-CA2E2065EE88}"/>
    <hyperlink ref="N414" r:id="rId2680" display="https://www.cettire.com/collections/hogan-kids" xr:uid="{AA8A79F8-1839-4683-B2AE-798000534BB0}"/>
    <hyperlink ref="N415" r:id="rId2681" display="https://www.cettire.com/collections/hogan-rebel" xr:uid="{63A40ED6-2F72-4A06-AED9-1105EBB4E599}"/>
    <hyperlink ref="N416" r:id="rId2682" display="https://www.cettire.com/collections/hoka-one-one" xr:uid="{AE0F93FF-875E-4B18-A639-D6C717CC5D4D}"/>
    <hyperlink ref="N417" r:id="rId2683" display="https://www.cettire.com/collections/homme-plisse-issey-miyake" xr:uid="{FA6227EC-D0A7-49EA-8EB3-1041B1F91DC0}"/>
    <hyperlink ref="N418" r:id="rId2684" display="https://www.cettire.com/collections/honey-fucking-dijon" xr:uid="{441C662B-9184-43D3-BBB7-4E24322C6D00}"/>
    <hyperlink ref="N419" r:id="rId2685" display="https://www.cettire.com/collections/howlin" xr:uid="{53103EC0-9CB7-4041-B528-9F6C9938DE6E}"/>
    <hyperlink ref="N420" r:id="rId2686" display="https://www.cettire.com/collections/hugo-boss-kids" xr:uid="{0925B51A-D276-434B-B9D4-A42E1D3F9C09}"/>
    <hyperlink ref="N422" r:id="rId2687" display="https://www.cettire.com/collections/ienki-ienki" xr:uid="{868A20A0-310E-40FC-B8D7-CDCDAA1FA90F}"/>
    <hyperlink ref="N423" r:id="rId2688" display="https://www.cettire.com/collections/ih-nom-uh-nit" xr:uid="{D06A9BF6-5636-4892-B920-3C8495FD2544}"/>
    <hyperlink ref="N425" r:id="rId2689" display="https://www.cettire.com/collections/il-gufo" xr:uid="{231DD1D7-37AF-48D9-8F82-712E22A0EDFC}"/>
    <hyperlink ref="N426" r:id="rId2690" display="https://www.cettire.com/collections/in-the-mood-for-love" xr:uid="{B13F403E-67ED-46B6-BAAB-93115C3EE50D}"/>
    <hyperlink ref="N427" r:id="rId2691" display="https://www.cettire.com/collections/incotex" xr:uid="{C7798F89-56FC-471B-A57E-87EFB6C748CF}"/>
    <hyperlink ref="N428" r:id="rId2692" display="https://www.cettire.com/collections/isabel-marant" xr:uid="{84AEC4E6-221C-4368-86B0-20FE3D982BCB}"/>
    <hyperlink ref="N429" r:id="rId2693" display="https://www.cettire.com/collections/isabel-marant-etoile" xr:uid="{4DFE9689-E110-47EC-B762-E6D07B867968}"/>
    <hyperlink ref="N430" r:id="rId2694" display="https://www.cettire.com/collections/isaia" xr:uid="{74AC1073-B636-42B3-810A-8EA3D45FFA32}"/>
    <hyperlink ref="N431" r:id="rId2695" display="https://www.cettire.com/collections/issey-miyake" xr:uid="{80223B73-FE52-4BFA-84E0-5856BF87D879}"/>
    <hyperlink ref="N432" r:id="rId2696" display="https://www.cettire.com/collections/issey-miyake-men" xr:uid="{2D1D546D-5A8E-4895-A0E5-FEAB28741FF7}"/>
    <hyperlink ref="N434" r:id="rId2697" display="https://www.cettire.com/collections/j-brand" xr:uid="{7C12300F-E7C6-4830-BCD0-5C53D4398164}"/>
    <hyperlink ref="N435" r:id="rId2698" display="https://www.cettire.com/collections/jacquemus" xr:uid="{59770021-059E-4F56-9FB2-B7FEDE312796}"/>
    <hyperlink ref="N436" r:id="rId2699" display="https://www.cettire.com/collections/jacques-marie-mage" xr:uid="{6C64525A-D85D-4DEE-ADBA-0C7B985C4DD0}"/>
    <hyperlink ref="N437" r:id="rId2700" display="https://www.cettire.com/collections/jejia" xr:uid="{0C424A74-3DF0-4356-A8AA-EA6D45424F13}"/>
    <hyperlink ref="N438" r:id="rId2701" display="https://www.cettire.com/collections/jessie-western" xr:uid="{C5ABD0AD-A33E-41F8-B797-95AD100DFD46}"/>
    <hyperlink ref="N439" r:id="rId2702" display="https://www.cettire.com/collections/jil-sander" xr:uid="{2296DC21-9FE1-4C23-89BC-7024072D59FA}"/>
    <hyperlink ref="N440" r:id="rId2703" display="https://www.cettire.com/collections/jimmy-choo" xr:uid="{A67104B7-FBD1-498F-830F-4F4646F83875}"/>
    <hyperlink ref="N441" r:id="rId2704" display="https://www.cettire.com/collections/jimmy-choo-eyewear" xr:uid="{B658D2EF-5C3C-4008-A940-732E03DD8A64}"/>
    <hyperlink ref="N442" r:id="rId2705" display="https://www.cettire.com/collections/john-elliott" xr:uid="{0F1DA4EF-8325-4BA0-8143-28C3311FFB99}"/>
    <hyperlink ref="N443" r:id="rId2706" display="https://www.cettire.com/collections/john-lobb" xr:uid="{D924C73A-ED12-4708-8890-918A1E68F82A}"/>
    <hyperlink ref="N444" r:id="rId2707" display="https://www.cettire.com/collections/john-smedley" xr:uid="{143E8A75-D203-4784-9F4E-2FC125C6FBC7}"/>
    <hyperlink ref="N445" r:id="rId2708" display="https://www.cettire.com/collections/junya-watanabe" xr:uid="{4D40A073-589C-498E-958A-95854CF2F6FC}"/>
    <hyperlink ref="N446" r:id="rId2709" display="https://www.cettire.com/collections/junya-watanabe-comme-des-garcons" xr:uid="{62B9249C-D0D9-4AA6-AFB5-8BEA891273A3}"/>
    <hyperlink ref="N447" r:id="rId2710" display="https://www.cettire.com/collections/junya-watanabe-man" xr:uid="{F17C1CEF-92DA-46C7-B81E-5F6377D33FB3}"/>
    <hyperlink ref="N448" r:id="rId2711" display="https://www.cettire.com/collections/just-don" xr:uid="{3C9BAE2E-E780-4941-BDB3-171D5FD2B2AA}"/>
    <hyperlink ref="N449" r:id="rId2712" display="https://www.cettire.com/collections/juun-j" xr:uid="{5566DF9F-513F-4F18-86B8-F52B85FA90A8}"/>
    <hyperlink ref="N450" r:id="rId2713" display="https://www.cettire.com/collections/jw-anderson" xr:uid="{A3E005E2-E7D6-491B-AB44-8EDF29A2BF64}"/>
    <hyperlink ref="N452" r:id="rId2714" display="https://www.cettire.com/collections/k-way" xr:uid="{4A8612A2-3358-4DF9-A3C3-FDE573C4B587}"/>
    <hyperlink ref="N453" r:id="rId2715" display="https://www.cettire.com/collections/kappa" xr:uid="{01B09B96-5B8E-4A2E-9795-EDA25298A8BF}"/>
    <hyperlink ref="N454" r:id="rId2716" display="https://www.cettire.com/collections/kappa-kontroll" xr:uid="{13172B11-E284-4699-B747-6FCFD415E664}"/>
    <hyperlink ref="N455" r:id="rId2717" display="https://www.cettire.com/collections/kara" xr:uid="{B3424C71-3458-41B6-BEB5-F36FC700A964}"/>
    <hyperlink ref="N456" r:id="rId2718" display="https://www.cettire.com/collections/karl-lagerfeld" xr:uid="{89933427-0C41-43D2-96D4-9F175BB3E4E2}"/>
    <hyperlink ref="N457" r:id="rId2719" display="https://www.cettire.com/collections/karl-lagerfeld-kids" xr:uid="{984D4497-A3D2-4579-A4D7-9664AE30BE40}"/>
    <hyperlink ref="N458" r:id="rId2720" display="https://www.cettire.com/collections/kenzo" xr:uid="{0D386D4E-2221-427C-A15E-6B66074C42CF}"/>
    <hyperlink ref="N459" r:id="rId2721" display="https://www.cettire.com/collections/kenzo-kids" xr:uid="{CB758686-737B-4241-9B84-3B6E73037AD9}"/>
    <hyperlink ref="N460" r:id="rId2722" display="https://www.cettire.com/collections/khaite" xr:uid="{13DE48F0-AB84-4878-B9E7-9E79882E9E40}"/>
    <hyperlink ref="N461" r:id="rId2723" display="https://www.cettire.com/collections/khrisjoy" xr:uid="{D4C6E82E-1648-40AE-BD65-18242DB91BF5}"/>
    <hyperlink ref="N462" r:id="rId2724" display="https://www.cettire.com/collections/khrisjoy-kids" xr:uid="{0D67328A-349B-4170-B9BC-621B6E919543}"/>
    <hyperlink ref="N463" r:id="rId2725" display="https://www.cettire.com/collections/kuboraum" xr:uid="{21D83640-8CEE-4FD9-B5E3-05FEE664781B}"/>
    <hyperlink ref="N464" r:id="rId2726" display="https://www.cettire.com/collections/kwaidan-editions" xr:uid="{2640D468-99EA-4E76-8B46-BA6C67EF628D}"/>
    <hyperlink ref="N466" r:id="rId2727" display="https://www.cettire.com/collections/l-b-m-1911" xr:uid="{831F56BB-1B27-4DAD-8287-AE0F0E9D757E}"/>
    <hyperlink ref="N467" r:id="rId2728" display="https://www.cettire.com/collections/lautre-chose" xr:uid="{7399D715-095A-4DBB-8CE1-3FDA8E7E223F}"/>
    <hyperlink ref="N469" r:id="rId2729" display="https://www.cettire.com/collections/la-milanesa" xr:uid="{9A1C6FC0-5601-420E-9D75-BA6217B388C8}"/>
    <hyperlink ref="N470" r:id="rId2730" display="https://www.cettire.com/collections/la-stupenderia" xr:uid="{964CCB5F-789D-4438-848C-CCD57E29388E}"/>
    <hyperlink ref="N471" r:id="rId2731" display="https://www.cettire.com/collections/laneus" xr:uid="{71E6F40C-A01A-4142-B034-A58827540CCA}"/>
    <hyperlink ref="N472" r:id="rId2732" display="https://www.cettire.com/collections/lanvin" xr:uid="{E54A3D9C-4DC7-424A-A3D2-C49E5F572228}"/>
    <hyperlink ref="N473" r:id="rId2733" display="https://www.cettire.com/collections/lanvin-enfant" xr:uid="{F9FC0F3A-AE6C-4161-BE04-D0E18FBD04CC}"/>
    <hyperlink ref="N474" r:id="rId2734" display="https://www.cettire.com/collections/lauren-ralph-lauren" xr:uid="{B273C1EA-87BE-4017-A54C-41E9D6617E05}"/>
    <hyperlink ref="N475" r:id="rId2735" display="https://www.cettire.com/collections/le-bebe-enfant" xr:uid="{D4E7614B-5C08-495B-84AC-67CA182DD933}"/>
    <hyperlink ref="N476" r:id="rId2736" display="https://www.cettire.com/collections/le-kasha" xr:uid="{9857E7CF-3968-43E0-A70E-E4C130D0C74C}"/>
    <hyperlink ref="N477" r:id="rId2737" display="https://www.cettire.com/collections/lemaire" xr:uid="{8A0FD0C9-603A-478D-A7FF-D70124F88F8E}"/>
    <hyperlink ref="N478" r:id="rId2738" display="https://www.cettire.com/collections/lesca" xr:uid="{A8476FEE-106C-4ADE-A94C-29738FC52A63}"/>
    <hyperlink ref="N479" r:id="rId2739" display="https://www.cettire.com/collections/levis" xr:uid="{3540CA2F-ECEE-42BC-8F63-FF5192D87DF7}"/>
    <hyperlink ref="N480" r:id="rId2740" display="https://www.cettire.com/collections/li-ning" xr:uid="{8EB454BF-C0DE-4E13-9610-6B32987C4DEE}"/>
    <hyperlink ref="N481" r:id="rId2741" display="https://www.cettire.com/collections/linda-farrow" xr:uid="{3E7900A1-977B-44A2-89F4-9AC46682AF50}"/>
    <hyperlink ref="N482" r:id="rId2742" display="https://www.cettire.com/collections/lisa-marie-fernandez" xr:uid="{2D9D63D5-15C2-4D75-856A-CE21BF5AD05B}"/>
    <hyperlink ref="N483" r:id="rId2743" display="https://www.cettire.com/collections/liu-jo" xr:uid="{087EA89F-8C4B-42FA-B186-15B6188B8AD5}"/>
    <hyperlink ref="N484" r:id="rId2744" display="https://www.cettire.com/collections/loewe" xr:uid="{00ADD9C8-3FA8-4B72-92A2-0FD6589E90EF}"/>
    <hyperlink ref="N485" r:id="rId2745" display="https://www.cettire.com/collections/longchamp" xr:uid="{28E1AC7D-4094-4C01-ADC9-5793E4BF2B9B}"/>
    <hyperlink ref="N486" r:id="rId2746" display="https://www.cettire.com/collections/loro-piana" xr:uid="{C371E0EE-C376-4947-8E8C-470C8E006CCE}"/>
    <hyperlink ref="N487" r:id="rId2747" display="https://www.cettire.com/collections/loulou-studio" xr:uid="{4B090C3E-4092-4FA0-AB83-81C1DE2FCC80}"/>
    <hyperlink ref="N488" r:id="rId2748" display="https://www.cettire.com/collections/love-moschino" xr:uid="{5414683E-2DA6-4515-8F25-189AF525C8F6}"/>
    <hyperlink ref="N489" r:id="rId2749" display="https://www.cettire.com/collections/low-classic" xr:uid="{8DF3BA32-BBDA-4FE3-9F9F-090AFED9EAF1}"/>
    <hyperlink ref="N491" r:id="rId2750" display="https://www.cettire.com/collections/m-missoni" xr:uid="{9AE7F6D3-FF8E-461A-B53F-C0B9E6C669E7}"/>
    <hyperlink ref="N492" r:id="rId2751" display="https://www.cettire.com/collections/mackintosh" xr:uid="{E3468046-01A1-4C4F-A4D4-A59F07CFC0C9}"/>
    <hyperlink ref="N493" r:id="rId2752" display="https://www.cettire.com/collections/magda-butrym" xr:uid="{5433FFD6-5B7F-4434-AD62-58C8F1AC82B3}"/>
    <hyperlink ref="N494" r:id="rId2753" display="https://www.cettire.com/collections/maisie-wilen" xr:uid="{DC72DFCE-7B98-4971-B155-82ACFC714D52}"/>
    <hyperlink ref="N495" r:id="rId2754" display="https://www.cettire.com/collections/maison-kitsune" xr:uid="{B718FBF9-4750-4129-B921-3F5C03B2EA77}"/>
    <hyperlink ref="N496" r:id="rId2755" display="https://www.cettire.com/collections/maison-margiela" xr:uid="{1F3568E2-22E8-486E-A83E-2F6E02026819}"/>
    <hyperlink ref="N497" r:id="rId2756" display="https://www.cettire.com/collections/maison-michel" xr:uid="{545C013E-EB06-4D67-B014-93FC17EBAC37}"/>
    <hyperlink ref="N499" r:id="rId2757" display="https://www.cettire.com/collections/malone-souliers" xr:uid="{2CE1C5C1-78C7-47D2-9A2E-C17ABBA6EEF2}"/>
    <hyperlink ref="N500" r:id="rId2758" display="https://www.cettire.com/collections/manebi" xr:uid="{469B6E1F-CBCA-4A34-BBE1-5F65B4EB133F}"/>
    <hyperlink ref="N501" r:id="rId2759" display="https://www.cettire.com/collections/manokhi" xr:uid="{74F30446-7BAE-4BED-B6D3-16E21019DC78}"/>
    <hyperlink ref="N502" r:id="rId2760" display="https://www.cettire.com/collections/manolo-blahnik" xr:uid="{268DD4EA-EFB1-4925-A7C3-377109477B75}"/>
    <hyperlink ref="N503" r:id="rId2761" display="https://www.cettire.com/collections/mansur-gavriel" xr:uid="{52F3AF9E-CC9D-4F85-8347-448AB9A474EC}"/>
    <hyperlink ref="N504" r:id="rId2762" display="https://www.cettire.com/collections/manu-atelier" xr:uid="{4907F0DE-514C-4B12-8794-86E2277C624A}"/>
    <hyperlink ref="N505" r:id="rId2763" display="https://www.cettire.com/collections/marc-jacobs" xr:uid="{71248EC4-F0CB-467B-8DA7-33B3D207FE50}"/>
    <hyperlink ref="N506" r:id="rId2764" display="https://www.cettire.com/collections/marc-jacobs-eyewear" xr:uid="{E9496A31-D939-46A4-94A9-5C634EC0E847}"/>
    <hyperlink ref="N507" r:id="rId2765" display="https://www.cettire.com/collections/marcelo-burlon-county-of-milan" xr:uid="{3998165F-9366-4DC6-8966-B133AAD61271}"/>
    <hyperlink ref="N508" r:id="rId2766" display="https://www.cettire.com/collections/marcelo-burlon-county-of-milan-kids" xr:uid="{A7C7ABE4-B07A-4CD2-AD39-CA384A294706}"/>
    <hyperlink ref="N510" r:id="rId2767" display="https://www.cettire.com/collections/marine-serre" xr:uid="{D8D229E4-AA64-455F-A441-034A4B0BA3F6}"/>
    <hyperlink ref="N511" r:id="rId2768" display="https://www.cettire.com/collections/marni" xr:uid="{27CB1CA4-F028-426D-8ED4-BAFAF3D9252A}"/>
    <hyperlink ref="N512" r:id="rId2769" display="https://www.cettire.com/collections/marni-eyewear" xr:uid="{E4F97288-1B55-47F5-8657-CC62471F04A8}"/>
    <hyperlink ref="N513" r:id="rId2770" display="https://www.cettire.com/collections/marni-kids" xr:uid="{45BD418D-A819-4294-8CD9-7370C40EF2BE}"/>
    <hyperlink ref="N514" r:id="rId2771" display="https://www.cettire.com/collections/marquesalmeida" xr:uid="{6618505E-677F-48E1-9598-2B8FC66E2DF3}"/>
    <hyperlink ref="N515" r:id="rId2772" display="https://www.cettire.com/collections/marsell" xr:uid="{1EBDA72F-3E57-4B4F-9625-F2CEFE4CEB1C}"/>
    <hyperlink ref="N516" r:id="rId2773" display="https://www.cettire.com/collections/martine-rose" xr:uid="{5637509C-8529-4F4D-A515-ACE5DEBA7B38}"/>
    <hyperlink ref="N517" r:id="rId2774" display="https://www.cettire.com/collections/mastermind-world" xr:uid="{CEF08DC2-9432-4E94-80DC-46C9A940D644}"/>
    <hyperlink ref="N518" r:id="rId2775" display="https://www.cettire.com/collections/materiel" xr:uid="{8D1B50AD-5BC2-4F35-B3AB-B5598446470B}"/>
    <hyperlink ref="N519" r:id="rId2776" display="https://www.cettire.com/collections/mauna-kea" xr:uid="{44A1A00A-67C2-4D14-9960-12DFB239C306}"/>
    <hyperlink ref="N520" r:id="rId2777" display="https://www.cettire.com/collections/maurizio-miri" xr:uid="{7C540F79-3B8B-4BB2-BC13-7483CCF17B40}"/>
    <hyperlink ref="N521" r:id="rId2778" display="https://www.cettire.com/collections/max-mara" xr:uid="{DC6666A9-F8C7-42F2-A303-013EDDE933D7}"/>
    <hyperlink ref="N522" r:id="rId2779" display="https://www.cettire.com/collections/max-mara-atelier" xr:uid="{C518386B-E585-4D9E-97CE-C652805E1345}"/>
    <hyperlink ref="N523" r:id="rId2780" display="https://www.cettire.com/collections/max-mara-pianoforte" xr:uid="{56C821A3-5B79-4774-8A76-7653835B4A45}"/>
    <hyperlink ref="N524" r:id="rId2781" display="https://www.cettire.com/collections/max-mara-studio" xr:uid="{22C4106E-2F22-47DE-B8F0-3CA679EBF97D}"/>
    <hyperlink ref="N525" r:id="rId2782" display="https://www.cettire.com/collections/max-mara-the-cube" xr:uid="{E3FE69DB-5972-46CE-BD1F-430BA6BB2416}"/>
    <hyperlink ref="N526" r:id="rId2783" display="https://www.cettire.com/collections/mc2-saint-barth" xr:uid="{717A60F8-AC11-4576-B1A9-108B29FF2A35}"/>
    <hyperlink ref="N527" r:id="rId2784" display="https://www.cettire.com/collections/mc2-saint-barth-kids" xr:uid="{785165AC-1AC9-4DBB-BB28-F3E15D8366BF}"/>
    <hyperlink ref="N528" r:id="rId2785" display="https://www.cettire.com/collections/mcm" xr:uid="{8DA293CF-5652-42C9-BA62-9CE4FBAB57C2}"/>
    <hyperlink ref="N529" r:id="rId2786" display="https://www.cettire.com/collections/mcq-alexander-mcqueen" xr:uid="{835B9B38-F3B6-4F4F-8898-554EB59438D8}"/>
    <hyperlink ref="N530" r:id="rId2787" display="https://www.cettire.com/collections/michael-kors" xr:uid="{8ECB212A-6A76-4EA9-B833-4BDBAEF15F94}"/>
    <hyperlink ref="N531" r:id="rId2788" display="https://www.cettire.com/collections/michael-kors-collection" xr:uid="{BC27F0C1-B285-4462-8A59-28E056FB1514}"/>
    <hyperlink ref="N532" r:id="rId2789" display="https://www.cettire.com/collections/michael-michael-kors" xr:uid="{C8DFE85A-F453-45A9-BA2B-9F18A10EAAF0}"/>
    <hyperlink ref="N533" r:id="rId2790" display="https://www.cettire.com/collections/midnight-00" xr:uid="{CDC4049F-AF9F-4900-8864-4A90DDF821C1}"/>
    <hyperlink ref="N534" r:id="rId2791" display="https://www.cettire.com/collections/mini-rodini" xr:uid="{EA681181-0C90-425B-A7C5-576D0DFFF9FC}"/>
    <hyperlink ref="N535" r:id="rId2792" display="https://www.cettire.com/collections/misbhv" xr:uid="{CF52FCA9-408A-430D-9594-33A41278D8EB}"/>
    <hyperlink ref="N536" r:id="rId2793" display="https://www.cettire.com/collections/missoni" xr:uid="{A7793E53-2E94-4F0B-8572-12BE665D62A8}"/>
    <hyperlink ref="N538" r:id="rId2794" display="https://www.cettire.com/collections/missoni-mare" xr:uid="{039D6F44-2462-4832-9E7A-F28F7464DE64}"/>
    <hyperlink ref="N539" r:id="rId2795" display="https://www.cettire.com/collections/miu-miu" xr:uid="{C66BC5BA-5297-4394-A925-E40815B224B8}"/>
    <hyperlink ref="N540" r:id="rId2796" display="https://www.cettire.com/collections/miu-miu-eyewear" xr:uid="{A425B3E0-83CE-4FEA-A04B-97DE8C71FB98}"/>
    <hyperlink ref="N541" r:id="rId2797" display="https://www.cettire.com/collections/mjb-marc-jacques-burton" xr:uid="{3DD1BEA3-6FC5-4E76-BABC-9D8E3E36A5D0}"/>
    <hyperlink ref="N542" r:id="rId2798" display="https://www.cettire.com/collections/mm6-maison-margiela" xr:uid="{3243E6E0-24FD-45F4-B9CA-A11221181244}"/>
    <hyperlink ref="N543" r:id="rId2799" display="https://www.cettire.com/collections/mm6-maison-margiela-kids" xr:uid="{9111E756-47F8-4A4C-89D7-0470A5F7FCDE}"/>
    <hyperlink ref="N544" r:id="rId2800" display="https://www.cettire.com/collections/molo" xr:uid="{1330EDF1-60FC-4B07-8695-7E8ED904541D}"/>
    <hyperlink ref="N545" r:id="rId2801" display="https://www.cettire.com/collections/moncler" xr:uid="{24282137-F999-4A57-BCB8-AF26E9E60622}"/>
    <hyperlink ref="N546" r:id="rId2802" display="https://www.cettire.com/collections/moncler-rick-owens" xr:uid="{21517753-4390-465D-9BFC-FDA18B262CAD}"/>
    <hyperlink ref="N547" r:id="rId2803" display="https://www.cettire.com/collections/moncler-enfant" xr:uid="{796D14C5-5570-487F-8A24-2C51A5300B64}"/>
    <hyperlink ref="N548" r:id="rId2804" display="https://www.cettire.com/collections/moncler-eyewear" xr:uid="{DE6953F8-71BB-4E35-97FA-5214F64D9894}"/>
    <hyperlink ref="N549" r:id="rId2805" display="https://www.cettire.com/collections/moncler-gamme-rouge" xr:uid="{AD83528A-990B-42DD-AE0E-93CF2D64D264}"/>
    <hyperlink ref="N550" r:id="rId2806" display="https://www.cettire.com/collections/moncler-genius" xr:uid="{163DDBFF-22E1-4611-B0DB-B8832377ADDF}"/>
    <hyperlink ref="N551" r:id="rId2807" display="https://www.cettire.com/collections/moncler-grenoble" xr:uid="{6F3B96A9-6F8D-4B21-9FC0-25E25AC10A9E}"/>
    <hyperlink ref="N552" r:id="rId2808" display="https://www.cettire.com/collections/monnalisa" xr:uid="{CA88A702-CE41-4CEF-8FA8-D49B89D52877}"/>
    <hyperlink ref="N553" r:id="rId2809" display="https://www.cettire.com/collections/montblanc" xr:uid="{45EE5F4F-3182-480C-ADC9-63B45CC4A547}"/>
    <hyperlink ref="N554" r:id="rId2810" display="https://www.cettire.com/collections/moose-knuckles" xr:uid="{82DC7E75-FB9D-434F-AEF3-7755594523C9}"/>
    <hyperlink ref="N555" r:id="rId2811" display="https://www.cettire.com/collections/moschino" xr:uid="{C6210ADB-1C00-46C1-96DF-D91D7D1335F3}"/>
    <hyperlink ref="N556" r:id="rId2812" display="https://www.cettire.com/collections/moschino-eyewear" xr:uid="{5FCF7B22-D3FD-4B0B-9B51-D8A9A6F7DB7B}"/>
    <hyperlink ref="N557" r:id="rId2813" display="https://www.cettire.com/collections/moschino-kids" xr:uid="{E2B28B00-5756-407F-8A17-ABE160CC83D2}"/>
    <hyperlink ref="N559" r:id="rId2814" display="https://www.cettire.com/collections/mother" xr:uid="{43A74592-46B7-455C-A889-A3611CB5B295}"/>
    <hyperlink ref="N560" r:id="rId2815" display="https://www.cettire.com/collections/mou-kids" xr:uid="{893CB338-5C10-4D71-97D4-7C753C582F26}"/>
    <hyperlink ref="N561" r:id="rId2816" display="https://www.cettire.com/collections/msgm" xr:uid="{989CE2F5-74C4-46DE-B00E-DA682AF320B9}"/>
    <hyperlink ref="N562" r:id="rId2817" display="https://www.cettire.com/collections/msgm-kids" xr:uid="{7F44B537-5D66-420F-AAE6-40A785FE8416}"/>
    <hyperlink ref="N563" r:id="rId2818" display="https://www.cettire.com/collections/mulberry" xr:uid="{D86F38CB-B774-4EA1-8772-3E12D896FEC0}"/>
    <hyperlink ref="N564" r:id="rId2819" display="https://www.cettire.com/collections/mykita" xr:uid="{D615EFBF-5FAE-46F8-85CB-BFB9B73C3301}"/>
    <hyperlink ref="N566" r:id="rId2820" display="https://www.cettire.com/collections/n-21" xr:uid="{6B2F5106-0E9B-4D1D-8196-E4468031B2F0}"/>
    <hyperlink ref="N567" r:id="rId2821" display="https://www.cettire.com/collections/n-21-kids" xr:uid="{ED802BCF-8EF5-4D46-8C51-4A03F06E7A08}"/>
    <hyperlink ref="N568" r:id="rId2822" display="https://www.cettire.com/collections/nana-nana" xr:uid="{F10C46F5-A13F-4930-A722-22DBCD332A6C}"/>
    <hyperlink ref="N569" r:id="rId2823" display="https://www.cettire.com/collections/nanushka" xr:uid="{D5A991A4-6ACD-40E8-B58D-10972FEB0244}"/>
    <hyperlink ref="N570" r:id="rId2824" display="https://www.cettire.com/collections/napa-by-martine-rose" xr:uid="{3526E42E-FCB8-4B5D-A200-B7842BD4A6A9}"/>
    <hyperlink ref="N571" r:id="rId2825" display="https://www.cettire.com/collections/natasha-zinko" xr:uid="{C1601857-C962-4D20-87B7-7EF3B9A2E59D}"/>
    <hyperlink ref="N572" r:id="rId2826" display="https://www.cettire.com/collections/needles" xr:uid="{9C820A0B-2374-4B7E-A3F6-B50DA93EC360}"/>
    <hyperlink ref="N573" r:id="rId2827" display="https://www.cettire.com/collections/neil-barrett" xr:uid="{1DA958C0-9023-4EC1-8206-D13B13983258}"/>
    <hyperlink ref="N574" r:id="rId2828" display="https://www.cettire.com/collections/neil-barrett-kids" xr:uid="{F4963102-E064-4B38-AA19-0BD19338E195}"/>
    <hyperlink ref="N575" r:id="rId2829" display="https://www.cettire.com/collections/neous" xr:uid="{3EBFD48F-46D2-4800-AB07-73F33622CF26}"/>
    <hyperlink ref="N576" r:id="rId2830" display="https://www.cettire.com/collections/new-balance" xr:uid="{22B514BA-73E4-42FE-B420-957E168D11B2}"/>
    <hyperlink ref="N577" r:id="rId2831" display="https://www.cettire.com/collections/new-york-industrie" xr:uid="{74ECC678-0769-4E84-84DD-C2AC33DF61FB}"/>
    <hyperlink ref="N578" r:id="rId2832" display="https://www.cettire.com/collections/nicholas-kirkwood" xr:uid="{DD8779AB-B6CD-4B93-B620-F4D3C09834B8}"/>
    <hyperlink ref="N579" r:id="rId2833" display="https://www.cettire.com/collections/nicomede" xr:uid="{E0A9812E-1213-4A19-B929-28817868A267}"/>
    <hyperlink ref="N580" r:id="rId2834" display="https://www.cettire.com/collections/nike" xr:uid="{B4856197-2626-4E3D-84B5-C3DAF910BE6C}"/>
    <hyperlink ref="N581" r:id="rId2835" display="https://www.cettire.com/collections/nodaleto" xr:uid="{67552D51-95CF-440F-918F-5611D455E468}"/>
    <hyperlink ref="N582" r:id="rId2836" display="https://www.cettire.com/collections/noir-kei-ninomiya" xr:uid="{B18ACBBE-0042-4EF6-A42E-F4017953F872}"/>
    <hyperlink ref="N583" r:id="rId2837" display="https://www.cettire.com/collections/noon-goons" xr:uid="{E7F91BD3-D9B2-445F-9A9B-839F69244057}"/>
    <hyperlink ref="N584" r:id="rId2838" display="https://www.cettire.com/collections/norse-projects" xr:uid="{395AB406-F6E0-47F7-8C61-325E11C02E56}"/>
    <hyperlink ref="N585" r:id="rId2839" display="https://www.cettire.com/collections/north-sails-x-prada-cup" xr:uid="{B8519082-E34F-4576-8661-6F29080F1D79}"/>
    <hyperlink ref="N586" r:id="rId2840" display="https://www.cettire.com/collections/nudie-jeans" xr:uid="{8079201B-7632-4119-A9CF-FFC91542D3A4}"/>
    <hyperlink ref="N588" r:id="rId2841" display="https://www.cettire.com/collections/oakley" xr:uid="{0944FBB9-3CF7-4197-B14F-AAB5C2276B87}"/>
    <hyperlink ref="N589" r:id="rId2842" display="https://www.cettire.com/collections/oamc" xr:uid="{828E0729-892A-411B-A74A-EEE6ECBF45FC}"/>
    <hyperlink ref="N590" r:id="rId2843" display="https://www.cettire.com/collections/off-white" xr:uid="{C75F9F99-DAC9-48C0-95A3-5EA16A51DFF9}"/>
    <hyperlink ref="N591" r:id="rId2844" display="https://www.cettire.com/collections/off-white-kids" xr:uid="{EE49D64F-F030-45E2-B347-797B4E82378E}"/>
    <hyperlink ref="N592" r:id="rId2845" display="https://www.cettire.com/collections/officine-creative" xr:uid="{FA780146-41F6-4940-A6AF-42AB14EF1013}"/>
    <hyperlink ref="N593" r:id="rId2846" display="https://www.cettire.com/collections/oliver-peoples" xr:uid="{B2E1835C-10F7-4893-A934-772825F34A65}"/>
    <hyperlink ref="N594" r:id="rId2847" display="https://www.cettire.com/collections/opening-ceremony" xr:uid="{40360385-C894-4FE7-951D-2266E47B9DE7}"/>
    <hyperlink ref="N595" r:id="rId2848" display="https://www.cettire.com/collections/oseree" xr:uid="{520D7EAC-C84E-4ABA-B56A-B0D897664BDD}"/>
    <hyperlink ref="N596" r:id="rId2849" display="https://www.cettire.com/collections/osoi" xr:uid="{9ABC3C7A-685A-4CDC-AA22-E0201B566D09}"/>
    <hyperlink ref="N597" r:id="rId2850" display="https://www.cettire.com/collections/our-legacy" xr:uid="{F22C7E64-0F6B-4743-8DC1-2C7C632A8F96}"/>
    <hyperlink ref="N599" r:id="rId2851" display="https://www.cettire.com/collections/p-a-r-o-s-h" xr:uid="{4275C3CA-ED18-430B-80D4-24CF72AB3612}"/>
    <hyperlink ref="N600" r:id="rId2852" display="https://www.cettire.com/collections/paccbet" xr:uid="{194796D2-A228-44D2-8337-9A83DABB0B4B}"/>
    <hyperlink ref="N601" r:id="rId2853" display="https://www.cettire.com/collections/paco-rabanne" xr:uid="{5D44DB59-4589-4F6C-9C3D-831A4A583091}"/>
    <hyperlink ref="N602" r:id="rId2854" display="https://www.cettire.com/collections/palm-angels" xr:uid="{FEF3A725-C88F-4768-AA45-57A11867EDAE}"/>
    <hyperlink ref="N603" r:id="rId2855" display="https://www.cettire.com/collections/palm-angels-kids" xr:uid="{1A3EFAEB-635D-4BDE-8935-6338FBF8616D}"/>
    <hyperlink ref="N604" r:id="rId2856" display="https://www.cettire.com/collections/paraboot" xr:uid="{539B268B-5A45-4B22-A1CB-EC3C4EE0E12E}"/>
    <hyperlink ref="N605" r:id="rId2857" display="https://www.cettire.com/collections/parajumpers" xr:uid="{86878334-9BE9-40F6-9241-86CC8DC1B29F}"/>
    <hyperlink ref="N606" r:id="rId2858" display="https://www.cettire.com/collections/paris-texas" xr:uid="{56248E2B-86BA-47EC-9D66-832E0851B443}"/>
    <hyperlink ref="N607" r:id="rId2859" display="https://www.cettire.com/collections/paul-smith" xr:uid="{23A6EBA4-3BBB-45AE-A317-21FAB79E1CE8}"/>
    <hyperlink ref="N608" r:id="rId2860" display="https://www.cettire.com/collections/paura-x-kappa" xr:uid="{F2723319-3816-40DA-8AA3-ED33F7590A98}"/>
    <hyperlink ref="N609" r:id="rId2861" display="https://www.cettire.com/collections/persol" xr:uid="{2FB927D6-DAD0-4373-9916-42E28928A9D1}"/>
    <hyperlink ref="N610" r:id="rId2862" display="https://www.cettire.com/collections/philipp-plein" xr:uid="{91A4D855-2ECA-4B0B-B903-F92BCB6ADE91}"/>
    <hyperlink ref="N611" r:id="rId2863" display="https://www.cettire.com/collections/philipp-plein-junior" xr:uid="{06FAF554-BB7F-457E-8D4D-6B4A88C2CE72}"/>
    <hyperlink ref="N612" r:id="rId2864" display="https://www.cettire.com/collections/philippe-model" xr:uid="{8BEF5689-F777-4566-8B16-56811DE42647}"/>
    <hyperlink ref="N613" r:id="rId2865" display="https://www.cettire.com/collections/philippe-model-paris" xr:uid="{478C0613-CC6C-45FF-81AE-9AC992208021}"/>
    <hyperlink ref="N614" r:id="rId2866" display="https://www.cettire.com/collections/philosophy-di-lorenzo-serafini" xr:uid="{8A5575B2-4984-4753-ACD6-D8A3DA1A5832}"/>
    <hyperlink ref="N615" r:id="rId2867" display="https://www.cettire.com/collections/philosophy-di-lorenzo-serafini-kids" xr:uid="{82B5B466-07EB-46CF-84A0-09645827B074}"/>
    <hyperlink ref="N616" r:id="rId2868" display="https://www.cettire.com/collections/pierre-hardy" xr:uid="{3035E5F4-1405-45E5-AB49-9400B37FDDC8}"/>
    <hyperlink ref="N617" r:id="rId2869" display="https://www.cettire.com/collections/pierre-louis-mascia" xr:uid="{E2FEF558-C553-49B3-826B-8C135D7EBDA9}"/>
    <hyperlink ref="N618" r:id="rId2870" display="https://www.cettire.com/collections/pinko" xr:uid="{83884C8F-8022-47A3-9DDE-F044DCF9652F}"/>
    <hyperlink ref="N619" r:id="rId2871" display="https://www.cettire.com/collections/plan-c" xr:uid="{1739A8E2-C2F5-4E64-AFAD-1F42D86958DD}"/>
    <hyperlink ref="N620" r:id="rId2872" display="https://www.cettire.com/collections/pleats-please-by-issey-miyake" xr:uid="{E364F77C-F113-4825-8F8C-7142CA58C01F}"/>
    <hyperlink ref="N621" r:id="rId2873" display="https://www.cettire.com/collections/polo-ralph-lauren" xr:uid="{1AE67730-ACB2-4A06-9123-D26F10E9996E}"/>
    <hyperlink ref="N622" r:id="rId2874" display="https://www.cettire.com/collections/polo-ralph-lauren-kids" xr:uid="{26AF84C5-172D-402A-9D4F-37855B847ED7}"/>
    <hyperlink ref="N623" r:id="rId2875" display="https://www.cettire.com/collections/porter-yoshida-co" xr:uid="{74FB7583-1555-4399-85B1-B6E79FFF499E}"/>
    <hyperlink ref="N624" r:id="rId2876" display="https://www.cettire.com/collections/ports-1961" xr:uid="{25A300A0-D35A-4A1A-BF3A-65D75409FA5B}"/>
    <hyperlink ref="N625" r:id="rId2877" display="https://www.cettire.com/collections/prada" xr:uid="{58854747-180B-4855-B15F-CE2D1FA02497}"/>
    <hyperlink ref="N626" r:id="rId2878" display="https://www.cettire.com/collections/prada-eyewear" xr:uid="{993FEA0F-F135-41D3-84D8-F3B669CEB3AA}"/>
    <hyperlink ref="N627" r:id="rId2879" display="https://www.cettire.com/collections/premiata" xr:uid="{2FCD4C11-2BD8-47F7-B37C-5EA83F45F36F}"/>
    <hyperlink ref="N628" r:id="rId2880" display="https://www.cettire.com/collections/pressure" xr:uid="{6E70F8E3-434A-4749-B0C3-3520934DE30B}"/>
    <hyperlink ref="N629" r:id="rId2881" display="https://www.cettire.com/collections/proenza-schouler" xr:uid="{89B1A379-9E67-4B5D-BCAD-7D8E1F5E0C39}"/>
    <hyperlink ref="N630" r:id="rId2882" display="https://www.cettire.com/collections/proenza-schouler-white-label" xr:uid="{5AC152C0-9E33-4B53-8A3E-D7A85C19DAEA}"/>
    <hyperlink ref="N631" r:id="rId2883" display="https://www.cettire.com/collections/pt-torino" xr:uid="{EDA73379-B70A-4470-B849-C3A6BD3B9B19}"/>
    <hyperlink ref="N632" r:id="rId2884" display="https://www.cettire.com/collections/pt01" xr:uid="{72727657-1EBC-46B6-8606-37546FB75C2D}"/>
    <hyperlink ref="N633" r:id="rId2885" display="https://www.cettire.com/collections/pt05" xr:uid="{64EE5E73-530D-46D4-99A4-F91667269856}"/>
    <hyperlink ref="N634" r:id="rId2886" display="https://www.cettire.com/collections/puma" xr:uid="{BFBB7077-58A6-4BF4-90CB-11F785FE3590}"/>
    <hyperlink ref="N636" r:id="rId2887" display="https://www.cettire.com/collections/r-m-williams" xr:uid="{F5A997DA-D44F-4C4C-B4BF-D657FB569983}"/>
    <hyperlink ref="N637" r:id="rId2888" display="https://www.cettire.com/collections/r13" xr:uid="{8DC20CDB-6FA5-47D5-86BF-90F63F69D132}"/>
    <hyperlink ref="N638" r:id="rId2889" display="https://www.cettire.com/collections/raf-simons" xr:uid="{ECFF1997-3557-488E-BECB-AC7DED41EEA3}"/>
    <hyperlink ref="N639" r:id="rId2890" display="https://www.cettire.com/collections/rag-bone" xr:uid="{43750808-7335-4363-B19D-CBD035E9F07B}"/>
    <hyperlink ref="N640" r:id="rId2891" display="https://www.cettire.com/collections/ralph-lauren" xr:uid="{B4EB5D64-C308-4301-84E7-FA25043C7595}"/>
    <hyperlink ref="N641" r:id="rId2892" display="https://www.cettire.com/collections/ralph-lauren-kids" xr:uid="{94A4DF9F-7C5E-4F2E-A46B-FE49BA59E634}"/>
    <hyperlink ref="N642" r:id="rId2893" display="https://www.cettire.com/collections/rave-review" xr:uid="{B62427CF-B38C-487E-A88D-C8CFC498F072}"/>
    <hyperlink ref="N643" r:id="rId2894" display="https://www.cettire.com/collections/ray-ban" xr:uid="{AE78E680-F7F1-4846-A6B0-7609F5D007BA}"/>
    <hyperlink ref="N644" r:id="rId2895" display="https://www.cettire.com/collections/re-done" xr:uid="{7BE3B6A8-ADE9-4D64-B014-A6153BEBE229}"/>
    <hyperlink ref="N645" r:id="rId2896" display="https://www.cettire.com/collections/readymade" xr:uid="{4A5DE893-5E75-4B55-B6CF-D660F371BEFF}"/>
    <hyperlink ref="N646" r:id="rId2897" display="https://www.cettire.com/collections/rebecca-minkoff" xr:uid="{1A5941A2-5471-4E00-B5B2-8AF124BD5E0D}"/>
    <hyperlink ref="N647" r:id="rId2898" display="https://www.cettire.com/collections/red-valentino" xr:uid="{D8238C57-8A38-4760-9808-D333791623EC}"/>
    <hyperlink ref="N648" r:id="rId2899" display="https://www.cettire.com/collections/red-wing-shoes" xr:uid="{9703C732-CC4F-462E-8340-761A36FC2493}"/>
    <hyperlink ref="N649" r:id="rId2900" display="https://www.cettire.com/collections/reebok" xr:uid="{177AAEDF-4118-45EB-A98A-867B54DFDDE9}"/>
    <hyperlink ref="N650" r:id="rId2901" display="https://www.cettire.com/collections/reebok-x-victoria-beckham" xr:uid="{44ECD537-D9B7-417D-B023-261A56ABF645}"/>
    <hyperlink ref="N651" r:id="rId2902" display="https://www.cettire.com/collections/reike-nen" xr:uid="{BBFE7E3E-B9E9-4ED5-9734-66FE0472395D}"/>
    <hyperlink ref="N652" r:id="rId2903" display="https://www.cettire.com/collections/rejina-pyo" xr:uid="{B047C615-22A0-4F2E-A7BF-4CE48C3E0C1A}"/>
    <hyperlink ref="N653" r:id="rId2904" display="https://www.cettire.com/collections/rene-caovilla" xr:uid="{50CDD24F-BFC9-43A7-853D-65FEE274B95A}"/>
    <hyperlink ref="N654" r:id="rId2905" display="https://www.cettire.com/collections/represent" xr:uid="{A9C58B5B-5401-4DBE-8A93-0E5A4B987CA4}"/>
    <hyperlink ref="N655" r:id="rId2906" display="https://www.cettire.com/collections/retrosuperfuture" xr:uid="{00C80FFD-2D38-4D25-B2CA-F49504C0A4FB}"/>
    <hyperlink ref="N656" r:id="rId2907" display="https://www.cettire.com/collections/rhude" xr:uid="{508C4F08-4F01-4C8C-8D05-46D26D996151}"/>
    <hyperlink ref="N657" r:id="rId2908" display="https://www.cettire.com/collections/rick-owens" xr:uid="{859053EF-FFA4-482F-A58A-A567DA68656F}"/>
    <hyperlink ref="N658" r:id="rId2909" display="https://www.cettire.com/collections/rick-owens-drkshdw" xr:uid="{415D1705-EED5-4EE7-B07E-602BEC1FCE4C}"/>
    <hyperlink ref="N659" r:id="rId2910" display="https://www.cettire.com/collections/rick-owens-lilies" xr:uid="{EBBB44BF-3F21-41FD-A7CF-A6481C25FE71}"/>
    <hyperlink ref="N660" r:id="rId2911" display="https://www.cettire.com/collections/rick-owens-x-birkenstock" xr:uid="{86BC9F3F-666F-4CA3-B482-B6A7DA4E0CFC}"/>
    <hyperlink ref="N661" r:id="rId2912" display="https://www.cettire.com/collections/rick-owens-x-veja" xr:uid="{86CCD784-8F46-44E1-9B4E-381D25EEB4DD}"/>
    <hyperlink ref="N662" r:id="rId2913" display="https://www.cettire.com/collections/rixo" xr:uid="{EE90A1FB-057D-445D-B68C-01638A6547B8}"/>
    <hyperlink ref="N663" r:id="rId2914" display="https://www.cettire.com/collections/robert-clergerie" xr:uid="{35C5281F-9287-4337-8266-0454264FD609}"/>
    <hyperlink ref="N665" r:id="rId2915" display="https://www.cettire.com/collections/rochas" xr:uid="{94ADC54C-DE4D-4961-8163-049A5794B888}"/>
    <hyperlink ref="N666" r:id="rId2916" display="https://www.cettire.com/collections/rodebjer" xr:uid="{7FF355AA-0648-46AE-8E61-8C2764F630CB}"/>
    <hyperlink ref="N667" r:id="rId2917" display="https://www.cettire.com/collections/roger-vivier" xr:uid="{12CABEB6-8D5A-4870-BEB4-7839DBBBDCD0}"/>
    <hyperlink ref="N668" r:id="rId2918" display="https://www.cettire.com/collections/rombaut" xr:uid="{777C663F-837D-4081-8A76-A758F319D672}"/>
    <hyperlink ref="N669" r:id="rId2919" display="https://www.cettire.com/collections/rosantica" xr:uid="{BEF3DCC3-A530-4477-A67B-3B03402A16AD}"/>
    <hyperlink ref="N670" r:id="rId2920" display="https://www.cettire.com/collections/rotate" xr:uid="{010140D7-7AF6-4531-8DA3-EF53F0D68955}"/>
    <hyperlink ref="N671" r:id="rId2921" display="https://www.cettire.com/collections/ruslan-baginskiy" xr:uid="{3C169739-C131-44AF-9D11-ADD158F7E96C}"/>
    <hyperlink ref="N673" r:id="rId2922" display="https://www.cettire.com/collections/sacai" xr:uid="{88D99105-632F-47A1-B53B-81A8F9BCBDC5}"/>
    <hyperlink ref="N674" r:id="rId2923" display="https://www.cettire.com/collections/saint-laurent" xr:uid="{457D3124-2779-46F9-848B-05F8EA5C1A9B}"/>
    <hyperlink ref="N675" r:id="rId2924" display="https://www.cettire.com/collections/saint-laurent-eyewear" xr:uid="{52C24793-59D8-4E00-8040-678FADD1DA2F}"/>
    <hyperlink ref="N676" r:id="rId2925" display="https://www.cettire.com/collections/saks-potts" xr:uid="{815DD142-C4E6-4402-8A70-584D8B5ACA30}"/>
    <hyperlink ref="N677" r:id="rId2926" display="https://www.cettire.com/collections/salomon-s-lab" xr:uid="{12BEF0F8-20A8-47DF-9F49-81CE1CF5E45F}"/>
    <hyperlink ref="N678" r:id="rId2927" display="https://www.cettire.com/collections/saloni" xr:uid="{E5AB4A51-E01D-4934-AFF4-68FA2F3EB509}"/>
    <hyperlink ref="N679" r:id="rId2928" display="https://www.cettire.com/collections/salvatore-ferragamo" xr:uid="{69AFB902-1F87-4467-B6DB-E554A14752E7}"/>
    <hyperlink ref="N680" r:id="rId2929" display="https://www.cettire.com/collections/salvatore-ferragamo-eyewear" xr:uid="{B5599531-623D-4BE3-AB16-52E31FC0DF77}"/>
    <hyperlink ref="N681" r:id="rId2930" display="https://www.cettire.com/collections/salvatore-santoro" xr:uid="{CFC03E8B-6360-4A1D-9CBB-D5E50F08DF7C}"/>
    <hyperlink ref="N682" r:id="rId2931" display="https://www.cettire.com/collections/santoni" xr:uid="{852CDA8E-D756-479A-92FF-DD882B246B35}"/>
    <hyperlink ref="N683" r:id="rId2932" display="https://www.cettire.com/collections/sara-battaglia" xr:uid="{40320577-A23D-4A7A-A73E-9E0EEA46B53F}"/>
    <hyperlink ref="N684" r:id="rId2933" display="https://www.cettire.com/collections/save-the-duck" xr:uid="{5805315C-E5A9-4ADF-AD38-EB3A13B2F10E}"/>
    <hyperlink ref="N685" r:id="rId2934" display="https://www.cettire.com/collections/save-the-duck-kids" xr:uid="{6CAB0787-8A2B-4413-A8E9-C72892F82AC0}"/>
    <hyperlink ref="N686" r:id="rId2935" display="https://www.cettire.com/collections/see-by-chloe" xr:uid="{488B3492-2639-44F9-9C5A-1CE77E1F3D32}"/>
    <hyperlink ref="N687" r:id="rId2936" display="https://www.cettire.com/collections/self-portrait" xr:uid="{3205941F-BB15-4477-8075-012B7651206A}"/>
    <hyperlink ref="N688" r:id="rId2937" display="https://www.cettire.com/collections/sergio-rossi" xr:uid="{DA76D428-F28B-4CD4-B9C6-52ED68F5674C}"/>
    <hyperlink ref="N689" r:id="rId2938" display="https://www.cettire.com/collections/si-rossi" xr:uid="{7D210BC5-D375-4472-BCB9-BC5D92BB2043}"/>
    <hyperlink ref="N690" r:id="rId2939" display="https://www.cettire.com/collections/sies-marjan" xr:uid="{AEBDDCF8-885A-429A-BA6C-7820913129E3}"/>
    <hyperlink ref="N691" r:id="rId2940" display="https://www.cettire.com/collections/simon-miller" xr:uid="{3DC9C722-6420-4BBA-933B-0CEBF648C834}"/>
    <hyperlink ref="N692" r:id="rId2941" display="https://www.cettire.com/collections/simone-rocha" xr:uid="{0977A672-3830-42D8-ADB0-B3E92CEED43D}"/>
    <hyperlink ref="N693" r:id="rId2942" display="https://www.cettire.com/collections/simonetta" xr:uid="{1581E1CA-B073-42CD-89EB-F90F208B9BE6}"/>
    <hyperlink ref="N694" r:id="rId2943" display="https://www.cettire.com/collections/sofie-dhoore" xr:uid="{3B19121C-5430-4F84-8EC8-3EA2EEFEEF33}"/>
    <hyperlink ref="N695" r:id="rId2944" display="https://www.cettire.com/collections/sonia-rykiel" xr:uid="{AB6718E5-21C5-456A-89BE-BAF8733797FA}"/>
    <hyperlink ref="N696" r:id="rId2945" display="https://www.cettire.com/collections/spalwart" xr:uid="{7C0A157D-102C-4B35-BA0C-832D78FF17E4}"/>
    <hyperlink ref="N697" r:id="rId2946" display="https://www.cettire.com/collections/sportmax" xr:uid="{D707DA20-C8C3-46B8-8831-DC001FB94336}"/>
    <hyperlink ref="N698" r:id="rId2947" display="https://www.cettire.com/collections/sporty-rich" xr:uid="{83D2CF49-491D-433E-A34E-DC79C1D4924D}"/>
    <hyperlink ref="N699" r:id="rId2948" display="https://www.cettire.com/collections/stand-studio" xr:uid="{EEBEF8B7-A83B-48E6-9EC7-23D1A17DB43D}"/>
    <hyperlink ref="N700" r:id="rId2949" display="https://www.cettire.com/collections/staud" xr:uid="{F3F49A31-F8EB-4A61-B81E-7FE7D6B94503}"/>
    <hyperlink ref="N701" r:id="rId2950" display="https://www.cettire.com/collections/stella-mccartney" xr:uid="{EEA3787F-A8D4-492A-9578-5FB8C9685873}"/>
    <hyperlink ref="N702" r:id="rId2951" display="https://www.cettire.com/collections/stella-mccartney-eyewear" xr:uid="{65A59C81-9C15-406D-870A-1514B1C286FF}"/>
    <hyperlink ref="N703" r:id="rId2952" display="https://www.cettire.com/collections/stella-mccartney-kids" xr:uid="{E3E7F0CE-320F-42F4-9EA7-1286139363EB}"/>
    <hyperlink ref="N704" r:id="rId2953" display="https://www.cettire.com/collections/stone-island" xr:uid="{354B4127-4649-41C7-B049-91861445E00A}"/>
    <hyperlink ref="N705" r:id="rId2954" display="https://www.cettire.com/collections/stone-island-junior" xr:uid="{07D31F70-D3E6-497A-B9DD-C47A2EDF38F6}"/>
    <hyperlink ref="N706" r:id="rId2955" display="https://www.cettire.com/collections/stone-island-shadow-project" xr:uid="{8CAA2A0E-8040-43F8-BAD2-B1991F13EFF9}"/>
    <hyperlink ref="N707" r:id="rId2956" display="https://www.cettire.com/collections/stuart-weitzman" xr:uid="{412BCA39-50AC-4957-9170-77E2BFBE23E8}"/>
    <hyperlink ref="N708" r:id="rId2957" display="https://www.cettire.com/collections/studio-amelia" xr:uid="{8E15040C-C181-4D53-8B30-9E9A54FFF472}"/>
    <hyperlink ref="N709" r:id="rId2958" display="https://www.cettire.com/collections/stussy" xr:uid="{9F5BEDF1-C7A8-424F-B2BA-DFE1601FC3BC}"/>
    <hyperlink ref="N710" r:id="rId2959" display="https://www.cettire.com/collections/suicoke" xr:uid="{B7E7BFE2-51DD-4836-9AF4-02A90602771A}"/>
    <hyperlink ref="N711" r:id="rId2960" display="https://www.cettire.com/collections/sunflower" xr:uid="{5137EF20-9CA4-4A46-A2C9-39B913B38BB2}"/>
    <hyperlink ref="N712" r:id="rId2961" display="https://www.cettire.com/collections/sunnei" xr:uid="{3974A367-AA32-4283-90AE-5809B707F5C0}"/>
    <hyperlink ref="N713" r:id="rId2962" display="https://www.cettire.com/collections/swarovski" xr:uid="{9A0D5B77-BFE4-4ACE-892A-15F695AE0F9C}"/>
    <hyperlink ref="N715" r:id="rId2963" display="https://www.cettire.com/collections/t-by-alexander-wang" xr:uid="{98D6EAE5-873F-4202-8D79-257048C716C4}"/>
    <hyperlink ref="N716" r:id="rId2964" display="https://www.cettire.com/collections/tagliatore" xr:uid="{B77A1D59-1685-4AED-B617-FCEE4D6AB01E}"/>
    <hyperlink ref="N718" r:id="rId2965" display="https://www.cettire.com/collections/telfar" xr:uid="{724896E5-4FCF-41E8-AF45-F54FFD92F3CC}"/>
    <hyperlink ref="N719" r:id="rId2966" display="https://www.cettire.com/collections/ten-c" xr:uid="{1E4CC529-2939-4157-9B60-990EBC21DDD9}"/>
    <hyperlink ref="N720" r:id="rId2967" display="https://www.cettire.com/collections/the-attico" xr:uid="{86E1294B-0DC8-4414-8A70-EC1AB1E49D12}"/>
    <hyperlink ref="N721" r:id="rId2968" display="https://www.cettire.com/collections/the-gigi" xr:uid="{6F27C44C-0A9F-407D-A6E0-189EBDD36CC2}"/>
    <hyperlink ref="N722" r:id="rId2969" display="https://www.cettire.com/collections/the-marc-jacobs-kids" xr:uid="{9095B260-83F8-4A52-909E-BC22F1F5DBC2}"/>
    <hyperlink ref="N723" r:id="rId2970" display="https://www.cettire.com/collections/the-north-face" xr:uid="{0757AF8B-8AB7-4312-BF92-8EBDB25D9B2F}"/>
    <hyperlink ref="N724" r:id="rId2971" display="https://www.cettire.com/collections/the-north-face-black-series" xr:uid="{8B47BAEC-DFA6-41D2-AD8B-6D4B3D6C0307}"/>
    <hyperlink ref="N725" r:id="rId2972" display="https://www.cettire.com/collections/the-north-face-kids" xr:uid="{196F2991-80D5-4802-BAC4-D91BF88EDCA7}"/>
    <hyperlink ref="N726" r:id="rId2973" display="https://www.cettire.com/collections/the-row" xr:uid="{524F8B12-4F8E-4A38-B0BC-B43E21FBDB3C}"/>
    <hyperlink ref="N727" r:id="rId2974" display="https://www.cettire.com/collections/themoire" xr:uid="{3CCDDEF0-0E55-4E5E-8E5B-00A98528D03B}"/>
    <hyperlink ref="N728" r:id="rId2975" display="https://www.cettire.com/collections/theory" xr:uid="{C4BAD0F0-60AA-4447-92D8-3370E8A0FAB5}"/>
    <hyperlink ref="N729" r:id="rId2976" display="https://www.cettire.com/collections/thom-browne" xr:uid="{D24F82A0-E724-41BE-8F51-E48F4FE1FECE}"/>
    <hyperlink ref="N730" r:id="rId2977" display="https://www.cettire.com/collections/thom-browne-eyewear" xr:uid="{1E025608-157C-4FDF-B771-F98CB8AF3AD0}"/>
    <hyperlink ref="N732" r:id="rId2978" display="https://www.cettire.com/collections/tods" xr:uid="{2383B4CB-730F-4B43-8ED6-68E205E28197}"/>
    <hyperlink ref="N733" r:id="rId2979" display="https://www.cettire.com/collections/tom-ford" xr:uid="{10CAC649-1EE0-485E-B842-C0D5CB6B16A5}"/>
    <hyperlink ref="N734" r:id="rId2980" display="https://www.cettire.com/collections/tom-ford-eyewear" xr:uid="{5C701301-C726-4B69-A47B-A1CDB036E68F}"/>
    <hyperlink ref="N735" r:id="rId2981" display="https://www.cettire.com/collections/tommy-hilfiger" xr:uid="{017135F6-48E1-4607-BE60-9E87658FC5FE}"/>
    <hyperlink ref="N736" r:id="rId2982" display="https://www.cettire.com/collections/tory-burch" xr:uid="{1A1C157C-A061-4EFD-B3F9-BA3C3B341EF4}"/>
    <hyperlink ref="N737" r:id="rId2983" display="https://www.cettire.com/collections/toteme" xr:uid="{C5285FE4-12C0-4268-872F-3FD2FC94ACED}"/>
    <hyperlink ref="N738" r:id="rId2984" display="https://www.cettire.com/collections/trickers" xr:uid="{DBE77B61-45D8-45EE-B3E3-E40813F522FF}"/>
    <hyperlink ref="N739" r:id="rId2985" display="https://www.cettire.com/collections/trippen" xr:uid="{5318C560-461C-4F6E-AB4A-AB91EC0FFB30}"/>
    <hyperlink ref="N740" r:id="rId2986" display="https://www.cettire.com/collections/twinset" xr:uid="{FACC8246-D23A-46E1-94A0-C9BDC8685364}"/>
    <hyperlink ref="N741" r:id="rId2987" display="https://www.cettire.com/collections/twinset-kids" xr:uid="{9F2D9A30-4240-4084-BF0D-E7CB56254DD4}"/>
    <hyperlink ref="N743" r:id="rId2988" display="https://www.cettire.com/collections/ugg" xr:uid="{7210C7D9-60F2-4021-99B1-D2BFA9D1FA96}"/>
    <hyperlink ref="N744" r:id="rId2989" display="https://www.cettire.com/collections/ugg-kids" xr:uid="{0B981B90-943D-492B-9A4B-2F96BB1E3852}"/>
    <hyperlink ref="N745" r:id="rId2990" display="https://www.cettire.com/collections/uh-nom-uh-nit" xr:uid="{4182E8F6-FFB7-4ECD-9D1A-39D25B589DA4}"/>
    <hyperlink ref="N746" r:id="rId2991" display="https://www.cettire.com/collections/ulla-johnson" xr:uid="{E0DC73F7-F11A-43F0-9DA8-62601FFC8CA1}"/>
    <hyperlink ref="N747" r:id="rId2992" display="https://www.cettire.com/collections/ultrachic" xr:uid="{ABB1E030-AB35-4E36-B777-7626DCD2E9D7}"/>
    <hyperlink ref="N748" r:id="rId2993" display="https://www.cettire.com/collections/uma-wang" xr:uid="{7F38CF88-B507-4FD8-9CEC-65C3B3C594F8}"/>
    <hyperlink ref="N749" r:id="rId2994" display="https://www.cettire.com/collections/undercover" xr:uid="{6EA35187-F11A-4FE2-87DC-87D1593F4AD6}"/>
    <hyperlink ref="N750" r:id="rId2995" display="https://www.cettire.com/collections/unravel-project" xr:uid="{8D89B550-7DC0-4318-8EAD-0532287DA84D}"/>
    <hyperlink ref="N752" r:id="rId2996" display="https://www.cettire.com/collections/valentino" xr:uid="{39F20EDA-DA8F-4FDC-B5D5-7915206405CF}"/>
    <hyperlink ref="N753" r:id="rId2997" display="https://www.cettire.com/collections/valentino-eyewear" xr:uid="{F75C7CB0-3D80-4D71-9B26-D4F6D6F3C67E}"/>
    <hyperlink ref="N754" r:id="rId2998" display="https://www.cettire.com/collections/valextra" xr:uid="{54A7B5C5-7A72-4088-A457-5C817B5CA7AA}"/>
    <hyperlink ref="N755" r:id="rId2999" display="https://www.cettire.com/collections/vans" xr:uid="{238EEFF3-E7BC-42D9-BA65-9DAE60FECC87}"/>
    <hyperlink ref="N756" r:id="rId3000" display="https://www.cettire.com/collections/vans-vault" xr:uid="{2CA309E5-7185-4DC5-82B4-8793A43028AF}"/>
    <hyperlink ref="N757" r:id="rId3001" display="https://www.cettire.com/collections/veja" xr:uid="{70E752CD-54AC-40AF-9103-84370C5AE646}"/>
    <hyperlink ref="N758" r:id="rId3002" display="https://www.cettire.com/collections/veja-kids" xr:uid="{37927D8C-2C19-40CD-BBA5-240F915FFC67}"/>
    <hyperlink ref="N759" r:id="rId3003" display="https://www.cettire.com/collections/versace" xr:uid="{675DABB0-BF45-40C5-B380-64FC6C19FB95}"/>
    <hyperlink ref="N760" r:id="rId3004" display="https://www.cettire.com/collections/versace-collection" xr:uid="{FE34C4D8-9D7A-4C92-AF0D-0C354656D817}"/>
    <hyperlink ref="N761" r:id="rId3005" display="https://www.cettire.com/collections/versace-eyewear" xr:uid="{619B943E-BD6F-4A4A-963B-F63B283CC118}"/>
    <hyperlink ref="N762" r:id="rId3006" display="https://www.cettire.com/collections/versace-jeans-couture" xr:uid="{E737A176-711C-4F0A-92E6-973CF8A2BBCC}"/>
    <hyperlink ref="N763" r:id="rId3007" display="https://www.cettire.com/collections/versace-kids" xr:uid="{34D9956E-3C7B-494C-886D-B463D55B02CD}"/>
    <hyperlink ref="N764" r:id="rId3008" display="https://www.cettire.com/collections/vince" xr:uid="{BDC834A7-E475-4302-8DC2-34BE35729A4D}"/>
    <hyperlink ref="N765" r:id="rId3009" display="https://www.cettire.com/collections/vision-of-super" xr:uid="{FC461714-6A4F-478A-9BBE-C58920707D4F}"/>
    <hyperlink ref="N766" r:id="rId3010" display="https://www.cettire.com/collections/vision-of-super-kids" xr:uid="{80FBD0B0-E9A2-4397-9597-304E939A4C92}"/>
    <hyperlink ref="N767" r:id="rId3011" display="https://www.cettire.com/collections/visvim" xr:uid="{F9EC4E69-4F4B-4A22-A343-2108B799560C}"/>
    <hyperlink ref="N768" r:id="rId3012" display="https://www.cettire.com/collections/vivienne-westwood" xr:uid="{64AF862E-47E9-4EEF-8CC3-3539941F207E}"/>
    <hyperlink ref="N770" r:id="rId3013" display="https://www.cettire.com/collections/wales-bonner" xr:uid="{08755A6D-C794-4F3E-AC36-7D9ED56529C7}"/>
    <hyperlink ref="N771" r:id="rId3014" display="https://www.cettire.com/collections/wandler" xr:uid="{9D895101-0D62-4813-9881-B60ACC11AAAA}"/>
    <hyperlink ref="N772" r:id="rId3015" display="https://www.cettire.com/collections/we11done" xr:uid="{9B4B1E46-414D-4B4A-9894-4F0065D2FDEE}"/>
    <hyperlink ref="N773" r:id="rId3016" display="https://www.cettire.com/collections/weekend-max-mara" xr:uid="{A8CF8D5A-4014-4352-A184-972082FB1B28}"/>
    <hyperlink ref="N774" r:id="rId3017" display="https://www.cettire.com/collections/white-mountaineering" xr:uid="{2EB6D658-84D4-44F9-AC57-8AA2A6F516BA}"/>
    <hyperlink ref="N775" r:id="rId3018" display="https://www.cettire.com/collections/woolrich" xr:uid="{C666A59E-555A-4138-87B6-433817A22B67}"/>
    <hyperlink ref="N776" r:id="rId3019" display="https://www.cettire.com/collections/woolrich-kids" xr:uid="{34254955-E83A-48FE-A792-0756DE32E7CF}"/>
    <hyperlink ref="N777" r:id="rId3020" display="https://www.cettire.com/collections/woolrich-x-griffin" xr:uid="{D89DB1D0-5E19-4B71-BDEE-2C69608F67DB}"/>
    <hyperlink ref="N779" r:id="rId3021" display="https://www.cettire.com/collections/y-3" xr:uid="{98EC325C-0F45-46E6-BAE1-94BB3652C1BB}"/>
    <hyperlink ref="N780" r:id="rId3022" display="https://www.cettire.com/collections/ys" xr:uid="{025D6CAD-E124-43E2-9286-AF2BFE0B0B3C}"/>
    <hyperlink ref="N781" r:id="rId3023" display="https://www.cettire.com/collections/y-project" xr:uid="{79F963B0-894A-408C-B0FA-ED945E99B71E}"/>
    <hyperlink ref="N782" r:id="rId3024" display="https://www.cettire.com/collections/ymc" xr:uid="{C958F560-BA83-49CD-BB2F-C688F559DEC9}"/>
    <hyperlink ref="N783" r:id="rId3025" display="https://www.cettire.com/collections/yohji-yamamoto" xr:uid="{56251CC5-3FF7-469E-B2ED-6D74A0DEF628}"/>
    <hyperlink ref="N784" r:id="rId3026" display="https://www.cettire.com/collections/yuzefi" xr:uid="{2FACF441-AA58-419E-9D68-51E02C1B821B}"/>
    <hyperlink ref="N785" r:id="rId3027" display="https://www.cettire.com/collections/yves-salomon" xr:uid="{A9887139-A3A4-43CC-8620-A480A5E60BAB}"/>
    <hyperlink ref="N787" r:id="rId3028" display="https://www.cettire.com/collections/z-zegna" xr:uid="{EC1E2B67-C821-40BC-BA6C-BB552BA0221A}"/>
    <hyperlink ref="N788" r:id="rId3029" display="https://www.cettire.com/collections/zadig-voltaire" xr:uid="{68C65A40-6531-45EE-8475-F2EBDD995A3D}"/>
    <hyperlink ref="N789" r:id="rId3030" display="https://www.cettire.com/collections/zadig-voltaire-kids" xr:uid="{73489037-795C-4898-91B7-5B5E9947A77C}"/>
    <hyperlink ref="N790" r:id="rId3031" display="https://www.cettire.com/collections/zimmermann" xr:uid="{73D62996-1DFC-4D9D-94BA-86C7A78316A1}"/>
    <hyperlink ref="O135" r:id="rId3032" display="https://www.cettire.com/collections/s-max-mara" xr:uid="{465AF0ED-0524-4BA4-9AC8-C9615EC21233}"/>
    <hyperlink ref="O137" r:id="rId3033" display="https://www.cettire.com/collections/1017-alyx-9sm" xr:uid="{1695D9FC-DE8C-438A-A5E1-F6B4C91B19EA}"/>
    <hyperlink ref="O138" r:id="rId3034" display="https://www.cettire.com/collections/3-1-phillip-lim" xr:uid="{5063FD2D-84EF-4715-AEF7-0F1E15FEA4CD}"/>
    <hyperlink ref="O139" r:id="rId3035" display="https://www.cettire.com/collections/424" xr:uid="{0E523BE9-C13F-49EB-B598-CDA24AFFC842}"/>
    <hyperlink ref="O140" r:id="rId3036" display="https://www.cettire.com/collections/7-for-all-mankind" xr:uid="{F72792E9-52CB-4B95-9714-089ADBBD2A46}"/>
    <hyperlink ref="O141" r:id="rId3037" display="https://www.cettire.com/collections/ug-ss-kids" xr:uid="{39B49061-027A-40E8-B6EA-DFFCABBD29A3}"/>
    <hyperlink ref="O142" r:id="rId3038" display="https://www.cettire.com/collections/lvin-l-in-kids" xr:uid="{6E00FCBC-A1B2-49ED-8318-E859D413D646}"/>
    <hyperlink ref="O143" r:id="rId3039" display="https://www.cettire.com/collections/mm-ilfig-r-kids" xr:uid="{D558D338-BE24-4922-B48A-50D457079009}"/>
    <hyperlink ref="O145" r:id="rId3040" display="https://www.cettire.com/collections/a-cold-wall" xr:uid="{B04D0FA6-28C4-4D8A-93F0-699D52CCFF05}"/>
    <hyperlink ref="O146" r:id="rId3041" display="https://www.cettire.com/collections/a-p-c" xr:uid="{C4EF8324-D5A6-4698-B11B-BED772B0E855}"/>
    <hyperlink ref="O147" r:id="rId3042" display="https://www.cettire.com/collections/a-w-a-k-e-mode" xr:uid="{0F0D883C-D0E8-4468-9810-DA2DE5CA3336}"/>
    <hyperlink ref="O148" r:id="rId3043" display="https://www.cettire.com/collections/abra" xr:uid="{A39E73F3-BC95-4EA0-ABEB-04DA43272340}"/>
    <hyperlink ref="O149" r:id="rId3044" display="https://www.cettire.com/collections/ader-error" xr:uid="{E8F030D1-A2D8-4B72-B7AC-D9FBD3E8A54F}"/>
    <hyperlink ref="O150" r:id="rId3045" display="https://www.cettire.com/collections/adidas" xr:uid="{E90C2C58-BC1A-4A04-B5A9-5589FB3258B5}"/>
    <hyperlink ref="O151" r:id="rId3046" display="https://www.cettire.com/collections/adidas-by-danielle-cathari" xr:uid="{D35B780B-1DCD-4110-86BE-A2D74938C3CF}"/>
    <hyperlink ref="O152" r:id="rId3047" display="https://www.cettire.com/collections/adidas-by-human-made" xr:uid="{31A1E209-3B2F-4D84-ABB7-2C8513E674FF}"/>
    <hyperlink ref="O153" r:id="rId3048" display="https://www.cettire.com/collections/adidas-by-pharrell-williams" xr:uid="{37B28715-17EC-4AC9-A76C-C8D038DD6834}"/>
    <hyperlink ref="O154" r:id="rId3049" display="https://www.cettire.com/collections/adidas-by-raf-simons" xr:uid="{B4EA3609-42C1-485B-B75B-EFFFE69A9B68}"/>
    <hyperlink ref="O155" r:id="rId3050" display="https://www.cettire.com/collections/adidas-by-stella-mccartney" xr:uid="{154822A9-BD0B-4307-82A4-F61D4F0A7407}"/>
    <hyperlink ref="O156" r:id="rId3051" display="https://www.cettire.com/collections/adidas-by-wales-bonner" xr:uid="{05D008AE-3F16-4C1E-B767-D8788CDC159A}"/>
    <hyperlink ref="O157" r:id="rId3052" display="https://www.cettire.com/collections/adidas-kids" xr:uid="{15744AD2-5FDE-4E97-AD05-A76B65E2370B}"/>
    <hyperlink ref="O158" r:id="rId3053" display="https://www.cettire.com/collections/adidas-originals" xr:uid="{E64FB413-0586-448E-987F-2CD91A87B76E}"/>
    <hyperlink ref="O159" r:id="rId3054" display="https://www.cettire.com/collections/adidas-originals-by-alexander-wang" xr:uid="{A1ADB2AF-3FBB-4122-A21C-295304EFF7BC}"/>
    <hyperlink ref="O160" r:id="rId3055" display="https://www.cettire.com/collections/adriana-degreas" xr:uid="{8E0C1B8B-23C1-40F6-A5C7-A6F5B9D507E0}"/>
    <hyperlink ref="O161" r:id="rId3056" display="https://www.cettire.com/collections/aeyd%C4%93" xr:uid="{BCFE8C5B-0F34-4372-911D-3C57E873EAD6}"/>
    <hyperlink ref="O162" r:id="rId3057" display="https://www.cettire.com/collections/agnona" xr:uid="{CDDA48EF-5F8C-4877-82C7-BB0B7C938072}"/>
    <hyperlink ref="O163" r:id="rId3058" display="https://www.cettire.com/collections/agolde" xr:uid="{F0494DCB-CBD1-410F-B009-1785EEA6C481}"/>
    <hyperlink ref="O164" r:id="rId3059" display="https://www.cettire.com/collections/alaia" xr:uid="{524DEEE8-B71F-4293-B376-5F2922289972}"/>
    <hyperlink ref="O165" r:id="rId3060" display="https://www.cettire.com/collections/alanui" xr:uid="{F23D4E3F-C12A-40EA-A320-6ED2112EE95C}"/>
    <hyperlink ref="O166" r:id="rId3061" display="https://www.cettire.com/collections/alberta-ferretti" xr:uid="{4B6EDD59-3140-41D9-A5A4-BC65B65863AF}"/>
    <hyperlink ref="O167" r:id="rId3062" display="https://www.cettire.com/collections/alberta-ferretti-kids" xr:uid="{3E4DC9A3-07ED-4F56-854A-126BAE8AE421}"/>
    <hyperlink ref="O169" r:id="rId3063" display="https://www.cettire.com/collections/alessandra-rich" xr:uid="{B46CF96A-435F-47E3-A467-505933F0CB38}"/>
    <hyperlink ref="O171" r:id="rId3064" display="https://www.cettire.com/collections/alexander-mcqueen" xr:uid="{C299BF20-7485-49EF-83FA-02C86E3992EB}"/>
    <hyperlink ref="O172" r:id="rId3065" display="https://www.cettire.com/collections/alexander-mcqueen-eyewear" xr:uid="{586F6FDD-33F6-444A-9052-5EA0C15209C8}"/>
    <hyperlink ref="O173" r:id="rId3066" display="https://www.cettire.com/collections/alexander-mcqueen-kids" xr:uid="{9054D07E-16A1-4335-B20F-456BD5101FBA}"/>
    <hyperlink ref="O174" r:id="rId3067" display="https://www.cettire.com/collections/alexander-wang" xr:uid="{7EC3826C-63F8-4549-BA79-C15A8C99B0DB}"/>
    <hyperlink ref="O175" r:id="rId3068" display="https://www.cettire.com/collections/alexandre-vauthier" xr:uid="{E063E9E3-0CBE-4EB6-BB1F-2AAE904D7A3D}"/>
    <hyperlink ref="O176" r:id="rId3069" display="https://www.cettire.com/collections/allude" xr:uid="{5014C82D-D285-4C7E-B279-A2B5B55AB85A}"/>
    <hyperlink ref="O177" r:id="rId3070" display="https://www.cettire.com/collections/alpha-industries" xr:uid="{2911CECA-8249-4E78-BBA6-B08E27548F80}"/>
    <hyperlink ref="O178" r:id="rId3071" display="https://www.cettire.com/collections/ambush" xr:uid="{3D8D523D-5A78-45CD-8CE0-C118D45BC77E}"/>
    <hyperlink ref="O180" r:id="rId3072" display="https://www.cettire.com/collections/ami" xr:uid="{F366B81A-AAC9-4AC8-AA18-FC5ED077C5CD}"/>
    <hyperlink ref="O181" r:id="rId3073" display="https://www.cettire.com/collections/amina-muaddi" xr:uid="{3B425159-D54D-4BD7-81B2-C4F8C918AA93}"/>
    <hyperlink ref="O182" r:id="rId3074" display="https://www.cettire.com/collections/amiri" xr:uid="{60BFBA6D-F65B-4293-8AE1-2086AF90A48F}"/>
    <hyperlink ref="O183" r:id="rId3075" display="https://www.cettire.com/collections/ancient-greek-sandals" xr:uid="{81361840-1F6D-47CA-B8CE-3E3952580B67}"/>
    <hyperlink ref="O184" r:id="rId3076" display="https://www.cettire.com/collections/andersson-bell" xr:uid="{87F55F6C-0D4B-443B-A2D4-2D40C2C1A24D}"/>
    <hyperlink ref="O185" r:id="rId3077" display="https://www.cettire.com/collections/anita-bilardi" xr:uid="{781CA553-664B-4C58-9AE2-3EBEC95399E4}"/>
    <hyperlink ref="O186" r:id="rId3078" display="https://www.cettire.com/collections/aniye-by" xr:uid="{E44ABF64-C4AE-44B3-91CC-205367013C32}"/>
    <hyperlink ref="O188" r:id="rId3079" display="https://www.cettire.com/collections/ann-demeulemeester" xr:uid="{2DAD1916-FB67-445E-BFE9-244A462DE978}"/>
    <hyperlink ref="O190" r:id="rId3080" display="https://www.cettire.com/collections/anya-hindmarch" xr:uid="{DA6243BE-1F4D-4F25-8F4B-FF37F737FF38}"/>
    <hyperlink ref="O191" r:id="rId3081" display="https://www.cettire.com/collections/apesi" xr:uid="{865BB2E6-CD24-4859-8940-35A6F9FA17B7}"/>
    <hyperlink ref="O192" r:id="rId3082" display="https://www.cettire.com/collections/aquazzura" xr:uid="{2D948EFE-06BA-4E31-B13B-0101623C981A}"/>
    <hyperlink ref="O193" r:id="rId3083" display="https://www.cettire.com/collections/aragona" xr:uid="{57BF13B3-A25B-474F-B868-FB0C7F5D2B7D}"/>
    <hyperlink ref="O194" r:id="rId3084" display="https://www.cettire.com/collections/area" xr:uid="{A0F5CA69-E67A-4808-BE53-B41CD17C23A8}"/>
    <hyperlink ref="O195" r:id="rId3085" display="https://www.cettire.com/collections/aries" xr:uid="{1423D809-44AA-4BF2-A9C3-881AF50E2A4B}"/>
    <hyperlink ref="O196" r:id="rId3086" display="https://www.cettire.com/collections/arizona-love" xr:uid="{24769215-D097-4832-9A48-BE4CFB85860E}"/>
    <hyperlink ref="O198" r:id="rId3087" display="https://www.cettire.com/collections/art-dealer" xr:uid="{EF25935B-286B-4E54-834B-96D15E23AD7E}"/>
    <hyperlink ref="O199" r:id="rId3088" display="https://www.cettire.com/collections/ash" xr:uid="{93DB215A-42DF-4D0A-A948-7D13712237DA}"/>
    <hyperlink ref="O200" r:id="rId3089" display="https://www.cettire.com/collections/asics" xr:uid="{462752DC-0465-4543-83FD-AF1F0822A250}"/>
    <hyperlink ref="O201" r:id="rId3090" display="https://www.cettire.com/collections/aspesi" xr:uid="{9E275164-6EE2-4298-9854-8F851450CC21}"/>
    <hyperlink ref="O203" r:id="rId3091" display="https://www.cettire.com/collections/au-depart" xr:uid="{0B92A30F-E9CC-4A98-860A-C787F0701BB9}"/>
    <hyperlink ref="O204" r:id="rId3092" display="https://www.cettire.com/collections/autry" xr:uid="{A5DDB4A3-04A6-4AA7-975F-76B0FFC9D5D9}"/>
    <hyperlink ref="O205" r:id="rId3093" display="https://www.cettire.com/collections/axel-arigato" xr:uid="{711AF7D0-2E97-4B88-BDDF-97F48A0F10F7}"/>
    <hyperlink ref="O207" r:id="rId3094" display="https://www.cettire.com/collections/b-low-the-belt" xr:uid="{A80FA7B6-5C8B-4704-BF1A-14B1CAA312FE}"/>
    <hyperlink ref="O208" r:id="rId3095" display="https://www.cettire.com/collections/balenciaga" xr:uid="{CE6CFB2B-0429-48FE-8A05-D1082EF7802E}"/>
    <hyperlink ref="O209" r:id="rId3096" display="https://www.cettire.com/collections/balenciaga-eyewear" xr:uid="{2148A2C1-4036-4FA1-A0E4-BA8D4D4B8A29}"/>
    <hyperlink ref="O210" r:id="rId3097" display="https://www.cettire.com/collections/balenciaga-kids" xr:uid="{01FEF1F2-1407-4ED2-81C1-90F87120C9CD}"/>
    <hyperlink ref="O212" r:id="rId3098" display="https://www.cettire.com/collections/bally" xr:uid="{2F8A48F2-4045-4D56-B617-ABA4BE4FE0F1}"/>
    <hyperlink ref="O213" r:id="rId3099" display="https://www.cettire.com/collections/balmain" xr:uid="{2CD51011-C9CB-4D7B-A1BE-E0FEF9F793FC}"/>
    <hyperlink ref="O214" r:id="rId3100" display="https://www.cettire.com/collections/balmain-kids" xr:uid="{37504CCC-2E40-4EDB-B2EC-C76E0C6E7427}"/>
    <hyperlink ref="O215" r:id="rId3101" display="https://www.cettire.com/collections/bao-bao-issey-miyake" xr:uid="{08631AE2-DE32-4824-A375-BFC08F28B498}"/>
    <hyperlink ref="O217" r:id="rId3102" display="https://www.cettire.com/collections/barbour" xr:uid="{140234D6-32DA-461A-8A6E-03C0268514BD}"/>
    <hyperlink ref="O218" r:id="rId3103" display="https://www.cettire.com/collections/barena" xr:uid="{07F9835E-7047-40A9-ABF7-7092FF79ED86}"/>
    <hyperlink ref="O220" r:id="rId3104" display="https://www.cettire.com/collections/barrow" xr:uid="{3A749304-2D64-4A86-8561-6E2791C84299}"/>
    <hyperlink ref="O221" r:id="rId3105" display="https://www.cettire.com/collections/baum-und-pferdgarten" xr:uid="{88F2BFD3-A98C-4766-A5B1-468071EC3E82}"/>
    <hyperlink ref="O222" r:id="rId3106" display="https://www.cettire.com/collections/belstaff" xr:uid="{286D7751-3A94-4AA5-9DCD-3B2904D0FEC8}"/>
    <hyperlink ref="O223" r:id="rId3107" display="https://www.cettire.com/collections/berluti" xr:uid="{703AA118-3FB7-4BA7-A2B4-E8AFAFE049ED}"/>
    <hyperlink ref="O224" r:id="rId3108" display="https://www.cettire.com/collections/billieblush" xr:uid="{0B4F7CFD-D2C2-483F-A745-8CEEFB5EB2A8}"/>
    <hyperlink ref="O225" r:id="rId3109" display="https://www.cettire.com/collections/billionaire" xr:uid="{7DFF2192-13CE-4226-91B4-8D77F6E364DB}"/>
    <hyperlink ref="O226" r:id="rId3110" display="https://www.cettire.com/collections/billionaire-boys-club" xr:uid="{3D0E9F5D-62DF-4F26-A0F5-04C5959A617C}"/>
    <hyperlink ref="O227" r:id="rId3111" display="https://www.cettire.com/collections/birkenstock" xr:uid="{7F21066E-EADF-4A03-A4A8-F19E0DEBE52F}"/>
    <hyperlink ref="O228" r:id="rId3112" display="https://www.cettire.com/collections/bobo-choses" xr:uid="{D5DE3EE3-B111-4B83-91CB-56FFBE9594D6}"/>
    <hyperlink ref="O230" r:id="rId3113" display="https://www.cettire.com/collections/bode" xr:uid="{A061A015-6891-49D1-BA26-31E923C4F490}"/>
    <hyperlink ref="O231" r:id="rId3114" display="https://www.cettire.com/collections/boglioli" xr:uid="{FEEC998E-3A65-4A9C-BACB-0D2C0B633F70}"/>
    <hyperlink ref="O232" r:id="rId3115" display="https://www.cettire.com/collections/bonpoint" xr:uid="{B9FA8CE6-0434-4E33-9C63-3F20083693F5}"/>
    <hyperlink ref="O233" r:id="rId3116" display="https://www.cettire.com/collections/bottega-veneta" xr:uid="{6DB24563-5957-47D3-A95D-BA1AD2A94952}"/>
    <hyperlink ref="O234" r:id="rId3117" display="https://www.cettire.com/collections/bottega-veneta-eyewear" xr:uid="{0E34F389-1D16-499C-BB45-C4C79D8F1AE9}"/>
    <hyperlink ref="O236" r:id="rId3118" display="https://www.cettire.com/collections/boutique-moschino" xr:uid="{C2C47C15-FD25-4F7E-A4AF-B89563A93302}"/>
    <hyperlink ref="O237" r:id="rId3119" display="https://www.cettire.com/collections/boyy" xr:uid="{C556C3E8-6448-4831-B758-639B656A35DC}"/>
    <hyperlink ref="O239" r:id="rId3120" display="https://www.cettire.com/collections/brunello-cucinelli" xr:uid="{379AC40F-AC4A-427A-8514-F449F8E9DC07}"/>
    <hyperlink ref="O240" r:id="rId3121" display="https://www.cettire.com/collections/brunello-cucinelli-kids" xr:uid="{18A3834B-54E1-4A61-9FC7-1013745464E3}"/>
    <hyperlink ref="O242" r:id="rId3122" display="https://www.cettire.com/collections/bulgari" xr:uid="{8B3A556B-9031-498B-BBAB-60B40CF90F27}"/>
    <hyperlink ref="O243" r:id="rId3123" display="https://www.cettire.com/collections/burberry" xr:uid="{5D15C24E-5430-4044-8D18-0C9CB4CC5EE4}"/>
    <hyperlink ref="O244" r:id="rId3124" display="https://www.cettire.com/collections/burberry-eyewear" xr:uid="{9D6A10E7-F4D3-41BC-B93C-10BF20E3642E}"/>
    <hyperlink ref="O245" r:id="rId3125" display="https://www.cettire.com/collections/burberry-kids" xr:uid="{87389893-69B1-4C80-8019-AF1C14704626}"/>
    <hyperlink ref="O246" r:id="rId3126" display="https://www.cettire.com/collections/buscemi" xr:uid="{CDFCEB86-252D-4CC1-BFE5-4E3354C69D06}"/>
    <hyperlink ref="O247" r:id="rId3127" display="https://www.cettire.com/collections/buttero" xr:uid="{A747C20B-A8E4-407A-848F-2B3FFF020F49}"/>
    <hyperlink ref="O248" r:id="rId3128" display="https://www.cettire.com/collections/by-far" xr:uid="{EBC6D98F-065B-4425-A63E-2690D572CD1C}"/>
    <hyperlink ref="O250" r:id="rId3129" display="https://www.cettire.com/collections/c-p-company" xr:uid="{31EE4118-9CA5-4709-94E2-C476EFB8E7EF}"/>
    <hyperlink ref="O251" r:id="rId3130" display="https://www.cettire.com/collections/c-p-company-kids" xr:uid="{D9FDBA93-FF06-4417-A873-580990F5D805}"/>
    <hyperlink ref="O252" r:id="rId3131" display="https://www.cettire.com/collections/c2h4" xr:uid="{D4B00F90-76A7-48A7-92B1-C9AE4748D95C}"/>
    <hyperlink ref="O253" r:id="rId3132" display="https://www.cettire.com/collections/calvin-klein" xr:uid="{833EB3EE-83F1-40AF-9A92-F6418F0FF565}"/>
    <hyperlink ref="O255" r:id="rId3133" display="https://www.cettire.com/collections/canada-goose" xr:uid="{497F603D-E26A-4279-88CC-82E10EBBAE66}"/>
    <hyperlink ref="O256" r:id="rId3134" display="https://www.cettire.com/collections/canada-goose-kids" xr:uid="{0072E9D8-676D-4486-9B0D-B78168CA40E7}"/>
    <hyperlink ref="O257" r:id="rId3135" display="https://www.cettire.com/collections/canali" xr:uid="{9CC140CC-0E11-4FE0-A07D-F43D3C90DA8B}"/>
    <hyperlink ref="O258" r:id="rId3136" display="https://www.cettire.com/collections/car-shoe" xr:uid="{31E692DE-1AD4-40F5-AA05-D832C4D8DE16}"/>
    <hyperlink ref="O259" r:id="rId3137" display="https://www.cettire.com/collections/carhartt" xr:uid="{CE0F3861-11AA-4B4C-BD6D-08DD77521C87}"/>
    <hyperlink ref="O260" r:id="rId3138" display="https://www.cettire.com/collections/carhartt-wip" xr:uid="{C5A34CB8-3B62-440F-96CA-FF338F1A197B}"/>
    <hyperlink ref="O262" r:id="rId3139" display="https://www.cettire.com/collections/cartier" xr:uid="{58E042AF-FE50-463A-B5FA-449BF74BEA8C}"/>
    <hyperlink ref="O264" r:id="rId3140" display="https://www.cettire.com/collections/casablanca" xr:uid="{0760C508-B4AE-40BF-B33F-4836A0CC9B0E}"/>
    <hyperlink ref="O265" r:id="rId3141" display="https://www.cettire.com/collections/casta%C3%B1er" xr:uid="{4BB75A92-F44A-4623-AEB8-9DD4F5E11180}"/>
    <hyperlink ref="O266" r:id="rId3142" display="https://www.cettire.com/collections/cc-collection-corneliani" xr:uid="{C5CD808F-54CE-48A9-8B25-3F3B346EF3F6}"/>
    <hyperlink ref="O267" r:id="rId3143" display="https://www.cettire.com/collections/cecilie-bahnsen" xr:uid="{395A5E12-BADB-429F-BF4B-F8D3A2F06759}"/>
    <hyperlink ref="O269" r:id="rId3144" display="https://www.cettire.com/collections/chanel" xr:uid="{780CAB15-DCD3-43C3-BF9B-834071CE35DD}"/>
    <hyperlink ref="O270" r:id="rId3145" display="https://www.cettire.com/collections/chiara-ferragni" xr:uid="{759E656E-3C84-462B-8616-485561107487}"/>
    <hyperlink ref="O271" r:id="rId3146" display="https://www.cettire.com/collections/chiara-ferragni-kids" xr:uid="{DBAB6EF6-0253-4395-BF02-658F2A0ED6DC}"/>
    <hyperlink ref="O272" r:id="rId3147" display="https://www.cettire.com/collections/chie-mihara" xr:uid="{7D101E2C-532F-4C5F-AF70-4CDC57F5FBC5}"/>
    <hyperlink ref="O274" r:id="rId3148" display="https://www.cettire.com/collections/chloe" xr:uid="{D744B0CE-0443-421F-9A51-0F3A7DA4B009}"/>
    <hyperlink ref="O275" r:id="rId3149" display="https://www.cettire.com/collections/chloe-eyewear" xr:uid="{DE08FEBD-A2A6-4BFD-A3D9-5ADDB8D481AD}"/>
    <hyperlink ref="O276" r:id="rId3150" display="https://www.cettire.com/collections/chlo%C3%A9 kids" xr:uid="{E3AF7C07-7233-4617-8ADB-83BF9EE7A56E}"/>
    <hyperlink ref="O277" r:id="rId3151" display="https://www.cettire.com/collections/chopard-eyewear" xr:uid="{0522DC7D-39F7-4880-B79A-B60C7DE1B851}"/>
    <hyperlink ref="O278" r:id="rId3152" display="https://www.cettire.com/collections/chopova-lowena" xr:uid="{067BABF7-9148-4475-8220-47C8EC618319}"/>
    <hyperlink ref="O279" r:id="rId3153" display="https://www.cettire.com/collections/christian-louboutin" xr:uid="{3027D7CB-BEE2-4DC1-896B-18AA634953A1}"/>
    <hyperlink ref="O280" r:id="rId3154" display="https://www.cettire.com/collections/churchs" xr:uid="{1DE6B3BD-E571-4C8C-B8BC-97F6E2EF60AC}"/>
    <hyperlink ref="O282" r:id="rId3155" display="https://www.cettire.com/collections/citizens-of-humanity" xr:uid="{98B898E3-953A-467E-A9F3-AA69B97B2205}"/>
    <hyperlink ref="O283" r:id="rId3156" display="https://www.cettire.com/collections/co" xr:uid="{4FC38E0E-12EA-4766-945F-11246E4088D6}"/>
    <hyperlink ref="O284" r:id="rId3157" display="https://www.cettire.com/collections/coach" xr:uid="{D4F414FE-C9B9-48B2-A326-4A843E52D5A9}"/>
    <hyperlink ref="O285" r:id="rId3158" display="https://www.cettire.com/collections/coliac" xr:uid="{565906A8-151F-4873-80C8-E874E651F6D6}"/>
    <hyperlink ref="O286" r:id="rId3159" display="https://www.cettire.com/collections/collina-strada" xr:uid="{ED78DCC2-BF7C-4076-A3ED-66B245C09FCF}"/>
    <hyperlink ref="O287" r:id="rId3160" display="https://www.cettire.com/collections/comme-des-garcons" xr:uid="{63460204-C0FE-4AA0-955E-6D20E4BDDB86}"/>
    <hyperlink ref="O288" r:id="rId3161" display="https://www.cettire.com/collections/comme-des-garcons-comme-des-garcons" xr:uid="{63282C7A-78D0-415C-A21B-4A17682E81A4}"/>
    <hyperlink ref="O289" r:id="rId3162" display="https://www.cettire.com/collections/comme-des-garcons-girl" xr:uid="{B03594D7-78C1-4A10-8617-94983E81F9EE}"/>
    <hyperlink ref="O290" r:id="rId3163" display="https://www.cettire.com/collections/comme-des-garcons-homme-plus" xr:uid="{8DC91E90-B1A9-46AA-A6EB-A17F6A2FFFD6}"/>
    <hyperlink ref="O291" r:id="rId3164" display="https://www.cettire.com/collections/comme-des-garcons-noir-kei-ninomiya" xr:uid="{D2FEBDF9-BCBB-486C-9418-DEB18D143A46}"/>
    <hyperlink ref="O292" r:id="rId3165" display="https://www.cettire.com/collections/comme-des-garcons-play" xr:uid="{B62673AB-C90E-479B-B4E8-C48B6B7FEABA}"/>
    <hyperlink ref="O293" r:id="rId3166" display="https://www.cettire.com/collections/comme des garcons play kids" xr:uid="{B745FD10-FE1D-4605-BE6E-745F6FAC7454}"/>
    <hyperlink ref="O294" r:id="rId3167" display="https://www.cettire.com/collections/comme-des-garcons-shirt" xr:uid="{3A0DA28B-7A37-4109-A537-1B507281C00C}"/>
    <hyperlink ref="O296" r:id="rId3168" display="https://www.cettire.com/collections/comme-des-garcons-wallet" xr:uid="{1F69495E-C54C-48AE-81EA-17BD328A1C1F}"/>
    <hyperlink ref="O297" r:id="rId3169" display="https://www.cettire.com/collections/common-projects" xr:uid="{627E0E7E-6296-47E8-B354-CCDB48A49E10}"/>
    <hyperlink ref="O298" r:id="rId3170" display="https://www.cettire.com/collections/converse" xr:uid="{745FEAF5-6BBF-4F12-963B-09707727A9AD}"/>
    <hyperlink ref="O299" r:id="rId3171" display="https://www.cettire.com/collections/coperni" xr:uid="{F2C67EAD-0811-4F2D-AA53-F2F4B072CE3C}"/>
    <hyperlink ref="O300" r:id="rId3172" display="https://www.cettire.com/collections/corneliani" xr:uid="{4A3E2E0D-91D2-4E78-B84C-BEA02A2C7660}"/>
    <hyperlink ref="O301" r:id="rId3173" display="https://www.cettire.com/collections/courreges-eyewear" xr:uid="{08504F38-F1CB-43C7-9579-14FBCEFD097C}"/>
    <hyperlink ref="O302" r:id="rId3174" display="https://www.cettire.com/collections/craig-green" xr:uid="{6FFB6DB3-1410-4C45-89F8-4BB71CACD894}"/>
    <hyperlink ref="O303" r:id="rId3175" display="https://www.cettire.com/collections/cult-gaia" xr:uid="{3E09EAC9-97BF-45BF-8AB6-EFC267EECA43}"/>
    <hyperlink ref="O305" r:id="rId3176" display="https://www.cettire.com/collections/cutler-gross" xr:uid="{F4AF0A68-3371-491C-A9DB-99A0BE9FDEB2}"/>
    <hyperlink ref="O307" r:id="rId3177" display="https://www.cettire.com/collections/daily-paper" xr:uid="{B4732328-F956-449F-AD52-438060428A42}"/>
    <hyperlink ref="O308" r:id="rId3178" display="https://www.cettire.com/collections/danse-lente" xr:uid="{20C4A0B6-5F61-4CAA-9396-40FF20A3DABB}"/>
    <hyperlink ref="O309" r:id="rId3179" display="https://www.cettire.com/collections/delvaux" xr:uid="{F5EF090F-4D6A-46B4-9586-C8E029B1F9FC}"/>
    <hyperlink ref="O310" r:id="rId3180" display="https://www.cettire.com/collections/department-5" xr:uid="{BD4FC792-20EC-422F-9176-DED1FCE7ABCE}"/>
    <hyperlink ref="O312" r:id="rId3181" display="https://www.cettire.com/collections/diadora" xr:uid="{57CF508D-70A0-4B42-AE41-0CEF8BBE70F0}"/>
    <hyperlink ref="O313" r:id="rId3182" display="https://www.cettire.com/collections/diane-von-furstenberg" xr:uid="{AEBEA412-3EA2-4454-B4BA-3F8C9C977A4A}"/>
    <hyperlink ref="O314" r:id="rId3183" display="https://www.cettire.com/collections/diemme" xr:uid="{AB4EE401-8CD0-42F8-98BD-339E5CCD9279}"/>
    <hyperlink ref="O315" r:id="rId3184" display="https://www.cettire.com/collections/diesel" xr:uid="{10E1698D-C4C3-4CAA-85A3-BEE4F194868D}"/>
    <hyperlink ref="O317" r:id="rId3185" display="https://www.cettire.com/collections/diesel-kids" xr:uid="{084A8199-4BDB-4C1A-A698-5DA9CED1994E}"/>
    <hyperlink ref="O318" r:id="rId3186" display="https://www.cettire.com/collections/diesel-red-tag" xr:uid="{734CC44C-FA5D-46E3-A0D5-A108252A5FC6}"/>
    <hyperlink ref="O319" r:id="rId3187" display="https://www.cettire.com/collections/dior" xr:uid="{F330B6C0-6880-41EA-BCD7-F0B76E072EBA}"/>
    <hyperlink ref="O320" r:id="rId3188" display="https://www.cettire.com/collections/dior-eyewear" xr:uid="{FCB07100-B40D-4A28-8D33-207F4776DBB2}"/>
    <hyperlink ref="O321" r:id="rId3189" display="https://www.cettire.com/collections/dior-homme" xr:uid="{7F6DA661-3F39-4911-B7B0-765C3B62A6E4}"/>
    <hyperlink ref="O322" r:id="rId3190" display="https://www.cettire.com/collections/dita-eyewear" xr:uid="{6D211BDF-90DB-4660-831E-44377FC29C50}"/>
    <hyperlink ref="O323" r:id="rId3191" display="https://www.cettire.com/collections/dkny-kids" xr:uid="{2AFC7BB4-6668-48AE-99ED-75A76380FD49}"/>
    <hyperlink ref="O324" r:id="rId3192" display="https://www.cettire.com/collections/dodo-bar-or" xr:uid="{1D8E4E89-9BAD-43D9-ACDE-DB8DAC0FD340}"/>
    <hyperlink ref="O325" r:id="rId3193" display="https://www.cettire.com/collections/dolce-gabbana" xr:uid="{7239BD02-4F3E-4AE3-A456-0837A752E32D}"/>
    <hyperlink ref="O326" r:id="rId3194" display="https://www.cettire.com/collections/dolce-gabbana-eyewear" xr:uid="{10BEE9FF-27AC-4ACB-8AF4-8EB32C7604AA}"/>
    <hyperlink ref="O327" r:id="rId3195" display="https://www.cettire.com/collections/dolce-gabbana-kids" xr:uid="{2E142418-0D4F-43D3-B2E7-9A06231D6625}"/>
    <hyperlink ref="O328" r:id="rId3196" display="https://www.cettire.com/collections/dr-martens" xr:uid="{8F3881CD-2C40-4436-936B-9C5CF16993FB}"/>
    <hyperlink ref="O329" r:id="rId3197" display="https://www.cettire.com/collections/drole-de-monsieur" xr:uid="{0AF86567-4D84-4063-8BE9-16BB5C365F9D}"/>
    <hyperlink ref="O330" r:id="rId3198" display="https://www.cettire.com/collections/dsquared2" xr:uid="{5F4A7769-1F67-4DE6-9C06-DE079233867B}"/>
    <hyperlink ref="O332" r:id="rId3199" display="https://www.cettire.com/collections/dsquared2-kids" xr:uid="{CA38A323-85DE-47F9-8A89-7E5496BEF75D}"/>
    <hyperlink ref="O335" r:id="rId3200" display="https://www.cettire.com/collections/ea7-emporio-armani" xr:uid="{685D1C5C-D75A-432D-8297-547BFB2509F3}"/>
    <hyperlink ref="O336" r:id="rId3201" display="https://www.cettire.com/collections/eastpak" xr:uid="{F072F198-C0D4-468D-9E44-84FFA478F097}"/>
    <hyperlink ref="O337" r:id="rId3202" display="https://www.cettire.com/collections/eckhaus-latta" xr:uid="{6B639B11-5557-41BC-8318-9A02DA8AAE53}"/>
    <hyperlink ref="O338" r:id="rId3203" display="https://www.cettire.com/collections/eden-power-corp" xr:uid="{41A7EEE0-56A5-42DC-BEEA-3259EC6C04F8}"/>
    <hyperlink ref="O339" r:id="rId3204" display="https://www.cettire.com/collections/edward-green" xr:uid="{53E159BA-1BF5-4C7B-BE9E-4722E20E057E}"/>
    <hyperlink ref="O340" r:id="rId3205" display="https://www.cettire.com/collections/elie-saab-junior" xr:uid="{C5EC1D7D-FE8B-438B-ACE0-D9B971E312E2}"/>
    <hyperlink ref="O341" r:id="rId3206" display="https://www.cettire.com/collections/elisabetta-franchi" xr:uid="{1583B874-10E9-4CAE-9CE0-F3B7A744260A}"/>
    <hyperlink ref="O342" r:id="rId3207" display="https://www.cettire.com/collections/emile-et-ida" xr:uid="{1A5C60CB-A543-4BB5-B745-32793B676137}"/>
    <hyperlink ref="O343" r:id="rId3208" display="https://www.cettire.com/collections/emilio-pucci" xr:uid="{93BAB547-A7C1-4304-9E30-8DA9D863DCB3}"/>
    <hyperlink ref="O344" r:id="rId3209" display="https://www.cettire.com/collections/emilio-pucci-junior" xr:uid="{C9D3080A-7227-48B0-A2FC-023843E08C91}"/>
    <hyperlink ref="O345" r:id="rId3210" display="https://www.cettire.com/collections/emporio-armani" xr:uid="{386125BD-DF82-4202-A87A-D79E29EF1113}"/>
    <hyperlink ref="O346" r:id="rId3211" display="https://www.cettire.com/collections/emporio-armani-kids" xr:uid="{8A0E107B-CAB9-4496-A300-3328645D9B92}"/>
    <hyperlink ref="O347" r:id="rId3212" display="https://www.cettire.com/collections/engineered-garments" xr:uid="{552F7CD5-37F6-4747-A23A-093573A2FC2B}"/>
    <hyperlink ref="O350" r:id="rId3213" display="https://www.cettire.com/collections/equipment" xr:uid="{142AF535-AE3B-4201-B7BA-F80119D8F292}"/>
    <hyperlink ref="O351" r:id="rId3214" display="https://www.cettire.com/collections/ermanno-scervino" xr:uid="{729DD09A-1201-4C03-9ED5-2CF4D55325DE}"/>
    <hyperlink ref="O352" r:id="rId3215" display="https://www.cettire.com/collections/ermenegildo-zegna" xr:uid="{108C80EA-A55C-4604-8FE7-30AB5D50F72B}"/>
    <hyperlink ref="O353" r:id="rId3216" display="https://www.cettire.com/collections/etre-cecile" xr:uid="{3B039A43-9A7C-4CF3-8FBB-23A778D47473}"/>
    <hyperlink ref="O354" r:id="rId3217" display="https://www.cettire.com/collections/etro" xr:uid="{3A6DF934-075A-44AD-915F-C2483BA3D712}"/>
    <hyperlink ref="O355" r:id="rId3218" display="https://www.cettire.com/collections/eudon-choi" xr:uid="{2DAAD40F-7D7E-4532-B7C4-999FB633C5BC}"/>
    <hyperlink ref="O356" r:id="rId3219" display="https://www.cettire.com/collections/extreme-cashmere" xr:uid="{D237D9EA-27E7-4C5F-AB59-7FEDC223C747}"/>
    <hyperlink ref="O357" r:id="rId3220" display="https://www.cettire.com/collections/eyevan-7285" xr:uid="{E7F8560D-AF2B-4793-B0C5-7A2098184D65}"/>
    <hyperlink ref="O358" r:id="rId3221" display="https://www.cettire.com/collections/eytys" xr:uid="{76BE924A-E92C-4798-8649-12A0894DED6F}"/>
    <hyperlink ref="O360" r:id="rId3222" display="https://www.cettire.com/collections/fabiana-filippi" xr:uid="{C23312A6-3874-4B85-86A1-A46DB55DB4BA}"/>
    <hyperlink ref="O361" r:id="rId3223" display="https://www.cettire.com/collections/facetasm" xr:uid="{54F837F2-A98D-47F4-A68C-BD4568716615}"/>
    <hyperlink ref="O362" r:id="rId3224" display="https://www.cettire.com/collections/faith-connexion" xr:uid="{15CA57CB-D813-4B1F-AF2B-CEC640B04FF2}"/>
    <hyperlink ref="O363" r:id="rId3225" display="https://www.cettire.com/collections/fay" xr:uid="{ADDF494C-F35B-49FE-A23D-2BFCAAADC8F5}"/>
    <hyperlink ref="O364" r:id="rId3226" display="https://www.cettire.com/collections/fay-kids" xr:uid="{606AEBB6-F8F1-46F3-9FA2-B92D40AAD79B}"/>
    <hyperlink ref="O365" r:id="rId3227" display="https://www.cettire.com/collections/fear-of-god" xr:uid="{D1F245F3-15A5-48BE-9FE3-4A7ACD160716}"/>
    <hyperlink ref="O366" r:id="rId3228" display="https://www.cettire.com/collections/fendi" xr:uid="{3A5CA59D-7848-4C70-9232-3D4CD98134B7}"/>
    <hyperlink ref="O367" r:id="rId3229" display="https://www.cettire.com/collections/fendi-eyewear" xr:uid="{3C819130-A5AD-4726-A989-C19CB94A0369}"/>
    <hyperlink ref="O368" r:id="rId3230" display="https://www.cettire.com/collections/fendi-kids" xr:uid="{0C8F3F79-FC2A-4E96-AF95-E10BAE414F22}"/>
    <hyperlink ref="O369" r:id="rId3231" display="https://www.cettire.com/collections/feng-chen-wang" xr:uid="{BBC97324-EFF9-437D-BDBB-2713098E0CEB}"/>
    <hyperlink ref="O371" r:id="rId3232" display="https://www.cettire.com/collections/fila" xr:uid="{251E0CC8-059F-4B2C-9612-0E7E2863BE53}"/>
    <hyperlink ref="O372" r:id="rId3233" display="https://www.cettire.com/collections/finamore-1925-napoli" xr:uid="{D127039B-3AA4-48F1-8509-1CF27D63ACCD}"/>
    <hyperlink ref="O375" r:id="rId3234" display="https://www.cettire.com/collections/forte-forte" xr:uid="{9CA5B2A4-745C-4294-AFBC-873755661714}"/>
    <hyperlink ref="O376" r:id="rId3235" display="https://www.cettire.com/collections/frame" xr:uid="{01DD2A13-1B47-4AC2-8911-C68E584609AE}"/>
    <hyperlink ref="O377" r:id="rId3236" display="https://www.cettire.com/collections/francesco-russo" xr:uid="{D83AB7AA-7329-4A9D-B0DB-1E8CB6460C54}"/>
    <hyperlink ref="O378" r:id="rId3237" display="https://www.cettire.com/collections/freedomday" xr:uid="{2A7C9215-BB4A-43A3-A0C8-B64AA158DAB9}"/>
    <hyperlink ref="O379" r:id="rId3238" display="https://www.cettire.com/collections/fucking-awesome" xr:uid="{04712F00-7DD1-4563-8711-0A9A45FA6657}"/>
    <hyperlink ref="O380" r:id="rId3239" display="https://www.cettire.com/collections/furla" xr:uid="{441B6A15-D6C0-43DF-8410-A7CE05FA538F}"/>
    <hyperlink ref="O382" r:id="rId3240" display="https://www.cettire.com/collections/gabriela-hearst" xr:uid="{EE7746D5-2088-4F0B-A7CE-BB1BEEAC782F}"/>
    <hyperlink ref="O383" r:id="rId3241" display="https://www.cettire.com/collections/gallery-dept" xr:uid="{9DBF3D5D-E627-40B3-A4A6-A47B4FA4365D}"/>
    <hyperlink ref="O384" r:id="rId3242" display="https://www.cettire.com/collections/ganni" xr:uid="{8D745FA6-3E5B-4614-B1BF-A73EECBB0C49}"/>
    <hyperlink ref="O385" r:id="rId3243" display="https://www.cettire.com/collections/garrett-leight" xr:uid="{562EB6E4-0AA8-4356-BF3A-17A332B1A43F}"/>
    <hyperlink ref="O387" r:id="rId3244" display="https://www.cettire.com/collections/gcds" xr:uid="{AB92274B-00B4-4CB1-BF74-DE667CCD7B85}"/>
    <hyperlink ref="O388" r:id="rId3245" display="https://www.cettire.com/collections/gcds-kids" xr:uid="{1F4A8A3A-D653-46B0-BEA4-103D9C5DA66A}"/>
    <hyperlink ref="O389" r:id="rId3246" display="https://www.cettire.com/collections/gia-borghini" xr:uid="{023E1C90-BB9C-4C6E-B34E-91A4930E8142}"/>
    <hyperlink ref="O390" r:id="rId3247" display="https://www.cettire.com/collections/giambattista-valli" xr:uid="{9A9F6779-4C00-4BBD-9ABE-E16C7C166A24}"/>
    <hyperlink ref="O392" r:id="rId3248" display="https://www.cettire.com/collections/giorgio-armani" xr:uid="{B6E20B98-6354-46BB-B987-DE769ECB35B3}"/>
    <hyperlink ref="O393" r:id="rId3249" display="https://www.cettire.com/collections/givenchy" xr:uid="{2DDD7CA5-2E9F-4720-94B1-37070E45FF47}"/>
    <hyperlink ref="O395" r:id="rId3250" display="https://www.cettire.com/collections/givenchy-kids" xr:uid="{103664FF-F3F1-4450-8C55-B2CEAD28F2A8}"/>
    <hyperlink ref="O396" r:id="rId3251" display="https://www.cettire.com/collections/golden-goose-deluxe-brand" xr:uid="{9918F57F-C535-4207-B75F-DC007F9BF8D7}"/>
    <hyperlink ref="O397" r:id="rId3252" display="https://www.cettire.com/collections/golden-goose-kids" xr:uid="{801D3EFB-574E-494B-A0BA-E44ECFD4714A}"/>
    <hyperlink ref="O398" r:id="rId3253" display="https://www.cettire.com/collections/greg-lauren" xr:uid="{D2311A9E-5C63-4BDB-AFD6-0C50082B1BCF}"/>
    <hyperlink ref="O399" r:id="rId3254" display="https://www.cettire.com/collections/grevi" xr:uid="{BFD4FFA9-DD58-47DA-A30E-236CE4A134C8}"/>
    <hyperlink ref="O400" r:id="rId3255" display="https://www.cettire.com/collections/gucci" xr:uid="{B4C4964B-E5A1-4FFC-B0A9-76B125E94F8E}"/>
    <hyperlink ref="O401" r:id="rId3256" display="https://www.cettire.com/collections/gucci-eyewear" xr:uid="{8B331F62-BB02-4CD5-A5F9-89E916D04D4D}"/>
    <hyperlink ref="O402" r:id="rId3257" display="https://www.cettire.com/collections/gucci-kids" xr:uid="{6F6D2BE5-0A12-4D1D-A1D7-A7242294A5F9}"/>
    <hyperlink ref="O403" r:id="rId3258" display="https://www.cettire.com/collections/guidi" xr:uid="{842A569B-4F0A-4D15-858C-6B8637544A13}"/>
    <hyperlink ref="O405" r:id="rId3259" display="https://www.cettire.com/collections/haider-ackermann" xr:uid="{9F1B905F-F5A4-4A55-A260-495CE0DC0238}"/>
    <hyperlink ref="O406" r:id="rId3260" display="https://www.cettire.com/collections/harris-wharf-london" xr:uid="{9F884F63-2628-41D1-BAAB-6D67C2B69FE6}"/>
    <hyperlink ref="O407" r:id="rId3261" display="https://www.cettire.com/collections/helmut-lang" xr:uid="{1A432AE1-A7E9-43E7-A93B-75B7D634BAB6}"/>
    <hyperlink ref="O408" r:id="rId3262" display="https://www.cettire.com/collections/hereu" xr:uid="{3821E1AF-33E9-480C-AC4C-320E78CCE831}"/>
    <hyperlink ref="O409" r:id="rId3263" display="https://www.cettire.com/collections/herno" xr:uid="{A506E50E-A308-4C8F-81BA-7A46C3BC0F4F}"/>
    <hyperlink ref="O410" r:id="rId3264" display="https://www.cettire.com/collections/herno-kids" xr:uid="{ACF6B980-A727-4CC5-B7DC-F2A5E81583D5}"/>
    <hyperlink ref="O411" r:id="rId3265" display="https://www.cettire.com/collections/heron-preston" xr:uid="{6086B786-57CC-47C6-B1C5-9E09AA5DA8EB}"/>
    <hyperlink ref="O413" r:id="rId3266" display="https://www.cettire.com/collections/hogan" xr:uid="{2F905E80-7DCB-47D0-AC8F-FFF50D02B822}"/>
    <hyperlink ref="O414" r:id="rId3267" display="https://www.cettire.com/collections/hogan-kids" xr:uid="{41EFC515-66E0-433F-9F52-2B6BF7C2DE09}"/>
    <hyperlink ref="O415" r:id="rId3268" display="https://www.cettire.com/collections/hogan-rebel" xr:uid="{4C30F110-FD6B-4D77-B6E7-5FCBE980F0D6}"/>
    <hyperlink ref="O416" r:id="rId3269" display="https://www.cettire.com/collections/hoka-one-one" xr:uid="{760FF54F-BD3E-4BA9-90A5-1351C4BFF450}"/>
    <hyperlink ref="O417" r:id="rId3270" display="https://www.cettire.com/collections/homme-plisse-issey-miyake" xr:uid="{278519BC-06EC-40CA-965C-49F00E75A021}"/>
    <hyperlink ref="O418" r:id="rId3271" display="https://www.cettire.com/collections/honey-fucking-dijon" xr:uid="{F6240667-64C9-4022-BA21-BAD2234BEF40}"/>
    <hyperlink ref="O419" r:id="rId3272" display="https://www.cettire.com/collections/howlin" xr:uid="{AFCAFFE2-5BFF-4C3E-99F8-F6931E8B2632}"/>
    <hyperlink ref="O420" r:id="rId3273" display="https://www.cettire.com/collections/hugo-boss-kids" xr:uid="{3FAECFB3-53C2-423C-ABA1-C0A59CF8DC16}"/>
    <hyperlink ref="O422" r:id="rId3274" display="https://www.cettire.com/collections/ienki-ienki" xr:uid="{D7F2AD09-78CB-43DC-B89D-E24A68B1C2B1}"/>
    <hyperlink ref="O423" r:id="rId3275" display="https://www.cettire.com/collections/ih-nom-uh-nit" xr:uid="{480DE090-C18C-4BFE-98C3-51FBDC9E6CB2}"/>
    <hyperlink ref="O425" r:id="rId3276" display="https://www.cettire.com/collections/il-gufo" xr:uid="{B1B6AC33-0E9D-4371-843E-3A9A921B420B}"/>
    <hyperlink ref="O428" r:id="rId3277" display="https://www.cettire.com/collections/isabel-marant" xr:uid="{57921534-907D-4EFF-A91B-729B1E426DB8}"/>
    <hyperlink ref="O429" r:id="rId3278" display="https://www.cettire.com/collections/isabel-marant-etoile" xr:uid="{322D8A50-B6EB-4BC0-BDCA-43D00D75DCCE}"/>
    <hyperlink ref="O430" r:id="rId3279" display="https://www.cettire.com/collections/isaia" xr:uid="{4A3021F0-DF4A-403E-9698-C4EC89F3A80A}"/>
    <hyperlink ref="O431" r:id="rId3280" display="https://www.cettire.com/collections/issey-miyake" xr:uid="{93154CE5-BD9C-477B-ADC1-4CD92B1566E9}"/>
    <hyperlink ref="O434" r:id="rId3281" display="https://www.cettire.com/collections/j-brand" xr:uid="{601B75C5-A024-4E98-A288-4F3C3551E279}"/>
    <hyperlink ref="O435" r:id="rId3282" display="https://www.cettire.com/collections/jacquemus" xr:uid="{422842C8-8053-476C-91E9-AECBA30B91F2}"/>
    <hyperlink ref="O436" r:id="rId3283" display="https://www.cettire.com/collections/jacques-marie-mage" xr:uid="{3D60168E-ADDB-4005-9140-E88984B1BEF6}"/>
    <hyperlink ref="O437" r:id="rId3284" display="https://www.cettire.com/collections/jejia" xr:uid="{5DFCDFDB-336C-405F-BE30-D208895C218F}"/>
    <hyperlink ref="O439" r:id="rId3285" display="https://www.cettire.com/collections/jil-sander" xr:uid="{8C2B9A70-71BD-4235-AB37-03FF82F0F98E}"/>
    <hyperlink ref="O440" r:id="rId3286" display="https://www.cettire.com/collections/jimmy-choo" xr:uid="{C4A50DFE-AA8D-4415-B214-A54E0EB4C795}"/>
    <hyperlink ref="O441" r:id="rId3287" display="https://www.cettire.com/collections/jimmy-choo-eyewear" xr:uid="{27029976-86CB-4BCC-8BE0-06D0E9C5C697}"/>
    <hyperlink ref="O442" r:id="rId3288" display="https://www.cettire.com/collections/john-elliott" xr:uid="{76466662-F241-4E3F-BFBF-8E7DBCFE68D1}"/>
    <hyperlink ref="O443" r:id="rId3289" display="https://www.cettire.com/collections/john-lobb" xr:uid="{B15F48B7-289A-4B81-9FB4-A8193DAC0E29}"/>
    <hyperlink ref="O444" r:id="rId3290" display="https://www.cettire.com/collections/john-smedley" xr:uid="{5C6AFA7D-67A2-4DB8-A622-1029FCDA5EBD}"/>
    <hyperlink ref="O445" r:id="rId3291" display="https://www.cettire.com/collections/junya-watanabe" xr:uid="{AAF5255D-4941-4638-BB3A-7C69B2D463A3}"/>
    <hyperlink ref="O446" r:id="rId3292" display="https://www.cettire.com/collections/junya-watanabe-comme-des-garcons" xr:uid="{02E12D4F-46C3-43C2-ABC6-75B2EC36B991}"/>
    <hyperlink ref="O447" r:id="rId3293" display="https://www.cettire.com/collections/junya-watanabe-man" xr:uid="{3F333A28-84CC-4029-BFBD-88E6F14086FA}"/>
    <hyperlink ref="O448" r:id="rId3294" display="https://www.cettire.com/collections/just-don" xr:uid="{322B50AF-B1AE-484E-8FC5-088180129B0A}"/>
    <hyperlink ref="O449" r:id="rId3295" display="https://www.cettire.com/collections/juun-j" xr:uid="{C0196B3A-5D60-463E-8805-07B43B4A7B97}"/>
    <hyperlink ref="O450" r:id="rId3296" display="https://www.cettire.com/collections/jw-anderson" xr:uid="{707C3AC0-A0E9-47C2-B2E0-1F2F0358B13E}"/>
    <hyperlink ref="O452" r:id="rId3297" display="https://www.cettire.com/collections/k-way" xr:uid="{5E7BC7E0-58A8-4390-BB7B-783B231235CD}"/>
    <hyperlink ref="O453" r:id="rId3298" display="https://www.cettire.com/collections/kappa" xr:uid="{49A72FC5-A412-4F24-BFFE-C24ADB3C67EB}"/>
    <hyperlink ref="O454" r:id="rId3299" display="https://www.cettire.com/collections/kappa-kontroll" xr:uid="{BF98839A-8D5D-4CED-90A8-35B08703D8AF}"/>
    <hyperlink ref="O455" r:id="rId3300" display="https://www.cettire.com/collections/kara" xr:uid="{819120FD-3C3F-4193-8104-C3A47F12AE73}"/>
    <hyperlink ref="O456" r:id="rId3301" display="https://www.cettire.com/collections/karl-lagerfeld" xr:uid="{FB31A16C-BC09-4EFC-AF4C-3BFB183EB1E2}"/>
    <hyperlink ref="O457" r:id="rId3302" display="https://www.cettire.com/collections/karl-lagerfeld-kids" xr:uid="{6D6F8A71-ED11-40D6-930C-C9AF545B8B61}"/>
    <hyperlink ref="O458" r:id="rId3303" display="https://www.cettire.com/collections/kenzo" xr:uid="{735FC77B-ABC9-44AC-BB50-97AE9A32992D}"/>
    <hyperlink ref="O459" r:id="rId3304" display="https://www.cettire.com/collections/kenzo-kids" xr:uid="{45EDA959-C079-48DB-9DEB-DBCE5609AF2F}"/>
    <hyperlink ref="O460" r:id="rId3305" display="https://www.cettire.com/collections/khaite" xr:uid="{0A7346B9-8B20-4F5C-81C3-ECA07D03BB38}"/>
    <hyperlink ref="O461" r:id="rId3306" display="https://www.cettire.com/collections/khrisjoy" xr:uid="{6496CC24-51F2-49C8-9932-BCEFF9395DF5}"/>
    <hyperlink ref="O462" r:id="rId3307" display="https://www.cettire.com/collections/khrisjoy-kids" xr:uid="{95A3ADE9-EDC8-4C2B-BA5C-D98020601761}"/>
    <hyperlink ref="O463" r:id="rId3308" display="https://www.cettire.com/collections/kuboraum" xr:uid="{9578056F-6C58-49D9-981A-82D4A2705896}"/>
    <hyperlink ref="O464" r:id="rId3309" display="https://www.cettire.com/collections/kwaidan-editions" xr:uid="{CE2C98A8-018F-4D5C-8428-226F9952B52E}"/>
    <hyperlink ref="O466" r:id="rId3310" display="https://www.cettire.com/collections/l-b-m-1911" xr:uid="{7097C8ED-E95E-4DE9-BA9C-2A20FAAFDFA9}"/>
    <hyperlink ref="O467" r:id="rId3311" display="https://www.cettire.com/collections/lautre-chose" xr:uid="{55A517CE-A6A8-45E7-BBB3-D1EAE78A8D93}"/>
    <hyperlink ref="O468" r:id="rId3312" display="https://www.cettire.com/collections/la-doublej" xr:uid="{97D43876-F5E9-4FEB-B210-6CAD8E7F82A8}"/>
    <hyperlink ref="O469" r:id="rId3313" display="https://www.cettire.com/collections/la-milanesa" xr:uid="{CD7A9CB0-ED10-4D86-A097-B4DCC57D2E5D}"/>
    <hyperlink ref="O470" r:id="rId3314" display="https://www.cettire.com/collections/la-stupenderia" xr:uid="{768D7A6E-4A86-41CE-8AC9-4AB37DB813D1}"/>
    <hyperlink ref="O472" r:id="rId3315" display="https://www.cettire.com/collections/lanvin" xr:uid="{46C44402-957A-4EEE-83D0-A1DAD429C931}"/>
    <hyperlink ref="O473" r:id="rId3316" display="https://www.cettire.com/collections/lanvin-enfant" xr:uid="{F303A9B1-44DA-46B6-9E9D-CE3F2A6E3D4C}"/>
    <hyperlink ref="O474" r:id="rId3317" display="https://www.cettire.com/collections/lauren-ralph-lauren" xr:uid="{475CE5AD-E8F1-43BE-9491-10B88A17DDF5}"/>
    <hyperlink ref="O475" r:id="rId3318" display="https://www.cettire.com/collections/le beb%C3%A9 enfant" xr:uid="{CE98ADE3-DF84-48B5-B60A-6416878D8268}"/>
    <hyperlink ref="O476" r:id="rId3319" display="https://www.cettire.com/collections/le-kasha" xr:uid="{D0C4F337-C828-4AC3-A2D8-3340BD9E0AAF}"/>
    <hyperlink ref="O477" r:id="rId3320" display="https://www.cettire.com/collections/lemaire" xr:uid="{FB125B99-BE22-4015-8119-79A8A6262DBE}"/>
    <hyperlink ref="O478" r:id="rId3321" display="https://www.cettire.com/collections/lesca" xr:uid="{E92D1C0C-97BB-4E31-A363-0590DD20C8FC}"/>
    <hyperlink ref="O479" r:id="rId3322" display="https://www.cettire.com/collections/levis" xr:uid="{3170602C-5167-42CB-A88A-9D8B51388084}"/>
    <hyperlink ref="O480" r:id="rId3323" display="https://www.cettire.com/collections/li-ning" xr:uid="{8F84708E-6075-40D6-A7E7-80D75C2DBEB4}"/>
    <hyperlink ref="O481" r:id="rId3324" display="https://www.cettire.com/collections/linda-farrow" xr:uid="{CB8E1F83-728C-4577-A420-A1036720ADF1}"/>
    <hyperlink ref="O482" r:id="rId3325" display="https://www.cettire.com/collections/lisa-marie-fernandez" xr:uid="{64DA98CE-AE57-4C39-B5FA-79C90F41701B}"/>
    <hyperlink ref="O483" r:id="rId3326" display="https://www.cettire.com/collections/liu-jo" xr:uid="{57253E0A-6789-49A7-B658-00F061AE4C73}"/>
    <hyperlink ref="O484" r:id="rId3327" display="https://www.cettire.com/collections/loewe" xr:uid="{EAA3BD2F-8734-4917-A1D5-ECF532E551C5}"/>
    <hyperlink ref="O485" r:id="rId3328" display="https://www.cettire.com/collections/longchamp" xr:uid="{23029022-5716-41F5-A4C1-7D8EBF16F724}"/>
    <hyperlink ref="O486" r:id="rId3329" display="https://www.cettire.com/collections/loro-piana" xr:uid="{88FD04DB-5C84-48E3-98E8-BA8AEA5A138B}"/>
    <hyperlink ref="O487" r:id="rId3330" display="https://www.cettire.com/collections/loulou-studio" xr:uid="{45F8D011-410F-4A27-868B-32877F7F5C58}"/>
    <hyperlink ref="O488" r:id="rId3331" display="https://www.cettire.com/collections/love-moschino" xr:uid="{C493287A-28B1-4E5F-8334-C7F5D8633C43}"/>
    <hyperlink ref="O489" r:id="rId3332" display="https://www.cettire.com/collections/low-classic" xr:uid="{01328788-B3F7-4F1F-ACB6-92BBB840CAEF}"/>
    <hyperlink ref="O491" r:id="rId3333" display="https://www.cettire.com/collections/m-missoni" xr:uid="{EC83E016-0093-47AD-856B-E867ADB8AAD5}"/>
    <hyperlink ref="O492" r:id="rId3334" display="https://www.cettire.com/collections/mackintosh" xr:uid="{86E5823E-31E4-4895-82C1-E7442007EC0D}"/>
    <hyperlink ref="O493" r:id="rId3335" display="https://www.cettire.com/collections/magda-butrym" xr:uid="{C6F141F7-FE4E-462B-A385-B35CBB5078F9}"/>
    <hyperlink ref="O494" r:id="rId3336" display="https://www.cettire.com/collections/maisie-wilen" xr:uid="{5F2C1747-B7DF-487B-924C-EB881B139EA3}"/>
    <hyperlink ref="O495" r:id="rId3337" display="https://www.cettire.com/collections/maison-kitsune" xr:uid="{16BC8420-32B2-442C-BC82-FA24844D377C}"/>
    <hyperlink ref="O496" r:id="rId3338" display="https://www.cettire.com/collections/maison-margiela" xr:uid="{76E2C3F0-B3C5-45C5-9B20-0D7721D7C610}"/>
    <hyperlink ref="O497" r:id="rId3339" display="https://www.cettire.com/collections/maison-michel" xr:uid="{2338FA31-4CF4-4A60-9F9F-5A0E6C3ABF2A}"/>
    <hyperlink ref="O499" r:id="rId3340" display="https://www.cettire.com/collections/malone-souliers" xr:uid="{3ABCEE74-484E-4AE0-8E9A-834772E2F764}"/>
    <hyperlink ref="O500" r:id="rId3341" display="https://www.cettire.com/collections/manebi" xr:uid="{1AFCD1C1-34B2-4758-9F7B-8A564B1CEAC8}"/>
    <hyperlink ref="O501" r:id="rId3342" display="https://www.cettire.com/collections/manokhi" xr:uid="{85F0ED5C-A46D-4E6E-A983-995AB35AD756}"/>
    <hyperlink ref="O502" r:id="rId3343" display="https://www.cettire.com/collections/manolo-blahnik" xr:uid="{E9108DEB-73E6-4E53-88D3-4B870BF052B1}"/>
    <hyperlink ref="O503" r:id="rId3344" display="https://www.cettire.com/collections/mansur-gavriel" xr:uid="{1929C3C8-74C3-4B3F-AD35-58380E4EE4AC}"/>
    <hyperlink ref="O504" r:id="rId3345" display="https://www.cettire.com/collections/manu-atelier" xr:uid="{5795AA87-5082-4F25-8FC4-3AA4A073BDB3}"/>
    <hyperlink ref="O505" r:id="rId3346" display="https://www.cettire.com/collections/marc-jacobs" xr:uid="{7FBEC0D0-84BC-4C85-BD1C-8C057B3FC296}"/>
    <hyperlink ref="O506" r:id="rId3347" display="https://www.cettire.com/collections/marc-jacobs-eyewear" xr:uid="{00633180-3F2C-48B4-8298-84181197A137}"/>
    <hyperlink ref="O507" r:id="rId3348" display="https://www.cettire.com/collections/marcelo-burlon-county-of-milan" xr:uid="{A2513FD5-680F-46A2-905D-0A196359939C}"/>
    <hyperlink ref="O508" r:id="rId3349" display="https://www.cettire.com/collections/marcelo-burlon-county-of-milan-kids" xr:uid="{8E12890F-6788-49AB-9E93-138C257AC99B}"/>
    <hyperlink ref="O510" r:id="rId3350" display="https://www.cettire.com/collections/marine-serre" xr:uid="{CD368225-05F2-4DA3-A222-DDEB5B12B4B2}"/>
    <hyperlink ref="O511" r:id="rId3351" display="https://www.cettire.com/collections/marni" xr:uid="{85CE56FC-66E8-4DCC-907A-201645CCF6AF}"/>
    <hyperlink ref="O513" r:id="rId3352" display="https://www.cettire.com/collections/marni-kids" xr:uid="{AF56687A-2110-4423-A951-16E1A50B2D44}"/>
    <hyperlink ref="O514" r:id="rId3353" display="https://www.cettire.com/collections/marquesalmeida" xr:uid="{99229594-CB61-400A-A715-03955A0B556A}"/>
    <hyperlink ref="O515" r:id="rId3354" display="https://www.cettire.com/collections/marsell" xr:uid="{65F7384C-A7D3-44F5-830A-527B0F7EACC6}"/>
    <hyperlink ref="O516" r:id="rId3355" display="https://www.cettire.com/collections/martine-rose" xr:uid="{AD8040D2-4857-4798-9BBB-7B17FB14F5F7}"/>
    <hyperlink ref="O517" r:id="rId3356" display="https://www.cettire.com/collections/mastermind-world" xr:uid="{7A1D0D3C-FC3B-4255-A934-FF4810E53658}"/>
    <hyperlink ref="O518" r:id="rId3357" display="https://www.cettire.com/collections/materiel" xr:uid="{C297D102-B74B-4ACA-AEC8-FE181CBEDAB7}"/>
    <hyperlink ref="O519" r:id="rId3358" display="https://www.cettire.com/collections/mauna-kea" xr:uid="{372E38CD-B488-428F-AAD1-9963C933FF1A}"/>
    <hyperlink ref="O521" r:id="rId3359" display="https://www.cettire.com/collections/max-mara" xr:uid="{F2658082-936E-4986-AFA9-B546BC3750A5}"/>
    <hyperlink ref="O522" r:id="rId3360" display="https://www.cettire.com/collections/max-mara-atelier" xr:uid="{1BC3228B-DBB1-4540-843A-EB919B2A0B5B}"/>
    <hyperlink ref="O523" r:id="rId3361" display="https://www.cettire.com/collections/max-mara-pianoforte" xr:uid="{9E9AE5A6-180A-4C10-8ABC-710D41B520A4}"/>
    <hyperlink ref="O524" r:id="rId3362" display="https://www.cettire.com/collections/max-mara-studio" xr:uid="{98845B0E-E376-4F7A-B64E-54D49E4B6DB4}"/>
    <hyperlink ref="O525" r:id="rId3363" display="https://www.cettire.com/collections/max-mara-the-cube" xr:uid="{867C09FA-F886-4220-BD4F-BA7E0B510E84}"/>
    <hyperlink ref="O526" r:id="rId3364" display="https://www.cettire.com/collections/mc2-saint-barth" xr:uid="{5A3CA628-E46A-44B4-9068-539EC1F887CF}"/>
    <hyperlink ref="O527" r:id="rId3365" display="https://www.cettire.com/collections/mc2-saint-barth-kids" xr:uid="{1C04355F-E97A-4140-8870-966318946B96}"/>
    <hyperlink ref="O528" r:id="rId3366" display="https://www.cettire.com/collections/mcm" xr:uid="{0C4DA8F2-48AA-4698-947D-76D28A47EC00}"/>
    <hyperlink ref="O529" r:id="rId3367" display="https://www.cettire.com/collections/mcq-alexander-mcqueen" xr:uid="{327B3D2A-15EB-47AB-8086-EDF5FC87ADAA}"/>
    <hyperlink ref="O530" r:id="rId3368" display="https://www.cettire.com/collections/michael-kors" xr:uid="{FA11D8FF-DDAA-46E1-9F08-217B1647D411}"/>
    <hyperlink ref="O531" r:id="rId3369" display="https://www.cettire.com/collections/michael-kors-collection" xr:uid="{A96BF4F4-FE45-49EC-844F-473DF3F12D80}"/>
    <hyperlink ref="O532" r:id="rId3370" display="https://www.cettire.com/collections/michael-michael-kors" xr:uid="{125927F2-CCB4-4073-A90F-7C75837EA9D5}"/>
    <hyperlink ref="O534" r:id="rId3371" display="https://www.cettire.com/collections/mini-rodini" xr:uid="{F8F7AC70-97F1-4720-9F11-D35BDB2D5580}"/>
    <hyperlink ref="O535" r:id="rId3372" display="https://www.cettire.com/collections/misbhv" xr:uid="{746BD278-26B9-4390-B3BA-668C9D19BC2E}"/>
    <hyperlink ref="O536" r:id="rId3373" display="https://www.cettire.com/collections/missoni" xr:uid="{58A9607E-1C7F-482D-8300-D693450935E1}"/>
    <hyperlink ref="O537" r:id="rId3374" display="https://www.cettire.com/collections/missoni-home" xr:uid="{C6485CAA-1986-4696-BEF0-AA4AB8BBCC88}"/>
    <hyperlink ref="O538" r:id="rId3375" display="https://www.cettire.com/collections/missoni-mare" xr:uid="{0BC76D15-FE96-4FF6-B379-D96FB9D1756A}"/>
    <hyperlink ref="O539" r:id="rId3376" display="https://www.cettire.com/collections/miu-miu" xr:uid="{C3F5686C-2336-4B47-B260-5949EEB33AF7}"/>
    <hyperlink ref="O542" r:id="rId3377" display="https://www.cettire.com/collections/mm6-maison-margiela" xr:uid="{7BDB0BB8-9B54-490C-B882-DA2172EBE659}"/>
    <hyperlink ref="O543" r:id="rId3378" display="https://www.cettire.com/collections/mm6-maison-margiela-kids" xr:uid="{89C06855-BBB7-47D4-B5B4-EF7108E6C50E}"/>
    <hyperlink ref="O544" r:id="rId3379" display="https://www.cettire.com/collections/molo" xr:uid="{53BD3A47-8DFF-4F05-9D6D-01C64BD2E921}"/>
    <hyperlink ref="O545" r:id="rId3380" display="https://www.cettire.com/collections/moncler" xr:uid="{D2805EE3-CFCF-4D92-8606-86C0BAC59F03}"/>
    <hyperlink ref="O546" r:id="rId3381" display="https://www.cettire.com/collections/moncler-rick-owens" xr:uid="{0AC5708D-9F01-4368-96D4-12ECA4583F96}"/>
    <hyperlink ref="O547" r:id="rId3382" display="https://www.cettire.com/collections/moncler-enfant" xr:uid="{F801AC12-1512-4A15-A0DC-89F4C54229D7}"/>
    <hyperlink ref="O548" r:id="rId3383" display="https://www.cettire.com/collections/moncler-eyewear" xr:uid="{2E7B9D87-D86C-480E-BC85-673DD6D5C703}"/>
    <hyperlink ref="O550" r:id="rId3384" display="https://www.cettire.com/collections/moncler-genius" xr:uid="{3F64F711-CA6E-4D49-AC65-587964B421C3}"/>
    <hyperlink ref="O551" r:id="rId3385" display="https://www.cettire.com/collections/moncler-grenoble" xr:uid="{F4839819-BD0C-4298-B487-1D9A0413179A}"/>
    <hyperlink ref="O552" r:id="rId3386" display="https://www.cettire.com/collections/monnalisa" xr:uid="{3F1C1D62-23D8-4599-9195-DFC55CFCAB34}"/>
    <hyperlink ref="O553" r:id="rId3387" display="https://www.cettire.com/collections/montblanc" xr:uid="{567A0BB8-ACBA-4CFB-BEBB-AD33A4F463E1}"/>
    <hyperlink ref="O554" r:id="rId3388" display="https://www.cettire.com/collections/moose-knuckles" xr:uid="{EB3145E2-D6BC-4F3B-91E4-D093CBC29BCE}"/>
    <hyperlink ref="O555" r:id="rId3389" display="https://www.cettire.com/collections/moschino" xr:uid="{D5990CD6-62FA-48FF-9A06-6CD588D2C851}"/>
    <hyperlink ref="O556" r:id="rId3390" display="https://www.cettire.com/collections/moschino-eyewear" xr:uid="{E0B5B80E-68AD-4970-BD32-D9E4089EAFA6}"/>
    <hyperlink ref="O557" r:id="rId3391" display="https://www.cettire.com/collections/moschino-kids" xr:uid="{C0F4507C-3753-4DA0-9FB2-CBFC53AF4989}"/>
    <hyperlink ref="O559" r:id="rId3392" display="https://www.cettire.com/collections/mother" xr:uid="{7C0CB75F-E0AC-4B38-A918-EF11A9EE4EC7}"/>
    <hyperlink ref="O560" r:id="rId3393" display="https://www.cettire.com/collections/mou-kids" xr:uid="{D55ED6B7-6DA6-48E7-9902-F612CD5D7E40}"/>
    <hyperlink ref="O561" r:id="rId3394" display="https://www.cettire.com/collections/msgm" xr:uid="{15498279-A633-493C-A0BD-6F5FDF3A02FD}"/>
    <hyperlink ref="O562" r:id="rId3395" display="https://www.cettire.com/collections/msgm-kids" xr:uid="{07B62386-8533-4280-8D9B-116469794F86}"/>
    <hyperlink ref="O563" r:id="rId3396" display="https://www.cettire.com/collections/mulberry" xr:uid="{05A5469F-4A1A-4B7B-BDCC-0E63D2F4D75D}"/>
    <hyperlink ref="O564" r:id="rId3397" display="https://www.cettire.com/collections/mykita" xr:uid="{E9EC71FB-CC65-47D8-87EE-C012C91606C9}"/>
    <hyperlink ref="O566" r:id="rId3398" display="https://www.cettire.com/collections/n-21" xr:uid="{012B8484-85E6-4237-8E0E-9C75A2B7F0FC}"/>
    <hyperlink ref="O567" r:id="rId3399" display="https://www.cettire.com/collections/n-21-kids" xr:uid="{7363252E-5450-478F-A74F-FA1BC65E5166}"/>
    <hyperlink ref="O568" r:id="rId3400" display="https://www.cettire.com/collections/nana-nana" xr:uid="{6E3E9A57-39BE-4C84-9639-4D9C6C9F55E0}"/>
    <hyperlink ref="O569" r:id="rId3401" display="https://www.cettire.com/collections/nanushka" xr:uid="{EFC11ED6-9711-469E-97A4-25D6812A0516}"/>
    <hyperlink ref="O570" r:id="rId3402" display="https://www.cettire.com/collections/napa-by-martine-rose" xr:uid="{DAB43300-8623-431F-86C3-05A487E9E05C}"/>
    <hyperlink ref="O571" r:id="rId3403" display="https://www.cettire.com/collections/natasha-zinko" xr:uid="{3CAD8946-5CEF-4B7F-9C4C-4B194ABFA5BC}"/>
    <hyperlink ref="O572" r:id="rId3404" display="https://www.cettire.com/collections/needles" xr:uid="{EA6EDAE8-82DB-47EB-A2D6-D13622C7008D}"/>
    <hyperlink ref="O573" r:id="rId3405" display="https://www.cettire.com/collections/neil-barrett" xr:uid="{384E91BC-5188-4851-BA0E-4C57DABF5D4C}"/>
    <hyperlink ref="O574" r:id="rId3406" display="https://www.cettire.com/collections/neil-barrett-kids" xr:uid="{E22D5DD2-FDF0-4A80-B193-8404ED4D00ED}"/>
    <hyperlink ref="O575" r:id="rId3407" display="https://www.cettire.com/collections/neous" xr:uid="{44F0EC5D-CC51-497B-9E5D-34433C00FBFD}"/>
    <hyperlink ref="O578" r:id="rId3408" display="https://www.cettire.com/collections/nicholas-kirkwood" xr:uid="{36C6F97D-E432-4AD9-96F9-3EC429AE9216}"/>
    <hyperlink ref="O580" r:id="rId3409" display="https://www.cettire.com/collections/nike" xr:uid="{A4EB22B3-185B-4867-A309-786157D10F16}"/>
    <hyperlink ref="O581" r:id="rId3410" display="https://www.cettire.com/collections/nodaleto" xr:uid="{46B33AFE-B272-41D2-A656-99C96F164902}"/>
    <hyperlink ref="O582" r:id="rId3411" display="https://www.cettire.com/collections/noir-kei-ninomiya" xr:uid="{A46768F1-567D-4EA0-AC4B-623A22C6D618}"/>
    <hyperlink ref="O583" r:id="rId3412" display="https://www.cettire.com/collections/noon-goons" xr:uid="{D9150A6B-3748-40F0-B1B5-63C5BE3F94E7}"/>
    <hyperlink ref="O584" r:id="rId3413" display="https://www.cettire.com/collections/norse-projects" xr:uid="{0B9A2210-5E79-4F9A-ABDD-03C9991DA1BC}"/>
    <hyperlink ref="O585" r:id="rId3414" display="https://www.cettire.com/collections/north-sails-x-prada-cup" xr:uid="{37DCE55E-32E5-4BC1-B80E-7AE13C2E63DF}"/>
    <hyperlink ref="O586" r:id="rId3415" display="https://www.cettire.com/collections/nudie-jeans" xr:uid="{5DD61D5F-C47E-4DB2-89AA-D4076B65FA1C}"/>
    <hyperlink ref="O588" r:id="rId3416" display="https://www.cettire.com/collections/oamc" xr:uid="{EC62F709-7D8F-4352-9BE7-7E31C6AF52F7}"/>
    <hyperlink ref="O590" r:id="rId3417" display="https://www.cettire.com/collections/off-white" xr:uid="{AD1B1DCD-B1D6-40DB-B1A5-4D3E77F53119}"/>
    <hyperlink ref="O591" r:id="rId3418" display="https://www.cettire.com/collections/off-white-kids" xr:uid="{BA8ABC26-4426-49B8-B585-A58926A7C643}"/>
    <hyperlink ref="O592" r:id="rId3419" display="https://www.cettire.com/collections/officine-creative" xr:uid="{07B23D85-3F68-4ACC-80C2-58D9BE1EE9E5}"/>
    <hyperlink ref="O593" r:id="rId3420" display="https://www.cettire.com/collections/oliver-peoples" xr:uid="{A5F5A113-0DBE-4454-B6BD-582DE0413436}"/>
    <hyperlink ref="O594" r:id="rId3421" display="https://www.cettire.com/collections/opening-ceremony" xr:uid="{16B60FDD-2299-4AAC-A8A1-29CA4478C22C}"/>
    <hyperlink ref="O595" r:id="rId3422" display="https://www.cettire.com/collections/oseree" xr:uid="{521F2C46-9B1A-4AF6-86B2-0AC6342D04CA}"/>
    <hyperlink ref="O596" r:id="rId3423" display="https://www.cettire.com/collections/osoi" xr:uid="{6ADD3848-C149-47F9-86C9-91F13D1D433D}"/>
    <hyperlink ref="O597" r:id="rId3424" display="https://www.cettire.com/collections/our-legacy" xr:uid="{D3454A7D-52A1-4263-A287-F50110608B21}"/>
    <hyperlink ref="O599" r:id="rId3425" display="https://www.cettire.com/collections/p-a-r-o-s-h" xr:uid="{4150E241-6D34-42CD-BA00-36E34BD08FFA}"/>
    <hyperlink ref="O600" r:id="rId3426" display="https://www.cettire.com/collections/paccbet" xr:uid="{649F8ECD-36E8-4A8A-A419-225BA2DDEEAC}"/>
    <hyperlink ref="O601" r:id="rId3427" display="https://www.cettire.com/collections/paco-rabanne" xr:uid="{E93C1C3E-6F29-4301-93D6-A19AB4BD9031}"/>
    <hyperlink ref="O602" r:id="rId3428" display="https://www.cettire.com/collections/palm-angels" xr:uid="{59A88A22-EAD5-45CB-9CE7-448CF47A4290}"/>
    <hyperlink ref="O603" r:id="rId3429" display="https://www.cettire.com/collections/palm-angels-kids" xr:uid="{D7EBE229-1C1E-4699-A27E-F929F5DF431E}"/>
    <hyperlink ref="O604" r:id="rId3430" display="https://www.cettire.com/collections/paraboot" xr:uid="{89887CE3-C914-4852-A34C-57089CFEA8B5}"/>
    <hyperlink ref="O605" r:id="rId3431" display="https://www.cettire.com/collections/parajumpers" xr:uid="{7DCE05C5-13A0-4B2C-AEA2-AA8CE9CFEBF2}"/>
    <hyperlink ref="O606" r:id="rId3432" display="https://www.cettire.com/collections/paris-texas" xr:uid="{5E8FD190-7F1D-47B3-9199-F41B9FB40FC0}"/>
    <hyperlink ref="O608" r:id="rId3433" display="https://www.cettire.com/collections/paura-x-kappa" xr:uid="{A1F9B5E6-B99C-449E-8596-3753C4E7CA9C}"/>
    <hyperlink ref="O609" r:id="rId3434" display="https://www.cettire.com/collections/persol" xr:uid="{FB45B549-B029-4C9B-9128-DFED459D3705}"/>
    <hyperlink ref="O610" r:id="rId3435" display="https://www.cettire.com/collections/philipp-plein" xr:uid="{AE1290B0-C122-48EE-8ADC-3F4902B0AB4C}"/>
    <hyperlink ref="O611" r:id="rId3436" display="https://www.cettire.com/collections/philipp-plein-junior" xr:uid="{C981E5FC-8B78-44B2-BFB6-D3BC9C110A39}"/>
    <hyperlink ref="O612" r:id="rId3437" display="https://www.cettire.com/collections/philippe-model" xr:uid="{801B41E1-FAE9-4798-A115-B6B3CE2AC501}"/>
    <hyperlink ref="O613" r:id="rId3438" display="https://www.cettire.com/collections/philippe-model-paris" xr:uid="{6ACE0E7C-DF88-4159-A8CC-12EFBC7674F4}"/>
    <hyperlink ref="O614" r:id="rId3439" display="https://www.cettire.com/collections/philosophy-di-lorenzo-serafini" xr:uid="{2BF6CA63-108A-432A-8670-94389239F8BB}"/>
    <hyperlink ref="O615" r:id="rId3440" display="https://www.cettire.com/collections/philosophy-di-lorenzo-serafini-kids" xr:uid="{EE8F7ED5-EC80-491E-BFC4-FDF2AD412C65}"/>
    <hyperlink ref="O616" r:id="rId3441" display="https://www.cettire.com/collections/pierre-hardy" xr:uid="{63EFC24C-DD55-4596-B942-7BA9562AA3F1}"/>
    <hyperlink ref="O617" r:id="rId3442" display="https://www.cettire.com/collections/pierre-louis-mascia" xr:uid="{40B7F626-E64C-41DA-9903-FE5AE5A0CF86}"/>
    <hyperlink ref="O618" r:id="rId3443" display="https://www.cettire.com/collections/pinko" xr:uid="{21EDEBEF-676A-4BD4-AA6E-C27A2C5DF497}"/>
    <hyperlink ref="O619" r:id="rId3444" display="https://www.cettire.com/collections/plan-c" xr:uid="{E09DE383-99F5-4A4D-A441-FB89FBE06E50}"/>
    <hyperlink ref="O620" r:id="rId3445" display="https://www.cettire.com/collections/pleats-please-by-issey-miyake" xr:uid="{B3BF437D-C849-45E1-8F34-A8F13B2FA921}"/>
    <hyperlink ref="O621" r:id="rId3446" display="https://www.cettire.com/collections/polo-ralph-lauren" xr:uid="{17445A44-A90A-4891-9C4A-AE02CCA92FD3}"/>
    <hyperlink ref="O622" r:id="rId3447" display="https://www.cettire.com/collections/polo-ralph-lauren-kids" xr:uid="{25D71907-F3D1-443F-8843-1CDB262DD4EE}"/>
    <hyperlink ref="O623" r:id="rId3448" display="https://www.cettire.com/collections/porter-yoshida-co" xr:uid="{52FDE2AA-6E19-431C-8D48-4620444FCF97}"/>
    <hyperlink ref="O625" r:id="rId3449" display="https://www.cettire.com/collections/prada" xr:uid="{632981EF-FDEF-43AC-98D3-A2AC58406EAE}"/>
    <hyperlink ref="O626" r:id="rId3450" display="https://www.cettire.com/collections/prada-eyewear" xr:uid="{B3EA917A-8B7B-467D-8A69-A156A033773F}"/>
    <hyperlink ref="O627" r:id="rId3451" display="https://www.cettire.com/collections/premiata" xr:uid="{CC10E67B-1132-4D7E-A994-0EC2D91FEFD5}"/>
    <hyperlink ref="O628" r:id="rId3452" display="https://www.cettire.com/collections/pressure" xr:uid="{4CE1CE9C-7E87-4525-8F80-0149BF816DBF}"/>
    <hyperlink ref="O629" r:id="rId3453" display="https://www.cettire.com/collections/proenza-schouler" xr:uid="{9A3C3ECF-8666-4636-8336-A560D3B4FC1D}"/>
    <hyperlink ref="O630" r:id="rId3454" display="https://www.cettire.com/collections/proenza-schouler-white-label" xr:uid="{97492CB4-3039-40EA-B208-4E2B2980368E}"/>
    <hyperlink ref="O631" r:id="rId3455" display="https://www.cettire.com/collections/pt-torino" xr:uid="{2AA53DED-9C18-4BC1-BDA3-D53A15C89EDF}"/>
    <hyperlink ref="O632" r:id="rId3456" display="https://www.cettire.com/collections/pt01" xr:uid="{D72B669D-3BE1-422F-8587-1E254429F10F}"/>
    <hyperlink ref="O633" r:id="rId3457" display="https://www.cettire.com/collections/pt05" xr:uid="{8293628E-52DD-4F29-952C-37FEDA7BB771}"/>
    <hyperlink ref="O634" r:id="rId3458" display="https://www.cettire.com/collections/puma" xr:uid="{16FCFBA2-7334-4196-AF8E-A1A7AE52DE47}"/>
    <hyperlink ref="O636" r:id="rId3459" display="https://www.cettire.com/collections/r-m-williams" xr:uid="{167CB929-7D3D-4E60-AFDE-6C3DFA380679}"/>
    <hyperlink ref="O637" r:id="rId3460" display="https://www.cettire.com/collections/r13" xr:uid="{1F71D32D-1383-43F2-B9FC-BF2F3C670DEA}"/>
    <hyperlink ref="O638" r:id="rId3461" display="https://www.cettire.com/collections/raf-simons" xr:uid="{A85EA251-7E25-434A-A242-6FDF84C2D9BC}"/>
    <hyperlink ref="O639" r:id="rId3462" display="https://www.cettire.com/collections/rag-bone" xr:uid="{47070190-FDCE-4522-B634-1FD1AF8C5098}"/>
    <hyperlink ref="O640" r:id="rId3463" display="https://www.cettire.com/collections/ralph-lauren" xr:uid="{33524A68-1B3A-44D1-B8CD-AF9AB9C1A99E}"/>
    <hyperlink ref="O641" r:id="rId3464" display="https://www.cettire.com/collections/ralph-lauren-kids" xr:uid="{10A9F1D0-6ACB-4288-935A-6C64DF517E81}"/>
    <hyperlink ref="O642" r:id="rId3465" display="https://www.cettire.com/collections/rave-review" xr:uid="{7BD7CAC3-E2FA-4237-AB12-A172AEDD740B}"/>
    <hyperlink ref="O643" r:id="rId3466" display="https://www.cettire.com/collections/ray-ban" xr:uid="{0787B66D-11EA-47E3-8C45-559D59E94193}"/>
    <hyperlink ref="O644" r:id="rId3467" display="https://www.cettire.com/collections/re-done" xr:uid="{0C402E5F-DC26-4209-895C-5541D0175C5D}"/>
    <hyperlink ref="O645" r:id="rId3468" display="https://www.cettire.com/collections/readymade" xr:uid="{161F805E-F82E-4CD4-93B5-EC5BBB2E0C09}"/>
    <hyperlink ref="O646" r:id="rId3469" display="https://www.cettire.com/collections/rebecca-minkoff" xr:uid="{39FDA638-2FB0-45E5-BAA0-71F643CCF8A9}"/>
    <hyperlink ref="O647" r:id="rId3470" display="https://www.cettire.com/collections/red-valentino" xr:uid="{A7047885-FAC0-45F5-8109-320D1FAFD0DF}"/>
    <hyperlink ref="O648" r:id="rId3471" display="https://www.cettire.com/collections/red-wing-shoes" xr:uid="{7C3B1C1F-8840-4E5A-BBD7-6AB64C417672}"/>
    <hyperlink ref="O649" r:id="rId3472" display="https://www.cettire.com/collections/reebok" xr:uid="{0523A3B4-BB5A-4371-820E-6138015180DA}"/>
    <hyperlink ref="O650" r:id="rId3473" display="https://www.cettire.com/collections/reebok-x-victoria-beckham" xr:uid="{7DC4F32F-BC8E-4B7C-9E89-1E85A96ECDD4}"/>
    <hyperlink ref="O651" r:id="rId3474" display="https://www.cettire.com/collections/reike-nen" xr:uid="{691FE0D8-E24D-4561-A88E-F6DD8213E09B}"/>
    <hyperlink ref="O652" r:id="rId3475" display="https://www.cettire.com/collections/rejina-pyo" xr:uid="{28349EAB-FEBA-4F9C-B06B-F4A21B2A75A1}"/>
    <hyperlink ref="O653" r:id="rId3476" display="https://www.cettire.com/collections/rene-caovilla" xr:uid="{27F87D42-5E48-4A75-9CBB-F18B76080BFC}"/>
    <hyperlink ref="O654" r:id="rId3477" display="https://www.cettire.com/collections/represent" xr:uid="{E8F4851A-732C-4397-803D-C9EC1E2600CB}"/>
    <hyperlink ref="O655" r:id="rId3478" display="https://www.cettire.com/collections/retrosuperfuture" xr:uid="{FD54B4F3-4ECB-4F90-B9A9-421723E2496A}"/>
    <hyperlink ref="O656" r:id="rId3479" display="https://www.cettire.com/collections/rhude" xr:uid="{009722F0-05AA-488C-A699-A8B99076FBBB}"/>
    <hyperlink ref="O657" r:id="rId3480" display="https://www.cettire.com/collections/rick-owens" xr:uid="{A497388B-F718-42FA-B5C8-8EAA1649AACB}"/>
    <hyperlink ref="O658" r:id="rId3481" display="https://www.cettire.com/collections/rick-owens-drkshdw" xr:uid="{078376A0-EB89-404A-852C-64067D4778C3}"/>
    <hyperlink ref="O659" r:id="rId3482" display="https://www.cettire.com/collections/rick-owens-lilies" xr:uid="{65407285-F7AD-4F4F-B88A-202826522AD6}"/>
    <hyperlink ref="O660" r:id="rId3483" display="https://www.cettire.com/collections/rick-owens-x-birkenstock" xr:uid="{832A84A2-F6D7-4357-8169-E2C839C53614}"/>
    <hyperlink ref="O661" r:id="rId3484" display="https://www.cettire.com/collections/rick-owens-x-veja" xr:uid="{5AA94219-833A-451A-8E18-5ABF0B173E2B}"/>
    <hyperlink ref="O662" r:id="rId3485" display="https://www.cettire.com/collections/rixo" xr:uid="{39AC5761-E311-4A77-8FCB-DBD5F6122123}"/>
    <hyperlink ref="O663" r:id="rId3486" display="https://www.cettire.com/collections/robert-clergerie" xr:uid="{9324C6BD-C49E-48CA-BDE1-5E55CB339427}"/>
    <hyperlink ref="O666" r:id="rId3487" display="https://www.cettire.com/collections/rodebjer" xr:uid="{D6ED2595-B353-4279-AB50-44FAA32245DB}"/>
    <hyperlink ref="O667" r:id="rId3488" display="https://www.cettire.com/collections/roger-vivier" xr:uid="{969947A3-76E4-44AE-8F5D-2FFC83C32835}"/>
    <hyperlink ref="O668" r:id="rId3489" display="https://www.cettire.com/collections/rombaut" xr:uid="{4A258761-F3B5-40FA-904B-24F03E0CDE47}"/>
    <hyperlink ref="O669" r:id="rId3490" display="https://www.cettire.com/collections/rosantica" xr:uid="{32BA0EAF-EEFD-44FE-BCBA-217C9717CB66}"/>
    <hyperlink ref="O670" r:id="rId3491" display="https://www.cettire.com/collections/rotate" xr:uid="{835E1C3A-91CE-42F2-B30A-E5373C320F91}"/>
    <hyperlink ref="O671" r:id="rId3492" display="https://www.cettire.com/collections/ruslan-baginskiy" xr:uid="{617E8089-ABFF-4E8F-B0E3-EBE9D15ADA8D}"/>
    <hyperlink ref="O673" r:id="rId3493" display="https://www.cettire.com/collections/sacai" xr:uid="{8B501C70-D36E-4D44-A0CB-54FE810FB499}"/>
    <hyperlink ref="O674" r:id="rId3494" display="https://www.cettire.com/collections/saint-laurent" xr:uid="{8935965C-D688-4E09-A8B9-D2DE94E366EA}"/>
    <hyperlink ref="O675" r:id="rId3495" display="https://www.cettire.com/collections/saint-laurent-eyewear" xr:uid="{B68CE52C-7632-447C-BB0B-E7D6E004DE65}"/>
    <hyperlink ref="O676" r:id="rId3496" display="https://www.cettire.com/collections/saks-potts" xr:uid="{9F2F322E-E1A2-406C-966B-C7A5B2C5895B}"/>
    <hyperlink ref="O677" r:id="rId3497" display="https://www.cettire.com/collections/salomon-s-lab" xr:uid="{18E8388C-FF52-4C7A-A494-DE74001B99DC}"/>
    <hyperlink ref="O679" r:id="rId3498" display="https://www.cettire.com/collections/salvatore-ferragamo" xr:uid="{3D6D7992-B2B0-40ED-ACE9-40F9FB88C1D4}"/>
    <hyperlink ref="O680" r:id="rId3499" display="https://www.cettire.com/collections/salvatore-ferragamo-eyewear" xr:uid="{72BC2978-DC39-47C0-AC80-6B63CC13A881}"/>
    <hyperlink ref="O682" r:id="rId3500" display="https://www.cettire.com/collections/santoni" xr:uid="{2F41700F-9DD6-4AC2-BD00-F1A511BDAEAF}"/>
    <hyperlink ref="O684" r:id="rId3501" display="https://www.cettire.com/collections/save-the-duck" xr:uid="{56FD94F0-8387-4DCA-A527-F1C252E6A3D2}"/>
    <hyperlink ref="O685" r:id="rId3502" display="https://www.cettire.com/collections/save-the-duck-kids" xr:uid="{C2F6F769-F132-4C7C-82A3-03D2DB78EA43}"/>
    <hyperlink ref="O686" r:id="rId3503" display="https://www.cettire.com/collections/see-by-chloe" xr:uid="{69465DC7-6B10-4E8D-8AD3-0E8BE987ECA3}"/>
    <hyperlink ref="O687" r:id="rId3504" display="https://www.cettire.com/collections/self-portrait" xr:uid="{5561046E-08DD-4A9A-95FD-E34E4F57AD1A}"/>
    <hyperlink ref="O688" r:id="rId3505" display="https://www.cettire.com/collections/sergio-rossi" xr:uid="{8C27E41E-B7A6-48E1-A2AF-497857ED6F50}"/>
    <hyperlink ref="O689" r:id="rId3506" display="https://www.cettire.com/collections/si-rossi" xr:uid="{2E4E74FF-820F-448B-B991-4E9B782E1EC5}"/>
    <hyperlink ref="O691" r:id="rId3507" display="https://www.cettire.com/collections/simon-miller" xr:uid="{0AD50519-E73C-4CD3-8E0A-59CC896121AE}"/>
    <hyperlink ref="O692" r:id="rId3508" display="https://www.cettire.com/collections/simone-rocha" xr:uid="{155086F8-281C-4DBA-8FA0-24E811E75386}"/>
    <hyperlink ref="O693" r:id="rId3509" display="https://www.cettire.com/collections/simonetta" xr:uid="{4B599E45-F6A4-449C-A338-115CF9418EFA}"/>
    <hyperlink ref="O694" r:id="rId3510" display="https://www.cettire.com/collections/sofie-dhoore" xr:uid="{38710052-3E7C-4958-B9B4-8B93A51DEC82}"/>
    <hyperlink ref="O695" r:id="rId3511" display="https://www.cettire.com/collections/sonia-rykiel" xr:uid="{23F91096-8A33-4315-B07B-2037116D9CAB}"/>
    <hyperlink ref="O696" r:id="rId3512" display="https://www.cettire.com/collections/spalwart" xr:uid="{B1F4FE15-18D8-40B9-A841-8BDDDBE3E15B}"/>
    <hyperlink ref="O697" r:id="rId3513" display="https://www.cettire.com/collections/sportmax" xr:uid="{079E7D33-FCA0-449F-91CA-16DA3D21969B}"/>
    <hyperlink ref="O698" r:id="rId3514" display="https://www.cettire.com/collections/sporty-rich" xr:uid="{0833EBB4-D02E-4371-8A9E-10B4F0584642}"/>
    <hyperlink ref="O699" r:id="rId3515" display="https://www.cettire.com/collections/stand-studio" xr:uid="{4AB65349-A66A-4F5B-9F4F-59E701211107}"/>
    <hyperlink ref="O700" r:id="rId3516" display="https://www.cettire.com/collections/staud" xr:uid="{D0D9BBF8-17BD-495F-B2A6-C5D16B382986}"/>
    <hyperlink ref="O701" r:id="rId3517" display="https://www.cettire.com/collections/stella-mccartney" xr:uid="{295EB646-BDBE-4EA2-BDA9-BC56E5353CFD}"/>
    <hyperlink ref="O702" r:id="rId3518" display="https://www.cettire.com/collections/stella-mccartney-eyewear" xr:uid="{C89BB4AB-6EE9-4B56-8C0D-3A8CCB6B2F96}"/>
    <hyperlink ref="O703" r:id="rId3519" display="https://www.cettire.com/collections/stella-mccartney-kids" xr:uid="{482C80AD-44D9-470D-9787-AA4B42E9136C}"/>
    <hyperlink ref="O704" r:id="rId3520" display="https://www.cettire.com/collections/stone-island" xr:uid="{20761C96-C222-42FD-A0AE-C275CAA83B24}"/>
    <hyperlink ref="O705" r:id="rId3521" display="https://www.cettire.com/collections/stone-island-junior" xr:uid="{AFEF0B98-01C7-4DD6-8A4E-D06BA6295E01}"/>
    <hyperlink ref="O706" r:id="rId3522" display="https://www.cettire.com/collections/stone-island-shadow-project" xr:uid="{9041C2D0-8ABD-47A8-947B-F33BF2CB7415}"/>
    <hyperlink ref="O707" r:id="rId3523" display="https://www.cettire.com/collections/stuart-weitzman" xr:uid="{294FEB79-8F61-44DF-A3AE-724C7E26DFE1}"/>
    <hyperlink ref="O708" r:id="rId3524" display="https://www.cettire.com/collections/studio-amelia" xr:uid="{7E68B9EF-F07F-443E-A930-30992759F501}"/>
    <hyperlink ref="O709" r:id="rId3525" display="https://www.cettire.com/collections/stussy" xr:uid="{C0EE0B74-1722-4533-91AE-76D2C00056AB}"/>
    <hyperlink ref="O710" r:id="rId3526" display="https://www.cettire.com/collections/suicoke" xr:uid="{3D2DFD69-810A-45A5-B3E1-2B2B4A0186CF}"/>
    <hyperlink ref="O711" r:id="rId3527" display="https://www.cettire.com/collections/sunflower" xr:uid="{450F0DF4-5547-4064-9555-13E7FFF48618}"/>
    <hyperlink ref="O712" r:id="rId3528" display="https://www.cettire.com/collections/sunnei" xr:uid="{7B12CD36-F7E5-47DD-80A6-67736024C761}"/>
    <hyperlink ref="O713" r:id="rId3529" display="https://www.cettire.com/collections/swarovski" xr:uid="{ABB63616-E635-4574-A6FC-E52FEC95C721}"/>
    <hyperlink ref="O715" r:id="rId3530" display="https://www.cettire.com/collections/t-by-alexander-wang" xr:uid="{758DE2BC-356F-4E24-A43F-887615508F2C}"/>
    <hyperlink ref="O716" r:id="rId3531" display="https://www.cettire.com/collections/tagliatore" xr:uid="{9775E56A-33CB-436B-9024-66238C6A9FF1}"/>
    <hyperlink ref="O718" r:id="rId3532" display="https://www.cettire.com/collections/telfar" xr:uid="{4D49DEF4-1B34-49F4-B9CA-1738190253BD}"/>
    <hyperlink ref="O719" r:id="rId3533" display="https://www.cettire.com/collections/ten-c" xr:uid="{2661E992-8BEE-447B-A80D-E52D825BA341}"/>
    <hyperlink ref="O720" r:id="rId3534" display="https://www.cettire.com/collections/the-attico" xr:uid="{3BBA1EE3-2001-4A90-AE55-276E2EFADB94}"/>
    <hyperlink ref="O722" r:id="rId3535" display="https://www.cettire.com/collections/the-marc-jacobs-kids" xr:uid="{D591B97F-C182-4EC9-98B3-022CC4192385}"/>
    <hyperlink ref="O723" r:id="rId3536" display="https://www.cettire.com/collections/the-north-face" xr:uid="{42376969-0C10-4F20-AE79-DA6C9504A546}"/>
    <hyperlink ref="O724" r:id="rId3537" display="https://www.cettire.com/collections/the-north-face-black-series" xr:uid="{071B03E8-B2F9-4D4E-8F1B-C30B5A78F10F}"/>
    <hyperlink ref="O725" r:id="rId3538" display="https://www.cettire.com/collections/the-north-face-kids" xr:uid="{F155E3A2-777F-44EB-8C37-AD02B94FD348}"/>
    <hyperlink ref="O726" r:id="rId3539" display="https://www.cettire.com/collections/the-row" xr:uid="{8E18CAC1-B3A2-49D5-B875-00F482583410}"/>
    <hyperlink ref="O727" r:id="rId3540" display="https://www.cettire.com/collections/themoire" xr:uid="{AF1CA28B-DD6E-43CE-9499-25A8C2496B52}"/>
    <hyperlink ref="O728" r:id="rId3541" display="https://www.cettire.com/collections/theory" xr:uid="{FCA68FE7-4E80-4028-8926-CF8A3F26D5BF}"/>
    <hyperlink ref="O729" r:id="rId3542" display="https://www.cettire.com/collections/thom-browne" xr:uid="{3EDFBB41-B3A1-4AD0-A5AF-2B020638FEDF}"/>
    <hyperlink ref="O730" r:id="rId3543" display="https://www.cettire.com/collections/thom-browne-eyewear" xr:uid="{568BEBC4-8015-4A90-B32C-E7E4AF6EB856}"/>
    <hyperlink ref="O732" r:id="rId3544" display="https://www.cettire.com/collections/tods" xr:uid="{FF7B2A67-1F62-4DDD-831D-B6218A7304FB}"/>
    <hyperlink ref="O733" r:id="rId3545" display="https://www.cettire.com/collections/tom-ford" xr:uid="{B45C8997-2BF1-4CAE-BC74-3D9D08E8B5C9}"/>
    <hyperlink ref="O734" r:id="rId3546" display="https://www.cettire.com/collections/tom-ford-eyewear" xr:uid="{7E128144-28C3-4704-916E-1005A5EA73CC}"/>
    <hyperlink ref="O736" r:id="rId3547" display="https://www.cettire.com/collections/tory-burch" xr:uid="{2A6A72C2-7340-4A72-B20D-224993CDDF82}"/>
    <hyperlink ref="O737" r:id="rId3548" display="https://www.cettire.com/collections/toteme" xr:uid="{40BCE59D-B010-4D0B-AA7B-2A9428FA7C9F}"/>
    <hyperlink ref="O738" r:id="rId3549" display="https://www.cettire.com/collections/trickers" xr:uid="{30CFC592-9753-4F08-9D94-D735004232C4}"/>
    <hyperlink ref="O739" r:id="rId3550" display="https://www.cettire.com/collections/trippen" xr:uid="{98C5FACE-D6E0-4812-AFEF-17182D9ABD53}"/>
    <hyperlink ref="O740" r:id="rId3551" display="https://www.cettire.com/collections/twinset" xr:uid="{C632E9F0-4F79-40FE-8756-5C99CC9A808D}"/>
    <hyperlink ref="O741" r:id="rId3552" display="https://www.cettire.com/collections/twinset-kids" xr:uid="{99130040-08E1-4E18-B089-936587D3F375}"/>
    <hyperlink ref="O743" r:id="rId3553" display="https://www.cettire.com/collections/ugg" xr:uid="{F388303E-C77D-4C44-84F7-43CB3F3E122E}"/>
    <hyperlink ref="O744" r:id="rId3554" display="https://www.cettire.com/collections/ugg-kids" xr:uid="{5D32AB25-EF7D-4CAB-9E18-46A1515396E1}"/>
    <hyperlink ref="O745" r:id="rId3555" display="https://www.cettire.com/collections/uh-nom-uh-nit" xr:uid="{45B40E4B-E051-4373-B02B-139E177AEC58}"/>
    <hyperlink ref="O746" r:id="rId3556" display="https://www.cettire.com/collections/ulla-johnson" xr:uid="{606D03FD-978C-4879-86FC-3BE87F5FCEC9}"/>
    <hyperlink ref="O748" r:id="rId3557" display="https://www.cettire.com/collections/uma-wang" xr:uid="{59D13628-33A2-4996-85D5-571A70F38B89}"/>
    <hyperlink ref="O749" r:id="rId3558" display="https://www.cettire.com/collections/undercover" xr:uid="{FE03CB6B-B960-4E27-9A29-23C6CD9145AA}"/>
    <hyperlink ref="O750" r:id="rId3559" display="https://www.cettire.com/collections/unravel-project" xr:uid="{3801552A-F270-4376-A135-235AE3C069DC}"/>
    <hyperlink ref="O752" r:id="rId3560" display="https://www.cettire.com/collections/valentino" xr:uid="{01234915-CAB9-4B76-B4BF-63BED68528E5}"/>
    <hyperlink ref="O753" r:id="rId3561" display="https://www.cettire.com/collections/valentino-eyewear" xr:uid="{CA2854E2-D4F7-41EE-A480-0AF26B4EC743}"/>
    <hyperlink ref="O754" r:id="rId3562" display="https://www.cettire.com/collections/valextra" xr:uid="{A370E771-0514-47DB-95DF-2ABE0E509B03}"/>
    <hyperlink ref="O755" r:id="rId3563" display="https://www.cettire.com/collections/vans" xr:uid="{BF471E87-A004-48F8-8508-12BFD5B09981}"/>
    <hyperlink ref="O756" r:id="rId3564" display="https://www.cettire.com/collections/vans-vault" xr:uid="{46F7E227-157D-4A1D-9EE5-97FD67163720}"/>
    <hyperlink ref="O757" r:id="rId3565" display="https://www.cettire.com/collections/veja" xr:uid="{50B40AE3-0DB6-41E1-9E5D-18F910C879F8}"/>
    <hyperlink ref="O758" r:id="rId3566" display="https://www.cettire.com/collections/veja-kids" xr:uid="{01110F53-C837-4CFF-91AD-841CC2BBF7D6}"/>
    <hyperlink ref="O759" r:id="rId3567" display="https://www.cettire.com/collections/versace" xr:uid="{2A544AD4-FCF9-45C5-BA41-CB39C00C971A}"/>
    <hyperlink ref="O760" r:id="rId3568" display="https://www.cettire.com/collections/versace-collection" xr:uid="{E8B6D368-E0A6-4BB1-90CD-2DCFBA23C4B0}"/>
    <hyperlink ref="O761" r:id="rId3569" display="https://www.cettire.com/collections/versace-eyewear" xr:uid="{EA608449-52A5-45E5-A14E-5BEC6150AB03}"/>
    <hyperlink ref="O762" r:id="rId3570" display="https://www.cettire.com/collections/versace-jeans-couture" xr:uid="{3F4CCCE6-4565-4136-86A7-94982D76318A}"/>
    <hyperlink ref="O763" r:id="rId3571" display="https://www.cettire.com/collections/versace-kids" xr:uid="{875260CF-570E-4EF8-BA05-A0D356DF1BC7}"/>
    <hyperlink ref="O764" r:id="rId3572" display="https://www.cettire.com/collections/vince" xr:uid="{17695C7B-C681-4B32-B999-04DBE6692972}"/>
    <hyperlink ref="O765" r:id="rId3573" display="https://www.cettire.com/collections/vision-of-super" xr:uid="{79CCF866-9928-4895-8A9D-CC02494B380E}"/>
    <hyperlink ref="O766" r:id="rId3574" display="https://www.cettire.com/collections/vision-of-super-kids" xr:uid="{EFBC0E16-AD3F-45AA-8AA5-4EE657B6D479}"/>
    <hyperlink ref="O767" r:id="rId3575" display="https://www.cettire.com/collections/visvim" xr:uid="{17888635-40EE-4B38-986F-1B38D340E183}"/>
    <hyperlink ref="O768" r:id="rId3576" display="https://www.cettire.com/collections/vivienne-westwood" xr:uid="{EAE34BAF-39B1-4743-9C6C-BB74582A0D3E}"/>
    <hyperlink ref="O770" r:id="rId3577" display="https://www.cettire.com/collections/wales-bonner" xr:uid="{F5BC135E-5B13-4C3E-80F7-D2CD7D1BD61E}"/>
    <hyperlink ref="O771" r:id="rId3578" display="https://www.cettire.com/collections/wandler" xr:uid="{4EA23CF7-F0C5-4EBB-B7E2-E1375D27DA94}"/>
    <hyperlink ref="O772" r:id="rId3579" display="https://www.cettire.com/collections/we11done" xr:uid="{0D25D402-0C29-496C-8FBF-054DE493707C}"/>
    <hyperlink ref="O773" r:id="rId3580" display="https://www.cettire.com/collections/weekend-max-mara" xr:uid="{135E627A-6298-4094-83BB-E91B6B826020}"/>
    <hyperlink ref="O774" r:id="rId3581" display="https://www.cettire.com/collections/white-mountaineering" xr:uid="{94BCF059-8AEC-49A5-9350-098D822066CE}"/>
    <hyperlink ref="O775" r:id="rId3582" display="https://www.cettire.com/collections/woolrich" xr:uid="{D924CFBF-526C-4AC6-B53D-5A981C320550}"/>
    <hyperlink ref="O776" r:id="rId3583" display="https://www.cettire.com/collections/woolrich-kids" xr:uid="{0037C46B-0043-4F0B-84B3-3225ED9FBCD2}"/>
    <hyperlink ref="O779" r:id="rId3584" display="https://www.cettire.com/collections/y-3" xr:uid="{E1A1660F-4E55-4419-A8CF-189294E56143}"/>
    <hyperlink ref="O780" r:id="rId3585" display="https://www.cettire.com/collections/ys" xr:uid="{103C8CD0-A557-4405-808A-C6EBAC7E2542}"/>
    <hyperlink ref="O781" r:id="rId3586" display="https://www.cettire.com/collections/y-project" xr:uid="{3A9134E5-3D86-46B6-AC5C-49967D3A1FB6}"/>
    <hyperlink ref="O782" r:id="rId3587" display="https://www.cettire.com/collections/ymc" xr:uid="{49920970-4214-4B26-B33F-6E345B52B556}"/>
    <hyperlink ref="O783" r:id="rId3588" display="https://www.cettire.com/collections/yohji-yamamoto" xr:uid="{913CAACE-23E7-4635-A27F-0BC96C87DABF}"/>
    <hyperlink ref="O784" r:id="rId3589" display="https://www.cettire.com/collections/yuzefi" xr:uid="{92D5A559-0F86-497D-AA52-FC1239ECD3B2}"/>
    <hyperlink ref="O787" r:id="rId3590" display="https://www.cettire.com/collections/z-zegna" xr:uid="{6541F6F9-3BF2-4766-B91C-F36414CA5D2B}"/>
    <hyperlink ref="O788" r:id="rId3591" display="https://www.cettire.com/collections/zadig-voltaire" xr:uid="{6A101BF6-767B-4ABC-91B8-F6E491A7AFE1}"/>
    <hyperlink ref="O789" r:id="rId3592" display="https://www.cettire.com/collections/zadig-voltaire-kids" xr:uid="{78DD1D00-36C8-44B6-B872-47F7DC4FC105}"/>
    <hyperlink ref="O790" r:id="rId3593" display="https://www.cettire.com/collections/zimmermann" xr:uid="{D31170AE-9FEC-4BD2-AA2E-F09ACA2FF422}"/>
    <hyperlink ref="P135" r:id="rId3594" display="https://www.cettire.com/collections/s-max-mara" xr:uid="{0831C0EE-5AE4-495D-BDC1-566AA1D1CD60}"/>
    <hyperlink ref="P137" r:id="rId3595" display="https://www.cettire.com/collections/1017-alyx-9sm" xr:uid="{CDD00B94-8AC0-4E9B-B946-2888E237DFC1}"/>
    <hyperlink ref="P138" r:id="rId3596" display="https://www.cettire.com/collections/3-1-phillip-lim" xr:uid="{7CA78EA7-CF7A-4EA3-B25D-84DA73132731}"/>
    <hyperlink ref="P139" r:id="rId3597" display="https://www.cettire.com/collections/424" xr:uid="{55F2D8F9-2141-47B5-B9FF-865A4F699F89}"/>
    <hyperlink ref="P140" r:id="rId3598" display="https://www.cettire.com/collections/7-for-all-mankind" xr:uid="{B353BA76-23BE-4620-92CB-A2EF87FCD590}"/>
    <hyperlink ref="P141" r:id="rId3599" display="https://www.cettire.com/collections/ug-ss-kids" xr:uid="{60EB11FE-1AB2-448B-8E2A-1929AF277989}"/>
    <hyperlink ref="P142" r:id="rId3600" display="https://www.cettire.com/collections/lvin-l-in-kids" xr:uid="{D6F98AF7-405C-4414-9A3A-D49D8228FB39}"/>
    <hyperlink ref="P143" r:id="rId3601" display="https://www.cettire.com/collections/mm-ilfig-r-kids" xr:uid="{34688404-F66C-4899-8019-DF5D9EE5C659}"/>
    <hyperlink ref="P145" r:id="rId3602" display="https://www.cettire.com/collections/a-cold-wall" xr:uid="{7963A2D3-FF43-4842-80B7-8280FBA086D0}"/>
    <hyperlink ref="P146" r:id="rId3603" display="https://www.cettire.com/collections/a-p-c" xr:uid="{69473FF2-F624-41F0-92AB-31C2FC728997}"/>
    <hyperlink ref="P147" r:id="rId3604" display="https://www.cettire.com/collections/a-w-a-k-e-mode" xr:uid="{95F03BAA-0537-4E18-8D86-CDD9A39962DA}"/>
    <hyperlink ref="P148" r:id="rId3605" display="https://www.cettire.com/collections/abra" xr:uid="{AB8A3BD4-2CE1-4937-8AA8-041F202C3045}"/>
    <hyperlink ref="P149" r:id="rId3606" display="https://www.cettire.com/collections/ader-error" xr:uid="{E0252B10-C0D4-4553-A051-271F968897EC}"/>
    <hyperlink ref="P150" r:id="rId3607" display="https://www.cettire.com/collections/adidas" xr:uid="{C4CDD1E1-C07F-4A1B-B1B2-0C742B36DC41}"/>
    <hyperlink ref="P151" r:id="rId3608" display="https://www.cettire.com/collections/adidas-by-danielle-cathari" xr:uid="{DD9A5220-2392-4733-8FBC-FBEAFFF8C99E}"/>
    <hyperlink ref="P152" r:id="rId3609" display="https://www.cettire.com/collections/adidas-by-human-made" xr:uid="{BF2C4C0D-A040-4BDA-B223-6EFD61A95961}"/>
    <hyperlink ref="P153" r:id="rId3610" display="https://www.cettire.com/collections/adidas-by-pharrell-williams" xr:uid="{19A5E4CF-D92C-4E9A-9762-18362042F87A}"/>
    <hyperlink ref="P154" r:id="rId3611" display="https://www.cettire.com/collections/adidas-by-raf-simons" xr:uid="{E78C6BEF-144B-4C61-93A9-C49C48DA4F34}"/>
    <hyperlink ref="P155" r:id="rId3612" display="https://www.cettire.com/collections/adidas-by-stella-mccartney" xr:uid="{58DD9505-9447-4027-9F33-5796C717A674}"/>
    <hyperlink ref="P156" r:id="rId3613" display="https://www.cettire.com/collections/adidas-by-wales-bonner" xr:uid="{0B0D95E7-314A-4ED0-A636-F61C989002E1}"/>
    <hyperlink ref="P157" r:id="rId3614" display="https://www.cettire.com/collections/adidas-kids" xr:uid="{52DA15F0-68C1-4332-BB76-DE156256BE50}"/>
    <hyperlink ref="P158" r:id="rId3615" display="https://www.cettire.com/collections/adidas-originals" xr:uid="{9DBCD133-8454-413B-8C2D-7C45645BFD57}"/>
    <hyperlink ref="P159" r:id="rId3616" display="https://www.cettire.com/collections/adidas-originals-by-alexander-wang" xr:uid="{35B28715-AF88-44E6-A7FC-E70E7DC5998A}"/>
    <hyperlink ref="P160" r:id="rId3617" display="https://www.cettire.com/collections/adriana-degreas" xr:uid="{1398BEF6-3F6D-4BE0-BAC1-E7CC536362C7}"/>
    <hyperlink ref="P161" r:id="rId3618" display="https://www.cettire.com/collections/aeyd%C4%93" xr:uid="{E2232919-A19C-497C-B095-1D47706EF5CC}"/>
    <hyperlink ref="P162" r:id="rId3619" display="https://www.cettire.com/collections/agnona" xr:uid="{6B47E2B5-ECC6-456F-88E2-78358157EE95}"/>
    <hyperlink ref="P163" r:id="rId3620" display="https://www.cettire.com/collections/agolde" xr:uid="{B1E28485-F091-4399-9B45-B9597EF0184B}"/>
    <hyperlink ref="P164" r:id="rId3621" display="https://www.cettire.com/collections/alaia" xr:uid="{C2DB1FF5-CC72-4962-9C30-384A7EDF2BE9}"/>
    <hyperlink ref="P165" r:id="rId3622" display="https://www.cettire.com/collections/alanui" xr:uid="{EF126CD5-F49A-4F6F-A00D-203CA6BE05A2}"/>
    <hyperlink ref="P166" r:id="rId3623" display="https://www.cettire.com/collections/alberta-ferretti" xr:uid="{20C87B4A-61CD-44FF-BFCE-3D20AAA2E78E}"/>
    <hyperlink ref="P167" r:id="rId3624" display="https://www.cettire.com/collections/alberta-ferretti-kids" xr:uid="{CCE5C4DC-8E98-4249-BA21-79273C92F7B3}"/>
    <hyperlink ref="P168" r:id="rId3625" display="https://www.cettire.com/collections/alberto-biani" xr:uid="{9FF949F7-5446-4D42-9152-678D137EB5C2}"/>
    <hyperlink ref="P169" r:id="rId3626" display="https://www.cettire.com/collections/alessandra-rich" xr:uid="{9478F76A-0661-4E5B-9202-9E57FFDE25FF}"/>
    <hyperlink ref="P170" r:id="rId3627" display="https://www.cettire.com/collections/alexander-mcqueen" xr:uid="{9505F235-DF6F-4786-AB04-556505332149}"/>
    <hyperlink ref="P172" r:id="rId3628" display="https://www.cettire.com/collections/alexander-mcqueen-eyewear" xr:uid="{E8460A1E-144A-464D-8DBF-88F456F316C9}"/>
    <hyperlink ref="P173" r:id="rId3629" display="https://www.cettire.com/collections/alexander-mcqueen-kids" xr:uid="{6EFC3BF2-92D3-42B0-9189-DD8B7AA634B8}"/>
    <hyperlink ref="P174" r:id="rId3630" display="https://www.cettire.com/collections/alexander-wang" xr:uid="{59112357-4EC7-4F89-AE94-A1156F4347A0}"/>
    <hyperlink ref="P175" r:id="rId3631" display="https://www.cettire.com/collections/alexandre-vauthier" xr:uid="{E1A3B649-4590-4BB5-ACE3-F0B6B3A48E81}"/>
    <hyperlink ref="P176" r:id="rId3632" display="https://www.cettire.com/collections/allude" xr:uid="{E6FDA442-2F40-49A4-8D37-A6DD5B6F03D6}"/>
    <hyperlink ref="P177" r:id="rId3633" display="https://www.cettire.com/collections/alpha-industries" xr:uid="{4901A569-4B0B-4B58-A2BE-44094114712A}"/>
    <hyperlink ref="P178" r:id="rId3634" display="https://www.cettire.com/collections/ambush" xr:uid="{7C1AC932-52E8-4A0C-A51C-FF5CB8DF24FA}"/>
    <hyperlink ref="P179" r:id="rId3635" display="https://www.cettire.com/collections/amen" xr:uid="{C7E61AEE-9A15-47EE-B199-316E31BBB03D}"/>
    <hyperlink ref="P180" r:id="rId3636" display="https://www.cettire.com/collections/ami" xr:uid="{E5D2E55E-9C09-451E-867A-6B9CADD300BE}"/>
    <hyperlink ref="P181" r:id="rId3637" display="https://www.cettire.com/collections/amina-muaddi" xr:uid="{FC8D278B-6448-4F54-B202-87752EFF7A12}"/>
    <hyperlink ref="P182" r:id="rId3638" display="https://www.cettire.com/collections/amiri" xr:uid="{5AAE0350-0030-43F0-9E3D-AFDF2AE039C0}"/>
    <hyperlink ref="P183" r:id="rId3639" display="https://www.cettire.com/collections/ancient-greek-sandals" xr:uid="{58D8226D-DED7-4ACE-A4BE-9DAD3129728F}"/>
    <hyperlink ref="P184" r:id="rId3640" display="https://www.cettire.com/collections/andersson-bell" xr:uid="{47E28BD9-1F40-4FCF-987E-7DC384D6D0E0}"/>
    <hyperlink ref="P185" r:id="rId3641" display="https://www.cettire.com/collections/anita-bilardi" xr:uid="{52BA8457-4DBF-45E2-A15B-33BA25C8BEE6}"/>
    <hyperlink ref="P186" r:id="rId3642" display="https://www.cettire.com/collections/aniye-by" xr:uid="{6FF0CA84-839B-49C4-BEEE-5718EC39A922}"/>
    <hyperlink ref="P188" r:id="rId3643" display="https://www.cettire.com/collections/ann-demeulemeester" xr:uid="{6259AD31-C975-4A2B-B985-E42B31EB09DD}"/>
    <hyperlink ref="P189" r:id="rId3644" display="https://www.cettire.com/collections/antonino-valenti" xr:uid="{C2DE02C5-EF4D-4644-A181-E590F07B2076}"/>
    <hyperlink ref="P190" r:id="rId3645" display="https://www.cettire.com/collections/anya-hindmarch" xr:uid="{F73585C6-11BC-4DFA-9DB6-E5587D1B3034}"/>
    <hyperlink ref="P191" r:id="rId3646" display="https://www.cettire.com/collections/apesi" xr:uid="{45D866D7-4040-4FC9-BB10-A4685361C0FD}"/>
    <hyperlink ref="P192" r:id="rId3647" display="https://www.cettire.com/collections/aquazzura" xr:uid="{F9271A71-3FA4-41DB-BB3A-22B51D910A14}"/>
    <hyperlink ref="P193" r:id="rId3648" display="https://www.cettire.com/collections/aragona" xr:uid="{6DC46ECF-56B6-4324-ABEF-4F2151BDD3D1}"/>
    <hyperlink ref="P194" r:id="rId3649" display="https://www.cettire.com/collections/area" xr:uid="{BCCA7F19-9FE8-4224-9BE8-8925B725C613}"/>
    <hyperlink ref="P195" r:id="rId3650" display="https://www.cettire.com/collections/aries" xr:uid="{A3168129-1620-4777-A8B9-CBE48FA2AA1C}"/>
    <hyperlink ref="P196" r:id="rId3651" display="https://www.cettire.com/collections/arizona-love" xr:uid="{A94D8698-80BC-47DF-93EA-4054CD71276A}"/>
    <hyperlink ref="P197" r:id="rId3652" display="https://www.cettire.com/collections/arma" xr:uid="{CE46CD20-1774-4181-9E54-0E89933CC892}"/>
    <hyperlink ref="P198" r:id="rId3653" display="https://www.cettire.com/collections/art-dealer" xr:uid="{2A064CB7-0B5E-4867-AE62-4C8F2A68903F}"/>
    <hyperlink ref="P199" r:id="rId3654" display="https://www.cettire.com/collections/ash" xr:uid="{17D75565-9465-46FA-A8D8-0453126D7B7E}"/>
    <hyperlink ref="P200" r:id="rId3655" display="https://www.cettire.com/collections/asics" xr:uid="{4950B543-EDC7-47DB-94E2-43EC4F835792}"/>
    <hyperlink ref="P201" r:id="rId3656" display="https://www.cettire.com/collections/aspesi" xr:uid="{972E14F4-B4AA-40B2-9A6B-C0935D853628}"/>
    <hyperlink ref="P203" r:id="rId3657" display="https://www.cettire.com/collections/au-depart" xr:uid="{3FF7B56C-9068-418E-A9A3-2CD8EF2378BA}"/>
    <hyperlink ref="P204" r:id="rId3658" display="https://www.cettire.com/collections/autry" xr:uid="{C5F3D62A-A8A6-4C6A-8EFC-63C802BE474A}"/>
    <hyperlink ref="P205" r:id="rId3659" display="https://www.cettire.com/collections/axel-arigato" xr:uid="{21EFC2DB-7A9A-45D8-A424-1DF4534F5675}"/>
    <hyperlink ref="P207" r:id="rId3660" display="https://www.cettire.com/collections/b-low-the-belt" xr:uid="{05E2EC59-0165-4487-943C-456084EB85EA}"/>
    <hyperlink ref="P208" r:id="rId3661" display="https://www.cettire.com/collections/balenciaga" xr:uid="{E7D53472-E522-484D-B266-AD3ED9D9F7F9}"/>
    <hyperlink ref="P209" r:id="rId3662" display="https://www.cettire.com/collections/balenciaga-eyewear" xr:uid="{5EFF4677-20AC-4D18-823C-E8EC6AAB6C08}"/>
    <hyperlink ref="P210" r:id="rId3663" display="https://www.cettire.com/collections/balenciaga-kids" xr:uid="{B7773AC4-3351-4792-A9A7-63FF03E87A01}"/>
    <hyperlink ref="P211" r:id="rId3664" display="https://www.cettire.com/collections/ballantyne" xr:uid="{11B10A2C-D1C3-4F0B-A97E-CB58832054F7}"/>
    <hyperlink ref="P212" r:id="rId3665" display="https://www.cettire.com/collections/bally" xr:uid="{5688C9DD-8488-4206-A20D-0DA6D11999D6}"/>
    <hyperlink ref="P213" r:id="rId3666" display="https://www.cettire.com/collections/balmain" xr:uid="{FC81F4E1-E49B-4768-B102-51E4DF64DA5A}"/>
    <hyperlink ref="P214" r:id="rId3667" display="https://www.cettire.com/collections/balmain-kids" xr:uid="{234D9267-5EED-47D8-9C2B-A31954CBE7FC}"/>
    <hyperlink ref="P215" r:id="rId3668" display="https://www.cettire.com/collections/bao-bao-issey-miyake" xr:uid="{54EE4671-A61C-44A4-8306-7F1BA28B276B}"/>
    <hyperlink ref="P216" r:id="rId3669" display="https://www.cettire.com/collections/barba" xr:uid="{97E03BCD-F21E-414E-B64D-B5E06A3A1651}"/>
    <hyperlink ref="P217" r:id="rId3670" display="https://www.cettire.com/collections/barbour" xr:uid="{57B35161-AFC8-4C81-9F1A-A1E61F2E27C8}"/>
    <hyperlink ref="P218" r:id="rId3671" display="https://www.cettire.com/collections/barena" xr:uid="{55E05181-AC26-42A1-B23C-ABDF958EF2FF}"/>
    <hyperlink ref="P219" r:id="rId3672" display="https://www.cettire.com/collections/bark-b-rules" xr:uid="{CE35C5B6-D2FE-406A-B0AB-9593B6FD8417}"/>
    <hyperlink ref="P220" r:id="rId3673" display="https://www.cettire.com/collections/barrow" xr:uid="{45DA45BA-3584-4CF0-8798-D56BEA169886}"/>
    <hyperlink ref="P221" r:id="rId3674" display="https://www.cettire.com/collections/baum-und-pferdgarten" xr:uid="{216250FA-002B-4FB1-A481-94FFC068C039}"/>
    <hyperlink ref="P222" r:id="rId3675" display="https://www.cettire.com/collections/belstaff" xr:uid="{692E669F-6277-47A4-91DF-FE44C871507F}"/>
    <hyperlink ref="P223" r:id="rId3676" display="https://www.cettire.com/collections/berluti" xr:uid="{E22F4AEB-BA76-49F0-B415-82E1B946F239}"/>
    <hyperlink ref="P224" r:id="rId3677" display="https://www.cettire.com/collections/billieblush" xr:uid="{877D1B8E-4387-4BCC-9BF2-EEC5B46CF571}"/>
    <hyperlink ref="P225" r:id="rId3678" display="https://www.cettire.com/collections/billionaire" xr:uid="{76778A9A-FC3E-44A0-BB10-2D841353ABBC}"/>
    <hyperlink ref="P226" r:id="rId3679" display="https://www.cettire.com/collections/billionaire-boys-club" xr:uid="{4BCD6398-D484-48E7-A18C-7F9196328252}"/>
    <hyperlink ref="P227" r:id="rId3680" display="https://www.cettire.com/collections/birkenstock" xr:uid="{06AD7D1F-1A45-48DA-AF6B-5F02B91B17FD}"/>
    <hyperlink ref="P228" r:id="rId3681" display="https://www.cettire.com/collections/bobo-choses" xr:uid="{0A10E832-25CC-41F1-AB4A-DDFC68AD1601}"/>
    <hyperlink ref="P230" r:id="rId3682" display="https://www.cettire.com/collections/bode" xr:uid="{4CFEE3E2-6769-41D5-BC5C-2EC12D0D8E95}"/>
    <hyperlink ref="P231" r:id="rId3683" display="https://www.cettire.com/collections/boglioli" xr:uid="{EC5D2299-4E9F-49DD-811D-57E297B61971}"/>
    <hyperlink ref="P232" r:id="rId3684" display="https://www.cettire.com/collections/bonpoint" xr:uid="{843FEA40-517E-4508-8060-CFD4CDDE7293}"/>
    <hyperlink ref="P233" r:id="rId3685" display="https://www.cettire.com/collections/bottega-veneta" xr:uid="{FEF8CA72-E574-4A49-A715-7B0785AFBA1A}"/>
    <hyperlink ref="P234" r:id="rId3686" display="https://www.cettire.com/collections/bottega-veneta-eyewear" xr:uid="{F81BD5D2-5599-4E05-9D2D-BF6C30A0B176}"/>
    <hyperlink ref="P235" r:id="rId3687" display="https://www.cettire.com/collections/botter" xr:uid="{6B665E29-EBEA-4EE4-9E08-68DB9666213A}"/>
    <hyperlink ref="P236" r:id="rId3688" display="https://www.cettire.com/collections/boutique-moschino" xr:uid="{8C29C8FE-00DF-4F29-834C-7CA4C9209D65}"/>
    <hyperlink ref="P237" r:id="rId3689" display="https://www.cettire.com/collections/boyy" xr:uid="{495980DE-6426-466D-B610-957D373A4C51}"/>
    <hyperlink ref="P238" r:id="rId3690" display="https://www.cettire.com/collections/brian-dales" xr:uid="{9F7CE233-AF58-4ABE-9867-38470054F639}"/>
    <hyperlink ref="P239" r:id="rId3691" display="https://www.cettire.com/collections/brunello-cucinelli" xr:uid="{68D0BED0-D9DA-46DF-8B85-5F043E72B905}"/>
    <hyperlink ref="P240" r:id="rId3692" display="https://www.cettire.com/collections/brunello-cucinelli-kids" xr:uid="{D6551474-E8DE-4E2E-8A81-20DB41601A19}"/>
    <hyperlink ref="P241" r:id="rId3693" display="https://www.cettire.com/collections/building-block" xr:uid="{ECAEAAD5-FD11-4652-A5D1-FC473DC1109D}"/>
    <hyperlink ref="P242" r:id="rId3694" display="https://www.cettire.com/collections/bulgari" xr:uid="{762F1C07-48AE-4671-953E-3E42A98EBE55}"/>
    <hyperlink ref="P243" r:id="rId3695" display="https://www.cettire.com/collections/burberry" xr:uid="{499C9648-CA83-4BA3-B6CB-E63F2962B787}"/>
    <hyperlink ref="P244" r:id="rId3696" display="https://www.cettire.com/collections/burberry-eyewear" xr:uid="{54E72884-7B1D-4BB4-99AA-B4AFCDDB1DF0}"/>
    <hyperlink ref="P245" r:id="rId3697" display="https://www.cettire.com/collections/burberry-kids" xr:uid="{3F81CE15-0E7D-4626-9587-7E221CC8C5A8}"/>
    <hyperlink ref="P246" r:id="rId3698" display="https://www.cettire.com/collections/buscemi" xr:uid="{AC663D1D-E6D5-456A-BCD2-DDF568E7F7D0}"/>
    <hyperlink ref="P247" r:id="rId3699" display="https://www.cettire.com/collections/buttero" xr:uid="{C73DFBE6-2BC4-4AF8-83CD-95FAD4E2286D}"/>
    <hyperlink ref="P248" r:id="rId3700" display="https://www.cettire.com/collections/by-far" xr:uid="{3B59E1D2-F963-4312-B2BB-89BB7E62C80E}"/>
    <hyperlink ref="P250" r:id="rId3701" display="https://www.cettire.com/collections/c-p-company" xr:uid="{96900B21-2386-4115-9C28-49B69D7916C3}"/>
    <hyperlink ref="P251" r:id="rId3702" display="https://www.cettire.com/collections/c-p-company-kids" xr:uid="{1F03BA90-EB7B-462E-9FCD-470ADD6D54B2}"/>
    <hyperlink ref="P252" r:id="rId3703" display="https://www.cettire.com/collections/c2h4" xr:uid="{06BF2F27-4B5D-4CDF-B393-93E708B27D5F}"/>
    <hyperlink ref="P253" r:id="rId3704" display="https://www.cettire.com/collections/calvin-klein" xr:uid="{3E33672B-C0B8-4358-BB54-64813DA30568}"/>
    <hyperlink ref="P254" r:id="rId3705" display="https://www.cettire.com/collections/calvin-klein-jeans-est-1978" xr:uid="{8E0EA5E0-66CA-489D-AD54-7FAF32A0F406}"/>
    <hyperlink ref="P255" r:id="rId3706" display="https://www.cettire.com/collections/canada-goose" xr:uid="{2FCA8015-D04D-4F94-9351-E7DFB72E2C55}"/>
    <hyperlink ref="P256" r:id="rId3707" display="https://www.cettire.com/collections/canada-goose-kids" xr:uid="{4FFF69A8-F9D4-4BF8-9D75-54F5754B0D73}"/>
    <hyperlink ref="P257" r:id="rId3708" display="https://www.cettire.com/collections/canali" xr:uid="{DC4F4ECC-DC3D-47E8-AD55-80B51281DBBD}"/>
    <hyperlink ref="P258" r:id="rId3709" display="https://www.cettire.com/collections/car-shoe" xr:uid="{C692B192-0833-4F50-BC4F-4192711094EE}"/>
    <hyperlink ref="P259" r:id="rId3710" display="https://www.cettire.com/collections/carhartt" xr:uid="{4139449C-3F79-42CF-8049-5D31CF972DCD}"/>
    <hyperlink ref="P260" r:id="rId3711" display="https://www.cettire.com/collections/carhartt-wip" xr:uid="{FAC6D08A-073F-4532-8689-9D62B302A6F2}"/>
    <hyperlink ref="P261" r:id="rId3712" display="https://www.cettire.com/collections/carrera" xr:uid="{EA886710-615A-4383-BEA7-B6A5C3E495C9}"/>
    <hyperlink ref="P262" r:id="rId3713" display="https://www.cettire.com/collections/cartier" xr:uid="{A3FB3C8B-AD2E-47BA-A2F8-EFCF2CEA8650}"/>
    <hyperlink ref="P263" r:id="rId3714" display="https://www.cettire.com/collections/casablanca" xr:uid="{7C28FBE4-B7F5-44AA-B924-A6866A8DB3EF}"/>
    <hyperlink ref="P264" r:id="rId3715" display="https://www.cettire.com/collections/casta%C3%B1er" xr:uid="{3581EBE4-04CB-4C79-AAD8-788D217FD381}"/>
    <hyperlink ref="P266" r:id="rId3716" display="https://www.cettire.com/collections/cc-collection-corneliani" xr:uid="{D953970B-6609-4472-ACFB-38B91EF9C743}"/>
    <hyperlink ref="P267" r:id="rId3717" display="https://www.cettire.com/collections/cecilie-bahnsen" xr:uid="{7A4A0F4A-5979-4E7D-BA7A-AAAD609BF690}"/>
    <hyperlink ref="P268" r:id="rId3718" display="https://www.cettire.com/collections/champion" xr:uid="{EC35EEF6-3BB8-462A-941C-602030A71513}"/>
    <hyperlink ref="P269" r:id="rId3719" display="https://www.cettire.com/collections/chanel" xr:uid="{D4EB9CFD-1DB6-4E91-8807-992D9FFBB37F}"/>
    <hyperlink ref="P270" r:id="rId3720" display="https://www.cettire.com/collections/chiara-ferragni" xr:uid="{D4B467DB-8E6B-4A16-A5F7-11ADFDD868A2}"/>
    <hyperlink ref="P271" r:id="rId3721" display="https://www.cettire.com/collections/chiara-ferragni-kids" xr:uid="{7BD88F05-DE03-4A31-91EF-567C5C1E3A09}"/>
    <hyperlink ref="P272" r:id="rId3722" display="https://www.cettire.com/collections/chie-mihara" xr:uid="{ED8600EF-6B82-445D-96F2-90FD39E4AD44}"/>
    <hyperlink ref="P273" r:id="rId3723" display="https://www.cettire.com/collections/chinatown-market" xr:uid="{46AC7CF9-CF55-480B-A91C-D8EA0A888D0B}"/>
    <hyperlink ref="P274" r:id="rId3724" display="https://www.cettire.com/collections/chloe" xr:uid="{91BB01D7-1125-4474-80C7-7BF95E0D25C6}"/>
    <hyperlink ref="P275" r:id="rId3725" display="https://www.cettire.com/collections/chloe-eyewear" xr:uid="{D28E6A7F-0BAA-4C0E-BBDD-E39B8BCFC5E6}"/>
    <hyperlink ref="P276" r:id="rId3726" display="https://www.cettire.com/collections/chlo%C3%A9 kids" xr:uid="{0FA9464D-7406-4434-B2A9-A9A3742199B2}"/>
    <hyperlink ref="P277" r:id="rId3727" display="https://www.cettire.com/collections/chopard-eyewear" xr:uid="{D473105D-E9A3-4FDC-9E3C-3B8A1CBBC9F5}"/>
    <hyperlink ref="P278" r:id="rId3728" display="https://www.cettire.com/collections/chopova-lowena" xr:uid="{7F30AB01-9406-4292-B685-17F54D05E1D7}"/>
    <hyperlink ref="P279" r:id="rId3729" display="https://www.cettire.com/collections/christian-louboutin" xr:uid="{4BB92028-6323-438E-9908-9B88DF8F82C1}"/>
    <hyperlink ref="P280" r:id="rId3730" display="https://www.cettire.com/collections/churchs" xr:uid="{D5A9F0D0-5767-477C-9504-5FAE7499BD93}"/>
    <hyperlink ref="P282" r:id="rId3731" display="https://www.cettire.com/collections/citizens-of-humanity" xr:uid="{90630D13-0112-4AFF-BEF1-6B5273EA3CEE}"/>
    <hyperlink ref="P283" r:id="rId3732" display="https://www.cettire.com/collections/co" xr:uid="{9BADA335-F31F-48D7-A52F-2C0DA389C6F8}"/>
    <hyperlink ref="P284" r:id="rId3733" display="https://www.cettire.com/collections/coach" xr:uid="{CF1F1783-4DC0-4B6C-A215-2E677569AA9D}"/>
    <hyperlink ref="P285" r:id="rId3734" display="https://www.cettire.com/collections/coliac" xr:uid="{549B059D-566F-4590-9AF6-7E926D3373D4}"/>
    <hyperlink ref="P286" r:id="rId3735" display="https://www.cettire.com/collections/collina-strada" xr:uid="{E0898EE8-34BF-4322-A858-DFFB0D7AC888}"/>
    <hyperlink ref="P287" r:id="rId3736" display="https://www.cettire.com/collections/comme-des-garcons" xr:uid="{2D0A5C82-5C14-450B-9D0F-FB4A0B3983CF}"/>
    <hyperlink ref="P288" r:id="rId3737" display="https://www.cettire.com/collections/comme-des-garcons-comme-des-garcons" xr:uid="{45116314-5329-412E-AEA7-FC714AB59AD0}"/>
    <hyperlink ref="P289" r:id="rId3738" display="https://www.cettire.com/collections/comme-des-garcons-girl" xr:uid="{FFF33660-AD14-44BF-9B1F-11C5FFE36F9F}"/>
    <hyperlink ref="P290" r:id="rId3739" display="https://www.cettire.com/collections/comme-des-garcons-homme-plus" xr:uid="{C1C6521F-BFD9-417D-A1C5-D8BB5BA26F76}"/>
    <hyperlink ref="P291" r:id="rId3740" display="https://www.cettire.com/collections/comme-des-garcons-noir-kei-ninomiya" xr:uid="{C01A3D1D-48DF-4238-86A2-F23C1DD60A53}"/>
    <hyperlink ref="P292" r:id="rId3741" display="https://www.cettire.com/collections/comme-des-garcons-play" xr:uid="{5CBC92B7-A4F6-468D-B8C7-19EBCC6351A9}"/>
    <hyperlink ref="P293" r:id="rId3742" display="https://www.cettire.com/collections/comme des garcons play kids" xr:uid="{E66852ED-CCF8-47CD-9996-BFA23DE886A4}"/>
    <hyperlink ref="P294" r:id="rId3743" display="https://www.cettire.com/collections/comme-des-garcons-shirt" xr:uid="{823E1862-C0E8-486E-B043-6D77224838B5}"/>
    <hyperlink ref="P295" r:id="rId3744" display="https://www.cettire.com/collections/comme-des-garcons-shirt-boys" xr:uid="{28F85392-7BCF-4AC5-8399-164A9B2B9742}"/>
    <hyperlink ref="P296" r:id="rId3745" display="https://www.cettire.com/collections/comme-des-garcons-wallet" xr:uid="{519DD716-3EFB-40B8-9F2F-4A6598362966}"/>
    <hyperlink ref="P297" r:id="rId3746" display="https://www.cettire.com/collections/common-projects" xr:uid="{4BCB52F8-7CC2-4FC4-813C-B2FF3226BE16}"/>
    <hyperlink ref="P298" r:id="rId3747" display="https://www.cettire.com/collections/converse" xr:uid="{1C6C9F2B-1C4B-4696-A447-1C2A946CDE17}"/>
    <hyperlink ref="P299" r:id="rId3748" display="https://www.cettire.com/collections/coperni" xr:uid="{56413C28-63DC-46FC-92A8-878CA787AEB6}"/>
    <hyperlink ref="P300" r:id="rId3749" display="https://www.cettire.com/collections/corneliani" xr:uid="{75B6AE3C-B7DE-45F8-841A-85542D15852A}"/>
    <hyperlink ref="P301" r:id="rId3750" display="https://www.cettire.com/collections/courreges-eyewear" xr:uid="{91D364D3-5141-4260-8806-A53E840BC2F8}"/>
    <hyperlink ref="P302" r:id="rId3751" display="https://www.cettire.com/collections/craig-green" xr:uid="{5ABED8CE-2C6B-4DAF-919C-68F86E88CBC3}"/>
    <hyperlink ref="P303" r:id="rId3752" display="https://www.cettire.com/collections/cult-gaia" xr:uid="{6F23B36B-83FB-4464-8286-0BE9D0BE4B5E}"/>
    <hyperlink ref="P304" r:id="rId3753" display="https://www.cettire.com/collections/current-elliott" xr:uid="{FDE4877B-50FE-4880-BBE7-3B81B969EE3F}"/>
    <hyperlink ref="P305" r:id="rId3754" display="https://www.cettire.com/collections/cutler-gross" xr:uid="{CE42AF4A-9978-4BB2-B353-243489DD2C26}"/>
    <hyperlink ref="P307" r:id="rId3755" display="https://www.cettire.com/collections/daily-paper" xr:uid="{2E31C904-1A37-44CA-9A60-7B52037968BA}"/>
    <hyperlink ref="P308" r:id="rId3756" display="https://www.cettire.com/collections/danse-lente" xr:uid="{A0791C4D-6F4A-4ECC-A99D-52BA437A741C}"/>
    <hyperlink ref="P309" r:id="rId3757" display="https://www.cettire.com/collections/delvaux" xr:uid="{6E968384-3D91-48D4-887D-6A96CE6A1E98}"/>
    <hyperlink ref="P310" r:id="rId3758" display="https://www.cettire.com/collections/department-5" xr:uid="{D34AEC1A-8241-4009-B9BD-11735E48E9ED}"/>
    <hyperlink ref="P311" r:id="rId3759" display="https://www.cettire.com/collections/desa-1972" xr:uid="{7D276701-5714-498E-8E52-DEFDDB66CABC}"/>
    <hyperlink ref="P312" r:id="rId3760" display="https://www.cettire.com/collections/diadora" xr:uid="{B9950956-255A-40DB-B554-3E22BA628437}"/>
    <hyperlink ref="P313" r:id="rId3761" display="https://www.cettire.com/collections/diane-von-furstenberg" xr:uid="{087475E5-6221-4842-A48F-16FF04605391}"/>
    <hyperlink ref="P314" r:id="rId3762" display="https://www.cettire.com/collections/diemme" xr:uid="{AE3A48C4-A4F9-40ED-ACDE-FF7C00BC48C6}"/>
    <hyperlink ref="P315" r:id="rId3763" display="https://www.cettire.com/collections/diesel" xr:uid="{AB13E57A-00CF-48D7-90F6-0E38F59A5BD3}"/>
    <hyperlink ref="P317" r:id="rId3764" display="https://www.cettire.com/collections/diesel-kids" xr:uid="{E8A91CED-C76D-4560-83E4-C6841478958B}"/>
    <hyperlink ref="P318" r:id="rId3765" display="https://www.cettire.com/collections/diesel-red-tag" xr:uid="{AE6705FE-6C38-40DC-963B-41010A378D1F}"/>
    <hyperlink ref="P319" r:id="rId3766" display="https://www.cettire.com/collections/dior" xr:uid="{44F8D7DA-095A-4634-81CD-B86F4C3DB964}"/>
    <hyperlink ref="P320" r:id="rId3767" display="https://www.cettire.com/collections/dior-eyewear" xr:uid="{8E71BBFA-0CB3-47CF-AC2C-4831B4C6C898}"/>
    <hyperlink ref="P321" r:id="rId3768" display="https://www.cettire.com/collections/dior-homme" xr:uid="{24B08041-B677-4BD6-AF2D-262A958318D3}"/>
    <hyperlink ref="P322" r:id="rId3769" display="https://www.cettire.com/collections/dita-eyewear" xr:uid="{DAB2FDF9-5C9E-4A53-BEB6-5D104062A734}"/>
    <hyperlink ref="P323" r:id="rId3770" display="https://www.cettire.com/collections/dkny-kids" xr:uid="{BCC15D40-5097-43A1-8CF3-FFFD01439031}"/>
    <hyperlink ref="P324" r:id="rId3771" display="https://www.cettire.com/collections/dodo-bar-or" xr:uid="{7B7854EB-B33C-416F-986F-BEF090FA1BF8}"/>
    <hyperlink ref="P325" r:id="rId3772" display="https://www.cettire.com/collections/dolce-gabbana" xr:uid="{7A397F96-0DDD-49B6-8D39-388B059A3B26}"/>
    <hyperlink ref="P326" r:id="rId3773" display="https://www.cettire.com/collections/dolce-gabbana-eyewear" xr:uid="{A7E1FCCF-AC90-42C7-AD57-45FD33FC8FA9}"/>
    <hyperlink ref="P327" r:id="rId3774" display="https://www.cettire.com/collections/dolce-gabbana-kids" xr:uid="{F6263162-1A21-4A65-AAD8-08A9AB3BE162}"/>
    <hyperlink ref="P328" r:id="rId3775" display="https://www.cettire.com/collections/dr-martens" xr:uid="{74ADD83D-FA61-4319-BE3D-FB302FE8CCA6}"/>
    <hyperlink ref="P329" r:id="rId3776" display="https://www.cettire.com/collections/drole-de-monsieur" xr:uid="{C001C6E2-55DD-494F-B974-340D734F0352}"/>
    <hyperlink ref="P330" r:id="rId3777" display="https://www.cettire.com/collections/dsquared2" xr:uid="{53D17643-974D-49CB-B226-7F21B1AF4F62}"/>
    <hyperlink ref="P331" r:id="rId3778" display="https://www.cettire.com/collections/dsquared2-eyewear" xr:uid="{D1720DF0-94E2-4F12-A3F7-99D30CFA2764}"/>
    <hyperlink ref="P332" r:id="rId3779" display="https://www.cettire.com/collections/dsquared2-kids" xr:uid="{AFDC52E6-DAC7-4543-A948-FF2708542D57}"/>
    <hyperlink ref="P335" r:id="rId3780" display="https://www.cettire.com/collections/ea7-emporio-armani" xr:uid="{1F68C570-CE97-4AC3-805D-125005B7B827}"/>
    <hyperlink ref="P336" r:id="rId3781" display="https://www.cettire.com/collections/eastpak" xr:uid="{07590819-56BD-471F-98C3-78B604AFD31B}"/>
    <hyperlink ref="P337" r:id="rId3782" display="https://www.cettire.com/collections/eckhaus-latta" xr:uid="{A5123178-9CDE-4FCA-8A44-EF7EEDB1609D}"/>
    <hyperlink ref="P338" r:id="rId3783" display="https://www.cettire.com/collections/eden-power-corp" xr:uid="{C0DB1536-ABF4-4273-B0F3-0A4D64E00A4D}"/>
    <hyperlink ref="P339" r:id="rId3784" display="https://www.cettire.com/collections/edward-green" xr:uid="{133C12DD-4D15-48F3-ADC5-1BFCE2AFD6B3}"/>
    <hyperlink ref="P340" r:id="rId3785" display="https://www.cettire.com/collections/elie-saab-junior" xr:uid="{6305FACA-A38A-42B9-888C-C283422A61A0}"/>
    <hyperlink ref="P341" r:id="rId3786" display="https://www.cettire.com/collections/elisabetta-franchi" xr:uid="{E80E9C7B-F233-409D-A759-42D63EE8DB17}"/>
    <hyperlink ref="P342" r:id="rId3787" display="https://www.cettire.com/collections/emile-et-ida" xr:uid="{487F5E2E-C047-4E8D-A75B-D411AF70647F}"/>
    <hyperlink ref="P343" r:id="rId3788" display="https://www.cettire.com/collections/emilio-pucci" xr:uid="{5665F45B-70C2-46B0-B4C7-A61814FF821E}"/>
    <hyperlink ref="P344" r:id="rId3789" display="https://www.cettire.com/collections/emilio-pucci-junior" xr:uid="{3A8287B0-ED5F-4B2D-8F47-3F46302A00EC}"/>
    <hyperlink ref="P345" r:id="rId3790" display="https://www.cettire.com/collections/emporio-armani" xr:uid="{89B0E969-CAA9-46E4-A036-4C4C54CDCC79}"/>
    <hyperlink ref="P346" r:id="rId3791" display="https://www.cettire.com/collections/emporio-armani-kids" xr:uid="{9A4AA488-9E51-49A4-BA3F-03D64A842B19}"/>
    <hyperlink ref="P347" r:id="rId3792" display="https://www.cettire.com/collections/enfants-riches-deprimes" xr:uid="{C61DA02E-04A4-4BAA-A99B-5562A43CC4C8}"/>
    <hyperlink ref="P348" r:id="rId3793" display="https://www.cettire.com/collections/engineered-garments" xr:uid="{2C2ABDE6-D004-489E-96D9-D66371CB3DF6}"/>
    <hyperlink ref="P350" r:id="rId3794" display="https://www.cettire.com/collections/equipment" xr:uid="{C20B472E-9B7A-4D67-AFF5-26D53BD98F29}"/>
    <hyperlink ref="P351" r:id="rId3795" display="https://www.cettire.com/collections/ermanno-scervino" xr:uid="{CDB500E2-9A72-4776-B484-C7CD20FF9AB9}"/>
    <hyperlink ref="P352" r:id="rId3796" display="https://www.cettire.com/collections/ermenegildo-zegna" xr:uid="{35FE9EF1-2CF8-4A11-A41C-E70E92D42053}"/>
    <hyperlink ref="P353" r:id="rId3797" display="https://www.cettire.com/collections/etre-cecile" xr:uid="{FE4C23A5-3723-4E4B-AE20-57009CD78C21}"/>
    <hyperlink ref="P354" r:id="rId3798" display="https://www.cettire.com/collections/etro" xr:uid="{5FB2E8B6-6BF8-4E8E-A032-6A2E2CFEBEBB}"/>
    <hyperlink ref="P355" r:id="rId3799" display="https://www.cettire.com/collections/eudon-choi" xr:uid="{501A3083-A8CF-4798-B50D-BFC142477C99}"/>
    <hyperlink ref="P356" r:id="rId3800" display="https://www.cettire.com/collections/extreme-cashmere" xr:uid="{5A4CBC8C-B46A-47E8-81E5-FFD055A60A7D}"/>
    <hyperlink ref="P357" r:id="rId3801" display="https://www.cettire.com/collections/eyevan-7285" xr:uid="{D0633CBF-D9FC-4311-9929-3C3EE68A2749}"/>
    <hyperlink ref="P358" r:id="rId3802" display="https://www.cettire.com/collections/eytys" xr:uid="{363B7084-6927-46FA-826F-F8051C872AA6}"/>
    <hyperlink ref="P360" r:id="rId3803" display="https://www.cettire.com/collections/fabiana-filippi" xr:uid="{C93D396D-59EF-4F22-9B59-FBCB5C73A756}"/>
    <hyperlink ref="P361" r:id="rId3804" display="https://www.cettire.com/collections/facetasm" xr:uid="{867695A5-A27F-4690-BF01-91CF513570B8}"/>
    <hyperlink ref="P362" r:id="rId3805" display="https://www.cettire.com/collections/faith-connexion" xr:uid="{8FE7BBB2-B94E-4F5B-AD6C-B79EDA086374}"/>
    <hyperlink ref="P363" r:id="rId3806" display="https://www.cettire.com/collections/fay" xr:uid="{135E0583-FCCB-443E-9E0D-367D31F2B8D3}"/>
    <hyperlink ref="P364" r:id="rId3807" display="https://www.cettire.com/collections/fay-kids" xr:uid="{3564E8C5-6C38-44B1-8C89-5A85FC539D4F}"/>
    <hyperlink ref="P365" r:id="rId3808" display="https://www.cettire.com/collections/fear-of-god" xr:uid="{48CD5933-B9AB-4F3E-B6D8-E09E50D94063}"/>
    <hyperlink ref="P366" r:id="rId3809" display="https://www.cettire.com/collections/fendi" xr:uid="{C6D3079B-BC79-4E6E-910A-ADE51BFFF79C}"/>
    <hyperlink ref="P367" r:id="rId3810" display="https://www.cettire.com/collections/fendi-eyewear" xr:uid="{7205E19F-288B-4447-A389-63F2B6FC3182}"/>
    <hyperlink ref="P368" r:id="rId3811" display="https://www.cettire.com/collections/fendi-kids" xr:uid="{4358206E-AB41-4C11-B5B6-766149F2514E}"/>
    <hyperlink ref="P369" r:id="rId3812" display="https://www.cettire.com/collections/feng-chen-wang" xr:uid="{867B2770-E607-48E6-9897-7F3B580415F5}"/>
    <hyperlink ref="P370" r:id="rId3813" display="https://www.cettire.com/collections/fenty-x-puma" xr:uid="{E175638E-9329-4712-8C6F-BCEE824D02DB}"/>
    <hyperlink ref="P371" r:id="rId3814" display="https://www.cettire.com/collections/fila" xr:uid="{BCEC0551-0D0A-40F5-B3EA-0362E100F69F}"/>
    <hyperlink ref="P372" r:id="rId3815" display="https://www.cettire.com/collections/finamore-1925-napoli" xr:uid="{EA082B49-98E4-4A8A-B025-AD8F762439C9}"/>
    <hyperlink ref="P374" r:id="rId3816" display="https://www.cettire.com/collections/forte-dei-marmi-couture" xr:uid="{0010EAB5-53FF-47AF-A3E9-E00677572278}"/>
    <hyperlink ref="P375" r:id="rId3817" display="https://www.cettire.com/collections/forte-forte" xr:uid="{21E5CA5B-8A47-4596-8D21-C3383300B85A}"/>
    <hyperlink ref="P376" r:id="rId3818" display="https://www.cettire.com/collections/frame" xr:uid="{C98A0445-9ED5-4D8C-A8B2-0CB2A86FD6AE}"/>
    <hyperlink ref="P377" r:id="rId3819" display="https://www.cettire.com/collections/francesco-russo" xr:uid="{195D4C45-8310-4A46-8355-F998526F8464}"/>
    <hyperlink ref="P378" r:id="rId3820" display="https://www.cettire.com/collections/freedomday" xr:uid="{1F68A8D9-7BC5-4CDF-A817-DCEDE238867D}"/>
    <hyperlink ref="P379" r:id="rId3821" display="https://www.cettire.com/collections/fucking-awesome" xr:uid="{57C56B95-9042-4104-A0F6-B1ED39F0193D}"/>
    <hyperlink ref="P380" r:id="rId3822" display="https://www.cettire.com/collections/furla" xr:uid="{30DCD4D0-D611-40D6-BAA4-3BC1CEC9DF69}"/>
    <hyperlink ref="P382" r:id="rId3823" display="https://www.cettire.com/collections/gabriela-hearst" xr:uid="{565C346C-7956-4CA3-9F16-47ED5B6BC41A}"/>
    <hyperlink ref="P383" r:id="rId3824" display="https://www.cettire.com/collections/gallery-dept" xr:uid="{DBEFB778-975D-461A-8E81-C5A655B05B9F}"/>
    <hyperlink ref="P384" r:id="rId3825" display="https://www.cettire.com/collections/ganni" xr:uid="{296AA7C4-69DD-4998-8BC0-55D35E3C32B3}"/>
    <hyperlink ref="P385" r:id="rId3826" display="https://www.cettire.com/collections/garrett-leight" xr:uid="{2A57CED4-C11F-427C-B398-C3DE35319094}"/>
    <hyperlink ref="P386" r:id="rId3827" display="https://www.cettire.com/collections/gauge81" xr:uid="{6E86B259-4F3B-4783-AC8F-93C6D23C0553}"/>
    <hyperlink ref="P387" r:id="rId3828" display="https://www.cettire.com/collections/gcds" xr:uid="{6D6B010C-839F-4476-B338-91C647538B7C}"/>
    <hyperlink ref="P388" r:id="rId3829" display="https://www.cettire.com/collections/gcds-kids" xr:uid="{4D69C05F-DF34-4DCC-B40A-217F330F2B45}"/>
    <hyperlink ref="P389" r:id="rId3830" display="https://www.cettire.com/collections/gia-borghini" xr:uid="{AADE0BC7-688E-453D-832B-77B22094457F}"/>
    <hyperlink ref="P390" r:id="rId3831" display="https://www.cettire.com/collections/giambattista-valli" xr:uid="{86EC15E0-760F-4815-A57D-FD7D34FA7D52}"/>
    <hyperlink ref="P392" r:id="rId3832" display="https://www.cettire.com/collections/giorgio-armani" xr:uid="{63ADFB10-CE01-44D2-94AF-BB6340934D6A}"/>
    <hyperlink ref="P393" r:id="rId3833" display="https://www.cettire.com/collections/givenchy" xr:uid="{3238FAB2-FE4A-48A3-AF7B-310393137ACC}"/>
    <hyperlink ref="P394" r:id="rId3834" display="https://www.cettire.com/collections/givenchy-eyewear" xr:uid="{FD5E7A96-E1F0-4CC0-BB3A-1699469BA671}"/>
    <hyperlink ref="P395" r:id="rId3835" display="https://www.cettire.com/collections/givenchy-kids" xr:uid="{09703507-4F2D-4EED-8D1E-80DF3CB412A9}"/>
    <hyperlink ref="P396" r:id="rId3836" display="https://www.cettire.com/collections/golden-goose-deluxe-brand" xr:uid="{55FEEA09-FCA4-4AE6-B696-44CEE60F8189}"/>
    <hyperlink ref="P397" r:id="rId3837" display="https://www.cettire.com/collections/golden-goose-kids" xr:uid="{1B9539A3-3658-49D2-BCF9-0B5D595F7291}"/>
    <hyperlink ref="P398" r:id="rId3838" display="https://www.cettire.com/collections/greg-lauren" xr:uid="{DBBAFCB5-8A7F-4B40-B989-CF7070B0DE43}"/>
    <hyperlink ref="P399" r:id="rId3839" display="https://www.cettire.com/collections/grevi" xr:uid="{5203DF31-7A8D-4D90-A456-4F56B6E60457}"/>
    <hyperlink ref="P400" r:id="rId3840" display="https://www.cettire.com/collections/gucci" xr:uid="{37E6BB48-CC3E-443E-9223-F74CE4326949}"/>
    <hyperlink ref="P401" r:id="rId3841" display="https://www.cettire.com/collections/gucci-eyewear" xr:uid="{02BC872F-4061-4796-A2B6-A5C29C86CAE0}"/>
    <hyperlink ref="P402" r:id="rId3842" display="https://www.cettire.com/collections/gucci-kids" xr:uid="{AA494A65-B071-4FED-BB28-6FE4689BB776}"/>
    <hyperlink ref="P403" r:id="rId3843" display="https://www.cettire.com/collections/guidi" xr:uid="{639FC9F4-F7A2-4B3C-BFA0-A993E5C013E3}"/>
    <hyperlink ref="P405" r:id="rId3844" display="https://www.cettire.com/collections/haider-ackermann" xr:uid="{5E668FEC-180B-4DC3-BDB9-01D46F39F296}"/>
    <hyperlink ref="P406" r:id="rId3845" display="https://www.cettire.com/collections/harris-wharf-london" xr:uid="{072DB413-1578-4E31-92DB-380F3F3818E6}"/>
    <hyperlink ref="P407" r:id="rId3846" display="https://www.cettire.com/collections/helmut-lang" xr:uid="{B56B0AC4-7B81-452C-A197-6DE0783C8213}"/>
    <hyperlink ref="P408" r:id="rId3847" display="https://www.cettire.com/collections/hereu" xr:uid="{97A95DCB-E5FB-4497-B39A-C6FC20966CF2}"/>
    <hyperlink ref="P409" r:id="rId3848" display="https://www.cettire.com/collections/herno" xr:uid="{82C23D4A-9C33-42A9-906D-DD488A849A59}"/>
    <hyperlink ref="P410" r:id="rId3849" display="https://www.cettire.com/collections/herno-kids" xr:uid="{CCDE8C79-439D-4D03-AF78-59DA5C979017}"/>
    <hyperlink ref="P411" r:id="rId3850" display="https://www.cettire.com/collections/heron-preston" xr:uid="{67FD2D6B-0E83-4A19-BF4E-AAF22BDDF0B8}"/>
    <hyperlink ref="P412" r:id="rId3851" display="https://www.cettire.com/collections/herschel-supply-co" xr:uid="{B4915BA8-B21E-44C8-9E21-CA70BA105646}"/>
    <hyperlink ref="P413" r:id="rId3852" display="https://www.cettire.com/collections/hogan" xr:uid="{3BE462CB-9EB5-45F2-8822-2E5714B349C8}"/>
    <hyperlink ref="P414" r:id="rId3853" display="https://www.cettire.com/collections/hogan-kids" xr:uid="{E1048030-2A9B-422D-88EC-835A5C9F8911}"/>
    <hyperlink ref="P415" r:id="rId3854" display="https://www.cettire.com/collections/hogan-rebel" xr:uid="{81AAE72C-BA8E-42A0-B50F-ECD76087ECCC}"/>
    <hyperlink ref="P416" r:id="rId3855" display="https://www.cettire.com/collections/hoka-one-one" xr:uid="{89A1B9D4-EB73-424D-A10B-70FFF49043D6}"/>
    <hyperlink ref="P417" r:id="rId3856" display="https://www.cettire.com/collections/homme-plisse-issey-miyake" xr:uid="{393856BF-0188-4F6B-A0E4-8CF0DC0CE9B2}"/>
    <hyperlink ref="P418" r:id="rId3857" display="https://www.cettire.com/collections/honey-fucking-dijon" xr:uid="{D1FA742B-0E09-4E62-8135-AA49E1CE4C5D}"/>
    <hyperlink ref="P419" r:id="rId3858" display="https://www.cettire.com/collections/howlin" xr:uid="{3ABAA280-B8C0-4728-BB14-454DC410AA96}"/>
    <hyperlink ref="P420" r:id="rId3859" display="https://www.cettire.com/collections/hugo-boss-kids" xr:uid="{8D501F8F-5EC6-4430-85E6-6C6188FDD8E1}"/>
    <hyperlink ref="P422" r:id="rId3860" display="https://www.cettire.com/collections/ienki-ienki" xr:uid="{57D0D37B-9F3B-40FD-87C0-EBC3F8ADF949}"/>
    <hyperlink ref="P423" r:id="rId3861" display="https://www.cettire.com/collections/ih-nom-uh-nit" xr:uid="{B2F1638B-988E-41AB-A625-DCA54D47AA44}"/>
    <hyperlink ref="P425" r:id="rId3862" display="https://www.cettire.com/collections/il-gufo" xr:uid="{BD22B265-4338-44FE-8CE6-A2B437FB98CF}"/>
    <hyperlink ref="P426" r:id="rId3863" display="https://www.cettire.com/collections/in-the-mood-for-love" xr:uid="{AF3B7DE4-D244-4328-97FA-FCF821ED2F73}"/>
    <hyperlink ref="P427" r:id="rId3864" display="https://www.cettire.com/collections/incotex" xr:uid="{BF572E1E-A133-4FAA-947A-843410FF2FCE}"/>
    <hyperlink ref="P428" r:id="rId3865" display="https://www.cettire.com/collections/isabel-marant" xr:uid="{523A9BB3-F354-4D56-99A5-45D6FD5492DA}"/>
    <hyperlink ref="P429" r:id="rId3866" display="https://www.cettire.com/collections/isabel-marant-etoile" xr:uid="{31A1A510-A15F-4314-A86A-924EE454F3C7}"/>
    <hyperlink ref="P430" r:id="rId3867" display="https://www.cettire.com/collections/isaia" xr:uid="{44086BBB-168D-4F6B-A70C-02176612B12E}"/>
    <hyperlink ref="P431" r:id="rId3868" display="https://www.cettire.com/collections/issey-miyake" xr:uid="{EEAC0046-AE2C-48CA-9343-71C438F96117}"/>
    <hyperlink ref="P432" r:id="rId3869" display="https://www.cettire.com/collections/issey-miyake-men" xr:uid="{F332F7B7-DCFA-4577-882C-E509C04D43A5}"/>
    <hyperlink ref="P434" r:id="rId3870" display="https://www.cettire.com/collections/j-brand" xr:uid="{1EB7D2B7-CDDF-4518-AFB9-6BEB20052764}"/>
    <hyperlink ref="P435" r:id="rId3871" display="https://www.cettire.com/collections/jacquemus" xr:uid="{135592C5-97FC-4611-8FAB-0E364838C193}"/>
    <hyperlink ref="P436" r:id="rId3872" display="https://www.cettire.com/collections/jacques-marie-mage" xr:uid="{901289EE-93A4-40D4-9418-97ACAF83FCB5}"/>
    <hyperlink ref="P437" r:id="rId3873" display="https://www.cettire.com/collections/jejia" xr:uid="{8F755864-FCA3-4E1C-A6AF-F8F705C0C3DB}"/>
    <hyperlink ref="P438" r:id="rId3874" display="https://www.cettire.com/collections/jessie-western" xr:uid="{63B699D2-9683-4A1A-A669-65593CA60809}"/>
    <hyperlink ref="P439" r:id="rId3875" display="https://www.cettire.com/collections/jil-sander" xr:uid="{FC43EB11-B564-4037-B500-37CEB38FD0ED}"/>
    <hyperlink ref="P440" r:id="rId3876" display="https://www.cettire.com/collections/jimmy-choo" xr:uid="{D60EBB01-325F-4992-824B-2E948623075D}"/>
    <hyperlink ref="P441" r:id="rId3877" display="https://www.cettire.com/collections/jimmy-choo-eyewear" xr:uid="{03D1BEAB-6FCF-45F0-9CCD-2B192503DE1D}"/>
    <hyperlink ref="P442" r:id="rId3878" display="https://www.cettire.com/collections/john-elliott" xr:uid="{1F255961-0296-4F17-B979-6D4A22C23D74}"/>
    <hyperlink ref="P443" r:id="rId3879" display="https://www.cettire.com/collections/john-lobb" xr:uid="{FA95C423-03ED-4872-8A35-ED8734D32500}"/>
    <hyperlink ref="P444" r:id="rId3880" display="https://www.cettire.com/collections/john-smedley" xr:uid="{798FAC91-5902-43EB-B685-728F2ED3FB8E}"/>
    <hyperlink ref="P445" r:id="rId3881" display="https://www.cettire.com/collections/junya-watanabe" xr:uid="{35EDD8F1-348E-4886-A07D-6B5AE902EE40}"/>
    <hyperlink ref="P446" r:id="rId3882" display="https://www.cettire.com/collections/junya-watanabe-comme-des-garcons" xr:uid="{0D51F66E-697A-4E83-A281-E93A5A523F7B}"/>
    <hyperlink ref="P447" r:id="rId3883" display="https://www.cettire.com/collections/junya-watanabe-man" xr:uid="{E6B566DB-D2BA-4EC4-88EA-4A76913CF7B8}"/>
    <hyperlink ref="P448" r:id="rId3884" display="https://www.cettire.com/collections/just-don" xr:uid="{DA69A5C2-664D-4141-BBAD-8C36E98547C4}"/>
    <hyperlink ref="P449" r:id="rId3885" display="https://www.cettire.com/collections/juun-j" xr:uid="{AACD7D4F-286D-43E4-A056-A41AB8D55386}"/>
    <hyperlink ref="P450" r:id="rId3886" display="https://www.cettire.com/collections/jw-anderson" xr:uid="{986AABDD-5E0B-4E2F-9783-1C3DF50752B1}"/>
    <hyperlink ref="P452" r:id="rId3887" display="https://www.cettire.com/collections/k-way" xr:uid="{9AFF65E6-9612-43F6-A7E9-03BA98430C53}"/>
    <hyperlink ref="P453" r:id="rId3888" display="https://www.cettire.com/collections/kappa" xr:uid="{42469ECC-085E-4040-ADCF-84ED1720CA3C}"/>
    <hyperlink ref="P454" r:id="rId3889" display="https://www.cettire.com/collections/kappa-kontroll" xr:uid="{70499504-2898-4EA3-899F-2B3B751F4DD9}"/>
    <hyperlink ref="P455" r:id="rId3890" display="https://www.cettire.com/collections/kara" xr:uid="{2861750B-D57F-4778-BD5E-2FE30F996DA6}"/>
    <hyperlink ref="P456" r:id="rId3891" display="https://www.cettire.com/collections/karl-lagerfeld" xr:uid="{F49F960F-6A55-48AD-963B-8A939FE435A8}"/>
    <hyperlink ref="P457" r:id="rId3892" display="https://www.cettire.com/collections/karl-lagerfeld-kids" xr:uid="{81A1512D-C840-427A-AE1E-5B90178FD303}"/>
    <hyperlink ref="P458" r:id="rId3893" display="https://www.cettire.com/collections/kenzo" xr:uid="{7D44DB6B-E870-4B0D-A90F-73D0494663E2}"/>
    <hyperlink ref="P459" r:id="rId3894" display="https://www.cettire.com/collections/kenzo-kids" xr:uid="{70AAE94E-FCB7-4924-A7D8-29F79B506B82}"/>
    <hyperlink ref="P460" r:id="rId3895" display="https://www.cettire.com/collections/khaite" xr:uid="{61A49BE6-C6EF-4144-AECE-124068326879}"/>
    <hyperlink ref="P461" r:id="rId3896" display="https://www.cettire.com/collections/khrisjoy" xr:uid="{CB71FCED-FB31-449A-85FA-B522019710A2}"/>
    <hyperlink ref="P462" r:id="rId3897" display="https://www.cettire.com/collections/khrisjoy-kids" xr:uid="{A2D87EB6-9BC8-448B-B087-59FAC6F599CD}"/>
    <hyperlink ref="P463" r:id="rId3898" display="https://www.cettire.com/collections/kuboraum" xr:uid="{E376C60E-F7D2-4088-9BEF-3DE783CB8002}"/>
    <hyperlink ref="P464" r:id="rId3899" display="https://www.cettire.com/collections/kwaidan-editions" xr:uid="{0B9A2385-0BC5-49EF-93FA-666638BC064C}"/>
    <hyperlink ref="P466" r:id="rId3900" display="https://www.cettire.com/collections/l-b-m-1911" xr:uid="{963071DC-7DB8-4A55-B7B6-026C00378C8D}"/>
    <hyperlink ref="P467" r:id="rId3901" display="https://www.cettire.com/collections/lautre-chose" xr:uid="{83FEC759-2010-4777-B7F8-5AAEB528D719}"/>
    <hyperlink ref="P468" r:id="rId3902" display="https://www.cettire.com/collections/la-doublej" xr:uid="{D5C89329-EA08-400C-A7EA-7525CF2064B5}"/>
    <hyperlink ref="P469" r:id="rId3903" display="https://www.cettire.com/collections/la-milanesa" xr:uid="{205C484E-AAB5-4A07-847D-A52D3CE38669}"/>
    <hyperlink ref="P470" r:id="rId3904" display="https://www.cettire.com/collections/la-stupenderia" xr:uid="{FFAA8FCC-12B8-4BDF-984E-17E72CE3BC5F}"/>
    <hyperlink ref="P471" r:id="rId3905" display="https://www.cettire.com/collections/laneus" xr:uid="{1925D481-36A6-4AB0-9473-FC8A03BF1304}"/>
    <hyperlink ref="P472" r:id="rId3906" display="https://www.cettire.com/collections/lanvin" xr:uid="{3D80A779-303D-444D-83BD-121D80CE75A8}"/>
    <hyperlink ref="P473" r:id="rId3907" display="https://www.cettire.com/collections/lanvin-enfant" xr:uid="{D64C2165-C983-4CEE-9E5C-A2AB077A962D}"/>
    <hyperlink ref="P474" r:id="rId3908" display="https://www.cettire.com/collections/lauren-ralph-lauren" xr:uid="{4902D9F6-F3DB-4B1B-AA6A-C03AAD2BFCE7}"/>
    <hyperlink ref="P475" r:id="rId3909" display="https://www.cettire.com/collections/le beb%C3%A9 enfant" xr:uid="{F3AB7708-27B5-4DEA-A481-3D5F55B205B2}"/>
    <hyperlink ref="P476" r:id="rId3910" display="https://www.cettire.com/collections/le-kasha" xr:uid="{1B23C80C-4B68-4464-9E22-148E4AC5B36C}"/>
    <hyperlink ref="P477" r:id="rId3911" display="https://www.cettire.com/collections/lemaire" xr:uid="{FC06EDB9-C949-4749-8D9B-F452CE4EDE6D}"/>
    <hyperlink ref="P478" r:id="rId3912" display="https://www.cettire.com/collections/lesca" xr:uid="{74325B22-036C-43CF-BFB8-B9A053EDC9A4}"/>
    <hyperlink ref="P479" r:id="rId3913" display="https://www.cettire.com/collections/levis" xr:uid="{F2D27454-6FFB-4F6D-90CF-841241330DA5}"/>
    <hyperlink ref="P480" r:id="rId3914" display="https://www.cettire.com/collections/li-ning" xr:uid="{FD46563D-9D1A-476E-B28F-25B8F5E988D3}"/>
    <hyperlink ref="P481" r:id="rId3915" display="https://www.cettire.com/collections/linda-farrow" xr:uid="{F3F4D7CC-85E3-4486-804C-80D614DE1B97}"/>
    <hyperlink ref="P482" r:id="rId3916" display="https://www.cettire.com/collections/lisa-marie-fernandez" xr:uid="{E768AAF7-B19D-4E4E-974A-448DBED5CDB2}"/>
    <hyperlink ref="P483" r:id="rId3917" display="https://www.cettire.com/collections/liu-jo" xr:uid="{145528E2-D899-4480-9A83-AA2B338BBDB3}"/>
    <hyperlink ref="P484" r:id="rId3918" display="https://www.cettire.com/collections/loewe" xr:uid="{105210C9-9780-44F6-B376-19A31080F333}"/>
    <hyperlink ref="P485" r:id="rId3919" display="https://www.cettire.com/collections/longchamp" xr:uid="{D9A7A962-6FD2-4495-8AB5-15B327D5369E}"/>
    <hyperlink ref="P486" r:id="rId3920" display="https://www.cettire.com/collections/loro-piana" xr:uid="{90C161F0-D2B9-49CC-AAFB-614D2023B126}"/>
    <hyperlink ref="P487" r:id="rId3921" display="https://www.cettire.com/collections/loulou-studio" xr:uid="{AE7CCCBE-32BA-4407-B43D-117D298CDF2C}"/>
    <hyperlink ref="P488" r:id="rId3922" display="https://www.cettire.com/collections/love-moschino" xr:uid="{3A1FA11E-577B-40CE-8496-3E00CE7C11BF}"/>
    <hyperlink ref="P489" r:id="rId3923" display="https://www.cettire.com/collections/low-classic" xr:uid="{D596B1D1-74FD-40DC-8A62-C77DD3388725}"/>
    <hyperlink ref="P491" r:id="rId3924" display="https://www.cettire.com/collections/m-missoni" xr:uid="{86485627-C675-442E-AD47-7EC95AF167F3}"/>
    <hyperlink ref="P492" r:id="rId3925" display="https://www.cettire.com/collections/mackintosh" xr:uid="{89FDE533-BAA3-4AE0-9140-BAF80C43570A}"/>
    <hyperlink ref="P493" r:id="rId3926" display="https://www.cettire.com/collections/magda-butrym" xr:uid="{0FAE03ED-DFA4-41DB-ADFB-191530982510}"/>
    <hyperlink ref="P494" r:id="rId3927" display="https://www.cettire.com/collections/maisie-wilen" xr:uid="{36C9FCBA-1784-4A32-A437-DC897F9F24C9}"/>
    <hyperlink ref="P495" r:id="rId3928" display="https://www.cettire.com/collections/maison-kitsune" xr:uid="{2DDD4687-F66D-4FFA-8670-F5FB718379EE}"/>
    <hyperlink ref="P496" r:id="rId3929" display="https://www.cettire.com/collections/maison-margiela" xr:uid="{4D890925-56A9-4885-8985-4BEB5AC8D536}"/>
    <hyperlink ref="P497" r:id="rId3930" display="https://www.cettire.com/collections/maison-michel" xr:uid="{6E0C9B9A-EE82-4FB7-84AF-959D15478CB9}"/>
    <hyperlink ref="P499" r:id="rId3931" display="https://www.cettire.com/collections/malone-souliers" xr:uid="{93A0977A-8558-42C7-B513-33B2907B580D}"/>
    <hyperlink ref="P500" r:id="rId3932" display="https://www.cettire.com/collections/manebi" xr:uid="{C920D83D-4FA6-4107-8625-EA43B7AC74BD}"/>
    <hyperlink ref="P501" r:id="rId3933" display="https://www.cettire.com/collections/manokhi" xr:uid="{5F41094D-55BA-4DFF-920C-574482043474}"/>
    <hyperlink ref="P502" r:id="rId3934" display="https://www.cettire.com/collections/manolo-blahnik" xr:uid="{9A3B4655-84E4-4D20-8242-B141FBD824E8}"/>
    <hyperlink ref="P503" r:id="rId3935" display="https://www.cettire.com/collections/mansur-gavriel" xr:uid="{CEB3D844-34F1-420A-8008-3A0ABB520328}"/>
    <hyperlink ref="P504" r:id="rId3936" display="https://www.cettire.com/collections/manu-atelier" xr:uid="{A616910E-14F5-4760-BBA6-BFA5DC495287}"/>
    <hyperlink ref="P505" r:id="rId3937" display="https://www.cettire.com/collections/marc-jacobs" xr:uid="{4C88ABDC-E8BA-461E-9DDF-CA622D46CB76}"/>
    <hyperlink ref="P506" r:id="rId3938" display="https://www.cettire.com/collections/marc-jacobs-eyewear" xr:uid="{105BDB26-A4DF-4BD4-AC10-C14CC9143772}"/>
    <hyperlink ref="P507" r:id="rId3939" display="https://www.cettire.com/collections/marcelo-burlon-county-of-milan" xr:uid="{040B401B-747A-4BE2-B0B3-F0891C7BDE08}"/>
    <hyperlink ref="P508" r:id="rId3940" display="https://www.cettire.com/collections/marcelo-burlon-county-of-milan-kids" xr:uid="{0A5AF53E-2812-4B1C-A4A8-6B80E18961F1}"/>
    <hyperlink ref="P510" r:id="rId3941" display="https://www.cettire.com/collections/marine-serre" xr:uid="{19B0B66F-6706-4878-8CCC-AD1B50B5FAD1}"/>
    <hyperlink ref="P511" r:id="rId3942" display="https://www.cettire.com/collections/marni" xr:uid="{3F2220EB-1CB9-4CA6-8D2B-527D8D6A132F}"/>
    <hyperlink ref="P512" r:id="rId3943" display="https://www.cettire.com/collections/marni-eyewear" xr:uid="{C3438B87-CDFF-478D-9B4D-9325382CA0F0}"/>
    <hyperlink ref="P513" r:id="rId3944" display="https://www.cettire.com/collections/marni-kids" xr:uid="{9C02E949-5D43-40AF-8E72-4B10FA19FAD9}"/>
    <hyperlink ref="P514" r:id="rId3945" display="https://www.cettire.com/collections/marquesalmeida" xr:uid="{851613EE-C91D-4991-B95B-86EFBC011742}"/>
    <hyperlink ref="P515" r:id="rId3946" display="https://www.cettire.com/collections/marsell" xr:uid="{6AD8FE73-F1E2-41DC-9141-B189988D2BAC}"/>
    <hyperlink ref="P516" r:id="rId3947" display="https://www.cettire.com/collections/martine-rose" xr:uid="{D9881283-E10E-4FB9-BA21-2386C4F125AF}"/>
    <hyperlink ref="P517" r:id="rId3948" display="https://www.cettire.com/collections/mastermind-world" xr:uid="{4CCFD4BE-C56C-4399-A0B2-E9DD08C08680}"/>
    <hyperlink ref="P518" r:id="rId3949" display="https://www.cettire.com/collections/materiel" xr:uid="{DA35893C-DBCF-4DEC-8FD2-9183E8E0817D}"/>
    <hyperlink ref="P519" r:id="rId3950" display="https://www.cettire.com/collections/mauna-kea" xr:uid="{5A3D9B4E-F7A9-4ACD-8C43-6944585F978B}"/>
    <hyperlink ref="P520" r:id="rId3951" display="https://www.cettire.com/collections/maurizio-miri" xr:uid="{1F83B995-9B9B-4290-9291-85A1F22B40FC}"/>
    <hyperlink ref="P521" r:id="rId3952" display="https://www.cettire.com/collections/max-mara" xr:uid="{972AE7DF-010F-45B3-BA4F-98B4BF59A580}"/>
    <hyperlink ref="P522" r:id="rId3953" display="https://www.cettire.com/collections/max-mara-atelier" xr:uid="{5DA4DAAA-0C68-4EB9-A2BC-D106692EAE35}"/>
    <hyperlink ref="P523" r:id="rId3954" display="https://www.cettire.com/collections/max-mara-pianoforte" xr:uid="{C8A57D10-24E2-4DB6-B913-8CDC9CAE2A8F}"/>
    <hyperlink ref="P524" r:id="rId3955" display="https://www.cettire.com/collections/max-mara-studio" xr:uid="{C3FDB297-59C7-4C54-BF14-567D9DEE9E58}"/>
    <hyperlink ref="P525" r:id="rId3956" display="https://www.cettire.com/collections/max-mara-the-cube" xr:uid="{A7BF60C9-7BEC-4C19-9AA1-B8DAABA76528}"/>
    <hyperlink ref="P526" r:id="rId3957" display="https://www.cettire.com/collections/mc2-saint-barth" xr:uid="{3154DCE1-A5B2-402C-A687-01F958A9E3C9}"/>
    <hyperlink ref="P527" r:id="rId3958" display="https://www.cettire.com/collections/mc2-saint-barth-kids" xr:uid="{BF2F1C6B-E9CC-4902-9E53-1B0FACFAFD77}"/>
    <hyperlink ref="P528" r:id="rId3959" display="https://www.cettire.com/collections/mcm" xr:uid="{B4659B54-FFAC-414D-9741-249C4FDB180E}"/>
    <hyperlink ref="P529" r:id="rId3960" display="https://www.cettire.com/collections/mcq-alexander-mcqueen" xr:uid="{1C0AE985-4687-4A5B-BEBD-15CB5FEE7239}"/>
    <hyperlink ref="P530" r:id="rId3961" display="https://www.cettire.com/collections/michael-kors" xr:uid="{77BB2065-A06E-46DB-A6DB-A2765243CB42}"/>
    <hyperlink ref="P531" r:id="rId3962" display="https://www.cettire.com/collections/michael-kors-collection" xr:uid="{2D06073F-C131-404B-B8F7-DB93371950C3}"/>
    <hyperlink ref="P532" r:id="rId3963" display="https://www.cettire.com/collections/michael-michael-kors" xr:uid="{F832A4BB-C955-4FC6-A405-C2CDDF68ED88}"/>
    <hyperlink ref="P533" r:id="rId3964" display="https://www.cettire.com/collections/midnight-00" xr:uid="{7C8AA8B0-B98D-48F7-BD29-93CF864D3B97}"/>
    <hyperlink ref="P534" r:id="rId3965" display="https://www.cettire.com/collections/mini-rodini" xr:uid="{AB9EEB60-6D07-4C20-B584-534EB54A4E4C}"/>
    <hyperlink ref="P535" r:id="rId3966" display="https://www.cettire.com/collections/misbhv" xr:uid="{D64EF725-DFC9-48D9-9FAB-D1C413DEE730}"/>
    <hyperlink ref="P536" r:id="rId3967" display="https://www.cettire.com/collections/missoni" xr:uid="{A7446E4B-53C9-47E8-9A22-F4A3D800C6ED}"/>
    <hyperlink ref="P537" r:id="rId3968" display="https://www.cettire.com/collections/missoni-home" xr:uid="{7EA8FA8F-74ED-43D9-8D46-ABB37C079E6E}"/>
    <hyperlink ref="P538" r:id="rId3969" display="https://www.cettire.com/collections/missoni-mare" xr:uid="{6FD87723-CB88-43A9-A99E-453BE52068F1}"/>
    <hyperlink ref="P539" r:id="rId3970" display="https://www.cettire.com/collections/miu-miu" xr:uid="{33756172-D6C2-40D9-8FF6-24ED45BC4CBB}"/>
    <hyperlink ref="P540" r:id="rId3971" display="https://www.cettire.com/collections/miu-miu-eyewear" xr:uid="{6434927D-18BF-4762-9A8C-22D8E51DF4F0}"/>
    <hyperlink ref="P541" r:id="rId3972" display="https://www.cettire.com/collections/mjb-marc-jacques-burton" xr:uid="{7EF9EEF6-1DA1-4F49-9BB9-716AA010251A}"/>
    <hyperlink ref="P542" r:id="rId3973" display="https://www.cettire.com/collections/mm6-maison-margiela" xr:uid="{B1920266-0BA2-4516-BB05-56BB8E7AB3BF}"/>
    <hyperlink ref="P543" r:id="rId3974" display="https://www.cettire.com/collections/mm6-maison-margiela-kids" xr:uid="{A4BAA3E4-7759-41F3-992B-80F0BBA5D625}"/>
    <hyperlink ref="P544" r:id="rId3975" display="https://www.cettire.com/collections/molo" xr:uid="{FC3D6BBA-D3B2-49BE-B7BC-5E33D5DF9AB5}"/>
    <hyperlink ref="P545" r:id="rId3976" display="https://www.cettire.com/collections/moncler" xr:uid="{783E6A6A-E166-41A8-B091-D2B5355ADBD8}"/>
    <hyperlink ref="P546" r:id="rId3977" display="https://www.cettire.com/collections/moncler-rick-owens" xr:uid="{2A70C8FE-6070-49B5-9663-F8D6D84D1597}"/>
    <hyperlink ref="P547" r:id="rId3978" display="https://www.cettire.com/collections/moncler-enfant" xr:uid="{A34483FC-B273-4AA2-B474-FA5259E6723A}"/>
    <hyperlink ref="P548" r:id="rId3979" display="https://www.cettire.com/collections/moncler-eyewear" xr:uid="{02D36602-F027-40DB-BB7A-61283C793322}"/>
    <hyperlink ref="P550" r:id="rId3980" display="https://www.cettire.com/collections/moncler-genius" xr:uid="{83AAA8FD-94CE-43FA-AA60-72ACFB817D75}"/>
    <hyperlink ref="P551" r:id="rId3981" display="https://www.cettire.com/collections/moncler-grenoble" xr:uid="{A0CD09D6-3D02-4A63-A8D3-2300A1FF33F3}"/>
    <hyperlink ref="P552" r:id="rId3982" display="https://www.cettire.com/collections/monnalisa" xr:uid="{F06F44C6-E66B-42A2-A5D7-7858A790AF5E}"/>
    <hyperlink ref="P553" r:id="rId3983" display="https://www.cettire.com/collections/montblanc" xr:uid="{41994233-AF7F-4823-A0EE-D199FE2618E7}"/>
    <hyperlink ref="P554" r:id="rId3984" display="https://www.cettire.com/collections/moose-knuckles" xr:uid="{D5A9BE31-8FF9-468E-AC3D-13B1D4748DA0}"/>
    <hyperlink ref="P555" r:id="rId3985" display="https://www.cettire.com/collections/moschino" xr:uid="{F4CBEEF5-8FCF-480F-859C-3DF975521B05}"/>
    <hyperlink ref="P556" r:id="rId3986" display="https://www.cettire.com/collections/moschino-eyewear" xr:uid="{1C949543-44F9-4E7D-A6BC-D8019A1C050B}"/>
    <hyperlink ref="P557" r:id="rId3987" display="https://www.cettire.com/collections/moschino-kids" xr:uid="{B2B7B6BF-BA41-4A55-9BE8-7C118D2E79A9}"/>
    <hyperlink ref="P559" r:id="rId3988" display="https://www.cettire.com/collections/mother" xr:uid="{71198016-BED4-48EA-BFED-470E32B64D8D}"/>
    <hyperlink ref="P560" r:id="rId3989" display="https://www.cettire.com/collections/mou-kids" xr:uid="{EFC104A0-3BA1-43E5-9F54-C8FAF3B881C6}"/>
    <hyperlink ref="P561" r:id="rId3990" display="https://www.cettire.com/collections/msgm" xr:uid="{86FC8FC2-E8A8-43B0-9C52-B503AAAEADB2}"/>
    <hyperlink ref="P562" r:id="rId3991" display="https://www.cettire.com/collections/msgm-kids" xr:uid="{2C2672EB-9263-411A-B92D-1D31EA97E0D0}"/>
    <hyperlink ref="P563" r:id="rId3992" display="https://www.cettire.com/collections/mulberry" xr:uid="{8F9B94D3-A738-459D-97B9-3CB511D0382A}"/>
    <hyperlink ref="P564" r:id="rId3993" display="https://www.cettire.com/collections/mykita" xr:uid="{AFC137BA-6E2D-45BC-BC24-BAC8D7CADED9}"/>
    <hyperlink ref="P566" r:id="rId3994" display="https://www.cettire.com/collections/n-21" xr:uid="{6D97C937-ADB7-4D91-ADD2-DC3375163EBA}"/>
    <hyperlink ref="P567" r:id="rId3995" display="https://www.cettire.com/collections/n-21-kids" xr:uid="{8B7C3009-E6AD-4597-A44B-57AFDB4FD56B}"/>
    <hyperlink ref="P568" r:id="rId3996" display="https://www.cettire.com/collections/nana-nana" xr:uid="{52883650-407B-452E-BE57-8E584FF76C0B}"/>
    <hyperlink ref="P569" r:id="rId3997" display="https://www.cettire.com/collections/nanushka" xr:uid="{1207ACFA-1B09-4718-972E-FBD2A85A1427}"/>
    <hyperlink ref="P570" r:id="rId3998" display="https://www.cettire.com/collections/napa-by-martine-rose" xr:uid="{4DD36ADB-8AEE-45DE-B3FB-0E27E6C15B28}"/>
    <hyperlink ref="P571" r:id="rId3999" display="https://www.cettire.com/collections/natasha-zinko" xr:uid="{7BA738AA-FF8C-49E6-9102-551F0D3FC676}"/>
    <hyperlink ref="P572" r:id="rId4000" display="https://www.cettire.com/collections/needles" xr:uid="{0BB735CA-E02E-456B-AA52-FBBD408DDEC7}"/>
    <hyperlink ref="P573" r:id="rId4001" display="https://www.cettire.com/collections/neil-barrett" xr:uid="{8A91B008-2788-4D08-B116-33C9AC2DF036}"/>
    <hyperlink ref="P574" r:id="rId4002" display="https://www.cettire.com/collections/neil-barrett-kids" xr:uid="{C76F5C5A-026C-4E9F-8926-CCC9BAB061AC}"/>
    <hyperlink ref="P575" r:id="rId4003" display="https://www.cettire.com/collections/neous" xr:uid="{C3DBF821-B208-4E08-87E1-83021E81438D}"/>
    <hyperlink ref="P576" r:id="rId4004" display="https://www.cettire.com/collections/new-balance" xr:uid="{2F8EC887-AA75-4A35-947A-CB02694ED759}"/>
    <hyperlink ref="P577" r:id="rId4005" display="https://www.cettire.com/collections/new-york-industrie" xr:uid="{990A83F9-35C9-4082-8DC2-DBB344F01E8D}"/>
    <hyperlink ref="P578" r:id="rId4006" display="https://www.cettire.com/collections/nicholas-kirkwood" xr:uid="{133FA477-F84D-403C-98B6-2973214A6ECE}"/>
    <hyperlink ref="P579" r:id="rId4007" display="https://www.cettire.com/collections/nicomede" xr:uid="{620B81B3-3C5D-4F85-8C63-99650B87A18E}"/>
    <hyperlink ref="P580" r:id="rId4008" display="https://www.cettire.com/collections/nike" xr:uid="{CD90A979-2FD2-4AEB-840F-1BAA33673C87}"/>
    <hyperlink ref="P581" r:id="rId4009" display="https://www.cettire.com/collections/nodaleto" xr:uid="{B0C27611-A3A0-4B30-B8EF-B01BCA33ED2A}"/>
    <hyperlink ref="P582" r:id="rId4010" display="https://www.cettire.com/collections/noir-kei-ninomiya" xr:uid="{A0D6C2E8-097C-46C0-9002-30F58C2A312D}"/>
    <hyperlink ref="P583" r:id="rId4011" display="https://www.cettire.com/collections/noon-goons" xr:uid="{E0D8F283-FE63-4914-B72F-0EC0C1CFF51D}"/>
    <hyperlink ref="P584" r:id="rId4012" display="https://www.cettire.com/collections/norse-projects" xr:uid="{239C02ED-AD4E-4628-8F75-F0023C39D3F8}"/>
    <hyperlink ref="P585" r:id="rId4013" display="https://www.cettire.com/collections/north-sails-x-prada-cup" xr:uid="{ADA29E84-06DC-4E7D-A66D-4CD994B8E1E1}"/>
    <hyperlink ref="P586" r:id="rId4014" display="https://www.cettire.com/collections/nudie-jeans" xr:uid="{CA39F6D3-F4F8-45A1-A4BE-DA258B7E8B7E}"/>
    <hyperlink ref="P588" r:id="rId4015" display="https://www.cettire.com/collections/oakley" xr:uid="{07D1A189-2DD4-421F-BD00-80A2C0B28145}"/>
    <hyperlink ref="P589" r:id="rId4016" display="https://www.cettire.com/collections/oamc" xr:uid="{3984D198-7303-4102-B9A5-B223593035BD}"/>
    <hyperlink ref="P590" r:id="rId4017" display="https://www.cettire.com/collections/off-white" xr:uid="{DB9FE47A-B886-4551-BF60-95FBE72EA85C}"/>
    <hyperlink ref="P591" r:id="rId4018" display="https://www.cettire.com/collections/off-white-kids" xr:uid="{A06D0B59-F625-4F4F-90B3-9184ACDE484A}"/>
    <hyperlink ref="P592" r:id="rId4019" display="https://www.cettire.com/collections/officine-creative" xr:uid="{0394F692-6400-4111-88C3-4A2B96C96045}"/>
    <hyperlink ref="P593" r:id="rId4020" display="https://www.cettire.com/collections/oliver-peoples" xr:uid="{3500036C-C3CC-4755-B9AA-9C153E4D5DDD}"/>
    <hyperlink ref="P594" r:id="rId4021" display="https://www.cettire.com/collections/opening-ceremony" xr:uid="{F54F5AF2-4711-4338-9DB7-1217F0C524D0}"/>
    <hyperlink ref="P595" r:id="rId4022" display="https://www.cettire.com/collections/oseree" xr:uid="{A3676C4D-0909-420D-A54B-D152667ECD58}"/>
    <hyperlink ref="P596" r:id="rId4023" display="https://www.cettire.com/collections/osoi" xr:uid="{73DDF719-0ACB-453E-AA6C-433B6EF8DD9C}"/>
    <hyperlink ref="P597" r:id="rId4024" display="https://www.cettire.com/collections/our-legacy" xr:uid="{615B0125-6FE5-49AC-99D9-BC85528C7FDE}"/>
    <hyperlink ref="P599" r:id="rId4025" display="https://www.cettire.com/collections/p-a-r-o-s-h" xr:uid="{9F8557EE-28B1-488D-BD45-8105A08DD57B}"/>
    <hyperlink ref="P600" r:id="rId4026" display="https://www.cettire.com/collections/paccbet" xr:uid="{A66E3449-C7B8-4C50-8801-8A6783FEB770}"/>
    <hyperlink ref="P601" r:id="rId4027" display="https://www.cettire.com/collections/paco-rabanne" xr:uid="{834B7911-1D36-4F72-A0C3-8654452B0913}"/>
    <hyperlink ref="P602" r:id="rId4028" display="https://www.cettire.com/collections/palm-angels" xr:uid="{8C73BD31-38EE-4447-BF06-EAD03D989E2F}"/>
    <hyperlink ref="P603" r:id="rId4029" display="https://www.cettire.com/collections/palm-angels-kids" xr:uid="{D36C4DE5-DCF2-4422-BEF4-4646D90CC7C8}"/>
    <hyperlink ref="P604" r:id="rId4030" display="https://www.cettire.com/collections/paraboot" xr:uid="{66001AA9-2BDC-4A80-BDB7-2B8D91D3916D}"/>
    <hyperlink ref="P605" r:id="rId4031" display="https://www.cettire.com/collections/parajumpers" xr:uid="{C8449CD5-D6D8-41E4-BB1B-18AE1A21343B}"/>
    <hyperlink ref="P606" r:id="rId4032" display="https://www.cettire.com/collections/paris-texas" xr:uid="{183D5306-98D6-4C65-B152-3EA754D73693}"/>
    <hyperlink ref="P607" r:id="rId4033" display="https://www.cettire.com/collections/paul-smith" xr:uid="{EFEEFFC4-0185-4296-BFFC-F7F9A9B82DA2}"/>
    <hyperlink ref="P608" r:id="rId4034" display="https://www.cettire.com/collections/paura-x-kappa" xr:uid="{8808BFAB-255E-4A49-8FCF-CBBAB778AE7F}"/>
    <hyperlink ref="P609" r:id="rId4035" display="https://www.cettire.com/collections/persol" xr:uid="{222F8665-F6E2-427F-BD1E-601D2F9D5C3B}"/>
    <hyperlink ref="P610" r:id="rId4036" display="https://www.cettire.com/collections/philipp-plein" xr:uid="{760B9863-AF60-44D2-A762-723E3A45F8C6}"/>
    <hyperlink ref="P611" r:id="rId4037" display="https://www.cettire.com/collections/philipp-plein-junior" xr:uid="{6636F7F0-0D85-4636-946D-3BB7E0095620}"/>
    <hyperlink ref="P612" r:id="rId4038" display="https://www.cettire.com/collections/philippe-model" xr:uid="{D2725DBB-A4CA-48FF-8A61-C4253AB5E5E1}"/>
    <hyperlink ref="P613" r:id="rId4039" display="https://www.cettire.com/collections/philippe-model-paris" xr:uid="{3A2EDFAD-EDA9-4E91-B706-1A19BEF0B822}"/>
    <hyperlink ref="P614" r:id="rId4040" display="https://www.cettire.com/collections/philosophy-di-lorenzo-serafini" xr:uid="{35078412-4E5C-4A15-BDD4-57D98A9F5B1E}"/>
    <hyperlink ref="P615" r:id="rId4041" display="https://www.cettire.com/collections/philosophy-di-lorenzo-serafini-kids" xr:uid="{427E84D8-F101-4FEC-8D04-3E3866C74281}"/>
    <hyperlink ref="P616" r:id="rId4042" display="https://www.cettire.com/collections/pierre-hardy" xr:uid="{134BDE50-5E77-4DDA-A3C4-29280CE251D7}"/>
    <hyperlink ref="P617" r:id="rId4043" display="https://www.cettire.com/collections/pierre-louis-mascia" xr:uid="{05CA5798-74D9-4F3A-ACF3-7F8FC743ABCE}"/>
    <hyperlink ref="P618" r:id="rId4044" display="https://www.cettire.com/collections/pinko" xr:uid="{492B50FF-60E7-4494-8A6D-E3A97477A5C4}"/>
    <hyperlink ref="P619" r:id="rId4045" display="https://www.cettire.com/collections/plan-c" xr:uid="{9F46087A-61EF-44BF-80B7-B949B4F63187}"/>
    <hyperlink ref="P620" r:id="rId4046" display="https://www.cettire.com/collections/pleats-please-by-issey-miyake" xr:uid="{B36A70FD-7839-445E-8FA6-735396B314FA}"/>
    <hyperlink ref="P621" r:id="rId4047" display="https://www.cettire.com/collections/polo-ralph-lauren" xr:uid="{D5C4E5E7-5B6D-490B-9DDD-374E3642AC46}"/>
    <hyperlink ref="P623" r:id="rId4048" display="https://www.cettire.com/collections/porter-yoshida-co" xr:uid="{51371449-06BC-427E-A609-12E2848FD53A}"/>
    <hyperlink ref="P624" r:id="rId4049" display="https://www.cettire.com/collections/ports-1961" xr:uid="{96D29701-AE38-48C8-87C0-44B3131ABD29}"/>
    <hyperlink ref="P625" r:id="rId4050" display="https://www.cettire.com/collections/prada" xr:uid="{308DD64E-4AD8-46ED-BC9F-5FFED2BA06C3}"/>
    <hyperlink ref="P626" r:id="rId4051" display="https://www.cettire.com/collections/prada-eyewear" xr:uid="{1D1C1258-1538-4C1C-AF09-965DC0B8726D}"/>
    <hyperlink ref="P627" r:id="rId4052" display="https://www.cettire.com/collections/premiata" xr:uid="{FC4606FC-E2D1-4BBE-BC08-EF3B4B13A529}"/>
    <hyperlink ref="P628" r:id="rId4053" display="https://www.cettire.com/collections/pressure" xr:uid="{40A35C5C-1505-480B-97F3-F6DE12ED6432}"/>
    <hyperlink ref="P629" r:id="rId4054" display="https://www.cettire.com/collections/proenza-schouler" xr:uid="{5FFDCF48-AA45-4F0B-BF8B-9F27261F39FA}"/>
    <hyperlink ref="P630" r:id="rId4055" display="https://www.cettire.com/collections/proenza-schouler-white-label" xr:uid="{95EC7888-0F51-42C9-B2B3-1FF7AC5898CF}"/>
    <hyperlink ref="P631" r:id="rId4056" display="https://www.cettire.com/collections/pt-torino" xr:uid="{98DA848B-3CA1-4BDA-A27A-9824A7282212}"/>
    <hyperlink ref="P632" r:id="rId4057" display="https://www.cettire.com/collections/pt01" xr:uid="{4AE443EF-F074-4FE7-84CE-B9BEA3C91497}"/>
    <hyperlink ref="P633" r:id="rId4058" display="https://www.cettire.com/collections/pt05" xr:uid="{F5F70640-BCE1-4637-8457-C60ECAA6F352}"/>
    <hyperlink ref="P634" r:id="rId4059" display="https://www.cettire.com/collections/puma" xr:uid="{50C7F50C-EB19-422C-A97C-6E86C6149871}"/>
    <hyperlink ref="P636" r:id="rId4060" display="https://www.cettire.com/collections/r-m-williams" xr:uid="{ABD828C7-2C70-4886-8EB2-DC56545FD31F}"/>
    <hyperlink ref="P637" r:id="rId4061" display="https://www.cettire.com/collections/r13" xr:uid="{79382C3D-680F-4284-A43F-681FA0D35246}"/>
    <hyperlink ref="P638" r:id="rId4062" display="https://www.cettire.com/collections/raf-simons" xr:uid="{924625FF-4EF5-439C-A65F-410C7C4DAF34}"/>
    <hyperlink ref="P639" r:id="rId4063" display="https://www.cettire.com/collections/rag-bone" xr:uid="{489845FD-2B15-4725-8D06-EA0A3985CCD6}"/>
    <hyperlink ref="P640" r:id="rId4064" display="https://www.cettire.com/collections/ralph-lauren" xr:uid="{815CDB10-256A-4679-AFC1-AB6F810B055C}"/>
    <hyperlink ref="P641" r:id="rId4065" display="https://www.cettire.com/collections/ralph-lauren-kids" xr:uid="{422C763D-BB7A-4DCB-A708-029F25877AD2}"/>
    <hyperlink ref="P642" r:id="rId4066" display="https://www.cettire.com/collections/rave-review" xr:uid="{6E4A52B4-8F3F-4713-9AEA-B1AEB64F333C}"/>
    <hyperlink ref="P643" r:id="rId4067" display="https://www.cettire.com/collections/ray-ban" xr:uid="{AC4773C0-BE37-4055-BD10-B54E9B16A96C}"/>
    <hyperlink ref="P644" r:id="rId4068" display="https://www.cettire.com/collections/re-done" xr:uid="{C0BED716-D621-415C-83A3-528A94658C09}"/>
    <hyperlink ref="P645" r:id="rId4069" display="https://www.cettire.com/collections/readymade" xr:uid="{7F5AFE7B-7BEF-484B-9A70-8B2083D3B9BC}"/>
    <hyperlink ref="P646" r:id="rId4070" display="https://www.cettire.com/collections/rebecca-minkoff" xr:uid="{AFE7FCCA-A489-4906-9551-9990D5DFB4EA}"/>
    <hyperlink ref="P647" r:id="rId4071" display="https://www.cettire.com/collections/red-valentino" xr:uid="{E0D62B1A-60F5-4D71-B0DC-B0F6A883A967}"/>
    <hyperlink ref="P648" r:id="rId4072" display="https://www.cettire.com/collections/red-wing-shoes" xr:uid="{8718DDD9-204C-43A7-B1A1-2D6A674227BF}"/>
    <hyperlink ref="P649" r:id="rId4073" display="https://www.cettire.com/collections/reebok" xr:uid="{5B2F3E26-01E4-4873-AB47-B46971463624}"/>
    <hyperlink ref="P650" r:id="rId4074" display="https://www.cettire.com/collections/reebok-x-victoria-beckham" xr:uid="{ADCC134B-15BD-413A-8D60-741502D12C7B}"/>
    <hyperlink ref="P651" r:id="rId4075" display="https://www.cettire.com/collections/reike-nen" xr:uid="{7D088DE8-E420-4E47-AC07-53271E784307}"/>
    <hyperlink ref="P652" r:id="rId4076" display="https://www.cettire.com/collections/rejina-pyo" xr:uid="{3C21C1EA-9543-45DE-8E6B-E19C052DDB27}"/>
    <hyperlink ref="P653" r:id="rId4077" display="https://www.cettire.com/collections/rene-caovilla" xr:uid="{182F0751-5D40-4CC6-B4FA-3CD1B48BD1C3}"/>
    <hyperlink ref="P654" r:id="rId4078" display="https://www.cettire.com/collections/represent" xr:uid="{2714FCD0-9F8B-470F-BB8B-E4CE4BF17A3F}"/>
    <hyperlink ref="P655" r:id="rId4079" display="https://www.cettire.com/collections/retrosuperfuture" xr:uid="{5DEEFEA8-CA5D-46B5-ABA3-A77DB5333C9F}"/>
    <hyperlink ref="P656" r:id="rId4080" display="https://www.cettire.com/collections/rhude" xr:uid="{BB3FEEB0-C9AC-4218-A843-650377361A3E}"/>
    <hyperlink ref="P657" r:id="rId4081" display="https://www.cettire.com/collections/rick-owens" xr:uid="{C61F5438-C035-4E90-AABB-A83C5ECCB891}"/>
    <hyperlink ref="P658" r:id="rId4082" display="https://www.cettire.com/collections/rick-owens-drkshdw" xr:uid="{F98B7DDF-E317-4356-8FA8-7D35A751A5ED}"/>
    <hyperlink ref="P659" r:id="rId4083" display="https://www.cettire.com/collections/rick-owens-lilies" xr:uid="{BE6AFE59-4B91-4CD5-A46C-6701AF4237EC}"/>
    <hyperlink ref="P660" r:id="rId4084" display="https://www.cettire.com/collections/rick-owens-x-birkenstock" xr:uid="{AA74B586-2D27-408E-A5E7-11BF22663ABF}"/>
    <hyperlink ref="P661" r:id="rId4085" display="https://www.cettire.com/collections/rick-owens-x-veja" xr:uid="{948C9B3B-1A89-46C3-9C00-BDD981222AE3}"/>
    <hyperlink ref="P662" r:id="rId4086" display="https://www.cettire.com/collections/rixo" xr:uid="{51A18F3F-40FD-4863-B016-64190024B507}"/>
    <hyperlink ref="P663" r:id="rId4087" display="https://www.cettire.com/collections/robert-clergerie" xr:uid="{88847F4F-8B70-4DD9-834B-C10952B772C0}"/>
    <hyperlink ref="P665" r:id="rId4088" display="https://www.cettire.com/collections/rochas" xr:uid="{84ADCB82-8230-41DB-923F-25163061C191}"/>
    <hyperlink ref="P666" r:id="rId4089" display="https://www.cettire.com/collections/rodebjer" xr:uid="{FCAA22FF-4D4A-4F17-A36D-B0CA5578785C}"/>
    <hyperlink ref="P667" r:id="rId4090" display="https://www.cettire.com/collections/roger-vivier" xr:uid="{0EA53292-E862-4C99-8D26-4CC7E6237AEC}"/>
    <hyperlink ref="P668" r:id="rId4091" display="https://www.cettire.com/collections/rombaut" xr:uid="{77794D69-9810-4D61-81BD-07C5D5E38B96}"/>
    <hyperlink ref="P669" r:id="rId4092" display="https://www.cettire.com/collections/rosantica" xr:uid="{5A392173-088D-4CD2-B740-1A56D074E64B}"/>
    <hyperlink ref="P670" r:id="rId4093" display="https://www.cettire.com/collections/rotate" xr:uid="{ADF7B05D-2DC2-4393-BAC5-180F5B695C89}"/>
    <hyperlink ref="P671" r:id="rId4094" display="https://www.cettire.com/collections/ruslan-baginskiy" xr:uid="{7B6F2FBB-8856-4FBF-89CB-843CD408BCAB}"/>
    <hyperlink ref="P673" r:id="rId4095" display="https://www.cettire.com/collections/sacai" xr:uid="{C023F244-9E8F-428F-A8DC-39199A337C7D}"/>
    <hyperlink ref="P674" r:id="rId4096" display="https://www.cettire.com/collections/saint-laurent" xr:uid="{D30182C4-E396-4148-AE46-EFE066CD42A9}"/>
    <hyperlink ref="P675" r:id="rId4097" display="https://www.cettire.com/collections/saint-laurent-eyewear" xr:uid="{281CF6D4-DCA3-4D07-A6A7-F326E63BBF8A}"/>
    <hyperlink ref="P676" r:id="rId4098" display="https://www.cettire.com/collections/saks-potts" xr:uid="{4627D262-BDE3-426F-A962-ADCD438335D5}"/>
    <hyperlink ref="P677" r:id="rId4099" display="https://www.cettire.com/collections/salomon-s-lab" xr:uid="{32672BAC-40E8-453C-8392-666CA28BE041}"/>
    <hyperlink ref="P678" r:id="rId4100" display="https://www.cettire.com/collections/saloni" xr:uid="{C78B22B7-55F4-4CB1-9715-50D02A3F2D65}"/>
    <hyperlink ref="P679" r:id="rId4101" display="https://www.cettire.com/collections/salvatore-ferragamo" xr:uid="{3A0A549A-791F-49EE-A296-FD5E2BEC3A66}"/>
    <hyperlink ref="P680" r:id="rId4102" display="https://www.cettire.com/collections/salvatore-ferragamo-eyewear" xr:uid="{56624D10-9D95-4080-BC35-0D1AFD9DA245}"/>
    <hyperlink ref="P681" r:id="rId4103" display="https://www.cettire.com/collections/salvatore-santoro" xr:uid="{F0EEAA67-28F5-48D4-8028-AFF38D5401AF}"/>
    <hyperlink ref="P682" r:id="rId4104" display="https://www.cettire.com/collections/santoni" xr:uid="{DC2A3918-0F9C-4DD9-9882-966AD6534DB9}"/>
    <hyperlink ref="P683" r:id="rId4105" display="https://www.cettire.com/collections/sara-battaglia" xr:uid="{D70D5E8C-6E6A-475A-B392-722ABFD98FFD}"/>
    <hyperlink ref="P684" r:id="rId4106" display="https://www.cettire.com/collections/save-the-duck" xr:uid="{02B8519A-8052-4119-A45D-9FB1CA82A9D7}"/>
    <hyperlink ref="P685" r:id="rId4107" display="https://www.cettire.com/collections/save-the-duck-kids" xr:uid="{B1768944-2A5B-4456-9418-9BB8F0ABE6A4}"/>
    <hyperlink ref="P686" r:id="rId4108" display="https://www.cettire.com/collections/see-by-chloe" xr:uid="{1B2CEB34-3456-4D6A-A437-CC3AF50E367A}"/>
    <hyperlink ref="P687" r:id="rId4109" display="https://www.cettire.com/collections/self-portrait" xr:uid="{459AFB59-A675-4DAC-9C18-2B21B1183B95}"/>
    <hyperlink ref="P688" r:id="rId4110" display="https://www.cettire.com/collections/sergio-rossi" xr:uid="{A7535946-08B0-4C24-A40C-FBA428A4CBB2}"/>
    <hyperlink ref="P689" r:id="rId4111" display="https://www.cettire.com/collections/si-rossi" xr:uid="{F39240AB-9105-4B64-9530-96D89A955EA4}"/>
    <hyperlink ref="P690" r:id="rId4112" display="https://www.cettire.com/collections/sies-marjan" xr:uid="{D3DF0E09-C86B-41F2-828A-98FB097335AA}"/>
    <hyperlink ref="P691" r:id="rId4113" display="https://www.cettire.com/collections/simon-miller" xr:uid="{63B29D7B-9854-4D08-A913-67FEC41E6CB6}"/>
    <hyperlink ref="P692" r:id="rId4114" display="https://www.cettire.com/collections/simone-rocha" xr:uid="{5B6E3682-4C5A-4675-B38C-5786A93B6895}"/>
    <hyperlink ref="P693" r:id="rId4115" display="https://www.cettire.com/collections/simonetta" xr:uid="{A38A7AAD-1345-40C2-9026-FDEE1CDBD894}"/>
    <hyperlink ref="P694" r:id="rId4116" display="https://www.cettire.com/collections/sofie-dhoore" xr:uid="{8521BC7A-4971-475C-A1EB-81FF07A3D547}"/>
    <hyperlink ref="P695" r:id="rId4117" display="https://www.cettire.com/collections/sonia-rykiel" xr:uid="{9B1409CD-5E6D-41F8-8618-B57E3A6D5050}"/>
    <hyperlink ref="P696" r:id="rId4118" display="https://www.cettire.com/collections/spalwart" xr:uid="{6D382B9F-183D-4F04-A78F-D216BB0B61D9}"/>
    <hyperlink ref="P697" r:id="rId4119" display="https://www.cettire.com/collections/sportmax" xr:uid="{9F20A93F-520F-4B9E-A7F3-7D2CB1D843DE}"/>
    <hyperlink ref="P698" r:id="rId4120" display="https://www.cettire.com/collections/sporty-rich" xr:uid="{D98EEE55-BB4C-41F2-AEAE-9025897D0272}"/>
    <hyperlink ref="P699" r:id="rId4121" display="https://www.cettire.com/collections/stand-studio" xr:uid="{D1CF7F7D-9921-4765-8269-F78B65B8C60C}"/>
    <hyperlink ref="P700" r:id="rId4122" display="https://www.cettire.com/collections/staud" xr:uid="{258F425E-D31F-475F-B4C0-4D25BFD55CE1}"/>
    <hyperlink ref="P701" r:id="rId4123" display="https://www.cettire.com/collections/stella-mccartney" xr:uid="{CDFBE6CE-E1D2-42D0-9228-FD9CC737FE94}"/>
    <hyperlink ref="P702" r:id="rId4124" display="https://www.cettire.com/collections/stella-mccartney-eyewear" xr:uid="{AC9D7A39-C0C0-43D2-A7B4-61A2007BF172}"/>
    <hyperlink ref="P703" r:id="rId4125" display="https://www.cettire.com/collections/stella-mccartney-kids" xr:uid="{3594F92C-7856-4A24-BE5C-E32BA7551D65}"/>
    <hyperlink ref="P704" r:id="rId4126" display="https://www.cettire.com/collections/stone-island" xr:uid="{B784F285-6500-467B-BFE1-24B0B6A54854}"/>
    <hyperlink ref="P705" r:id="rId4127" display="https://www.cettire.com/collections/stone-island-junior" xr:uid="{6401E9E2-CEE0-4EB9-B1FA-AC06F0A9393F}"/>
    <hyperlink ref="P706" r:id="rId4128" display="https://www.cettire.com/collections/stone-island-shadow-project" xr:uid="{C83C4B5F-66C7-4366-9452-73804E05BF74}"/>
    <hyperlink ref="P707" r:id="rId4129" display="https://www.cettire.com/collections/stuart-weitzman" xr:uid="{AE0E069C-83AD-491A-BC10-F9E14030EFD1}"/>
    <hyperlink ref="P708" r:id="rId4130" display="https://www.cettire.com/collections/studio-amelia" xr:uid="{F928FB89-1E51-49E6-AC07-1DEB20010B86}"/>
    <hyperlink ref="P709" r:id="rId4131" display="https://www.cettire.com/collections/stussy" xr:uid="{CEB3FC24-E059-4102-9073-ABFD20EBCD0A}"/>
    <hyperlink ref="P710" r:id="rId4132" display="https://www.cettire.com/collections/suicoke" xr:uid="{5E2057F4-590E-4CD5-BACF-3571FE701AB9}"/>
    <hyperlink ref="P711" r:id="rId4133" display="https://www.cettire.com/collections/sunflower" xr:uid="{151611A2-FD16-4CE2-B616-E3D605051C77}"/>
    <hyperlink ref="P712" r:id="rId4134" display="https://www.cettire.com/collections/sunnei" xr:uid="{C9A6D779-681F-41AD-8BFA-AB3B6E2A8427}"/>
    <hyperlink ref="P713" r:id="rId4135" display="https://www.cettire.com/collections/swarovski" xr:uid="{3FE518B9-495F-4D74-B410-448DE33EC26D}"/>
    <hyperlink ref="P715" r:id="rId4136" display="https://www.cettire.com/collections/t-by-alexander-wang" xr:uid="{C4877125-2EC8-47EC-B79B-EB5CC3FBD250}"/>
    <hyperlink ref="P716" r:id="rId4137" display="https://www.cettire.com/collections/tagliatore" xr:uid="{2EA9E0EA-738D-495D-91FA-7FF4AD88068A}"/>
    <hyperlink ref="P717" r:id="rId4138" display="https://www.cettire.com/collections/tartine-et-chocolat" xr:uid="{E41CC1ED-7E7E-4CA9-87CB-12BEEA0206C7}"/>
    <hyperlink ref="P718" r:id="rId4139" display="https://www.cettire.com/collections/telfar" xr:uid="{2269819D-4090-41CF-91D7-6B08956ADAF0}"/>
    <hyperlink ref="P719" r:id="rId4140" display="https://www.cettire.com/collections/ten-c" xr:uid="{00F02D1D-6B33-426B-838D-30EA7D565FF5}"/>
    <hyperlink ref="P720" r:id="rId4141" display="https://www.cettire.com/collections/the-attico" xr:uid="{02F2B013-EBFA-414D-94B5-9FF166A1992C}"/>
    <hyperlink ref="P721" r:id="rId4142" display="https://www.cettire.com/collections/the-gigi" xr:uid="{0D974B86-A02D-4D8C-801D-56B3253057F2}"/>
    <hyperlink ref="P722" r:id="rId4143" display="https://www.cettire.com/collections/the-marc-jacobs-kids" xr:uid="{BA884D79-7EDA-4809-840B-9658F6777EAE}"/>
    <hyperlink ref="P723" r:id="rId4144" display="https://www.cettire.com/collections/the-north-face" xr:uid="{8F654C81-7D3C-44E9-A36C-667E0476CA6A}"/>
    <hyperlink ref="P724" r:id="rId4145" display="https://www.cettire.com/collections/the-north-face-black-series" xr:uid="{C738CF6A-80CA-4B3E-8668-CF827AEE1AD5}"/>
    <hyperlink ref="P725" r:id="rId4146" display="https://www.cettire.com/collections/the-north-face-kids" xr:uid="{48396B9B-15DC-4966-856B-4B2AC844B540}"/>
    <hyperlink ref="P726" r:id="rId4147" display="https://www.cettire.com/collections/the-row" xr:uid="{BFE741B6-1B61-49AB-8CD9-354CBE2A9C21}"/>
    <hyperlink ref="P727" r:id="rId4148" display="https://www.cettire.com/collections/themoire" xr:uid="{149470D1-E4DB-45D8-9354-E170EABAB096}"/>
    <hyperlink ref="P728" r:id="rId4149" display="https://www.cettire.com/collections/theory" xr:uid="{581C6D3B-AA52-4E9F-97B0-B2F15E112B9C}"/>
    <hyperlink ref="P729" r:id="rId4150" display="https://www.cettire.com/collections/thom-browne" xr:uid="{C11E8D66-65E0-4AA1-970F-281E98B854BB}"/>
    <hyperlink ref="P730" r:id="rId4151" display="https://www.cettire.com/collections/thom-browne-eyewear" xr:uid="{F7600242-8219-484B-8E08-274B3AFC2DF7}"/>
    <hyperlink ref="P731" r:id="rId4152" display="https://www.cettire.com/collections/timberland" xr:uid="{B84F502D-DB9E-465E-8CCB-E6F17F822D66}"/>
    <hyperlink ref="P732" r:id="rId4153" display="https://www.cettire.com/collections/tods" xr:uid="{5C375D6F-67C0-4691-814E-BB3071AE3E07}"/>
    <hyperlink ref="P733" r:id="rId4154" display="https://www.cettire.com/collections/tom-ford" xr:uid="{71E1BF3D-B824-4C3A-A31C-49D689CD7121}"/>
    <hyperlink ref="P734" r:id="rId4155" display="https://www.cettire.com/collections/tom-ford-eyewear" xr:uid="{C0BCDEBC-18AC-48FB-8C23-AE10353FAE80}"/>
    <hyperlink ref="P735" r:id="rId4156" display="https://www.cettire.com/collections/tommy-hilfiger" xr:uid="{4892D90E-E681-4026-993C-B04035201BFE}"/>
    <hyperlink ref="P736" r:id="rId4157" display="https://www.cettire.com/collections/tory-burch" xr:uid="{E5DE0795-364D-4693-9DE0-9B995B89257F}"/>
    <hyperlink ref="P737" r:id="rId4158" display="https://www.cettire.com/collections/toteme" xr:uid="{4DBA9C1F-4B1D-4F49-8828-9862BFD5681D}"/>
    <hyperlink ref="P738" r:id="rId4159" display="https://www.cettire.com/collections/trickers" xr:uid="{A36464FD-42A2-4330-919B-8D44DC0988E5}"/>
    <hyperlink ref="P739" r:id="rId4160" display="https://www.cettire.com/collections/trippen" xr:uid="{130E96B8-AFA3-4656-9E40-62F7306A8570}"/>
    <hyperlink ref="P740" r:id="rId4161" display="https://www.cettire.com/collections/twinset" xr:uid="{51A7A9BF-779E-4CAF-89F2-6A3E0AD560C7}"/>
    <hyperlink ref="P741" r:id="rId4162" display="https://www.cettire.com/collections/twinset-kids" xr:uid="{0E467B44-E62B-42D3-8CD5-9F93ECFC8ACD}"/>
    <hyperlink ref="P743" r:id="rId4163" display="https://www.cettire.com/collections/ugg" xr:uid="{C7174D96-8815-400F-82AD-CD81AE375D9B}"/>
    <hyperlink ref="P744" r:id="rId4164" display="https://www.cettire.com/collections/ugg-kids" xr:uid="{CBFE34AC-C6AF-4F01-888B-4AD1D4B3138F}"/>
    <hyperlink ref="P745" r:id="rId4165" display="https://www.cettire.com/collections/uh-nom-uh-nit" xr:uid="{8341E6D8-221B-494B-9B76-1C52136DFAA4}"/>
    <hyperlink ref="P746" r:id="rId4166" display="https://www.cettire.com/collections/ulla-johnson" xr:uid="{83A71FC0-6B63-4265-BCBB-B97186058D7F}"/>
    <hyperlink ref="P747" r:id="rId4167" display="https://www.cettire.com/collections/ultrachic" xr:uid="{0F68B0D2-DF68-4861-A4E0-C342A73AFB2C}"/>
    <hyperlink ref="P748" r:id="rId4168" display="https://www.cettire.com/collections/uma-wang" xr:uid="{055123AC-D763-4FCF-B2F5-B49224E5C84F}"/>
    <hyperlink ref="P749" r:id="rId4169" display="https://www.cettire.com/collections/undercover" xr:uid="{1C7A4436-B0BA-4B15-98DE-9942E81B8732}"/>
    <hyperlink ref="P750" r:id="rId4170" display="https://www.cettire.com/collections/unravel-project" xr:uid="{2A733B97-202A-48C7-BF8C-D761E4C12339}"/>
    <hyperlink ref="P752" r:id="rId4171" display="https://www.cettire.com/collections/valentino" xr:uid="{876FF6A8-D9FF-4B30-BAA1-2733F94BE85F}"/>
    <hyperlink ref="P753" r:id="rId4172" display="https://www.cettire.com/collections/valentino-eyewear" xr:uid="{EABBB55A-FEDE-4BDF-919C-1798806CF4F1}"/>
    <hyperlink ref="P754" r:id="rId4173" display="https://www.cettire.com/collections/valextra" xr:uid="{76CB87C0-DAAE-4BF7-ADDC-49C19389A756}"/>
    <hyperlink ref="P755" r:id="rId4174" display="https://www.cettire.com/collections/vans" xr:uid="{71E1FA8E-A4C3-472D-A85C-75202342F3E3}"/>
    <hyperlink ref="P756" r:id="rId4175" display="https://www.cettire.com/collections/vans-vault" xr:uid="{76305BCB-87D4-453E-8A7D-772E5049CDD2}"/>
    <hyperlink ref="P757" r:id="rId4176" display="https://www.cettire.com/collections/veja" xr:uid="{99D9E2C5-6D76-4875-9DE6-6019A4BAAA20}"/>
    <hyperlink ref="P758" r:id="rId4177" display="https://www.cettire.com/collections/veja-kids" xr:uid="{E888DB25-8AAC-42C9-9C7C-6210815C7117}"/>
    <hyperlink ref="P759" r:id="rId4178" display="https://www.cettire.com/collections/versace" xr:uid="{EF58B7D0-53FF-45E7-AFA8-D1350974235E}"/>
    <hyperlink ref="P760" r:id="rId4179" display="https://www.cettire.com/collections/versace-collection" xr:uid="{656D9100-45F4-4D98-818F-290B9EC12DC6}"/>
    <hyperlink ref="P761" r:id="rId4180" display="https://www.cettire.com/collections/versace-eyewear" xr:uid="{422A9C64-BAF8-4B6C-8FE3-F18973694B23}"/>
    <hyperlink ref="P762" r:id="rId4181" display="https://www.cettire.com/collections/versace-jeans-couture" xr:uid="{C174A118-90D9-4D2E-A44A-880AD1ED6204}"/>
    <hyperlink ref="P763" r:id="rId4182" display="https://www.cettire.com/collections/versace-kids" xr:uid="{72BCB9E7-40DA-4ED7-9833-8E01A8F90D64}"/>
    <hyperlink ref="P764" r:id="rId4183" display="https://www.cettire.com/collections/vince" xr:uid="{633383BC-19FF-41E1-95FA-3CDC8BAC7CB8}"/>
    <hyperlink ref="P765" r:id="rId4184" display="https://www.cettire.com/collections/vision-of-super" xr:uid="{4C087A9A-CB42-4B27-AD9C-742B29E889DA}"/>
    <hyperlink ref="P766" r:id="rId4185" display="https://www.cettire.com/collections/vision-of-super-kids" xr:uid="{6C4072FF-0F2A-4E5F-A823-DAC6FF8369BB}"/>
    <hyperlink ref="P767" r:id="rId4186" display="https://www.cettire.com/collections/visvim" xr:uid="{9416973C-EA9E-496D-B8C6-76F8E649E865}"/>
    <hyperlink ref="P768" r:id="rId4187" display="https://www.cettire.com/collections/vivienne-westwood" xr:uid="{90869D71-D575-4956-9852-9605AD44896C}"/>
    <hyperlink ref="P770" r:id="rId4188" display="https://www.cettire.com/collections/wales-bonner" xr:uid="{54AF11A1-407E-44D0-BAC9-2CD684A99094}"/>
    <hyperlink ref="P771" r:id="rId4189" display="https://www.cettire.com/collections/wandler" xr:uid="{B32EAA18-D7C3-46EB-8733-B9B91857DD50}"/>
    <hyperlink ref="P772" r:id="rId4190" display="https://www.cettire.com/collections/we11done" xr:uid="{4197CBD9-BE60-4C39-BA07-941761DD536E}"/>
    <hyperlink ref="P773" r:id="rId4191" display="https://www.cettire.com/collections/weekend-max-mara" xr:uid="{58034067-A829-49D3-9C01-4E6B66481AA1}"/>
    <hyperlink ref="P774" r:id="rId4192" display="https://www.cettire.com/collections/white-mountaineering" xr:uid="{556D74BE-F136-4024-98B6-9A50E4324FFA}"/>
    <hyperlink ref="P775" r:id="rId4193" display="https://www.cettire.com/collections/woolrich" xr:uid="{CCD2D773-1C67-496E-87CE-1F939F9A6E20}"/>
    <hyperlink ref="P776" r:id="rId4194" display="https://www.cettire.com/collections/woolrich-kids" xr:uid="{70B06131-A7A7-4C2E-A10C-DCDABA3E733C}"/>
    <hyperlink ref="P777" r:id="rId4195" display="https://www.cettire.com/collections/woolrich-x-griffin" xr:uid="{CEC5F519-3B88-46E6-A4BC-29F68F15F0ED}"/>
    <hyperlink ref="P779" r:id="rId4196" display="https://www.cettire.com/collections/y-3" xr:uid="{9E38DB6B-D34D-4A04-AFE2-8D7DB799D6BF}"/>
    <hyperlink ref="P780" r:id="rId4197" display="https://www.cettire.com/collections/ys" xr:uid="{AE3D1798-33A7-49EC-9D8E-41A018AD1333}"/>
    <hyperlink ref="P781" r:id="rId4198" display="https://www.cettire.com/collections/y-project" xr:uid="{DEC780C8-1967-4E37-B221-883A571683EB}"/>
    <hyperlink ref="P782" r:id="rId4199" display="https://www.cettire.com/collections/ymc" xr:uid="{49DFEFC0-CE72-42C9-80D1-AF16C022BF2A}"/>
    <hyperlink ref="P783" r:id="rId4200" display="https://www.cettire.com/collections/yohji-yamamoto" xr:uid="{A1BA6913-C97B-4D23-AF5C-C12281F2D152}"/>
    <hyperlink ref="P784" r:id="rId4201" display="https://www.cettire.com/collections/yuzefi" xr:uid="{29F4AF77-9DF4-4EF6-BC88-47E90EDDD71F}"/>
    <hyperlink ref="P785" r:id="rId4202" display="https://www.cettire.com/collections/yves-salomon" xr:uid="{C74BFE1D-BA81-4643-BF2F-2999C8595435}"/>
    <hyperlink ref="P787" r:id="rId4203" display="https://www.cettire.com/collections/z-zegna" xr:uid="{31A6037B-F8A1-43BC-97DF-8E8085DAA2D7}"/>
    <hyperlink ref="P788" r:id="rId4204" display="https://www.cettire.com/collections/zadig-voltaire" xr:uid="{4C285593-4302-41EE-9815-8324F6415C77}"/>
    <hyperlink ref="P789" r:id="rId4205" display="https://www.cettire.com/collections/zadig-voltaire-kids" xr:uid="{A0AF0397-7DA8-4557-BAA6-B0DD5FCB548D}"/>
    <hyperlink ref="P790" r:id="rId4206" display="https://www.cettire.com/collections/zimmermann" xr:uid="{828BCE9D-3F1A-4950-9D4D-849B71A79D7A}"/>
    <hyperlink ref="Q135" r:id="rId4207" display="https://www.cettire.com/collections/s-max-mara" xr:uid="{F8C4B87E-6087-4E83-8775-267D15BC1686}"/>
    <hyperlink ref="Q137" r:id="rId4208" display="https://www.cettire.com/collections/1017-alyx-9sm" xr:uid="{DDCF3745-95DC-473E-922D-0ADE4058FD86}"/>
    <hyperlink ref="Q138" r:id="rId4209" display="https://www.cettire.com/collections/3-1-phillip-lim" xr:uid="{F85B2CC7-AC90-4BEE-B39A-D3E2A260399C}"/>
    <hyperlink ref="Q139" r:id="rId4210" display="https://www.cettire.com/collections/424" xr:uid="{396437CA-1F90-4D3A-BDBA-33F027EE050B}"/>
    <hyperlink ref="Q140" r:id="rId4211" display="https://www.cettire.com/collections/7-for-all-mankind" xr:uid="{8F5A1E4C-F21B-458B-836D-FC39A0F0C2CC}"/>
    <hyperlink ref="Q141" r:id="rId4212" display="https://www.cettire.com/collections/ug-ss-kids" xr:uid="{888728F0-4BDE-4257-9BF8-6990FC2AAE54}"/>
    <hyperlink ref="Q142" r:id="rId4213" display="https://www.cettire.com/collections/lvin-l-in-kids" xr:uid="{796E6C1B-8D6D-439E-BFB9-498AC6D3910C}"/>
    <hyperlink ref="Q143" r:id="rId4214" display="https://www.cettire.com/collections/mm-ilfig-r-kids" xr:uid="{0CC61359-E298-4175-BA7C-9DF2A95B212E}"/>
    <hyperlink ref="Q145" r:id="rId4215" display="https://www.cettire.com/collections/a-cold-wall" xr:uid="{E18BE18A-DEF9-41CE-9A22-1F5D7F474474}"/>
    <hyperlink ref="Q146" r:id="rId4216" display="https://www.cettire.com/collections/a-p-c" xr:uid="{F313E545-CF75-4B19-AC00-0B678C77CD17}"/>
    <hyperlink ref="Q147" r:id="rId4217" display="https://www.cettire.com/collections/a-w-a-k-e-mode" xr:uid="{D8FA5276-DBE5-4FBD-B982-A3C881ED667E}"/>
    <hyperlink ref="Q148" r:id="rId4218" display="https://www.cettire.com/collections/abra" xr:uid="{C8D3AB00-D924-4F24-9CBF-958B737C45B2}"/>
    <hyperlink ref="Q149" r:id="rId4219" display="https://www.cettire.com/collections/ader-error" xr:uid="{74664483-8BDE-4C92-87EF-F545CC53F8D6}"/>
    <hyperlink ref="Q150" r:id="rId4220" display="https://www.cettire.com/collections/adidas" xr:uid="{BA28CD3F-482A-4143-8A20-F76986A95A1A}"/>
    <hyperlink ref="Q151" r:id="rId4221" display="https://www.cettire.com/collections/adidas-by-danielle-cathari" xr:uid="{2EF9055C-1D03-4766-96F2-3D9F276BC4FA}"/>
    <hyperlink ref="Q152" r:id="rId4222" display="https://www.cettire.com/collections/adidas-by-human-made" xr:uid="{B1FDCD0C-30E5-4BE6-AD47-E879E992DECE}"/>
    <hyperlink ref="Q153" r:id="rId4223" display="https://www.cettire.com/collections/adidas-by-pharrell-williams" xr:uid="{3CA13013-6F35-4C08-89FB-C1DD8B3484B5}"/>
    <hyperlink ref="Q154" r:id="rId4224" display="https://www.cettire.com/collections/adidas-by-raf-simons" xr:uid="{73D6805C-0DF1-47DA-B95C-390AB0765768}"/>
    <hyperlink ref="Q155" r:id="rId4225" display="https://www.cettire.com/collections/adidas-by-stella-mccartney" xr:uid="{61B608F2-CE61-4A14-9BFC-D2BA9A230DDE}"/>
    <hyperlink ref="Q156" r:id="rId4226" display="https://www.cettire.com/collections/adidas-by-wales-bonner" xr:uid="{CC696D7E-7854-49AB-AE69-E117024B0A43}"/>
    <hyperlink ref="Q157" r:id="rId4227" display="https://www.cettire.com/collections/adidas-kids" xr:uid="{E762FE3A-02B5-463E-96EB-88529ABAB756}"/>
    <hyperlink ref="Q158" r:id="rId4228" display="https://www.cettire.com/collections/adidas-originals" xr:uid="{1033B762-E4A2-409E-9A9B-CBFCEA602822}"/>
    <hyperlink ref="Q159" r:id="rId4229" display="https://www.cettire.com/collections/adidas-originals-by-alexander-wang" xr:uid="{4A1EEFE7-F71F-4E27-A45A-6ACD56A22752}"/>
    <hyperlink ref="Q160" r:id="rId4230" display="https://www.cettire.com/collections/adriana-degreas" xr:uid="{FDC75403-9F55-4423-B74B-0EDB0262EBFD}"/>
    <hyperlink ref="Q161" r:id="rId4231" display="https://www.cettire.com/collections/aeyd%C4%93" xr:uid="{1A4B2FDA-A0C5-4312-815E-1238F85A6CC1}"/>
    <hyperlink ref="Q162" r:id="rId4232" display="https://www.cettire.com/collections/agnona" xr:uid="{B7C021E2-72CC-4DB5-89A7-3FF0F996C81D}"/>
    <hyperlink ref="Q163" r:id="rId4233" display="https://www.cettire.com/collections/agolde" xr:uid="{61C27A7B-C9A4-4B3D-AC90-C7DDE2E57786}"/>
    <hyperlink ref="Q164" r:id="rId4234" display="https://www.cettire.com/collections/alaia" xr:uid="{1AE0F4F0-485C-4E0A-BCD3-EA0B30388147}"/>
    <hyperlink ref="Q165" r:id="rId4235" display="https://www.cettire.com/collections/alanui" xr:uid="{7B5708E9-F85D-43AD-9517-75F6420291A8}"/>
    <hyperlink ref="Q166" r:id="rId4236" display="https://www.cettire.com/collections/alberta-ferretti" xr:uid="{2DD7E4DC-5D6E-4B46-8E31-8E3E0DF7B22A}"/>
    <hyperlink ref="Q167" r:id="rId4237" display="https://www.cettire.com/collections/alberta-ferretti-kids" xr:uid="{C065CC53-D5A7-4D19-8754-25BF9C655925}"/>
    <hyperlink ref="Q168" r:id="rId4238" display="https://www.cettire.com/collections/alberto-biani" xr:uid="{AD3389D1-9697-4F6F-8FA1-078CA3BEBBF1}"/>
    <hyperlink ref="Q169" r:id="rId4239" display="https://www.cettire.com/collections/alessandra-rich" xr:uid="{51EB578C-DB68-49BF-9029-CA11C81E7674}"/>
    <hyperlink ref="Q170" r:id="rId4240" display="https://www.cettire.com/collections/alexander-mcqueen" xr:uid="{A9B20FAD-EBA3-4C1E-9B9C-835B5F88F41F}"/>
    <hyperlink ref="Q172" r:id="rId4241" display="https://www.cettire.com/collections/alexander-mcqueen-eyewear" xr:uid="{58AAF0D2-AEBB-428D-9E0C-D8AA68D78392}"/>
    <hyperlink ref="Q173" r:id="rId4242" display="https://www.cettire.com/collections/alexander-mcqueen-kids" xr:uid="{2D575E45-A23B-4719-93FC-79041A56C06B}"/>
    <hyperlink ref="Q174" r:id="rId4243" display="https://www.cettire.com/collections/alexander-wang" xr:uid="{0B70B178-F742-4366-9145-CF6205E3D0B5}"/>
    <hyperlink ref="Q175" r:id="rId4244" display="https://www.cettire.com/collections/alexandre-vauthier" xr:uid="{26A32F2E-6B49-4F99-9718-B24077AA5E63}"/>
    <hyperlink ref="Q176" r:id="rId4245" display="https://www.cettire.com/collections/allude" xr:uid="{9DF62BFB-8A05-454A-AB61-797A02DED4EA}"/>
    <hyperlink ref="Q177" r:id="rId4246" display="https://www.cettire.com/collections/alpha-industries" xr:uid="{E4AB1FC0-8F64-4D4E-A7CD-3B81A721ADED}"/>
    <hyperlink ref="Q178" r:id="rId4247" display="https://www.cettire.com/collections/ambush" xr:uid="{24C01893-078A-458A-A7B6-133FBB213118}"/>
    <hyperlink ref="Q179" r:id="rId4248" display="https://www.cettire.com/collections/amen" xr:uid="{6691F15A-D8A2-4A5E-927E-CB5A213B230A}"/>
    <hyperlink ref="Q180" r:id="rId4249" display="https://www.cettire.com/collections/ami" xr:uid="{210057B4-D578-4ED4-8414-231C47A2F63D}"/>
    <hyperlink ref="Q181" r:id="rId4250" display="https://www.cettire.com/collections/amina-muaddi" xr:uid="{C5138CDB-0A66-4C06-964B-D1EEE5ECC562}"/>
    <hyperlink ref="Q182" r:id="rId4251" display="https://www.cettire.com/collections/amiri" xr:uid="{4FBADE4C-DAF3-4F4B-96CB-519BFB4078D5}"/>
    <hyperlink ref="Q183" r:id="rId4252" display="https://www.cettire.com/collections/ancient-greek-sandals" xr:uid="{B2481E01-FFF8-46B7-B50A-FB816553F8EC}"/>
    <hyperlink ref="Q184" r:id="rId4253" display="https://www.cettire.com/collections/andersson-bell" xr:uid="{232BF680-C713-478D-8FDB-EFB56F8691E0}"/>
    <hyperlink ref="Q185" r:id="rId4254" display="https://www.cettire.com/collections/anita-bilardi" xr:uid="{A14301D3-CB5A-4834-B8D4-3ABBA5A8DCB1}"/>
    <hyperlink ref="Q186" r:id="rId4255" display="https://www.cettire.com/collections/aniye-by" xr:uid="{4AD39D48-5A91-4DBA-9B4E-2082B6669DA1}"/>
    <hyperlink ref="Q188" r:id="rId4256" display="https://www.cettire.com/collections/ann-demeulemeester" xr:uid="{1E63D973-21C9-4694-B697-3096A2DBF65E}"/>
    <hyperlink ref="Q189" r:id="rId4257" display="https://www.cettire.com/collections/antonino-valenti" xr:uid="{D509C7BB-E716-428D-9220-8CC11BB10BE2}"/>
    <hyperlink ref="Q190" r:id="rId4258" display="https://www.cettire.com/collections/anya-hindmarch" xr:uid="{CB0E062B-A76C-42B9-BB05-D89BE3052497}"/>
    <hyperlink ref="Q191" r:id="rId4259" display="https://www.cettire.com/collections/apesi" xr:uid="{362B5923-A770-4B55-85C6-A27C4DBFD066}"/>
    <hyperlink ref="Q192" r:id="rId4260" display="https://www.cettire.com/collections/aquazzura" xr:uid="{93E03860-9E3B-4925-88B3-3C84BF073C79}"/>
    <hyperlink ref="Q193" r:id="rId4261" display="https://www.cettire.com/collections/aragona" xr:uid="{D9F16F7A-936D-4311-A914-26987A5ED826}"/>
    <hyperlink ref="Q194" r:id="rId4262" display="https://www.cettire.com/collections/area" xr:uid="{11A8A48B-BED2-425B-985D-49918DA57168}"/>
    <hyperlink ref="Q195" r:id="rId4263" display="https://www.cettire.com/collections/aries" xr:uid="{6BCDF425-C231-483F-98C1-BD167E51F3E1}"/>
    <hyperlink ref="Q196" r:id="rId4264" display="https://www.cettire.com/collections/arizona-love" xr:uid="{75DD7469-98AC-4D73-8AAF-E05F8B006AF5}"/>
    <hyperlink ref="Q197" r:id="rId4265" display="https://www.cettire.com/collections/arma" xr:uid="{90B9172B-72F0-4D1B-9879-F0276CAF9FBD}"/>
    <hyperlink ref="Q198" r:id="rId4266" display="https://www.cettire.com/collections/art-dealer" xr:uid="{B40E3D15-5FB5-4316-996E-24F7F6D49A39}"/>
    <hyperlink ref="Q199" r:id="rId4267" display="https://www.cettire.com/collections/ash" xr:uid="{103AD881-BBE3-48E9-A05C-8968BE6D032A}"/>
    <hyperlink ref="Q200" r:id="rId4268" display="https://www.cettire.com/collections/asics" xr:uid="{3142E352-3372-4427-B8CD-43418CF78D35}"/>
    <hyperlink ref="Q201" r:id="rId4269" display="https://www.cettire.com/collections/aspesi" xr:uid="{C302BFBD-4720-46DC-A873-A7E2643EB724}"/>
    <hyperlink ref="Q203" r:id="rId4270" display="https://www.cettire.com/collections/au-depart" xr:uid="{54B7D604-D2E7-4EEA-B5A6-04EAC8C0A5CB}"/>
    <hyperlink ref="Q204" r:id="rId4271" display="https://www.cettire.com/collections/autry" xr:uid="{3577B192-0F75-4731-BE95-66DF468E2320}"/>
    <hyperlink ref="Q205" r:id="rId4272" display="https://www.cettire.com/collections/axel-arigato" xr:uid="{A0F6E04B-4FE1-4A06-93F8-442A3B071CCA}"/>
    <hyperlink ref="Q207" r:id="rId4273" display="https://www.cettire.com/collections/b-low-the-belt" xr:uid="{018943D1-FA72-468A-81BF-5CCEC8F6B618}"/>
    <hyperlink ref="Q208" r:id="rId4274" display="https://www.cettire.com/collections/balenciaga" xr:uid="{A5F4B97E-1F8E-4DF5-9111-ACD6B480183D}"/>
    <hyperlink ref="Q209" r:id="rId4275" display="https://www.cettire.com/collections/balenciaga-eyewear" xr:uid="{B42F9FE7-4A61-401A-BC92-D5792D4BC011}"/>
    <hyperlink ref="Q210" r:id="rId4276" display="https://www.cettire.com/collections/balenciaga-kids" xr:uid="{14E36648-E4DC-4432-972A-297552EBC90B}"/>
    <hyperlink ref="Q211" r:id="rId4277" display="https://www.cettire.com/collections/ballantyne" xr:uid="{D5FE04DF-C92E-4525-B265-994C115F18CF}"/>
    <hyperlink ref="Q212" r:id="rId4278" display="https://www.cettire.com/collections/bally" xr:uid="{24170BFE-3482-41A7-9073-D6BD37AE0C26}"/>
    <hyperlink ref="Q213" r:id="rId4279" display="https://www.cettire.com/collections/balmain" xr:uid="{76A12924-C449-47C8-87C7-A6D047865866}"/>
    <hyperlink ref="Q214" r:id="rId4280" display="https://www.cettire.com/collections/balmain-kids" xr:uid="{C776B0FA-92A3-48A0-8B52-20FF84A65B99}"/>
    <hyperlink ref="Q215" r:id="rId4281" display="https://www.cettire.com/collections/bao-bao-issey-miyake" xr:uid="{4C34DAAB-9F03-483F-9E8D-65D4206A1A00}"/>
    <hyperlink ref="Q216" r:id="rId4282" display="https://www.cettire.com/collections/barba" xr:uid="{0C664177-3248-4C8E-97F3-701D36C17641}"/>
    <hyperlink ref="Q217" r:id="rId4283" display="https://www.cettire.com/collections/barbour" xr:uid="{DA2542A8-D61B-496D-B469-74AD8844BDBF}"/>
    <hyperlink ref="Q218" r:id="rId4284" display="https://www.cettire.com/collections/barena" xr:uid="{7E2633BC-0EAD-4736-9F7E-4ADA5986DD2F}"/>
    <hyperlink ref="Q219" r:id="rId4285" display="https://www.cettire.com/collections/bark-b-rules" xr:uid="{38178048-C5B7-43E2-AADC-91CB1ED18955}"/>
    <hyperlink ref="Q220" r:id="rId4286" display="https://www.cettire.com/collections/barrow" xr:uid="{2B2EF5AA-C264-4085-8F65-360B0E2EDA18}"/>
    <hyperlink ref="Q221" r:id="rId4287" display="https://www.cettire.com/collections/baum-und-pferdgarten" xr:uid="{792A9F30-9465-48D9-B477-46027BD9CBDC}"/>
    <hyperlink ref="Q222" r:id="rId4288" display="https://www.cettire.com/collections/belstaff" xr:uid="{7E95AC05-626B-44CB-942E-4F47CF59158E}"/>
    <hyperlink ref="Q223" r:id="rId4289" display="https://www.cettire.com/collections/berluti" xr:uid="{FEF2B27A-7B1B-4075-97AD-4E676AD68FF9}"/>
    <hyperlink ref="Q224" r:id="rId4290" display="https://www.cettire.com/collections/billieblush" xr:uid="{7B094BA8-4F92-4572-A408-2767B0968D53}"/>
    <hyperlink ref="Q225" r:id="rId4291" display="https://www.cettire.com/collections/billionaire" xr:uid="{E4B01C89-55DF-4DA4-9E06-379A55CF2E7C}"/>
    <hyperlink ref="Q226" r:id="rId4292" display="https://www.cettire.com/collections/billionaire-boys-club" xr:uid="{41FE0E53-D5BC-4766-AB97-80ADE46942CA}"/>
    <hyperlink ref="Q227" r:id="rId4293" display="https://www.cettire.com/collections/birkenstock" xr:uid="{45A892CC-C6A7-4525-95EA-E2ADDF7CB030}"/>
    <hyperlink ref="Q228" r:id="rId4294" display="https://www.cettire.com/collections/bobo-choses" xr:uid="{12479462-D621-4CA8-869C-7801340DF1A2}"/>
    <hyperlink ref="Q230" r:id="rId4295" display="https://www.cettire.com/collections/bode" xr:uid="{7BDA1E0B-4C76-4AB3-89E3-6310DF890EE3}"/>
    <hyperlink ref="Q231" r:id="rId4296" display="https://www.cettire.com/collections/boglioli" xr:uid="{EBCE666C-8EAF-4643-82ED-C38DDE339161}"/>
    <hyperlink ref="Q232" r:id="rId4297" display="https://www.cettire.com/collections/bonpoint" xr:uid="{84ED5243-3C3A-4C62-A4C4-D703D70E6461}"/>
    <hyperlink ref="Q233" r:id="rId4298" display="https://www.cettire.com/collections/bottega-veneta" xr:uid="{BE3AE2AA-D0A9-4E8E-BA42-737F56C13E4D}"/>
    <hyperlink ref="Q234" r:id="rId4299" display="https://www.cettire.com/collections/bottega-veneta-eyewear" xr:uid="{12732108-3EB8-47B8-B419-F99A401D4F4E}"/>
    <hyperlink ref="Q235" r:id="rId4300" display="https://www.cettire.com/collections/botter" xr:uid="{C6AFA9AC-28A2-46D8-835C-0E13961CE2C3}"/>
    <hyperlink ref="Q236" r:id="rId4301" display="https://www.cettire.com/collections/boutique-moschino" xr:uid="{2A2E83D4-31B5-4CC6-A478-5D8EFB752272}"/>
    <hyperlink ref="Q237" r:id="rId4302" display="https://www.cettire.com/collections/boyy" xr:uid="{1998E324-058A-4CFC-9B13-3D94A110E967}"/>
    <hyperlink ref="Q238" r:id="rId4303" display="https://www.cettire.com/collections/brian-dales" xr:uid="{D1306308-8AF2-49A9-9DDB-1E992743DC14}"/>
    <hyperlink ref="Q239" r:id="rId4304" display="https://www.cettire.com/collections/brunello-cucinelli" xr:uid="{FDC2AF40-4143-4D3C-A7BB-636F069DE490}"/>
    <hyperlink ref="Q240" r:id="rId4305" display="https://www.cettire.com/collections/brunello-cucinelli-kids" xr:uid="{D687B75C-E6BB-4F72-AF75-53EDC35AF031}"/>
    <hyperlink ref="Q241" r:id="rId4306" display="https://www.cettire.com/collections/building-block" xr:uid="{6F63D9C0-806B-4C17-8578-B56669885829}"/>
    <hyperlink ref="Q242" r:id="rId4307" display="https://www.cettire.com/collections/bulgari" xr:uid="{D38596EB-EC11-4013-BAD7-B1E7B4BD41BD}"/>
    <hyperlink ref="Q243" r:id="rId4308" display="https://www.cettire.com/collections/burberry" xr:uid="{18CAD3FB-B4D2-41ED-843C-FBC6C7789F06}"/>
    <hyperlink ref="Q244" r:id="rId4309" display="https://www.cettire.com/collections/burberry-eyewear" xr:uid="{D599AEC9-8DDF-479E-855F-7113CA62D7F6}"/>
    <hyperlink ref="Q245" r:id="rId4310" display="https://www.cettire.com/collections/burberry-kids" xr:uid="{5414A47E-1B15-49C1-9BF8-9C9A0C4DC5B9}"/>
    <hyperlink ref="Q246" r:id="rId4311" display="https://www.cettire.com/collections/buscemi" xr:uid="{E6F45F97-2CE6-4B5B-B715-05CC651DBFDB}"/>
    <hyperlink ref="Q247" r:id="rId4312" display="https://www.cettire.com/collections/buttero" xr:uid="{F36893D9-58A6-4DEA-8A7D-434DC98F1A5A}"/>
    <hyperlink ref="Q248" r:id="rId4313" display="https://www.cettire.com/collections/by-far" xr:uid="{01DFA6EC-032E-4844-B942-870658BCDB9C}"/>
    <hyperlink ref="Q250" r:id="rId4314" display="https://www.cettire.com/collections/c-p-company" xr:uid="{95AC9671-14CA-45F5-B066-2229AB9116E7}"/>
    <hyperlink ref="Q251" r:id="rId4315" display="https://www.cettire.com/collections/c-p-company-kids" xr:uid="{76209F9B-0D8B-42A0-89B5-FA67A7A38E0E}"/>
    <hyperlink ref="Q252" r:id="rId4316" display="https://www.cettire.com/collections/c2h4" xr:uid="{B4D284D3-D2CB-462D-A20A-7A9D4309FF0D}"/>
    <hyperlink ref="Q253" r:id="rId4317" display="https://www.cettire.com/collections/calvin-klein" xr:uid="{F2F940CB-2966-4409-875D-1D36341D51C5}"/>
    <hyperlink ref="Q254" r:id="rId4318" display="https://www.cettire.com/collections/calvin-klein-jeans-est-1978" xr:uid="{661634E4-5B2B-4C8C-B113-1E491BE6FD62}"/>
    <hyperlink ref="Q255" r:id="rId4319" display="https://www.cettire.com/collections/canada-goose" xr:uid="{4D450F71-BD3C-4C01-8656-8A31E7AF99A1}"/>
    <hyperlink ref="Q256" r:id="rId4320" display="https://www.cettire.com/collections/canada-goose-kids" xr:uid="{93D62776-7CF5-4849-8601-A30CF7F5ADC6}"/>
    <hyperlink ref="Q257" r:id="rId4321" display="https://www.cettire.com/collections/canali" xr:uid="{F40DC6B0-67A9-4659-A345-6817C8003B14}"/>
    <hyperlink ref="Q258" r:id="rId4322" display="https://www.cettire.com/collections/car-shoe" xr:uid="{7CA4BB27-7903-4926-A944-787D06197616}"/>
    <hyperlink ref="Q259" r:id="rId4323" display="https://www.cettire.com/collections/carhartt" xr:uid="{077AA926-65F2-43A1-8D0D-50FE349FDC94}"/>
    <hyperlink ref="Q260" r:id="rId4324" display="https://www.cettire.com/collections/carhartt-wip" xr:uid="{C4AA2E1B-0CA2-480A-9038-76A8BB1EB7D5}"/>
    <hyperlink ref="Q261" r:id="rId4325" display="https://www.cettire.com/collections/carrera" xr:uid="{EEE28235-A31C-4950-8D6B-97830B30268F}"/>
    <hyperlink ref="Q262" r:id="rId4326" display="https://www.cettire.com/collections/cartier" xr:uid="{D8AB3427-50B8-4DBD-97AB-7944F2ED37CD}"/>
    <hyperlink ref="Q263" r:id="rId4327" display="https://www.cettire.com/collections/casablanca" xr:uid="{0E7FE9C5-C84F-444D-A3CF-BA7CFC6613A2}"/>
    <hyperlink ref="Q264" r:id="rId4328" display="https://www.cettire.com/collections/casta%C3%B1er" xr:uid="{509E0197-F836-4E12-9F93-7D2FB5033244}"/>
    <hyperlink ref="Q266" r:id="rId4329" display="https://www.cettire.com/collections/cc-collection-corneliani" xr:uid="{7B89E848-3C63-45B3-8719-C525DAC1F4C6}"/>
    <hyperlink ref="Q267" r:id="rId4330" display="https://www.cettire.com/collections/cecilie-bahnsen" xr:uid="{382AD260-283F-4B55-8681-3F9FCE4AAAEB}"/>
    <hyperlink ref="Q268" r:id="rId4331" display="https://www.cettire.com/collections/champion" xr:uid="{49D1AF7F-1EA2-4086-9234-AEDC9804439C}"/>
    <hyperlink ref="Q269" r:id="rId4332" display="https://www.cettire.com/collections/chanel" xr:uid="{F858B4F9-0436-4B7C-BFE4-D27BAA112BDB}"/>
    <hyperlink ref="Q270" r:id="rId4333" display="https://www.cettire.com/collections/chiara-ferragni" xr:uid="{238C3F25-FA88-4C9D-A4E3-E0C4B6F82DC2}"/>
    <hyperlink ref="Q271" r:id="rId4334" display="https://www.cettire.com/collections/chiara-ferragni-kids" xr:uid="{57147E1F-6D03-4668-B56B-FB1063241E6B}"/>
    <hyperlink ref="Q272" r:id="rId4335" display="https://www.cettire.com/collections/chie-mihara" xr:uid="{CBCC809F-B4E2-4A7E-8671-A8194F7CAE11}"/>
    <hyperlink ref="Q273" r:id="rId4336" display="https://www.cettire.com/collections/chinatown-market" xr:uid="{5C12F9EA-F1F5-46D3-8B1A-56F07406B4EC}"/>
    <hyperlink ref="Q274" r:id="rId4337" display="https://www.cettire.com/collections/chloe" xr:uid="{77184A34-DB73-49B9-B97F-1C39741104D3}"/>
    <hyperlink ref="Q275" r:id="rId4338" display="https://www.cettire.com/collections/chloe-eyewear" xr:uid="{989F179B-9806-46F6-B48C-354D23CBBB72}"/>
    <hyperlink ref="Q276" r:id="rId4339" display="https://www.cettire.com/collections/chloe-kids" xr:uid="{9BC1AFCA-334A-4B5B-B097-407D1B3D1C23}"/>
    <hyperlink ref="Q277" r:id="rId4340" display="https://www.cettire.com/collections/chopard-eyewear" xr:uid="{B253F0FB-A69A-4C68-8521-F5CA96176D27}"/>
    <hyperlink ref="Q278" r:id="rId4341" display="https://www.cettire.com/collections/chopova-lowena" xr:uid="{F31FE0D7-3D98-47B6-BBC7-2C91C0F6C4D2}"/>
    <hyperlink ref="Q279" r:id="rId4342" display="https://www.cettire.com/collections/christian-louboutin" xr:uid="{FDCCCFAE-B1D2-4770-8ED8-86BBFF16952E}"/>
    <hyperlink ref="Q280" r:id="rId4343" display="https://www.cettire.com/collections/churchs" xr:uid="{9F999E6C-BBDD-472E-ABCF-8513DC21AB46}"/>
    <hyperlink ref="Q282" r:id="rId4344" display="https://www.cettire.com/collections/citizens-of-humanity" xr:uid="{7AC72ADA-E96F-44FB-BD10-56AF00DF6E3B}"/>
    <hyperlink ref="Q283" r:id="rId4345" display="https://www.cettire.com/collections/co" xr:uid="{2253D427-BFA9-4D11-9BF1-EF40D515ED34}"/>
    <hyperlink ref="Q284" r:id="rId4346" display="https://www.cettire.com/collections/coach" xr:uid="{C060D426-15CA-43B1-9BC0-A3AC6FE9E5FF}"/>
    <hyperlink ref="Q285" r:id="rId4347" display="https://www.cettire.com/collections/coliac" xr:uid="{20B904B5-8196-4451-9B7A-A8518A5D1B9A}"/>
    <hyperlink ref="Q286" r:id="rId4348" display="https://www.cettire.com/collections/collina-strada" xr:uid="{4B969D63-A209-4D66-847C-EEC75670283C}"/>
    <hyperlink ref="Q287" r:id="rId4349" display="https://www.cettire.com/collections/comme-des-garcons" xr:uid="{7CC978A2-7DC4-4D87-B8D8-E3743BCC88DD}"/>
    <hyperlink ref="Q288" r:id="rId4350" display="https://www.cettire.com/collections/comme-des-garcons-comme-des-garcons" xr:uid="{2DE61204-6203-464B-A9CB-E7E8E2D2B9E3}"/>
    <hyperlink ref="Q289" r:id="rId4351" display="https://www.cettire.com/collections/comme-des-garcons-girl" xr:uid="{9B34685A-72BE-453F-ABE4-9001948C1719}"/>
    <hyperlink ref="Q290" r:id="rId4352" display="https://www.cettire.com/collections/comme-des-garcons-homme-plus" xr:uid="{0F3B1937-50AA-4FDA-A54B-98BAB8C33720}"/>
    <hyperlink ref="Q291" r:id="rId4353" display="https://www.cettire.com/collections/comme-des-garcons-noir-kei-ninomiya" xr:uid="{4CCCDEDC-EFBF-4DD1-A1B3-76734EA3E877}"/>
    <hyperlink ref="Q292" r:id="rId4354" display="https://www.cettire.com/collections/comme-des-garcons-play" xr:uid="{08D7B34D-BC2F-4F81-9223-87C39C55E6B9}"/>
    <hyperlink ref="Q293" r:id="rId4355" display="https://www.cettire.com/collections/comme-des-garcons-play-kids" xr:uid="{9D176F84-756F-47C1-BC97-601C5CB8A2E5}"/>
    <hyperlink ref="Q294" r:id="rId4356" display="https://www.cettire.com/collections/comme-des-garcons-shirt" xr:uid="{FDB990EA-8953-40C4-BA6E-C9D29C97D4D9}"/>
    <hyperlink ref="Q295" r:id="rId4357" display="https://www.cettire.com/collections/comme-des-garcons-shirt-boys" xr:uid="{BCA8A3A3-BFAC-46EE-9248-E0F898FB3E44}"/>
    <hyperlink ref="Q296" r:id="rId4358" display="https://www.cettire.com/collections/comme-des-garcons-wallet" xr:uid="{068ACA8A-6662-4ACD-8889-3A41867B2F16}"/>
    <hyperlink ref="Q297" r:id="rId4359" display="https://www.cettire.com/collections/common-projects" xr:uid="{0B6DA196-8020-4210-BCCF-2F34CF2E8F1D}"/>
    <hyperlink ref="Q298" r:id="rId4360" display="https://www.cettire.com/collections/converse" xr:uid="{90C7A5B4-A655-45CD-A470-D0F872D3E7A7}"/>
    <hyperlink ref="Q299" r:id="rId4361" display="https://www.cettire.com/collections/coperni" xr:uid="{A7272EE9-4F69-4078-9A98-82E278E4F392}"/>
    <hyperlink ref="Q300" r:id="rId4362" display="https://www.cettire.com/collections/corneliani" xr:uid="{C48A5D46-5AF4-41C6-BD80-0CFC67C27391}"/>
    <hyperlink ref="Q301" r:id="rId4363" display="https://www.cettire.com/collections/courreges-eyewear" xr:uid="{0D445E49-BF79-45D2-B189-763F325AE96D}"/>
    <hyperlink ref="Q302" r:id="rId4364" display="https://www.cettire.com/collections/craig-green" xr:uid="{D43A0E7C-9A1C-40CB-8597-D718FC55C216}"/>
    <hyperlink ref="Q303" r:id="rId4365" display="https://www.cettire.com/collections/cult-gaia" xr:uid="{1CD694BB-9583-4633-AD23-9E10DD7B341C}"/>
    <hyperlink ref="Q304" r:id="rId4366" display="https://www.cettire.com/collections/current-elliott" xr:uid="{2F9F1C24-592E-4232-B533-C1089448D5A0}"/>
    <hyperlink ref="Q305" r:id="rId4367" display="https://www.cettire.com/collections/cutler-gross" xr:uid="{66AE8ACD-EB60-4D0F-8CAE-0AD222A264F9}"/>
    <hyperlink ref="Q307" r:id="rId4368" display="https://www.cettire.com/collections/daily-paper" xr:uid="{FDB5A642-4892-4189-8D34-94ECAA2EF309}"/>
    <hyperlink ref="Q308" r:id="rId4369" display="https://www.cettire.com/collections/danse-lente" xr:uid="{CDFAFBB7-825C-4DAD-83B7-997A45D33A5E}"/>
    <hyperlink ref="Q309" r:id="rId4370" display="https://www.cettire.com/collections/delvaux" xr:uid="{93765FD4-D885-442A-80C9-79F10DB18976}"/>
    <hyperlink ref="Q310" r:id="rId4371" display="https://www.cettire.com/collections/department-5" xr:uid="{7AB33079-A059-4CA3-813F-F3B3F2735CC6}"/>
    <hyperlink ref="Q311" r:id="rId4372" display="https://www.cettire.com/collections/desa-1972" xr:uid="{D7FE79C0-18C6-49EB-A40F-C92208411C42}"/>
    <hyperlink ref="Q312" r:id="rId4373" display="https://www.cettire.com/collections/diadora" xr:uid="{D5CA53EA-9FAC-4CF5-BC48-1B89C858EE8D}"/>
    <hyperlink ref="Q313" r:id="rId4374" display="https://www.cettire.com/collections/diane-von-furstenberg" xr:uid="{D48D370A-F4B7-45B9-9095-24C4F1B86514}"/>
    <hyperlink ref="Q314" r:id="rId4375" display="https://www.cettire.com/collections/diemme" xr:uid="{4407C065-5283-4A8D-8A61-3911E2C74EBB}"/>
    <hyperlink ref="Q315" r:id="rId4376" display="https://www.cettire.com/collections/diesel" xr:uid="{3FFB21B8-8D71-4C00-911D-42423086009E}"/>
    <hyperlink ref="Q317" r:id="rId4377" display="https://www.cettire.com/collections/diesel-kids" xr:uid="{72EACCCE-64F2-4E2E-9D14-012124E3FE88}"/>
    <hyperlink ref="Q318" r:id="rId4378" display="https://www.cettire.com/collections/diesel-red-tag" xr:uid="{97E22480-189A-4CDA-B672-016FB0794AC5}"/>
    <hyperlink ref="Q319" r:id="rId4379" display="https://www.cettire.com/collections/dior" xr:uid="{49594FD4-B654-4B3C-924C-40BCC02AE3C1}"/>
    <hyperlink ref="Q320" r:id="rId4380" display="https://www.cettire.com/collections/dior-eyewear" xr:uid="{4AED3774-744E-47A4-B022-2DB64BACB20B}"/>
    <hyperlink ref="Q321" r:id="rId4381" display="https://www.cettire.com/collections/dior-homme" xr:uid="{27F3B953-68A5-4A78-8147-E2E49FB88C63}"/>
    <hyperlink ref="Q322" r:id="rId4382" display="https://www.cettire.com/collections/dita-eyewear" xr:uid="{E254305F-8384-4670-9901-5EF546F48289}"/>
    <hyperlink ref="Q323" r:id="rId4383" display="https://www.cettire.com/collections/dkny-kids" xr:uid="{F4A03085-D608-4F3D-A498-E1F37B73C2D4}"/>
    <hyperlink ref="Q324" r:id="rId4384" display="https://www.cettire.com/collections/dodo-bar-or" xr:uid="{C627D136-66FB-4509-937B-6C0E80BD89E6}"/>
    <hyperlink ref="Q325" r:id="rId4385" display="https://www.cettire.com/collections/dolce-gabbana" xr:uid="{ABA6F962-21BD-4896-8751-53BC6D1CD072}"/>
    <hyperlink ref="Q326" r:id="rId4386" display="https://www.cettire.com/collections/dolce-gabbana-eyewear" xr:uid="{EAADF7D0-D5FA-4007-AD6A-8E5199A151A6}"/>
    <hyperlink ref="Q327" r:id="rId4387" display="https://www.cettire.com/collections/dolce-gabbana-kids" xr:uid="{AF797D25-D2C7-4BD2-BAC2-978F5AC5AD45}"/>
    <hyperlink ref="Q328" r:id="rId4388" display="https://www.cettire.com/collections/dr-martens" xr:uid="{938E57C2-E375-4B20-8BD1-BB80B19CE22A}"/>
    <hyperlink ref="Q329" r:id="rId4389" display="https://www.cettire.com/collections/drole-de-monsieur" xr:uid="{2F148542-F254-475E-904B-872C143EB856}"/>
    <hyperlink ref="Q330" r:id="rId4390" display="https://www.cettire.com/collections/dsquared2" xr:uid="{55224609-4E68-4F0C-BEB7-2C474D431C27}"/>
    <hyperlink ref="Q331" r:id="rId4391" display="https://www.cettire.com/collections/dsquared2-eyewear" xr:uid="{4C60D58C-D95A-4736-8405-234CF07CC710}"/>
    <hyperlink ref="Q332" r:id="rId4392" display="https://www.cettire.com/collections/dsquared2-kids" xr:uid="{7A7A4B95-D76E-4D64-A2C6-8CDE601AB0B0}"/>
    <hyperlink ref="Q335" r:id="rId4393" display="https://www.cettire.com/collections/ea7-emporio-armani" xr:uid="{BE18DD8E-56DB-4DB1-8399-924745EE5466}"/>
    <hyperlink ref="Q336" r:id="rId4394" display="https://www.cettire.com/collections/eastpak" xr:uid="{4F9F36E2-2D5E-4C69-96F5-69565D6C1475}"/>
    <hyperlink ref="Q337" r:id="rId4395" display="https://www.cettire.com/collections/eckhaus-latta" xr:uid="{5EAE1258-9034-4153-A337-F65DC022751D}"/>
    <hyperlink ref="Q338" r:id="rId4396" display="https://www.cettire.com/collections/eden-power-corp" xr:uid="{D2C1F1B4-47C6-4111-ADF2-45020D124A13}"/>
    <hyperlink ref="Q339" r:id="rId4397" display="https://www.cettire.com/collections/edward-green" xr:uid="{D88F2811-0890-49C6-989C-DD92C379B64E}"/>
    <hyperlink ref="Q340" r:id="rId4398" display="https://www.cettire.com/collections/elie-saab-junior" xr:uid="{E415F4B8-6616-450B-AF90-9C67A26724E0}"/>
    <hyperlink ref="Q341" r:id="rId4399" display="https://www.cettire.com/collections/elisabetta-franchi" xr:uid="{F1FA7D61-878A-4485-B2BA-B9E8F24B2593}"/>
    <hyperlink ref="Q342" r:id="rId4400" display="https://www.cettire.com/collections/emile-et-ida" xr:uid="{36EFC41C-B13D-408E-B7AC-E33F9C46C42E}"/>
    <hyperlink ref="Q343" r:id="rId4401" display="https://www.cettire.com/collections/emilio-pucci" xr:uid="{3CEFC96F-ABD5-41EF-92BE-5ACC497CDF9A}"/>
    <hyperlink ref="Q344" r:id="rId4402" display="https://www.cettire.com/collections/emilio-pucci-junior" xr:uid="{E131E511-E689-46C8-8F23-92825D3C0E4B}"/>
    <hyperlink ref="Q345" r:id="rId4403" display="https://www.cettire.com/collections/emporio-armani" xr:uid="{0FB1327E-7638-48CA-B010-2BF0AE301631}"/>
    <hyperlink ref="Q346" r:id="rId4404" display="https://www.cettire.com/collections/emporio-armani-kids" xr:uid="{7D241F88-8B2C-4747-ADD7-6FA749E2885B}"/>
    <hyperlink ref="Q347" r:id="rId4405" display="https://www.cettire.com/collections/enfants-riches-deprimes" xr:uid="{B5D0C552-CEFE-4F98-9DD0-BC957ED8A0A3}"/>
    <hyperlink ref="Q348" r:id="rId4406" display="https://www.cettire.com/collections/engineered-garments" xr:uid="{7CFB187C-962D-4C35-9A9C-DA07AB869FE8}"/>
    <hyperlink ref="Q349" r:id="rId4407" display="https://www.cettire.com/collections/enterprise-japan" xr:uid="{1E7BF3D3-7718-4BFE-9AAD-1C8D5C269475}"/>
    <hyperlink ref="Q350" r:id="rId4408" display="https://www.cettire.com/collections/equipment" xr:uid="{831A51D1-AEE8-47F6-A088-9EF28F685F44}"/>
    <hyperlink ref="Q351" r:id="rId4409" display="https://www.cettire.com/collections/ermanno-scervino" xr:uid="{0A1E90A3-6AC4-456B-BA74-985A0F63E824}"/>
    <hyperlink ref="Q352" r:id="rId4410" display="https://www.cettire.com/collections/ermenegildo-zegna" xr:uid="{6E8425D1-C2A0-49C4-B695-8A6E14BD0820}"/>
    <hyperlink ref="Q353" r:id="rId4411" display="https://www.cettire.com/collections/etre-cecile" xr:uid="{C48DF471-E0B2-4536-8424-779C9FA20A4D}"/>
    <hyperlink ref="Q354" r:id="rId4412" display="https://www.cettire.com/collections/etro" xr:uid="{A5583441-834A-4BC4-A353-4C731848BEFA}"/>
    <hyperlink ref="Q355" r:id="rId4413" display="https://www.cettire.com/collections/eudon-choi" xr:uid="{8E3512F9-F279-4333-A0A0-16D2E8BFE544}"/>
    <hyperlink ref="Q356" r:id="rId4414" display="https://www.cettire.com/collections/extreme-cashmere" xr:uid="{76EEFE04-2253-4F89-8410-BD99E56E6BE4}"/>
    <hyperlink ref="Q357" r:id="rId4415" display="https://www.cettire.com/collections/eyevan-7285" xr:uid="{9D389245-F3FE-480D-AB8A-A8B68B0F8894}"/>
    <hyperlink ref="Q358" r:id="rId4416" display="https://www.cettire.com/collections/eytys" xr:uid="{356C9A40-4679-4B9E-9ABB-35C6A462968D}"/>
    <hyperlink ref="Q360" r:id="rId4417" display="https://www.cettire.com/collections/fabiana-filippi" xr:uid="{6AE7F963-6FD1-45E3-ADA5-02F0D798B917}"/>
    <hyperlink ref="Q361" r:id="rId4418" display="https://www.cettire.com/collections/facetasm" xr:uid="{61A879A0-100C-4132-87F1-CBBD65340D54}"/>
    <hyperlink ref="Q362" r:id="rId4419" display="https://www.cettire.com/collections/faith-connexion" xr:uid="{453F0CB5-A3BD-4511-B48B-ED5515F7FB22}"/>
    <hyperlink ref="Q363" r:id="rId4420" display="https://www.cettire.com/collections/fay" xr:uid="{A348A8B7-E3E1-4195-976C-96D409755568}"/>
    <hyperlink ref="Q364" r:id="rId4421" display="https://www.cettire.com/collections/fay-kids" xr:uid="{642FFAA0-F700-4435-AC1F-8FFB3143F585}"/>
    <hyperlink ref="Q365" r:id="rId4422" display="https://www.cettire.com/collections/fear-of-god" xr:uid="{8FF0DAEA-27A9-40F3-B38B-F23E7E20F1B2}"/>
    <hyperlink ref="Q366" r:id="rId4423" display="https://www.cettire.com/collections/fendi" xr:uid="{63B3B02A-873C-4BB3-A83D-3C2F761406B6}"/>
    <hyperlink ref="Q367" r:id="rId4424" display="https://www.cettire.com/collections/fendi-eyewear" xr:uid="{BD7EB3D3-62CD-4E36-B6C1-EE184BDC14C7}"/>
    <hyperlink ref="Q368" r:id="rId4425" display="https://www.cettire.com/collections/fendi-kids" xr:uid="{19A1AE4E-4EB0-4710-8D10-DB6FA13D0D17}"/>
    <hyperlink ref="Q369" r:id="rId4426" display="https://www.cettire.com/collections/feng-chen-wang" xr:uid="{D002C5CB-9A77-4200-8A86-1034262B2E7E}"/>
    <hyperlink ref="Q370" r:id="rId4427" display="https://www.cettire.com/collections/fenty-x-puma" xr:uid="{38C20F3C-097D-4F6D-BB63-C8A6F48481AD}"/>
    <hyperlink ref="Q371" r:id="rId4428" display="https://www.cettire.com/collections/fila" xr:uid="{34391B91-A7AC-4DEF-86C2-7D72FD962F2A}"/>
    <hyperlink ref="Q372" r:id="rId4429" display="https://www.cettire.com/collections/finamore-1925-napoli" xr:uid="{AD786484-2EB6-4815-B216-DFC56AA49865}"/>
    <hyperlink ref="Q374" r:id="rId4430" display="https://www.cettire.com/collections/forte-dei-marmi-couture" xr:uid="{1136AA19-662F-4FC3-B83F-DF4C35397B57}"/>
    <hyperlink ref="Q375" r:id="rId4431" display="https://www.cettire.com/collections/forte-forte" xr:uid="{4CACABA2-D712-417F-BED7-8B6D0D395199}"/>
    <hyperlink ref="Q376" r:id="rId4432" display="https://www.cettire.com/collections/frame" xr:uid="{D0F14DC3-993F-4985-84D0-2009B234CBE8}"/>
    <hyperlink ref="Q377" r:id="rId4433" display="https://www.cettire.com/collections/francesco-russo" xr:uid="{090D8FEF-CDA4-419F-8F6D-308646F54034}"/>
    <hyperlink ref="Q378" r:id="rId4434" display="https://www.cettire.com/collections/freedomday" xr:uid="{B0CDBCB3-2900-4FBB-AE2B-D0133A1594D7}"/>
    <hyperlink ref="Q379" r:id="rId4435" display="https://www.cettire.com/collections/fucking-awesome" xr:uid="{4E4DA933-1F5A-49B1-B825-CB2C76AE53A9}"/>
    <hyperlink ref="Q380" r:id="rId4436" display="https://www.cettire.com/collections/furla" xr:uid="{BD0C34E7-56EE-4ED7-8D9F-5FAABF24E44A}"/>
    <hyperlink ref="Q382" r:id="rId4437" display="https://www.cettire.com/collections/gabriela-hearst" xr:uid="{CB73C421-BBA0-4C9F-8E54-ADA613562516}"/>
    <hyperlink ref="Q383" r:id="rId4438" display="https://www.cettire.com/collections/gallery-dept" xr:uid="{264197E8-04EC-4B0D-94E8-67DB5F02DA0C}"/>
    <hyperlink ref="Q384" r:id="rId4439" display="https://www.cettire.com/collections/ganni" xr:uid="{D7974B85-1B34-4550-B41C-B93AAA665DD6}"/>
    <hyperlink ref="Q385" r:id="rId4440" display="https://www.cettire.com/collections/garrett-leight" xr:uid="{7820D3AF-D443-49A8-8A1F-F5CACA645214}"/>
    <hyperlink ref="Q386" r:id="rId4441" display="https://www.cettire.com/collections/gauge81" xr:uid="{31C49632-3BFF-4CB4-AB58-49092272AC09}"/>
    <hyperlink ref="Q387" r:id="rId4442" display="https://www.cettire.com/collections/gcds" xr:uid="{CDB65BE5-8F73-445A-A99F-2E77606BCEA2}"/>
    <hyperlink ref="Q388" r:id="rId4443" display="https://www.cettire.com/collections/gcds-kids" xr:uid="{2DF8FCB3-C08D-4EC1-94A0-1179E4EBFD40}"/>
    <hyperlink ref="Q389" r:id="rId4444" display="https://www.cettire.com/collections/gedebe" xr:uid="{76A54339-D47F-4EB3-AD0B-3DC7A0D19009}"/>
    <hyperlink ref="Q390" r:id="rId4445" display="https://www.cettire.com/collections/gia-borghini" xr:uid="{32828D72-56B9-4CB2-94E5-B3D52B6B6DF3}"/>
    <hyperlink ref="Q391" r:id="rId4446" display="https://www.cettire.com/collections/giambattista-valli" xr:uid="{F438AB52-933B-4947-A8E7-F31657FAC488}"/>
    <hyperlink ref="Q392" r:id="rId4447" display="https://www.cettire.com/collections/giorgio-armani" xr:uid="{B2499124-AF9C-41E1-9C6B-2423CAF2F013}"/>
    <hyperlink ref="Q393" r:id="rId4448" display="https://www.cettire.com/collections/givenchy" xr:uid="{BA72CBE4-371E-4782-9A7F-464D763F0E45}"/>
    <hyperlink ref="Q394" r:id="rId4449" display="https://www.cettire.com/collections/givenchy-eyewear" xr:uid="{1707E924-3259-470D-98A0-8B5EC666C1ED}"/>
    <hyperlink ref="Q395" r:id="rId4450" display="https://www.cettire.com/collections/givenchy-kids" xr:uid="{E739353E-FB4F-4565-A4EC-93DF8D1764F6}"/>
    <hyperlink ref="Q396" r:id="rId4451" display="https://www.cettire.com/collections/golden-goose-deluxe-brand" xr:uid="{DD87F63F-F18D-4B77-94B9-BAEC0DAE40DE}"/>
    <hyperlink ref="Q397" r:id="rId4452" display="https://www.cettire.com/collections/golden-goose-kids" xr:uid="{DFF21D78-98B2-41DC-94B7-7B3DDF860303}"/>
    <hyperlink ref="Q398" r:id="rId4453" display="https://www.cettire.com/collections/greg-lauren" xr:uid="{A70A7AF5-DC01-47AD-B21D-4C29E0F5B446}"/>
    <hyperlink ref="Q399" r:id="rId4454" display="https://www.cettire.com/collections/grevi" xr:uid="{FC7ED018-371B-4B16-8061-C9689A9C62A3}"/>
    <hyperlink ref="Q400" r:id="rId4455" display="https://www.cettire.com/collections/gucci" xr:uid="{874D01B6-BD8A-4EF1-9744-9F9216D26EC1}"/>
    <hyperlink ref="Q401" r:id="rId4456" display="https://www.cettire.com/collections/gucci-eyewear" xr:uid="{619C0254-23C6-47A4-9F08-C3132A29E4AE}"/>
    <hyperlink ref="Q402" r:id="rId4457" display="https://www.cettire.com/collections/gucci-kids" xr:uid="{A6D16C56-2E28-4713-9AD7-FB7A10F5B11C}"/>
    <hyperlink ref="Q403" r:id="rId4458" display="https://www.cettire.com/collections/guidi" xr:uid="{30838D67-39D2-4D9A-A988-3CFE4A0A118C}"/>
    <hyperlink ref="Q405" r:id="rId4459" display="https://www.cettire.com/collections/haider-ackermann" xr:uid="{624241E7-B818-44CA-AA78-6FE598DA2412}"/>
    <hyperlink ref="Q406" r:id="rId4460" display="https://www.cettire.com/collections/harris-wharf-london" xr:uid="{0215B428-46FA-405C-A184-8E61C1CCFCC2}"/>
    <hyperlink ref="Q407" r:id="rId4461" display="https://www.cettire.com/collections/helmut-lang" xr:uid="{0B7BFE80-2C87-42F8-B18A-EC8AB2C1A018}"/>
    <hyperlink ref="Q408" r:id="rId4462" display="https://www.cettire.com/collections/hereu" xr:uid="{E9926BEA-663A-4B43-8B96-3EEEDEB51927}"/>
    <hyperlink ref="Q409" r:id="rId4463" display="https://www.cettire.com/collections/herno" xr:uid="{C21C2BA0-187F-44D3-AA89-73D4BA118C56}"/>
    <hyperlink ref="Q410" r:id="rId4464" display="https://www.cettire.com/collections/herno-kids" xr:uid="{846BAFFD-3125-4375-8CE6-496D58C7ECAF}"/>
    <hyperlink ref="Q411" r:id="rId4465" display="https://www.cettire.com/collections/heron-preston" xr:uid="{6E532230-65C6-4CE2-B633-ED285C44692E}"/>
    <hyperlink ref="Q412" r:id="rId4466" display="https://www.cettire.com/collections/herschel-supply-co" xr:uid="{B76E22A8-D1BA-41EC-8B8C-D59EDD64E89D}"/>
    <hyperlink ref="Q413" r:id="rId4467" display="https://www.cettire.com/collections/hogan" xr:uid="{563C7152-A842-4ADE-8E2B-E017F7496422}"/>
    <hyperlink ref="Q414" r:id="rId4468" display="https://www.cettire.com/collections/hogan-kids" xr:uid="{100B420B-7963-4D15-8239-3E13CE1F9A45}"/>
    <hyperlink ref="Q415" r:id="rId4469" display="https://www.cettire.com/collections/hogan-rebel" xr:uid="{E8E59FEB-4534-485E-87C7-69E76E0EA575}"/>
    <hyperlink ref="Q416" r:id="rId4470" display="https://www.cettire.com/collections/hoka-one-one" xr:uid="{5C8C3671-EBD2-4150-B067-E8D939C6719C}"/>
    <hyperlink ref="Q417" r:id="rId4471" display="https://www.cettire.com/collections/homme-plisse-issey-miyake" xr:uid="{CD51889D-9A0C-48C6-9205-BB34EB418F92}"/>
    <hyperlink ref="Q418" r:id="rId4472" display="https://www.cettire.com/collections/honey-fucking-dijon" xr:uid="{2A8C2E30-BE94-4492-8376-35ECABFF1526}"/>
    <hyperlink ref="Q419" r:id="rId4473" display="https://www.cettire.com/collections/howlin" xr:uid="{05096BFF-B3D9-4599-BB36-9656A6145BE5}"/>
    <hyperlink ref="Q420" r:id="rId4474" display="https://www.cettire.com/collections/hugo-boss-kids" xr:uid="{2B122CEF-EF4C-4C66-90B1-4564236393E9}"/>
    <hyperlink ref="Q422" r:id="rId4475" display="https://www.cettire.com/collections/ienki-ienki" xr:uid="{236D70C4-FB4D-4557-9227-EB2E85507D3B}"/>
    <hyperlink ref="Q423" r:id="rId4476" display="https://www.cettire.com/collections/ih-nom-uh-nit" xr:uid="{64391BF4-3860-472B-8987-DCCD7BA1D767}"/>
    <hyperlink ref="Q425" r:id="rId4477" display="https://www.cettire.com/collections/il-gufo" xr:uid="{C40DC83E-1FC1-41A1-8E61-453E86EE12AF}"/>
    <hyperlink ref="Q426" r:id="rId4478" display="https://www.cettire.com/collections/in-the-mood-for-love" xr:uid="{6E802C49-81D4-4231-9F0B-605A62E2345E}"/>
    <hyperlink ref="Q427" r:id="rId4479" display="https://www.cettire.com/collections/incotex" xr:uid="{5D11156F-F451-4AFD-B8C5-EE2C22FDC382}"/>
    <hyperlink ref="Q428" r:id="rId4480" display="https://www.cettire.com/collections/isabel-marant" xr:uid="{FFB33A8E-2010-46FB-9114-5FDED7FCD019}"/>
    <hyperlink ref="Q429" r:id="rId4481" display="https://www.cettire.com/collections/isabel-marant-etoile" xr:uid="{9FE61A79-B041-4C7A-966B-35D5628366B6}"/>
    <hyperlink ref="Q430" r:id="rId4482" display="https://www.cettire.com/collections/isaia" xr:uid="{21A8C772-5744-4F52-A059-F1B48326B2DC}"/>
    <hyperlink ref="Q431" r:id="rId4483" display="https://www.cettire.com/collections/issey-miyake" xr:uid="{13B68C0C-BE68-4C07-8F38-A12EA1E43802}"/>
    <hyperlink ref="Q432" r:id="rId4484" display="https://www.cettire.com/collections/issey-miyake-men" xr:uid="{7E13B8CD-B6FF-4CA5-86E4-985F59D7BB14}"/>
    <hyperlink ref="Q434" r:id="rId4485" display="https://www.cettire.com/collections/j-brand" xr:uid="{ED0BB20F-75F9-4066-B87E-9A211469DBD3}"/>
    <hyperlink ref="Q435" r:id="rId4486" display="https://www.cettire.com/collections/jacquemus" xr:uid="{158E242D-3514-4A14-B010-33DCBB082182}"/>
    <hyperlink ref="Q436" r:id="rId4487" display="https://www.cettire.com/collections/jacques-marie-mage" xr:uid="{5E8157D0-2209-4660-9E74-5CAD9C3D594F}"/>
    <hyperlink ref="Q437" r:id="rId4488" display="https://www.cettire.com/collections/jejia" xr:uid="{88F1E219-EEBB-4A18-B94C-07003889F872}"/>
    <hyperlink ref="Q438" r:id="rId4489" display="https://www.cettire.com/collections/jessie-western" xr:uid="{3505CA04-BD3A-4270-875C-1DDCC48B7768}"/>
    <hyperlink ref="Q439" r:id="rId4490" display="https://www.cettire.com/collections/jil-sander" xr:uid="{C66BFC8A-0EE4-40FB-955C-96B8566CA481}"/>
    <hyperlink ref="Q440" r:id="rId4491" display="https://www.cettire.com/collections/jimmy-choo" xr:uid="{AA7307D4-F228-43E5-B377-1F73101E6CB8}"/>
    <hyperlink ref="Q441" r:id="rId4492" display="https://www.cettire.com/collections/jimmy-choo-eyewear" xr:uid="{0F893743-A394-49E8-8C2B-3F93279174C9}"/>
    <hyperlink ref="Q442" r:id="rId4493" display="https://www.cettire.com/collections/john-elliott" xr:uid="{7E784A50-C606-4C8E-94E2-72B5C3801185}"/>
    <hyperlink ref="Q443" r:id="rId4494" display="https://www.cettire.com/collections/john-lobb" xr:uid="{5B210CF0-5DE7-4CE3-A2B0-D9E469A9677D}"/>
    <hyperlink ref="Q444" r:id="rId4495" display="https://www.cettire.com/collections/john-smedley" xr:uid="{241C8D4B-981B-4242-943B-B3582A3D68E3}"/>
    <hyperlink ref="Q445" r:id="rId4496" display="https://www.cettire.com/collections/junya-watanabe" xr:uid="{3FB7F770-18F3-46D0-ACEF-BC91FA9DF8FE}"/>
    <hyperlink ref="Q446" r:id="rId4497" display="https://www.cettire.com/collections/junya-watanabe-comme-des-garcons" xr:uid="{3573F133-55E7-4F0E-A5F1-690FD3B013BF}"/>
    <hyperlink ref="Q447" r:id="rId4498" display="https://www.cettire.com/collections/junya-watanabe-man" xr:uid="{2944BBBF-1AF7-4B1F-8236-99A70D7BEACD}"/>
    <hyperlink ref="Q448" r:id="rId4499" display="https://www.cettire.com/collections/just-don" xr:uid="{106471C7-A505-45A6-9C01-0FF19C34B04A}"/>
    <hyperlink ref="Q449" r:id="rId4500" display="https://www.cettire.com/collections/juun-j" xr:uid="{442CB88F-6012-4CFE-8813-5520A4915CDA}"/>
    <hyperlink ref="Q450" r:id="rId4501" display="https://www.cettire.com/collections/jw-anderson" xr:uid="{03E11365-3846-4BD9-8824-2ACD91383E35}"/>
    <hyperlink ref="Q452" r:id="rId4502" display="https://www.cettire.com/collections/k-way" xr:uid="{4FA01F45-BFC5-4847-A5B1-6D4EDCA4220E}"/>
    <hyperlink ref="Q453" r:id="rId4503" display="https://www.cettire.com/collections/kappa" xr:uid="{ADD1E269-3C45-48BD-8C9F-248560EC8B84}"/>
    <hyperlink ref="Q454" r:id="rId4504" display="https://www.cettire.com/collections/kappa-kontroll" xr:uid="{20A4AE35-F97B-429C-ADEF-734AD2B97E8D}"/>
    <hyperlink ref="Q455" r:id="rId4505" display="https://www.cettire.com/collections/kara" xr:uid="{AB20865E-E353-4BCE-BB20-D81AEB2B632A}"/>
    <hyperlink ref="Q456" r:id="rId4506" display="https://www.cettire.com/collections/karl-lagerfeld" xr:uid="{AA2EF66B-F214-4B0E-A859-3E79947F2A50}"/>
    <hyperlink ref="Q457" r:id="rId4507" display="https://www.cettire.com/collections/karl-lagerfeld-kids" xr:uid="{872D5406-C7A6-4E84-A5F0-2EB09CDC2AAE}"/>
    <hyperlink ref="Q458" r:id="rId4508" display="https://www.cettire.com/collections/kenzo" xr:uid="{C7D3F522-F1E5-4325-B14C-186C90347BEF}"/>
    <hyperlink ref="Q459" r:id="rId4509" display="https://www.cettire.com/collections/kenzo-kids" xr:uid="{01F780ED-EF6E-4605-BB45-5BD218066672}"/>
    <hyperlink ref="Q460" r:id="rId4510" display="https://www.cettire.com/collections/khaite" xr:uid="{31C2107D-92DD-471D-B086-D895A9618877}"/>
    <hyperlink ref="Q461" r:id="rId4511" display="https://www.cettire.com/collections/khrisjoy" xr:uid="{1E7E9B16-F27E-47DA-9DD3-A4D8C3545734}"/>
    <hyperlink ref="Q462" r:id="rId4512" display="https://www.cettire.com/collections/khrisjoy-kids" xr:uid="{9A0953F6-98B7-4688-A693-DDA202F4FD4B}"/>
    <hyperlink ref="Q464" r:id="rId4513" display="https://www.cettire.com/collections/kwaidan-editions" xr:uid="{0C378D59-5ECE-4517-9FB9-581C18BA2A67}"/>
    <hyperlink ref="Q467" r:id="rId4514" display="https://www.cettire.com/collections/lautre-chose" xr:uid="{6103D92D-9B91-4A2A-9E56-317553F1616B}"/>
    <hyperlink ref="Q468" r:id="rId4515" display="https://www.cettire.com/collections/la-doublej" xr:uid="{8D6BB812-E7EE-4EFC-B162-2CC47D0476DF}"/>
    <hyperlink ref="Q469" r:id="rId4516" display="https://www.cettire.com/collections/la-milanesa" xr:uid="{D428F44A-E26F-4058-A263-24D2E5ABEE4F}"/>
    <hyperlink ref="Q470" r:id="rId4517" display="https://www.cettire.com/collections/la-stupenderia" xr:uid="{471B2801-0BBF-4086-8BE3-161C35AFE708}"/>
    <hyperlink ref="Q471" r:id="rId4518" display="https://www.cettire.com/collections/laneus" xr:uid="{8747C53C-A40E-4A61-A3EC-3E815CFEC909}"/>
    <hyperlink ref="Q472" r:id="rId4519" display="https://www.cettire.com/collections/lanvin" xr:uid="{10B8929D-4B79-4D46-B6F8-376F23879493}"/>
    <hyperlink ref="Q473" r:id="rId4520" display="https://www.cettire.com/collections/lanvin-enfant" xr:uid="{BADADBC6-5253-41F8-8FA9-D01A7F0966C5}"/>
    <hyperlink ref="Q474" r:id="rId4521" display="https://www.cettire.com/collections/lauren-ralph-lauren" xr:uid="{BC16638A-F845-4AC7-8F0F-EBC972CAAA78}"/>
    <hyperlink ref="Q475" r:id="rId4522" display="https://www.cettire.com/collections/le beb%C3%A9 enfant" xr:uid="{6CA25888-045A-491C-9F7F-84BA301A707A}"/>
    <hyperlink ref="Q476" r:id="rId4523" display="https://www.cettire.com/collections/le-kasha" xr:uid="{7440FDE9-484F-4B7B-B2B1-4152E0E2B86F}"/>
    <hyperlink ref="Q477" r:id="rId4524" display="https://www.cettire.com/collections/lemaire" xr:uid="{7BB11263-B59B-4AF1-BC32-5FB142F07744}"/>
    <hyperlink ref="Q478" r:id="rId4525" display="https://www.cettire.com/collections/lesca" xr:uid="{A08EF5EA-8556-46CA-BA8F-64B0467FE517}"/>
    <hyperlink ref="Q479" r:id="rId4526" display="https://www.cettire.com/collections/levis" xr:uid="{BBD53A3E-197F-4040-B9EA-EBC5DEAAF484}"/>
    <hyperlink ref="Q480" r:id="rId4527" display="https://www.cettire.com/collections/li-ning" xr:uid="{5AB8ED82-FE39-4057-BDE8-47C94E19C0A8}"/>
    <hyperlink ref="Q481" r:id="rId4528" display="https://www.cettire.com/collections/linda-farrow" xr:uid="{16618BC3-E1A8-4D14-BA53-82BAA83A0950}"/>
    <hyperlink ref="Q482" r:id="rId4529" display="https://www.cettire.com/collections/lisa-marie-fernandez" xr:uid="{16256244-D105-4BB4-B7D8-6618C9257FB1}"/>
    <hyperlink ref="Q483" r:id="rId4530" display="https://www.cettire.com/collections/liu-jo" xr:uid="{4E9ED29D-F198-40CD-B6D3-939DDEAA41AD}"/>
    <hyperlink ref="Q484" r:id="rId4531" display="https://www.cettire.com/collections/loewe" xr:uid="{5A77C4D4-026E-44D3-87D1-3317B667E192}"/>
    <hyperlink ref="Q485" r:id="rId4532" display="https://www.cettire.com/collections/longchamp" xr:uid="{C7F616FB-C8F9-4562-BC67-53D1B367FD71}"/>
    <hyperlink ref="Q486" r:id="rId4533" display="https://www.cettire.com/collections/loro-piana" xr:uid="{16D798B9-1F2F-4651-96DB-8CA317652DB0}"/>
    <hyperlink ref="Q487" r:id="rId4534" display="https://www.cettire.com/collections/loulou-studio" xr:uid="{53ADC5C1-FC4E-4549-8877-9E450ADC322C}"/>
    <hyperlink ref="Q488" r:id="rId4535" display="https://www.cettire.com/collections/love-moschino" xr:uid="{243E7075-B0D2-4A16-8160-B5CC44374606}"/>
    <hyperlink ref="Q489" r:id="rId4536" display="https://www.cettire.com/collections/low-classic" xr:uid="{EDDB37BF-9175-4BF2-AFEB-93C3A0899DD5}"/>
    <hyperlink ref="Q491" r:id="rId4537" display="https://www.cettire.com/collections/m-missoni" xr:uid="{A71BB3B5-271A-42F7-BC6B-A47E0A320302}"/>
    <hyperlink ref="Q492" r:id="rId4538" display="https://www.cettire.com/collections/mackintosh" xr:uid="{397E37E3-BBEA-4422-B08B-5A546211D41E}"/>
    <hyperlink ref="Q493" r:id="rId4539" display="https://www.cettire.com/collections/magda-butrym" xr:uid="{CFB92741-57E1-4806-AB3C-AE6288A35AE8}"/>
    <hyperlink ref="Q494" r:id="rId4540" display="https://www.cettire.com/collections/maisie-wilen" xr:uid="{AE0638C0-A69A-44B9-99DD-FDA8093DEFD1}"/>
    <hyperlink ref="Q495" r:id="rId4541" display="https://www.cettire.com/collections/maison-kitsune" xr:uid="{799ED092-E263-4C91-9949-1C8893CA55D7}"/>
    <hyperlink ref="Q496" r:id="rId4542" display="https://www.cettire.com/collections/maison-margiela" xr:uid="{59FB8C87-AED3-42A5-B8F5-5AECD3E63447}"/>
    <hyperlink ref="Q497" r:id="rId4543" display="https://www.cettire.com/collections/maison-michel" xr:uid="{1486CCD1-1D90-4E3F-9ED8-82CDAAC97F25}"/>
    <hyperlink ref="Q498" r:id="rId4544" display="https://www.cettire.com/collections/majestic-filatures" xr:uid="{7DBCB624-16F8-4244-B683-CCDBF0D30A59}"/>
    <hyperlink ref="Q499" r:id="rId4545" display="https://www.cettire.com/collections/malone-souliers" xr:uid="{C547C23B-2E80-4279-B6C1-A14697FFDD37}"/>
    <hyperlink ref="Q500" r:id="rId4546" display="https://www.cettire.com/collections/manebi" xr:uid="{1D832DA8-BF44-4F95-936E-CA135E9AF205}"/>
    <hyperlink ref="Q501" r:id="rId4547" display="https://www.cettire.com/collections/manokhi" xr:uid="{54E42910-9D76-4255-BC74-D6BC16F906BA}"/>
    <hyperlink ref="Q502" r:id="rId4548" display="https://www.cettire.com/collections/manolo-blahnik" xr:uid="{DCA2E0B4-FE18-4BED-849A-4F34C15E82FF}"/>
    <hyperlink ref="Q503" r:id="rId4549" display="https://www.cettire.com/collections/mansur-gavriel" xr:uid="{64C3D7B8-BB6D-4866-8EF0-C0C85E3D0137}"/>
    <hyperlink ref="Q504" r:id="rId4550" display="https://www.cettire.com/collections/manu-atelier" xr:uid="{0142D12B-B1EA-4B29-80F5-238C2ACF5DDE}"/>
    <hyperlink ref="Q505" r:id="rId4551" display="https://www.cettire.com/collections/marc-jacobs" xr:uid="{053716A6-BDCA-41BD-ADE3-5D31698C4AD6}"/>
    <hyperlink ref="Q506" r:id="rId4552" display="https://www.cettire.com/collections/marc-jacobs-eyewear" xr:uid="{FC2555A4-C34A-44B5-B7E1-C8D7913B4A77}"/>
    <hyperlink ref="Q507" r:id="rId4553" display="https://www.cettire.com/collections/marcelo-burlon-county-of-milan" xr:uid="{0544600F-2C6C-484E-9793-90C25D0EC11E}"/>
    <hyperlink ref="Q508" r:id="rId4554" display="https://www.cettire.com/collections/marcelo-burlon-county-of-milan-kids" xr:uid="{00F87278-7063-427E-8FAD-76B34C22B2CA}"/>
    <hyperlink ref="Q510" r:id="rId4555" display="https://www.cettire.com/collections/marine-serre" xr:uid="{96E841FC-90FB-4C33-B461-9C3E3BD3AB48}"/>
    <hyperlink ref="Q511" r:id="rId4556" display="https://www.cettire.com/collections/marni" xr:uid="{1ABF0E88-CAB1-4EEA-B6F5-A982304F9E40}"/>
    <hyperlink ref="Q512" r:id="rId4557" display="https://www.cettire.com/collections/marni-eyewear" xr:uid="{37811A51-9730-41DC-8CA0-D38BD5605153}"/>
    <hyperlink ref="Q513" r:id="rId4558" display="https://www.cettire.com/collections/marni-kids" xr:uid="{433EA064-6E8C-4A5A-8CD3-01AD856E53DB}"/>
    <hyperlink ref="Q514" r:id="rId4559" display="https://www.cettire.com/collections/marquesalmeida" xr:uid="{33C53E02-E930-4C20-AAA9-661E973B2082}"/>
    <hyperlink ref="Q515" r:id="rId4560" display="https://www.cettire.com/collections/marsell" xr:uid="{B9ED99DC-3657-4CB6-B79B-D064E961348D}"/>
    <hyperlink ref="Q516" r:id="rId4561" display="https://www.cettire.com/collections/martine-rose" xr:uid="{4EAC9046-0361-45C1-879E-15FBD040AD19}"/>
    <hyperlink ref="Q517" r:id="rId4562" display="https://www.cettire.com/collections/mastermind-world" xr:uid="{5045B017-ECA0-4606-83BC-B85EE2ECE039}"/>
    <hyperlink ref="Q518" r:id="rId4563" display="https://www.cettire.com/collections/materiel" xr:uid="{2E5A25A1-682C-4ADB-8396-F1931D1726C6}"/>
    <hyperlink ref="Q519" r:id="rId4564" display="https://www.cettire.com/collections/mauna-kea" xr:uid="{98C8DBC9-34EC-4BE0-BA34-7F10EA22725B}"/>
    <hyperlink ref="Q520" r:id="rId4565" display="https://www.cettire.com/collections/maurizio-miri" xr:uid="{0B7125B5-A209-4D50-8ABB-B34AC65E4CA6}"/>
    <hyperlink ref="Q521" r:id="rId4566" display="https://www.cettire.com/collections/max-mara" xr:uid="{4FCFEB55-7083-4489-8AA1-272C48305A54}"/>
    <hyperlink ref="Q522" r:id="rId4567" display="https://www.cettire.com/collections/max-mara-atelier" xr:uid="{D341FA3C-5250-4FA5-9C54-785419EB7302}"/>
    <hyperlink ref="Q523" r:id="rId4568" display="https://www.cettire.com/collections/max-mara-pianoforte" xr:uid="{BFA4C095-7147-4552-BB64-731253DD8081}"/>
    <hyperlink ref="Q524" r:id="rId4569" display="https://www.cettire.com/collections/max-mara-studio" xr:uid="{EC9CEBD7-5AFF-442C-843E-CBAD5F6FA559}"/>
    <hyperlink ref="Q525" r:id="rId4570" display="https://www.cettire.com/collections/max-mara-the-cube" xr:uid="{C847610B-44F7-44B5-807B-01CE67F1AA18}"/>
    <hyperlink ref="Q526" r:id="rId4571" display="https://www.cettire.com/collections/mc2-saint-barth" xr:uid="{8396D616-EB12-4539-905C-1448C31D30A0}"/>
    <hyperlink ref="Q527" r:id="rId4572" display="https://www.cettire.com/collections/mc2-saint-barth-kids" xr:uid="{229E0311-438D-459C-A5DC-FB8639BED5B2}"/>
    <hyperlink ref="Q528" r:id="rId4573" display="https://www.cettire.com/collections/mcm" xr:uid="{964571DA-6C19-4293-9C79-4FADB1385E00}"/>
    <hyperlink ref="Q529" r:id="rId4574" display="https://www.cettire.com/collections/mcq-alexander-mcqueen" xr:uid="{63AF1F7C-48FB-4E55-BA86-D810E26E42BB}"/>
    <hyperlink ref="Q530" r:id="rId4575" display="https://www.cettire.com/collections/michael-kors" xr:uid="{C880678D-EF5D-4768-8C12-A7A888B15A8D}"/>
    <hyperlink ref="Q531" r:id="rId4576" display="https://www.cettire.com/collections/michael-kors-collection" xr:uid="{3D22AFBB-2D43-45D7-942A-600ED2BCBDDA}"/>
    <hyperlink ref="Q532" r:id="rId4577" display="https://www.cettire.com/collections/michael-michael-kors" xr:uid="{535972D3-9BAA-4054-9A7D-DEFF31C2062E}"/>
    <hyperlink ref="Q533" r:id="rId4578" display="https://www.cettire.com/collections/midnight-00" xr:uid="{A090AE0F-1C9A-4896-B018-2BA87C34C232}"/>
    <hyperlink ref="Q534" r:id="rId4579" display="https://www.cettire.com/collections/mini-rodini" xr:uid="{5DB929C7-BDD0-40E8-967A-A58BA8929E7A}"/>
    <hyperlink ref="Q535" r:id="rId4580" display="https://www.cettire.com/collections/misbhv" xr:uid="{35EEE666-4912-4D31-A9EA-D9D5297B3EEC}"/>
    <hyperlink ref="Q536" r:id="rId4581" display="https://www.cettire.com/collections/missoni" xr:uid="{DA5E4B65-DA2D-484C-AE8B-7E41060F08F9}"/>
    <hyperlink ref="Q537" r:id="rId4582" display="https://www.cettire.com/collections/missoni-home" xr:uid="{73A004FB-00FA-4178-9256-D32250102E3F}"/>
    <hyperlink ref="Q538" r:id="rId4583" display="https://www.cettire.com/collections/missoni-mare" xr:uid="{E895FB84-8DD6-4D84-A992-718D860C4E3B}"/>
    <hyperlink ref="Q539" r:id="rId4584" display="https://www.cettire.com/collections/miu-miu" xr:uid="{8ED807D7-7136-4719-B1C6-4959A233ACE1}"/>
    <hyperlink ref="Q541" r:id="rId4585" display="https://www.cettire.com/collections/mjb-marc-jacques-burton" xr:uid="{E3802330-8BC4-46C6-9FAC-6A9875EB2701}"/>
    <hyperlink ref="Q542" r:id="rId4586" display="https://www.cettire.com/collections/mm6-maison-margiela" xr:uid="{97C89CB9-8A79-4B9E-94DC-33269EA0BC7E}"/>
    <hyperlink ref="Q543" r:id="rId4587" display="https://www.cettire.com/collections/mm6-maison-margiela-kids" xr:uid="{CB4A9931-4552-48DE-A71A-54B0576B1C8B}"/>
    <hyperlink ref="Q544" r:id="rId4588" display="https://www.cettire.com/collections/molo" xr:uid="{D4B58FEA-63D1-4429-A5E0-63747089BDD2}"/>
    <hyperlink ref="Q545" r:id="rId4589" display="https://www.cettire.com/collections/moncler" xr:uid="{B593C1D0-0B13-4230-AC62-0E4651D469D1}"/>
    <hyperlink ref="Q546" r:id="rId4590" display="https://www.cettire.com/collections/moncler-rick-owens" xr:uid="{CCDBF826-F332-41E9-8166-C313167F5F6D}"/>
    <hyperlink ref="Q547" r:id="rId4591" display="https://www.cettire.com/collections/moncler-enfant" xr:uid="{866587B0-3B36-4E46-AFB9-FFED54F2D67B}"/>
    <hyperlink ref="Q548" r:id="rId4592" display="https://www.cettire.com/collections/moncler-eyewear" xr:uid="{DFA8340F-8514-4583-B335-6E4C1C787477}"/>
    <hyperlink ref="Q550" r:id="rId4593" display="https://www.cettire.com/collections/moncler-genius" xr:uid="{C9032390-408D-43D3-8BFC-AF4E67E777B7}"/>
    <hyperlink ref="Q551" r:id="rId4594" display="https://www.cettire.com/collections/moncler-grenoble" xr:uid="{D689EFF6-B95E-4F7C-AEFA-C6389A1CDE65}"/>
    <hyperlink ref="Q552" r:id="rId4595" display="https://www.cettire.com/collections/monnalisa" xr:uid="{41569CB5-1C5D-46CF-8192-9CB38D0D937B}"/>
    <hyperlink ref="Q553" r:id="rId4596" display="https://www.cettire.com/collections/montblanc" xr:uid="{66AC970E-ED81-46D2-8E60-EF46C9F881AA}"/>
    <hyperlink ref="Q554" r:id="rId4597" display="https://www.cettire.com/collections/moose-knuckles" xr:uid="{98FBFC3F-2709-4793-B2B0-68D5DEA11A5A}"/>
    <hyperlink ref="Q555" r:id="rId4598" display="https://www.cettire.com/collections/moschino" xr:uid="{500D4C29-8857-48B0-A7AB-93556E2A4817}"/>
    <hyperlink ref="Q556" r:id="rId4599" display="https://www.cettire.com/collections/moschino-eyewear" xr:uid="{D6D23FF5-E934-4A66-B8C1-5E0E119DD374}"/>
    <hyperlink ref="Q557" r:id="rId4600" display="https://www.cettire.com/collections/moschino-kids" xr:uid="{4FDE33F3-EE24-44F1-9284-A8102BF6DD5C}"/>
    <hyperlink ref="Q559" r:id="rId4601" display="https://www.cettire.com/collections/mother" xr:uid="{3FC54560-F39A-4C9A-9DE0-16FE70E4D5A0}"/>
    <hyperlink ref="Q560" r:id="rId4602" display="https://www.cettire.com/collections/mou-kids" xr:uid="{4CCAB094-7F95-4BD2-B6B4-6B8B7E5742CC}"/>
    <hyperlink ref="Q561" r:id="rId4603" display="https://www.cettire.com/collections/msgm" xr:uid="{294B3448-323B-47A9-9E05-A91FFDA6752E}"/>
    <hyperlink ref="Q562" r:id="rId4604" display="https://www.cettire.com/collections/msgm-kids" xr:uid="{36EAC08D-68F8-4DAC-A24E-9AB048E2EEFA}"/>
    <hyperlink ref="Q563" r:id="rId4605" display="https://www.cettire.com/collections/mulberry" xr:uid="{98685EBD-5349-491C-9168-43D3FB0E1FFE}"/>
    <hyperlink ref="Q564" r:id="rId4606" display="https://www.cettire.com/collections/mykita" xr:uid="{1E6B7DDA-6320-4200-BEE4-E6E357471F48}"/>
    <hyperlink ref="Q566" r:id="rId4607" display="https://www.cettire.com/collections/n-21" xr:uid="{8E855B86-B76E-4DC0-92BE-86896B2C063D}"/>
    <hyperlink ref="Q567" r:id="rId4608" display="https://www.cettire.com/collections/n-21-kids" xr:uid="{A0E36770-5D2A-4344-9A6F-9D6F246670F2}"/>
    <hyperlink ref="Q568" r:id="rId4609" display="https://www.cettire.com/collections/nana-nana" xr:uid="{62B4951D-9742-4655-B34E-581C4B24F1ED}"/>
    <hyperlink ref="Q569" r:id="rId4610" display="https://www.cettire.com/collections/nanushka" xr:uid="{389058AB-39F6-4DF6-85CE-544A355B092B}"/>
    <hyperlink ref="Q570" r:id="rId4611" display="https://www.cettire.com/collections/napa-by-martine-rose" xr:uid="{AE1E2526-124D-4D67-8686-C3731BA75450}"/>
    <hyperlink ref="Q571" r:id="rId4612" display="https://www.cettire.com/collections/natasha-zinko" xr:uid="{22E7F052-4DA0-4816-B224-59E63F4F7945}"/>
    <hyperlink ref="Q572" r:id="rId4613" display="https://www.cettire.com/collections/needles" xr:uid="{88E1BD56-8C5F-40F5-B0EA-0AB3C25F1FDF}"/>
    <hyperlink ref="Q573" r:id="rId4614" display="https://www.cettire.com/collections/neil-barrett" xr:uid="{BD692CA1-8C57-49EE-8D5A-144B6C62A45B}"/>
    <hyperlink ref="Q574" r:id="rId4615" display="https://www.cettire.com/collections/neil-barrett-kids" xr:uid="{228FC7E5-7BDC-47BB-966A-2DEBDCE0312A}"/>
    <hyperlink ref="Q575" r:id="rId4616" display="https://www.cettire.com/collections/neous" xr:uid="{7609541D-55DC-492D-8814-B35A799BBAA2}"/>
    <hyperlink ref="Q577" r:id="rId4617" display="https://www.cettire.com/collections/new-york-industrie" xr:uid="{8CAC666F-8A11-451A-841B-7337D9F5B44F}"/>
    <hyperlink ref="Q578" r:id="rId4618" display="https://www.cettire.com/collections/nicholas-kirkwood" xr:uid="{A377738B-561B-4E01-B329-477A85B221CE}"/>
    <hyperlink ref="Q579" r:id="rId4619" display="https://www.cettire.com/collections/nicomede" xr:uid="{A5BEF92F-6B69-4CF6-A0B2-803F0963DB4C}"/>
    <hyperlink ref="Q580" r:id="rId4620" display="https://www.cettire.com/collections/nike" xr:uid="{69D5AF32-EA0D-47F9-896B-4CD96CC32127}"/>
    <hyperlink ref="Q581" r:id="rId4621" display="https://www.cettire.com/collections/nodaleto" xr:uid="{6820B0D2-6F3C-4FC2-92B5-11167D6BFD6A}"/>
    <hyperlink ref="Q582" r:id="rId4622" display="https://www.cettire.com/collections/noir-kei-ninomiya" xr:uid="{6F10F03D-6C5B-46CF-8647-DE23532034C9}"/>
    <hyperlink ref="Q583" r:id="rId4623" display="https://www.cettire.com/collections/noon-goons" xr:uid="{27AE6C24-9846-45FA-B5FE-662D9F0DE75E}"/>
    <hyperlink ref="Q584" r:id="rId4624" display="https://www.cettire.com/collections/norse-projects" xr:uid="{04E9C687-02FF-4BD1-A039-4666919EC9C6}"/>
    <hyperlink ref="Q585" r:id="rId4625" display="https://www.cettire.com/collections/north-sails-x-prada-cup" xr:uid="{70BEB04C-DB95-4ACC-BAC6-A7BEB3211B7A}"/>
    <hyperlink ref="Q586" r:id="rId4626" display="https://www.cettire.com/collections/nudie-jeans" xr:uid="{DF23338E-4E2D-4173-8DEC-143B4100FAE5}"/>
    <hyperlink ref="Q588" r:id="rId4627" display="https://www.cettire.com/collections/oakley" xr:uid="{E4B115A1-E9B0-422D-B3B1-6E445FB760CB}"/>
    <hyperlink ref="Q589" r:id="rId4628" display="https://www.cettire.com/collections/oamc" xr:uid="{13969641-7F5C-411B-8246-BDAABF7CA9D3}"/>
    <hyperlink ref="Q590" r:id="rId4629" display="https://www.cettire.com/collections/off-white" xr:uid="{424015B4-B3FE-41D4-BB93-054C36C44113}"/>
    <hyperlink ref="Q591" r:id="rId4630" display="https://www.cettire.com/collections/off-white-kids" xr:uid="{E756CF3E-F5FE-4AC2-9C6C-50461774EA82}"/>
    <hyperlink ref="Q592" r:id="rId4631" display="https://www.cettire.com/collections/officine-creative" xr:uid="{979516D7-2687-48D9-83E5-245C2A4B0DC1}"/>
    <hyperlink ref="Q593" r:id="rId4632" display="https://www.cettire.com/collections/oliver-peoples" xr:uid="{EF89B6AD-3C4F-4B2C-98BC-67C55CB96C98}"/>
    <hyperlink ref="Q594" r:id="rId4633" display="https://www.cettire.com/collections/opening-ceremony" xr:uid="{11443967-7919-441C-B7C6-B63A49585945}"/>
    <hyperlink ref="Q595" r:id="rId4634" display="https://www.cettire.com/collections/oseree" xr:uid="{FAC3AF1A-EEBA-4D87-A0FC-FEA280F36726}"/>
    <hyperlink ref="Q596" r:id="rId4635" display="https://www.cettire.com/collections/osoi" xr:uid="{CEF9122A-B77C-4F03-916D-65E3A3C3502D}"/>
    <hyperlink ref="Q597" r:id="rId4636" display="https://www.cettire.com/collections/our-legacy" xr:uid="{EFC083B3-CFD5-4025-9CEF-3C596C93E24D}"/>
    <hyperlink ref="Q599" r:id="rId4637" display="https://www.cettire.com/collections/p-a-r-o-s-h" xr:uid="{F46789C4-BF64-48E1-A6A1-51007BB27BF5}"/>
    <hyperlink ref="Q600" r:id="rId4638" display="https://www.cettire.com/collections/paccbet" xr:uid="{14E70721-1491-475B-BB9D-758AC882035B}"/>
    <hyperlink ref="Q601" r:id="rId4639" display="https://www.cettire.com/collections/paco-rabanne" xr:uid="{E5F53126-423F-47B4-9841-72318142F2AC}"/>
    <hyperlink ref="Q602" r:id="rId4640" display="https://www.cettire.com/collections/palm-angels" xr:uid="{397253DD-BB1D-493A-B660-BD751FDB2513}"/>
    <hyperlink ref="Q603" r:id="rId4641" display="https://www.cettire.com/collections/palm-angels-kids" xr:uid="{FDED3E5E-E098-4834-B649-7D5053647C86}"/>
    <hyperlink ref="Q604" r:id="rId4642" display="https://www.cettire.com/collections/paraboot" xr:uid="{5B56C534-48A3-4A27-98D7-6858F9EBB764}"/>
    <hyperlink ref="Q605" r:id="rId4643" display="https://www.cettire.com/collections/parajumpers" xr:uid="{D97A85B8-F3E0-4791-995F-2E3C9DA7250B}"/>
    <hyperlink ref="Q606" r:id="rId4644" display="https://www.cettire.com/collections/paris-texas" xr:uid="{CA099495-1BCA-4B5E-B201-F5BAFC08113F}"/>
    <hyperlink ref="Q607" r:id="rId4645" display="https://www.cettire.com/collections/paul-smith" xr:uid="{530D8D14-A09A-4BC0-A09F-B281A42C6446}"/>
    <hyperlink ref="Q608" r:id="rId4646" display="https://www.cettire.com/collections/paura-x-kappa" xr:uid="{ACB18358-E187-46DD-A5DA-7038B85A0DA6}"/>
    <hyperlink ref="Q609" r:id="rId4647" display="https://www.cettire.com/collections/persol" xr:uid="{AC7D9EE6-2A02-4781-8E1B-031160B5416F}"/>
    <hyperlink ref="Q610" r:id="rId4648" display="https://www.cettire.com/collections/philipp-plein" xr:uid="{250998DF-5D69-4141-8580-5E1326D7BF11}"/>
    <hyperlink ref="Q611" r:id="rId4649" display="https://www.cettire.com/collections/philipp-plein-junior" xr:uid="{807AC4E2-CF9B-4CCA-8FF8-C7DC913B18A3}"/>
    <hyperlink ref="Q612" r:id="rId4650" display="https://www.cettire.com/collections/philippe-model" xr:uid="{803E079D-F1C3-4C00-8C23-0A1EF706D3C5}"/>
    <hyperlink ref="Q613" r:id="rId4651" display="https://www.cettire.com/collections/philippe-model-paris" xr:uid="{029947DC-9BD9-46C3-9233-50C9D22852EE}"/>
    <hyperlink ref="Q614" r:id="rId4652" display="https://www.cettire.com/collections/philosophy-di-lorenzo-serafini" xr:uid="{4FEAC72E-2368-487C-B7EA-38BAD0AD25D6}"/>
    <hyperlink ref="Q615" r:id="rId4653" display="https://www.cettire.com/collections/philosophy-di-lorenzo-serafini-kids" xr:uid="{CCFA1AD0-3C3D-4D0D-AF67-73D0CAFA3E59}"/>
    <hyperlink ref="Q616" r:id="rId4654" display="https://www.cettire.com/collections/pierre-hardy" xr:uid="{C14CC273-279E-48B9-8E84-EC840C1BFC1B}"/>
    <hyperlink ref="Q617" r:id="rId4655" display="https://www.cettire.com/collections/pierre-louis-mascia" xr:uid="{724394FA-A4F0-470D-BAF1-CF7CFAED8ED9}"/>
    <hyperlink ref="Q618" r:id="rId4656" display="https://www.cettire.com/collections/pinko" xr:uid="{19FBEF8F-5D7E-4C12-8CBB-EBC4CE90BC85}"/>
    <hyperlink ref="Q619" r:id="rId4657" display="https://www.cettire.com/collections/plan-c" xr:uid="{5FCB1C11-DEDB-450B-A6E1-CE083A9F1554}"/>
    <hyperlink ref="Q620" r:id="rId4658" display="https://www.cettire.com/collections/pleats-please-by-issey-miyake" xr:uid="{05743CF1-1A2F-4FD6-BC90-8B52A74886E9}"/>
    <hyperlink ref="Q621" r:id="rId4659" display="https://www.cettire.com/collections/polo-ralph-lauren" xr:uid="{3CEA2746-FD7C-4A54-BA0F-A03CC6AAA572}"/>
    <hyperlink ref="Q623" r:id="rId4660" display="https://www.cettire.com/collections/porter-yoshida-co" xr:uid="{5AFFFD94-E5E6-4941-8E99-70367FB4FB8B}"/>
    <hyperlink ref="Q624" r:id="rId4661" display="https://www.cettire.com/collections/ports-1961" xr:uid="{D9EAA07B-79BA-4A42-BD06-2D532AC86E81}"/>
    <hyperlink ref="Q625" r:id="rId4662" display="https://www.cettire.com/collections/prada" xr:uid="{2AED488D-BAF1-4A41-BFCD-4AF6F4FE1A19}"/>
    <hyperlink ref="Q626" r:id="rId4663" display="https://www.cettire.com/collections/prada-eyewear" xr:uid="{A46FF69A-04B6-45DA-BEC2-BDB0CCA396C6}"/>
    <hyperlink ref="Q627" r:id="rId4664" display="https://www.cettire.com/collections/premiata" xr:uid="{94F7B11B-25B4-4984-8FA7-89C4011E9678}"/>
    <hyperlink ref="Q628" r:id="rId4665" display="https://www.cettire.com/collections/pressure" xr:uid="{42D84D0B-2045-4498-A31E-44B5623E8E38}"/>
    <hyperlink ref="Q629" r:id="rId4666" display="https://www.cettire.com/collections/proenza-schouler" xr:uid="{946AF600-BF10-40A5-8D5C-26BD0F8E4494}"/>
    <hyperlink ref="Q630" r:id="rId4667" display="https://www.cettire.com/collections/proenza-schouler-white-label" xr:uid="{F023E314-2FDD-4FB1-B6BB-4C1BA4C1C860}"/>
    <hyperlink ref="Q631" r:id="rId4668" display="https://www.cettire.com/collections/pt-torino" xr:uid="{2A22E045-4D40-4017-9E8A-C37C5F3363BB}"/>
    <hyperlink ref="Q632" r:id="rId4669" display="https://www.cettire.com/collections/pt01" xr:uid="{F3AAEF14-F7CA-4647-9280-CE99E8817FF6}"/>
    <hyperlink ref="Q633" r:id="rId4670" display="https://www.cettire.com/collections/pt05" xr:uid="{2716E824-EA4D-476E-81CF-FDE51C5ECBF1}"/>
    <hyperlink ref="Q634" r:id="rId4671" display="https://www.cettire.com/collections/puma" xr:uid="{0349DC33-1955-4CD6-84EF-9A0A74E4CA29}"/>
    <hyperlink ref="Q636" r:id="rId4672" display="https://www.cettire.com/collections/r-m-williams" xr:uid="{481FAA1F-0908-4F80-8E02-1E282A237670}"/>
    <hyperlink ref="Q637" r:id="rId4673" display="https://www.cettire.com/collections/r13" xr:uid="{C43C6362-A7F5-4659-B9F0-9DF25A01BCF5}"/>
    <hyperlink ref="Q638" r:id="rId4674" display="https://www.cettire.com/collections/raf-simons" xr:uid="{E5EE9402-2F9F-4207-AED1-01D130E078E1}"/>
    <hyperlink ref="Q639" r:id="rId4675" display="https://www.cettire.com/collections/rag-bone" xr:uid="{78DE3E58-3793-4CDB-98D6-B302E8BEDC83}"/>
    <hyperlink ref="Q640" r:id="rId4676" display="https://www.cettire.com/collections/ralph-lauren" xr:uid="{BCDC4801-8300-46EC-87AB-FC2AA270FF8C}"/>
    <hyperlink ref="Q641" r:id="rId4677" display="https://www.cettire.com/collections/ralph-lauren-kids" xr:uid="{42E8E899-EF17-4765-94F1-6D717C023429}"/>
    <hyperlink ref="Q642" r:id="rId4678" display="https://www.cettire.com/collections/rave-review" xr:uid="{A5569325-EF40-48CD-BBE4-BB7844A6F3B1}"/>
    <hyperlink ref="Q643" r:id="rId4679" display="https://www.cettire.com/collections/ray-ban" xr:uid="{E43B83A5-F6C4-45CE-B1A4-275C5AD3E57D}"/>
    <hyperlink ref="Q644" r:id="rId4680" display="https://www.cettire.com/collections/re-done" xr:uid="{D8E5546A-D29E-4F63-B194-217689E8EF53}"/>
    <hyperlink ref="Q645" r:id="rId4681" display="https://www.cettire.com/collections/readymade" xr:uid="{305FE68E-0091-47D6-81F3-2BFED77D1D80}"/>
    <hyperlink ref="Q646" r:id="rId4682" display="https://www.cettire.com/collections/rebecca-minkoff" xr:uid="{99AFFD8E-67CA-4E75-B92C-FEAF1CB46235}"/>
    <hyperlink ref="Q647" r:id="rId4683" display="https://www.cettire.com/collections/red-valentino" xr:uid="{1DFB1D9E-3499-40DF-A5E7-E8A5D16BCDF4}"/>
    <hyperlink ref="Q648" r:id="rId4684" display="https://www.cettire.com/collections/red-wing-shoes" xr:uid="{FF9EDF02-2D78-41F3-8274-3841BE86BA92}"/>
    <hyperlink ref="Q649" r:id="rId4685" display="https://www.cettire.com/collections/reebok" xr:uid="{F2AEAAE9-8DC5-4FE9-909E-B5F3222FE97E}"/>
    <hyperlink ref="Q650" r:id="rId4686" display="https://www.cettire.com/collections/reebok-x-victoria-beckham" xr:uid="{51A1B92C-CD6C-46FF-B413-236C6436CBCB}"/>
    <hyperlink ref="Q651" r:id="rId4687" display="https://www.cettire.com/collections/reike-nen" xr:uid="{E0A683D4-E3C7-4287-A2E9-0344D1507A99}"/>
    <hyperlink ref="Q652" r:id="rId4688" display="https://www.cettire.com/collections/rejina-pyo" xr:uid="{4FB2C4E7-A124-4F10-8D29-AAADFB9AC392}"/>
    <hyperlink ref="Q653" r:id="rId4689" display="https://www.cettire.com/collections/rene-caovilla" xr:uid="{A30F7723-33A1-49E1-8ED2-50E037CD0B97}"/>
    <hyperlink ref="Q654" r:id="rId4690" display="https://www.cettire.com/collections/represent" xr:uid="{8EDF2F98-0058-4EC9-955A-5680C1F255DF}"/>
    <hyperlink ref="Q655" r:id="rId4691" display="https://www.cettire.com/collections/retrosuperfuture" xr:uid="{6F951314-2E8F-4B17-8965-A98FC044CD0A}"/>
    <hyperlink ref="Q656" r:id="rId4692" display="https://www.cettire.com/collections/rhude" xr:uid="{8931A59C-27BE-42EE-BCDE-1EDB92809897}"/>
    <hyperlink ref="Q657" r:id="rId4693" display="https://www.cettire.com/collections/rick-owens" xr:uid="{AFC936AB-8174-4986-8D00-E15EA04D6D91}"/>
    <hyperlink ref="Q658" r:id="rId4694" display="https://www.cettire.com/collections/rick-owens-drkshdw" xr:uid="{099ED9BE-47B7-491A-88AE-2172DC6FBE21}"/>
    <hyperlink ref="Q660" r:id="rId4695" display="https://www.cettire.com/collections/rick-owens-x-birkenstock" xr:uid="{873300D8-ADEE-45BE-8FF3-631B3028D129}"/>
    <hyperlink ref="Q661" r:id="rId4696" display="https://www.cettire.com/collections/rick-owens-x-veja" xr:uid="{2CF4187D-D8B8-4047-8ADD-88D65543E6DF}"/>
    <hyperlink ref="Q662" r:id="rId4697" display="https://www.cettire.com/collections/rixo" xr:uid="{3A833DD9-A727-4CCF-9DDB-BDA17F4D3550}"/>
    <hyperlink ref="Q663" r:id="rId4698" display="https://www.cettire.com/collections/robert-clergerie" xr:uid="{2D48BD2F-C27C-4F43-BED5-5525BEC4F687}"/>
    <hyperlink ref="Q664" r:id="rId4699" display="https://www.cettire.com/collections/roberto-collina" xr:uid="{22AD52E1-C255-4E6C-91AF-8266897812ED}"/>
    <hyperlink ref="Q665" r:id="rId4700" display="https://www.cettire.com/collections/rochas" xr:uid="{1C98547B-8388-4F09-A4FC-55AC65D7CE06}"/>
    <hyperlink ref="Q666" r:id="rId4701" display="https://www.cettire.com/collections/rodebjer" xr:uid="{3F5073A7-3165-4F47-BC8C-CDA776BDAB05}"/>
    <hyperlink ref="Q667" r:id="rId4702" display="https://www.cettire.com/collections/roger-vivier" xr:uid="{8350D19E-F781-4AEF-90B8-EB395C652FBA}"/>
    <hyperlink ref="Q668" r:id="rId4703" display="https://www.cettire.com/collections/rombaut" xr:uid="{80A0B566-4041-4D98-9A54-22D52C19E6A6}"/>
    <hyperlink ref="Q669" r:id="rId4704" display="https://www.cettire.com/collections/rosantica" xr:uid="{3B89BBCD-0389-4378-A6C7-1E285FE59EBE}"/>
    <hyperlink ref="Q670" r:id="rId4705" display="https://www.cettire.com/collections/rotate" xr:uid="{2EDDFEC3-99F1-48BE-B304-8509D79A6F50}"/>
    <hyperlink ref="Q671" r:id="rId4706" display="https://www.cettire.com/collections/ruslan-baginskiy" xr:uid="{BBBE31FE-AA29-4C65-9F93-AA7A55023276}"/>
    <hyperlink ref="Q673" r:id="rId4707" display="https://www.cettire.com/collections/sacai" xr:uid="{FF9ADE61-1F66-4E3E-AA98-C0E16DB0A347}"/>
    <hyperlink ref="Q674" r:id="rId4708" display="https://www.cettire.com/collections/saint-laurent" xr:uid="{9F45862E-EB19-45F8-A9A4-C099D3BD7FFC}"/>
    <hyperlink ref="Q675" r:id="rId4709" display="https://www.cettire.com/collections/saint-laurent-eyewear" xr:uid="{E5201F8B-3C25-41C2-A2B8-7E9C627FE911}"/>
    <hyperlink ref="Q676" r:id="rId4710" display="https://www.cettire.com/collections/saks-potts" xr:uid="{0620F2F3-2E30-40AC-9AEA-20D5FF3C287D}"/>
    <hyperlink ref="Q677" r:id="rId4711" display="https://www.cettire.com/collections/salomon-s-lab" xr:uid="{A291282A-C755-44C4-A99E-B55FA960F08C}"/>
    <hyperlink ref="Q678" r:id="rId4712" display="https://www.cettire.com/collections/saloni" xr:uid="{4A5814B1-1C65-44EB-8C0D-97B38E2C0EEB}"/>
    <hyperlink ref="Q679" r:id="rId4713" display="https://www.cettire.com/collections/salvatore-ferragamo" xr:uid="{782F2430-70A3-4666-80DD-848865293943}"/>
    <hyperlink ref="Q680" r:id="rId4714" display="https://www.cettire.com/collections/salvatore-ferragamo-eyewear" xr:uid="{D7D9A557-9571-4544-A400-34A740B67A62}"/>
    <hyperlink ref="Q682" r:id="rId4715" display="https://www.cettire.com/collections/santoni" xr:uid="{14819EC1-3747-4E46-89C5-4F68A1E358F6}"/>
    <hyperlink ref="Q683" r:id="rId4716" display="https://www.cettire.com/collections/sara-battaglia" xr:uid="{ED0C680E-E663-4B7C-B206-6D2A305D03EE}"/>
    <hyperlink ref="Q684" r:id="rId4717" display="https://www.cettire.com/collections/save-the-duck" xr:uid="{077B8630-3D6D-4932-A56D-EB5CB172DDFF}"/>
    <hyperlink ref="Q685" r:id="rId4718" display="https://www.cettire.com/collections/save-the-duck-kids" xr:uid="{448407DB-14B9-4E08-A722-AFF08B855DF6}"/>
    <hyperlink ref="Q686" r:id="rId4719" display="https://www.cettire.com/collections/see-by-chloe" xr:uid="{8BB66C09-F1CD-4928-A402-20EEAF78FE76}"/>
    <hyperlink ref="Q687" r:id="rId4720" display="https://www.cettire.com/collections/self-portrait" xr:uid="{8F9F3899-FF8B-45B4-A26F-FFA9C8F097C0}"/>
    <hyperlink ref="Q688" r:id="rId4721" display="https://www.cettire.com/collections/sergio-rossi" xr:uid="{69ABD906-97E2-428C-8A52-12EE9B0FD6B4}"/>
    <hyperlink ref="Q689" r:id="rId4722" display="https://www.cettire.com/collections/si-rossi" xr:uid="{A356323F-8FF9-4B18-B3F4-5308F7750938}"/>
    <hyperlink ref="Q690" r:id="rId4723" display="https://www.cettire.com/collections/sies-marjan" xr:uid="{74AD6FE2-AC6F-4E2E-8E59-B6BA32299E52}"/>
    <hyperlink ref="Q691" r:id="rId4724" display="https://www.cettire.com/collections/simon-miller" xr:uid="{77E2764F-D173-4D92-94E9-2ABC3BAF19B5}"/>
    <hyperlink ref="Q692" r:id="rId4725" display="https://www.cettire.com/collections/simone-rocha" xr:uid="{8590EB81-5960-48B2-AF12-FA89E8441DD8}"/>
    <hyperlink ref="Q693" r:id="rId4726" display="https://www.cettire.com/collections/simonetta" xr:uid="{DBDF6F17-70CF-4C96-A2C2-D323D62BF68D}"/>
    <hyperlink ref="Q694" r:id="rId4727" display="https://www.cettire.com/collections/sofie-dhoore" xr:uid="{BA521558-49A7-4511-8E49-1BE083AE8BE4}"/>
    <hyperlink ref="Q695" r:id="rId4728" display="https://www.cettire.com/collections/sonia-rykiel" xr:uid="{C9E927E4-E9E3-4BD0-9C22-4EB30EE6BB5E}"/>
    <hyperlink ref="Q696" r:id="rId4729" display="https://www.cettire.com/collections/spalwart" xr:uid="{8DC4F417-BF3D-4861-8AFF-E5AE46512F20}"/>
    <hyperlink ref="Q697" r:id="rId4730" display="https://www.cettire.com/collections/sportmax" xr:uid="{1ED5D444-DA14-468C-B51A-1C9E972B241A}"/>
    <hyperlink ref="Q698" r:id="rId4731" display="https://www.cettire.com/collections/sporty-rich" xr:uid="{AFB9772D-E974-4C4A-AE95-3A100D44B9E9}"/>
    <hyperlink ref="Q699" r:id="rId4732" display="https://www.cettire.com/collections/stand-studio" xr:uid="{24198CE1-305B-47D1-B355-A0CE1BE1497C}"/>
    <hyperlink ref="Q700" r:id="rId4733" display="https://www.cettire.com/collections/staud" xr:uid="{1CB0538A-73F5-465C-B705-E4F0242877C7}"/>
    <hyperlink ref="Q701" r:id="rId4734" display="https://www.cettire.com/collections/stella-mccartney" xr:uid="{DD4F7DCA-FC78-4F8A-98E7-8EFC7A6B71B8}"/>
    <hyperlink ref="Q702" r:id="rId4735" display="https://www.cettire.com/collections/stella-mccartney-eyewear" xr:uid="{D2B864A1-F88F-49D2-BF34-45D6A6A543C1}"/>
    <hyperlink ref="Q703" r:id="rId4736" display="https://www.cettire.com/collections/stella-mccartney-kids" xr:uid="{2B2BAD49-6433-4060-A35B-E77E161D3100}"/>
    <hyperlink ref="Q704" r:id="rId4737" display="https://www.cettire.com/collections/stone-island" xr:uid="{43340034-DEA2-4740-8E4C-620768B4F0E9}"/>
    <hyperlink ref="Q705" r:id="rId4738" display="https://www.cettire.com/collections/stone-island-junior" xr:uid="{3C41F46B-0AFF-459F-917B-53E9F84D3E93}"/>
    <hyperlink ref="Q706" r:id="rId4739" display="https://www.cettire.com/collections/stone-island-shadow-project" xr:uid="{4D56A07C-5706-433B-9A3C-ADF2E10F0687}"/>
    <hyperlink ref="Q707" r:id="rId4740" display="https://www.cettire.com/collections/stuart-weitzman" xr:uid="{DFE532D2-8649-402A-931A-A2A27420162B}"/>
    <hyperlink ref="Q708" r:id="rId4741" display="https://www.cettire.com/collections/studio-amelia" xr:uid="{DA04753D-C90C-4279-93BC-BCC7214E3832}"/>
    <hyperlink ref="Q709" r:id="rId4742" display="https://www.cettire.com/collections/stussy" xr:uid="{13C27D9D-BFD6-48CE-8468-EC7BF55FE125}"/>
    <hyperlink ref="Q710" r:id="rId4743" display="https://www.cettire.com/collections/suicoke" xr:uid="{EF007268-EFC4-4FEB-9B26-8C978854B1E5}"/>
    <hyperlink ref="Q711" r:id="rId4744" display="https://www.cettire.com/collections/sunflower" xr:uid="{7CD82998-A121-4044-90BE-F1226657486E}"/>
    <hyperlink ref="Q712" r:id="rId4745" display="https://www.cettire.com/collections/sunnei" xr:uid="{88FEFBA5-091C-4560-8538-6289F3D9DA5F}"/>
    <hyperlink ref="Q713" r:id="rId4746" display="https://www.cettire.com/collections/swarovski" xr:uid="{94633B0D-912B-40F3-918A-95C281339B53}"/>
    <hyperlink ref="Q715" r:id="rId4747" display="https://www.cettire.com/collections/t-by-alexander-wang" xr:uid="{F4840FD9-E309-413B-AEE8-C61DF1C55D0F}"/>
    <hyperlink ref="Q716" r:id="rId4748" display="https://www.cettire.com/collections/tagliatore" xr:uid="{D695CC6C-1178-48BC-BFF2-498D6C89E625}"/>
    <hyperlink ref="Q717" r:id="rId4749" display="https://www.cettire.com/collections/tartine-et-chocolat" xr:uid="{B36F11EF-7D7F-4540-BEAF-7F24BCBFBEE8}"/>
    <hyperlink ref="Q718" r:id="rId4750" display="https://www.cettire.com/collections/telfar" xr:uid="{E0410DD0-E117-45A3-A86E-EC9DDF6282F3}"/>
    <hyperlink ref="Q719" r:id="rId4751" display="https://www.cettire.com/collections/ten-c" xr:uid="{26FA9C37-EDEB-4870-8BC7-3958072F9930}"/>
    <hyperlink ref="Q720" r:id="rId4752" display="https://www.cettire.com/collections/the-attico" xr:uid="{40877F77-5C8D-4DBF-9065-4D481A84DACB}"/>
    <hyperlink ref="Q721" r:id="rId4753" display="https://www.cettire.com/collections/the-gigi" xr:uid="{97303C86-3D65-45A3-80EA-05EE3EA2BEFD}"/>
    <hyperlink ref="Q722" r:id="rId4754" display="https://www.cettire.com/collections/the-marc-jacobs-kids" xr:uid="{C3E98B30-7FF6-4616-8F11-A3F88C4DB0D8}"/>
    <hyperlink ref="Q723" r:id="rId4755" display="https://www.cettire.com/collections/the-north-face" xr:uid="{00025CC6-9E5E-4306-AD1A-F5D7BE587604}"/>
    <hyperlink ref="Q724" r:id="rId4756" display="https://www.cettire.com/collections/the-north-face-black-series" xr:uid="{FFC60A84-4307-4C5E-8867-9288EE6ACC46}"/>
    <hyperlink ref="Q725" r:id="rId4757" display="https://www.cettire.com/collections/the-north-face-kids" xr:uid="{7D34BCFF-E8B7-4622-8614-786D6CF6AC1C}"/>
    <hyperlink ref="Q726" r:id="rId4758" display="https://www.cettire.com/collections/the-row" xr:uid="{0D5BB7E1-6B92-4016-A3EE-8CC89FDDFB3A}"/>
    <hyperlink ref="Q727" r:id="rId4759" display="https://www.cettire.com/collections/themoire" xr:uid="{0A60973B-460F-413F-BFD4-F2C68A078DDF}"/>
    <hyperlink ref="Q728" r:id="rId4760" display="https://www.cettire.com/collections/theory" xr:uid="{1447F260-CE30-43B4-8BC7-155D15A865DD}"/>
    <hyperlink ref="Q729" r:id="rId4761" display="https://www.cettire.com/collections/thom-browne" xr:uid="{46F4CD2A-B6A9-4B4A-8B13-402E234366D0}"/>
    <hyperlink ref="Q730" r:id="rId4762" display="https://www.cettire.com/collections/thom-browne-eyewear" xr:uid="{062871FA-0D87-4928-9A59-8CA5DECF1706}"/>
    <hyperlink ref="Q731" r:id="rId4763" display="https://www.cettire.com/collections/timberland" xr:uid="{48C0414D-A722-439E-86FC-79419FD1F9A2}"/>
    <hyperlink ref="Q732" r:id="rId4764" display="https://www.cettire.com/collections/tods" xr:uid="{E9069E94-CED0-40F3-BEA8-EA413AC93290}"/>
    <hyperlink ref="Q733" r:id="rId4765" display="https://www.cettire.com/collections/tom-ford" xr:uid="{42170460-932C-4EE1-91A6-27D46D782392}"/>
    <hyperlink ref="Q734" r:id="rId4766" display="https://www.cettire.com/collections/tom-ford-eyewear" xr:uid="{10259EAB-BD74-45FB-B95B-E7EA35B30279}"/>
    <hyperlink ref="Q735" r:id="rId4767" display="https://www.cettire.com/collections/tommy-hilfiger" xr:uid="{78324A80-3E21-454E-86ED-E7BDE175E003}"/>
    <hyperlink ref="Q736" r:id="rId4768" display="https://www.cettire.com/collections/tory-burch" xr:uid="{3493D7B9-C57D-449C-BAE6-5F824D9594C0}"/>
    <hyperlink ref="Q737" r:id="rId4769" display="https://www.cettire.com/collections/toteme" xr:uid="{4DF03210-C460-4E8B-AE2B-94E195DF2AD9}"/>
    <hyperlink ref="Q738" r:id="rId4770" display="https://www.cettire.com/collections/trickers" xr:uid="{77D0AEDD-975B-4E76-A7B5-4EDAF4CD9467}"/>
    <hyperlink ref="Q739" r:id="rId4771" display="https://www.cettire.com/collections/trippen" xr:uid="{0249A5CD-A3DB-4BBF-ACB8-515DF03EA0BD}"/>
    <hyperlink ref="Q740" r:id="rId4772" display="https://www.cettire.com/collections/twinset" xr:uid="{0BAC122D-4A21-4E2A-8213-EB2447181266}"/>
    <hyperlink ref="Q741" r:id="rId4773" display="https://www.cettire.com/collections/twinset-kids" xr:uid="{14EF2282-E4EE-41C7-BE10-AA778D8646FE}"/>
    <hyperlink ref="Q743" r:id="rId4774" display="https://www.cettire.com/collections/ugg" xr:uid="{1FC72D8A-24A3-46CF-93AA-F6580F99F61F}"/>
    <hyperlink ref="Q744" r:id="rId4775" display="https://www.cettire.com/collections/ugg-kids" xr:uid="{8FC1D0C4-D382-4787-9EA3-0E1F6603937B}"/>
    <hyperlink ref="Q745" r:id="rId4776" display="https://www.cettire.com/collections/uh-nom-uh-nit" xr:uid="{0AB44F21-2BCB-44E1-ABAC-7EC720DFEB82}"/>
    <hyperlink ref="Q746" r:id="rId4777" display="https://www.cettire.com/collections/ulla-johnson" xr:uid="{0866067D-C533-478C-A4F2-345608FF5131}"/>
    <hyperlink ref="Q747" r:id="rId4778" display="https://www.cettire.com/collections/ultrachic" xr:uid="{E5AA5C3E-F717-4D2F-AFC0-EC2F858453A2}"/>
    <hyperlink ref="Q748" r:id="rId4779" display="https://www.cettire.com/collections/uma-wang" xr:uid="{B46E3FFC-2BD5-4579-870D-172470713706}"/>
    <hyperlink ref="Q749" r:id="rId4780" display="https://www.cettire.com/collections/undercover" xr:uid="{D57716C9-5E57-44E4-8187-3EAC00A4739A}"/>
    <hyperlink ref="Q750" r:id="rId4781" display="https://www.cettire.com/collections/unravel-project" xr:uid="{3A9B3B5F-5C23-4D36-87EF-20048370A488}"/>
    <hyperlink ref="Q752" r:id="rId4782" display="https://www.cettire.com/collections/valentino" xr:uid="{3D03F0E5-F18C-4625-A71B-7806C5A6F111}"/>
    <hyperlink ref="Q753" r:id="rId4783" display="https://www.cettire.com/collections/valentino-eyewear" xr:uid="{C1652DA6-F3CA-4AE4-800E-EE435C2CF23A}"/>
    <hyperlink ref="Q754" r:id="rId4784" display="https://www.cettire.com/collections/valextra" xr:uid="{FAB83B1E-BAB6-4EF6-B90D-D5C9ADED0931}"/>
    <hyperlink ref="Q755" r:id="rId4785" display="https://www.cettire.com/collections/vans" xr:uid="{217F30C1-DE9E-4C2A-A29D-9C77CA76C724}"/>
    <hyperlink ref="Q756" r:id="rId4786" display="https://www.cettire.com/collections/vans-vault" xr:uid="{4CF3D132-FB2D-487C-B7BC-38E79E622CFE}"/>
    <hyperlink ref="Q757" r:id="rId4787" display="https://www.cettire.com/collections/veja" xr:uid="{F6AC0A06-A4AA-4316-8424-2E77E4436FE1}"/>
    <hyperlink ref="Q758" r:id="rId4788" display="https://www.cettire.com/collections/veja-kids" xr:uid="{EE773034-4F5D-4363-B253-133B62E639DA}"/>
    <hyperlink ref="Q759" r:id="rId4789" display="https://www.cettire.com/collections/versace" xr:uid="{1F799FE5-295C-4529-92E7-6DCA5F466D7C}"/>
    <hyperlink ref="Q760" r:id="rId4790" display="https://www.cettire.com/collections/versace-collection" xr:uid="{598572D3-322A-4AC5-8FD6-016E3E652DF8}"/>
    <hyperlink ref="Q761" r:id="rId4791" display="https://www.cettire.com/collections/versace-eyewear" xr:uid="{1ACBCC9F-6A60-48B4-8566-D92188E28E6D}"/>
    <hyperlink ref="Q762" r:id="rId4792" display="https://www.cettire.com/collections/versace-jeans-couture" xr:uid="{ECA64151-FD14-4F47-BB46-6898E73A5A46}"/>
    <hyperlink ref="Q763" r:id="rId4793" display="https://www.cettire.com/collections/versace-kids" xr:uid="{7C87593B-70A1-4753-9B48-A5535FC93134}"/>
    <hyperlink ref="Q764" r:id="rId4794" display="https://www.cettire.com/collections/vince" xr:uid="{632B1B43-82AF-4AF5-87F6-8D0751627AD9}"/>
    <hyperlink ref="Q765" r:id="rId4795" display="https://www.cettire.com/collections/vision-of-super" xr:uid="{F8D126DF-F07C-42CF-8BBD-FD722A7C6E16}"/>
    <hyperlink ref="Q766" r:id="rId4796" display="https://www.cettire.com/collections/vision-of-super-kids" xr:uid="{85DE1A1C-F72D-4E1D-8813-37E3F69ADF0B}"/>
    <hyperlink ref="Q767" r:id="rId4797" display="https://www.cettire.com/collections/visvim" xr:uid="{F7709F73-5F51-42F1-9585-3E0524C3F611}"/>
    <hyperlink ref="Q768" r:id="rId4798" display="https://www.cettire.com/collections/vivienne-westwood" xr:uid="{DC44D549-CA59-4309-B0CD-1F1E91095C7A}"/>
    <hyperlink ref="Q770" r:id="rId4799" display="https://www.cettire.com/collections/wales-bonner" xr:uid="{C42717C0-0F37-42CB-B82C-600CA98FD84A}"/>
    <hyperlink ref="Q771" r:id="rId4800" display="https://www.cettire.com/collections/wandler" xr:uid="{DEA049E9-0AB3-4EDF-99C0-A952F6F477E0}"/>
    <hyperlink ref="Q772" r:id="rId4801" display="https://www.cettire.com/collections/we11done" xr:uid="{8BD949C0-0F85-4BE5-A1B5-5287DE293C55}"/>
    <hyperlink ref="Q773" r:id="rId4802" display="https://www.cettire.com/collections/weekend-max-mara" xr:uid="{8198FCD0-6390-45DE-90A2-8AB94765181B}"/>
    <hyperlink ref="Q774" r:id="rId4803" display="https://www.cettire.com/collections/white-mountaineering" xr:uid="{84BC8AEF-5084-4876-8E99-338E9D259E08}"/>
    <hyperlink ref="Q775" r:id="rId4804" display="https://www.cettire.com/collections/woolrich" xr:uid="{E810F7D5-5BB2-47C1-AE07-E056B7093E4B}"/>
    <hyperlink ref="Q776" r:id="rId4805" display="https://www.cettire.com/collections/woolrich-kids" xr:uid="{55B09EC7-62E3-4180-BCF8-D8E13DB85BEC}"/>
    <hyperlink ref="Q777" r:id="rId4806" display="https://www.cettire.com/collections/woolrich-x-griffin" xr:uid="{6B909D31-EE72-4999-A424-12F259C5B18C}"/>
    <hyperlink ref="Q779" r:id="rId4807" display="https://www.cettire.com/collections/y-3" xr:uid="{9E8C0E65-1E4E-4C1D-A56E-29866D016299}"/>
    <hyperlink ref="Q780" r:id="rId4808" display="https://www.cettire.com/collections/ys" xr:uid="{E1C8B138-7A74-4DE6-A843-AF50B8CE9644}"/>
    <hyperlink ref="Q781" r:id="rId4809" display="https://www.cettire.com/collections/y-project" xr:uid="{B65274EF-D8B2-4FEC-AD7A-69B7391EE0AF}"/>
    <hyperlink ref="Q782" r:id="rId4810" display="https://www.cettire.com/collections/ymc" xr:uid="{36E204D8-6B5B-4CC5-8F75-0D868F3241B4}"/>
    <hyperlink ref="Q783" r:id="rId4811" display="https://www.cettire.com/collections/yohji-yamamoto" xr:uid="{9CC763CF-6178-4BCF-82B7-93A68DA4D39F}"/>
    <hyperlink ref="Q784" r:id="rId4812" display="https://www.cettire.com/collections/yuzefi" xr:uid="{38B269FE-4C1A-4BE5-AF08-EAF78A445C84}"/>
    <hyperlink ref="Q785" r:id="rId4813" display="https://www.cettire.com/collections/yves-salomon" xr:uid="{531A1D55-B17A-4D0A-A68D-D5B94B04476D}"/>
    <hyperlink ref="Q787" r:id="rId4814" display="https://www.cettire.com/collections/z-zegna" xr:uid="{A3E3F9BC-0AAD-4AD8-A2C9-130610C7D769}"/>
    <hyperlink ref="Q788" r:id="rId4815" display="https://www.cettire.com/collections/zadig-voltaire" xr:uid="{E1D35020-527E-4A3E-87C2-D37C2382AE43}"/>
    <hyperlink ref="Q789" r:id="rId4816" display="https://www.cettire.com/collections/zadig-voltaire-kids" xr:uid="{E447A272-8223-49E7-9698-663827DADC84}"/>
    <hyperlink ref="Q790" r:id="rId4817" display="https://www.cettire.com/collections/zimmermann" xr:uid="{CA418663-5358-44EB-B829-9BC073C3A1DA}"/>
    <hyperlink ref="A116" r:id="rId4818" xr:uid="{BB79C18E-F22A-49FF-BF73-53532EDA487D}"/>
    <hyperlink ref="A64" r:id="rId4819" location="overview" display="https://www.similarweb.com/website/cettire.com/#overview" xr:uid="{11E4CEE3-BF7C-4847-8182-C4B74A6D6274}"/>
  </hyperlinks>
  <pageMargins left="0.3" right="0.3" top="0.3" bottom="0.3" header="0.3" footer="0.3"/>
  <pageSetup scale="46" fitToHeight="0" orientation="landscape" r:id="rId4820"/>
  <rowBreaks count="1" manualBreakCount="1">
    <brk id="68" max="51" man="1"/>
  </rowBreaks>
  <legacyDrawing r:id="rId482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A2E8-D5AD-449E-89EA-7318C46918B1}">
  <dimension ref="A1:AG90"/>
  <sheetViews>
    <sheetView zoomScale="55" zoomScaleNormal="55" workbookViewId="0">
      <pane xSplit="1" ySplit="5" topLeftCell="H6" activePane="bottomRight" state="frozen"/>
      <selection pane="topRight" activeCell="T38" sqref="T38"/>
      <selection pane="bottomLeft" activeCell="T38" sqref="T38"/>
      <selection pane="bottomRight" activeCell="M28" sqref="M28"/>
    </sheetView>
  </sheetViews>
  <sheetFormatPr defaultColWidth="9.1796875" defaultRowHeight="14.5" outlineLevelCol="1"/>
  <cols>
    <col min="1" max="1" width="29.453125" customWidth="1"/>
    <col min="2" max="6" width="12.453125" hidden="1" customWidth="1" outlineLevel="1"/>
    <col min="7" max="7" width="4.26953125" hidden="1" customWidth="1" outlineLevel="1"/>
    <col min="8" max="8" width="11.26953125" bestFit="1" customWidth="1" collapsed="1"/>
    <col min="9" max="9" width="11.26953125" bestFit="1" customWidth="1"/>
    <col min="10" max="10" width="12.453125" bestFit="1" customWidth="1"/>
    <col min="11" max="11" width="16.1796875" bestFit="1" customWidth="1"/>
  </cols>
  <sheetData>
    <row r="1" spans="1:33">
      <c r="A1" s="18" t="s">
        <v>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9"/>
      <c r="AD1" s="19"/>
      <c r="AE1" s="19"/>
      <c r="AF1" s="19"/>
      <c r="AG1" s="19">
        <f t="shared" ref="AG1" ca="1" si="0">TODAY()</f>
        <v>45797</v>
      </c>
    </row>
    <row r="2" spans="1:33">
      <c r="A2" s="20" t="s">
        <v>1514</v>
      </c>
      <c r="B2" s="18"/>
      <c r="C2" s="18"/>
      <c r="D2" s="18"/>
      <c r="E2" s="18"/>
      <c r="F2" s="18"/>
      <c r="G2" s="20"/>
      <c r="H2" s="18"/>
      <c r="I2" s="18"/>
      <c r="J2" s="18"/>
      <c r="K2" s="18"/>
      <c r="L2" s="18"/>
      <c r="M2" s="18"/>
      <c r="N2" s="18"/>
      <c r="O2" s="18"/>
      <c r="P2" s="18"/>
      <c r="Q2" s="18"/>
      <c r="R2" s="18"/>
      <c r="S2" s="18"/>
      <c r="T2" s="18"/>
      <c r="U2" s="18"/>
      <c r="V2" s="21"/>
      <c r="W2" s="21"/>
      <c r="X2" s="21"/>
      <c r="Y2" s="21"/>
      <c r="Z2" s="21"/>
      <c r="AA2" s="21"/>
      <c r="AB2" s="21"/>
      <c r="AC2" s="21"/>
      <c r="AD2" s="21"/>
      <c r="AE2" s="21"/>
      <c r="AF2" s="21"/>
      <c r="AG2" s="21"/>
    </row>
    <row r="3" spans="1:33">
      <c r="A3" s="22" t="s">
        <v>400</v>
      </c>
      <c r="B3" s="23"/>
      <c r="C3" s="23"/>
      <c r="D3" s="23"/>
      <c r="E3" s="23"/>
      <c r="F3" s="23"/>
      <c r="G3" s="22"/>
      <c r="H3" s="23"/>
      <c r="I3" s="23"/>
      <c r="J3" s="23"/>
      <c r="K3" s="23"/>
      <c r="L3" s="23"/>
      <c r="M3" s="23"/>
      <c r="N3" s="23"/>
      <c r="O3" s="23"/>
      <c r="P3" s="23"/>
      <c r="Q3" s="23"/>
      <c r="R3" s="23"/>
      <c r="S3" s="23"/>
      <c r="T3" s="23"/>
      <c r="U3" s="23"/>
      <c r="V3" s="23"/>
      <c r="W3" s="23"/>
      <c r="X3" s="23"/>
      <c r="Y3" s="23"/>
      <c r="Z3" s="23"/>
      <c r="AA3" s="23"/>
      <c r="AB3" s="23"/>
      <c r="AC3" s="23"/>
      <c r="AD3" s="23"/>
      <c r="AE3" s="23"/>
      <c r="AF3" s="23"/>
      <c r="AG3" s="23"/>
    </row>
    <row r="4" spans="1:33" ht="16">
      <c r="B4" s="24" t="s">
        <v>105</v>
      </c>
      <c r="C4" s="24"/>
      <c r="D4" s="24"/>
      <c r="E4" s="24"/>
      <c r="F4" s="24"/>
      <c r="H4" s="24" t="s">
        <v>105</v>
      </c>
      <c r="I4" s="24"/>
      <c r="J4" s="24"/>
    </row>
    <row r="5" spans="1:33" ht="16">
      <c r="B5" s="152" t="str">
        <f>+Historical!C5</f>
        <v>1H FY20</v>
      </c>
      <c r="C5" s="152" t="str">
        <f>+Historical!D5</f>
        <v>2H FY20</v>
      </c>
      <c r="D5" s="152" t="str">
        <f>+Historical!E5</f>
        <v>1H FY21</v>
      </c>
      <c r="E5" s="152" t="str">
        <f>+Historical!F5</f>
        <v>2H FY21</v>
      </c>
      <c r="F5" s="152" t="str">
        <f>+Historical!G5</f>
        <v>1H FY22</v>
      </c>
      <c r="H5" s="152" t="s">
        <v>548</v>
      </c>
      <c r="I5" s="152" t="s">
        <v>549</v>
      </c>
      <c r="J5" s="152" t="s">
        <v>219</v>
      </c>
    </row>
    <row r="6" spans="1:33">
      <c r="A6" s="2" t="s">
        <v>131</v>
      </c>
      <c r="G6" s="2"/>
    </row>
    <row r="7" spans="1:33">
      <c r="A7" t="s">
        <v>1515</v>
      </c>
      <c r="B7" s="113"/>
      <c r="C7" s="113"/>
      <c r="D7" s="113"/>
      <c r="E7" s="113"/>
      <c r="F7" s="113"/>
      <c r="H7" s="113">
        <f>+H$9*H12</f>
        <v>6.0357599999999998</v>
      </c>
      <c r="I7" s="113">
        <f t="shared" ref="I7:J7" si="1">+I$9*I12</f>
        <v>21.259460000000001</v>
      </c>
      <c r="J7" s="113">
        <f t="shared" si="1"/>
        <v>74.673000000000002</v>
      </c>
    </row>
    <row r="8" spans="1:33" s="12" customFormat="1" ht="16">
      <c r="A8" t="s">
        <v>1516</v>
      </c>
      <c r="B8" s="139"/>
      <c r="C8" s="139"/>
      <c r="D8" s="139"/>
      <c r="E8" s="139"/>
      <c r="F8" s="139"/>
      <c r="G8"/>
      <c r="H8" s="139">
        <f t="shared" ref="H8:J8" si="2">+H$9*H13</f>
        <v>1.2362400000000002</v>
      </c>
      <c r="I8" s="139">
        <f t="shared" si="2"/>
        <v>7.4695400000000003</v>
      </c>
      <c r="J8" s="139">
        <f t="shared" si="2"/>
        <v>49.782000000000004</v>
      </c>
    </row>
    <row r="9" spans="1:33" s="2" customFormat="1">
      <c r="A9" s="6" t="s">
        <v>341</v>
      </c>
      <c r="B9" s="114"/>
      <c r="C9" s="114"/>
      <c r="D9" s="114"/>
      <c r="E9" s="114"/>
      <c r="F9" s="114"/>
      <c r="G9" s="6"/>
      <c r="H9" s="114">
        <f>+Historical!R13</f>
        <v>7.2720000000000002</v>
      </c>
      <c r="I9" s="114">
        <f>+Historical!S13</f>
        <v>28.728999999999999</v>
      </c>
      <c r="J9" s="114">
        <f>+Historical!T13</f>
        <v>124.455</v>
      </c>
    </row>
    <row r="11" spans="1:33">
      <c r="A11" s="2" t="s">
        <v>415</v>
      </c>
      <c r="G11" s="2"/>
    </row>
    <row r="12" spans="1:33">
      <c r="A12" t="str">
        <f>+A7</f>
        <v>First time order</v>
      </c>
      <c r="B12" s="172"/>
      <c r="C12" s="172"/>
      <c r="D12" s="172"/>
      <c r="E12" s="172"/>
      <c r="F12" s="172"/>
      <c r="H12" s="172">
        <v>0.83</v>
      </c>
      <c r="I12" s="172">
        <v>0.74</v>
      </c>
      <c r="J12" s="172">
        <v>0.6</v>
      </c>
    </row>
    <row r="13" spans="1:33" s="4" customFormat="1" ht="16">
      <c r="A13" t="str">
        <f>+A8</f>
        <v>Repeat orders</v>
      </c>
      <c r="B13" s="173"/>
      <c r="C13" s="173"/>
      <c r="D13" s="173"/>
      <c r="E13" s="173"/>
      <c r="F13" s="173"/>
      <c r="G13"/>
      <c r="H13" s="173">
        <f>1-H12</f>
        <v>0.17000000000000004</v>
      </c>
      <c r="I13" s="173">
        <f t="shared" ref="I13:J13" si="3">1-I12</f>
        <v>0.26</v>
      </c>
      <c r="J13" s="173">
        <f t="shared" si="3"/>
        <v>0.4</v>
      </c>
    </row>
    <row r="14" spans="1:33" s="2" customFormat="1">
      <c r="A14" s="6" t="str">
        <f>+A9</f>
        <v>Total Gross Revenue</v>
      </c>
      <c r="B14" s="174"/>
      <c r="C14" s="174"/>
      <c r="D14" s="174"/>
      <c r="E14" s="174"/>
      <c r="F14" s="174"/>
      <c r="G14" s="6"/>
      <c r="H14" s="174">
        <f>+H13+H12</f>
        <v>1</v>
      </c>
      <c r="I14" s="174">
        <f t="shared" ref="I14:J14" si="4">+I13+I12</f>
        <v>1</v>
      </c>
      <c r="J14" s="174">
        <f t="shared" si="4"/>
        <v>1</v>
      </c>
    </row>
    <row r="16" spans="1:33">
      <c r="A16" s="2" t="s">
        <v>126</v>
      </c>
      <c r="G16" s="2"/>
    </row>
    <row r="17" spans="1:11">
      <c r="A17" t="str">
        <f t="shared" ref="A17:A18" si="5">+A12</f>
        <v>First time order</v>
      </c>
      <c r="B17" s="160"/>
      <c r="C17" s="160"/>
      <c r="D17" s="160"/>
      <c r="E17" s="160"/>
      <c r="F17" s="160"/>
      <c r="H17" s="159">
        <v>700</v>
      </c>
      <c r="I17" s="159">
        <v>733</v>
      </c>
      <c r="J17" s="160">
        <f>643*Historical!F13/Historical!T13+Historical!E13/Historical!T13*735</f>
        <v>681.98144710939698</v>
      </c>
    </row>
    <row r="18" spans="1:11" s="4" customFormat="1">
      <c r="A18" t="str">
        <f t="shared" si="5"/>
        <v>Repeat orders</v>
      </c>
      <c r="B18" s="10"/>
      <c r="C18" s="10"/>
      <c r="D18" s="10"/>
      <c r="E18" s="10"/>
      <c r="F18" s="10"/>
      <c r="G18"/>
      <c r="H18" s="10">
        <f>+H8*1000000/H23</f>
        <v>700.22656654583125</v>
      </c>
      <c r="I18" s="10">
        <f>+I8*1000000/I23</f>
        <v>864.0656643926543</v>
      </c>
      <c r="J18" s="10">
        <f>+J8*1000000/J23</f>
        <v>817.5079720638447</v>
      </c>
      <c r="K18" s="171"/>
    </row>
    <row r="19" spans="1:11" s="2" customFormat="1">
      <c r="A19" s="6" t="s">
        <v>126</v>
      </c>
      <c r="B19" s="161">
        <f>+Historical!C12</f>
        <v>759.99641742920687</v>
      </c>
      <c r="C19" s="161">
        <f>+Historical!D12</f>
        <v>764.55338045137876</v>
      </c>
      <c r="D19" s="161">
        <f>+Historical!E12</f>
        <v>776</v>
      </c>
      <c r="E19" s="161">
        <f>+Historical!F12</f>
        <v>693.6497804599702</v>
      </c>
      <c r="F19" s="161">
        <f>+Historical!G12</f>
        <v>712</v>
      </c>
      <c r="G19" s="6"/>
      <c r="H19" s="161">
        <f>+Historical!R12</f>
        <v>700</v>
      </c>
      <c r="I19" s="161">
        <f>+Historical!S12</f>
        <v>757</v>
      </c>
      <c r="J19" s="161">
        <f>+Historical!T12</f>
        <v>723</v>
      </c>
    </row>
    <row r="21" spans="1:11">
      <c r="A21" s="2" t="s">
        <v>1517</v>
      </c>
      <c r="G21" s="2"/>
    </row>
    <row r="22" spans="1:11">
      <c r="A22" t="str">
        <f t="shared" ref="A22:A23" si="6">+A17</f>
        <v>First time order</v>
      </c>
      <c r="B22" s="9"/>
      <c r="C22" s="9"/>
      <c r="D22" s="9"/>
      <c r="E22" s="9"/>
      <c r="F22" s="9"/>
      <c r="H22" s="9">
        <f t="shared" ref="H22:I22" si="7">+H7*1000000/H17</f>
        <v>8622.5142857142855</v>
      </c>
      <c r="I22" s="9">
        <f t="shared" si="7"/>
        <v>29003.356070941336</v>
      </c>
      <c r="J22" s="9">
        <f>+J7*1000000/J17</f>
        <v>109494.18098762688</v>
      </c>
    </row>
    <row r="23" spans="1:11" s="4" customFormat="1">
      <c r="A23" t="str">
        <f t="shared" si="6"/>
        <v>Repeat orders</v>
      </c>
      <c r="B23" s="10"/>
      <c r="C23" s="10"/>
      <c r="D23" s="10"/>
      <c r="E23" s="10"/>
      <c r="F23" s="10"/>
      <c r="G23"/>
      <c r="H23" s="10">
        <f t="shared" ref="H23:I23" si="8">+H24-H22</f>
        <v>1765.4857142857145</v>
      </c>
      <c r="I23" s="10">
        <f t="shared" si="8"/>
        <v>8644.6439290586641</v>
      </c>
      <c r="J23" s="10">
        <f>+J24-J22</f>
        <v>60894.819012373118</v>
      </c>
    </row>
    <row r="24" spans="1:11" s="2" customFormat="1">
      <c r="A24" s="6" t="s">
        <v>1518</v>
      </c>
      <c r="B24" s="161">
        <f>+Historical!C11</f>
        <v>12048.741007194245</v>
      </c>
      <c r="C24" s="161">
        <f>+Historical!D11</f>
        <v>25599.258992805757</v>
      </c>
      <c r="D24" s="161">
        <f>+Historical!E11</f>
        <v>66991</v>
      </c>
      <c r="E24" s="161">
        <f>+Historical!F11</f>
        <v>103398</v>
      </c>
      <c r="F24" s="161">
        <f>+Historical!G11</f>
        <v>214822</v>
      </c>
      <c r="G24" s="6"/>
      <c r="H24" s="161">
        <f>+Historical!R11</f>
        <v>10388</v>
      </c>
      <c r="I24" s="161">
        <f>+Historical!S11</f>
        <v>37648</v>
      </c>
      <c r="J24" s="161">
        <f>+Historical!T11</f>
        <v>170389</v>
      </c>
    </row>
    <row r="26" spans="1:11">
      <c r="A26" s="2" t="s">
        <v>1517</v>
      </c>
      <c r="G26" s="2"/>
    </row>
    <row r="27" spans="1:11">
      <c r="A27" t="str">
        <f t="shared" ref="A27:A28" si="9">+A22</f>
        <v>First time order</v>
      </c>
      <c r="B27" s="168"/>
      <c r="C27" s="168"/>
      <c r="D27" s="168"/>
      <c r="E27" s="168"/>
      <c r="F27" s="168"/>
      <c r="H27" s="168">
        <f>+H22/H$24</f>
        <v>0.83004565707684685</v>
      </c>
      <c r="I27" s="168">
        <f t="shared" ref="I27:J27" si="10">+I22/I$24</f>
        <v>0.77038238607472742</v>
      </c>
      <c r="J27" s="168">
        <f t="shared" si="10"/>
        <v>0.6426129679006678</v>
      </c>
    </row>
    <row r="28" spans="1:11" ht="16">
      <c r="A28" t="str">
        <f t="shared" si="9"/>
        <v>Repeat orders</v>
      </c>
      <c r="B28" s="169"/>
      <c r="C28" s="169"/>
      <c r="D28" s="169"/>
      <c r="E28" s="169"/>
      <c r="F28" s="169"/>
      <c r="H28" s="169">
        <f t="shared" ref="H28:J28" si="11">+H23/H$24</f>
        <v>0.16995434292315312</v>
      </c>
      <c r="I28" s="169">
        <f t="shared" si="11"/>
        <v>0.22961761392527263</v>
      </c>
      <c r="J28" s="169">
        <f t="shared" si="11"/>
        <v>0.3573870320993322</v>
      </c>
    </row>
    <row r="29" spans="1:11">
      <c r="A29" s="6" t="s">
        <v>1518</v>
      </c>
      <c r="B29" s="170"/>
      <c r="C29" s="170"/>
      <c r="D29" s="170"/>
      <c r="E29" s="170"/>
      <c r="F29" s="170"/>
      <c r="G29" s="6"/>
      <c r="H29" s="170">
        <f t="shared" ref="H29:J29" si="12">+H24/H$24</f>
        <v>1</v>
      </c>
      <c r="I29" s="170">
        <f t="shared" si="12"/>
        <v>1</v>
      </c>
      <c r="J29" s="170">
        <f t="shared" si="12"/>
        <v>1</v>
      </c>
    </row>
    <row r="31" spans="1:11">
      <c r="A31" s="2" t="s">
        <v>1519</v>
      </c>
      <c r="G31" s="2"/>
    </row>
    <row r="32" spans="1:11">
      <c r="A32" t="str">
        <f>+A37</f>
        <v>One-time customers</v>
      </c>
      <c r="B32" s="162"/>
      <c r="C32" s="162"/>
      <c r="D32" s="162"/>
      <c r="E32" s="162"/>
      <c r="F32" s="162"/>
      <c r="H32" s="162">
        <v>1</v>
      </c>
      <c r="I32" s="162">
        <v>1</v>
      </c>
      <c r="J32" s="162">
        <v>1</v>
      </c>
    </row>
    <row r="33" spans="1:11" s="4" customFormat="1" ht="16">
      <c r="A33" t="str">
        <f>+A38</f>
        <v>Repeat customers</v>
      </c>
      <c r="B33" s="171"/>
      <c r="C33" s="171"/>
      <c r="D33" s="171"/>
      <c r="E33" s="171"/>
      <c r="F33" s="171"/>
      <c r="G33"/>
      <c r="H33" s="178">
        <v>1.25</v>
      </c>
      <c r="I33" s="178">
        <v>1.5</v>
      </c>
      <c r="J33" s="178">
        <v>2.5</v>
      </c>
    </row>
    <row r="34" spans="1:11" s="2" customFormat="1">
      <c r="A34" s="6" t="s">
        <v>1520</v>
      </c>
      <c r="B34" s="175"/>
      <c r="C34" s="175"/>
      <c r="D34" s="175"/>
      <c r="E34" s="175"/>
      <c r="F34" s="175"/>
      <c r="G34" s="6"/>
      <c r="H34" s="175">
        <v>1.19</v>
      </c>
      <c r="I34" s="175">
        <v>1.37</v>
      </c>
      <c r="J34" s="175">
        <v>1.52</v>
      </c>
    </row>
    <row r="36" spans="1:11">
      <c r="A36" s="2" t="s">
        <v>1521</v>
      </c>
      <c r="G36" s="2"/>
    </row>
    <row r="37" spans="1:11">
      <c r="A37" t="s">
        <v>1522</v>
      </c>
      <c r="B37" s="9"/>
      <c r="C37" s="9"/>
      <c r="D37" s="9"/>
      <c r="E37" s="9"/>
      <c r="F37" s="9"/>
      <c r="H37" s="159">
        <v>7685</v>
      </c>
      <c r="I37" s="159">
        <v>22478</v>
      </c>
      <c r="J37" s="159">
        <v>75003</v>
      </c>
    </row>
    <row r="38" spans="1:11" s="4" customFormat="1">
      <c r="A38" t="s">
        <v>1523</v>
      </c>
      <c r="B38" s="10"/>
      <c r="C38" s="10"/>
      <c r="D38" s="10"/>
      <c r="E38" s="10"/>
      <c r="F38" s="10"/>
      <c r="G38"/>
      <c r="H38" s="10">
        <f>+(H39*H34-H37)/2.5</f>
        <v>1114.8</v>
      </c>
      <c r="I38" s="10">
        <f>+(I39*I34-I37)/2.5</f>
        <v>7360.0240000000022</v>
      </c>
      <c r="J38" s="10">
        <f>+(J39*J34-J37)/2.5</f>
        <v>39797.199999999997</v>
      </c>
      <c r="K38" s="115"/>
    </row>
    <row r="39" spans="1:11" s="2" customFormat="1">
      <c r="A39" s="6" t="s">
        <v>1524</v>
      </c>
      <c r="B39" s="161"/>
      <c r="C39" s="161">
        <f>+'Detailed Disclosure'!Y96</f>
        <v>29838</v>
      </c>
      <c r="D39" s="161">
        <f>+'Detailed Disclosure'!Z96</f>
        <v>67657</v>
      </c>
      <c r="E39" s="161">
        <f>+'Detailed Disclosure'!AA96</f>
        <v>114800</v>
      </c>
      <c r="F39" s="161">
        <f>+'Detailed Disclosure'!AB96</f>
        <v>208700</v>
      </c>
      <c r="G39" s="6"/>
      <c r="H39" s="161">
        <f>+'Detailed Disclosure'!AK96</f>
        <v>8800</v>
      </c>
      <c r="I39" s="161">
        <f>+'Detailed Disclosure'!AL96</f>
        <v>29838</v>
      </c>
      <c r="J39" s="161">
        <f>+'Detailed Disclosure'!AM96</f>
        <v>114800</v>
      </c>
    </row>
    <row r="40" spans="1:11">
      <c r="B40" s="115"/>
      <c r="C40" s="115"/>
      <c r="D40" s="115"/>
      <c r="E40" s="115"/>
      <c r="F40" s="115"/>
      <c r="H40" s="115"/>
      <c r="I40" s="115"/>
      <c r="J40" s="115"/>
    </row>
    <row r="41" spans="1:11">
      <c r="A41" s="2" t="str">
        <f>+A36</f>
        <v>Active Customes</v>
      </c>
      <c r="G41" s="2"/>
    </row>
    <row r="42" spans="1:11">
      <c r="A42" t="str">
        <f>+A37</f>
        <v>One-time customers</v>
      </c>
      <c r="B42" s="168"/>
      <c r="C42" s="168">
        <f t="shared" ref="C42:F42" si="13">+C37/C$39</f>
        <v>0</v>
      </c>
      <c r="D42" s="168">
        <f t="shared" si="13"/>
        <v>0</v>
      </c>
      <c r="E42" s="168">
        <f t="shared" si="13"/>
        <v>0</v>
      </c>
      <c r="F42" s="168">
        <f t="shared" si="13"/>
        <v>0</v>
      </c>
      <c r="H42" s="168">
        <f t="shared" ref="H42:I42" si="14">+H37/H$39</f>
        <v>0.87329545454545454</v>
      </c>
      <c r="I42" s="168">
        <f t="shared" si="14"/>
        <v>0.75333467390575781</v>
      </c>
      <c r="J42" s="168">
        <f>+J37/J$39</f>
        <v>0.65333623693379794</v>
      </c>
    </row>
    <row r="43" spans="1:11" ht="16">
      <c r="A43" t="s">
        <v>1523</v>
      </c>
      <c r="B43" s="176"/>
      <c r="C43" s="176">
        <f>+I43</f>
        <v>0.24666613043769697</v>
      </c>
      <c r="D43" s="176">
        <v>0.04</v>
      </c>
      <c r="E43" s="176">
        <f>+J43</f>
        <v>0.34666550522648082</v>
      </c>
      <c r="F43" s="176">
        <v>5.3999999999999999E-2</v>
      </c>
      <c r="H43" s="169">
        <f t="shared" ref="H43:J43" si="15">+H38/H$39</f>
        <v>0.12668181818181817</v>
      </c>
      <c r="I43" s="169">
        <f t="shared" si="15"/>
        <v>0.24666613043769697</v>
      </c>
      <c r="J43" s="169">
        <f t="shared" si="15"/>
        <v>0.34666550522648082</v>
      </c>
    </row>
    <row r="44" spans="1:11">
      <c r="A44" s="6" t="str">
        <f>+A39</f>
        <v>Total Active Customers</v>
      </c>
      <c r="B44" s="170"/>
      <c r="C44" s="170">
        <f t="shared" ref="C44:F44" si="16">+C39/C$39</f>
        <v>1</v>
      </c>
      <c r="D44" s="170">
        <f t="shared" si="16"/>
        <v>1</v>
      </c>
      <c r="E44" s="170">
        <f t="shared" si="16"/>
        <v>1</v>
      </c>
      <c r="F44" s="170">
        <f t="shared" si="16"/>
        <v>1</v>
      </c>
      <c r="G44" s="6"/>
      <c r="H44" s="170">
        <f t="shared" ref="H44:J44" si="17">+H39/H$39</f>
        <v>1</v>
      </c>
      <c r="I44" s="170">
        <f t="shared" si="17"/>
        <v>1</v>
      </c>
      <c r="J44" s="170">
        <f t="shared" si="17"/>
        <v>1</v>
      </c>
    </row>
    <row r="46" spans="1:11">
      <c r="A46" t="s">
        <v>1525</v>
      </c>
      <c r="B46" s="9"/>
      <c r="C46" s="9">
        <f>+'Detailed Disclosure'!Y45/-1000</f>
        <v>1.34964</v>
      </c>
      <c r="D46" s="9">
        <f>+'Detailed Disclosure'!Z45/-1000</f>
        <v>3.8646379999999998</v>
      </c>
      <c r="E46" s="9">
        <f>+'Detailed Disclosure'!AA45/-1000</f>
        <v>7.8729540000000009</v>
      </c>
      <c r="F46" s="9">
        <f>+'Detailed Disclosure'!AB45/-1000</f>
        <v>25.875833</v>
      </c>
      <c r="H46" s="9">
        <f>+'Detailed Disclosure'!AK45/-1000</f>
        <v>0.41099999999999998</v>
      </c>
      <c r="I46" s="9">
        <f>+'Detailed Disclosure'!AL45/-1000</f>
        <v>1.9350000000000001</v>
      </c>
      <c r="J46" s="9">
        <f>+'Detailed Disclosure'!AM45/-1000</f>
        <v>11.737592000000001</v>
      </c>
    </row>
    <row r="47" spans="1:11" ht="16">
      <c r="A47" t="str">
        <f>+A37</f>
        <v>One-time customers</v>
      </c>
      <c r="B47" s="13"/>
      <c r="C47" s="13">
        <f t="shared" ref="C47:F47" si="18">+C37</f>
        <v>0</v>
      </c>
      <c r="D47" s="13">
        <f t="shared" si="18"/>
        <v>0</v>
      </c>
      <c r="E47" s="13">
        <f t="shared" si="18"/>
        <v>0</v>
      </c>
      <c r="F47" s="13">
        <f t="shared" si="18"/>
        <v>0</v>
      </c>
      <c r="H47" s="13">
        <f t="shared" ref="H47:J47" si="19">+H37</f>
        <v>7685</v>
      </c>
      <c r="I47" s="13">
        <f t="shared" si="19"/>
        <v>22478</v>
      </c>
      <c r="J47" s="13">
        <f t="shared" si="19"/>
        <v>75003</v>
      </c>
    </row>
    <row r="48" spans="1:11">
      <c r="A48" s="5" t="s">
        <v>1526</v>
      </c>
      <c r="B48" s="17"/>
      <c r="C48" s="17" t="e">
        <f t="shared" ref="C48:F48" si="20">+C46/C47*1000000</f>
        <v>#DIV/0!</v>
      </c>
      <c r="D48" s="17" t="e">
        <f t="shared" si="20"/>
        <v>#DIV/0!</v>
      </c>
      <c r="E48" s="17" t="e">
        <f t="shared" si="20"/>
        <v>#DIV/0!</v>
      </c>
      <c r="F48" s="17" t="e">
        <f t="shared" si="20"/>
        <v>#DIV/0!</v>
      </c>
      <c r="G48" s="5"/>
      <c r="H48" s="17">
        <f>+H46/H47*1000000</f>
        <v>53.480806766428103</v>
      </c>
      <c r="I48" s="17">
        <f t="shared" ref="I48:J48" si="21">+I46/I47*1000000</f>
        <v>86.084171189607616</v>
      </c>
      <c r="J48" s="17">
        <f t="shared" si="21"/>
        <v>156.49496686799196</v>
      </c>
    </row>
    <row r="50" spans="1:10" ht="16">
      <c r="A50" t="str">
        <f>+'Detailed Disclosure'!A46</f>
        <v>Merchant Fees</v>
      </c>
      <c r="B50" s="13"/>
      <c r="C50" s="13">
        <f>+'Detailed Disclosure'!Y46/-1000</f>
        <v>0.27630200000000005</v>
      </c>
      <c r="D50" s="13">
        <f>+'Detailed Disclosure'!Z46/-1000</f>
        <v>1.77772</v>
      </c>
      <c r="E50" s="13">
        <f>+'Detailed Disclosure'!AA46/-1000</f>
        <v>2.6825839999999999</v>
      </c>
      <c r="F50" s="13">
        <f>+'Detailed Disclosure'!AB46/-1000</f>
        <v>5.3806430000000001</v>
      </c>
      <c r="H50" s="13">
        <f>+'Detailed Disclosure'!AK46/-1000</f>
        <v>0.252</v>
      </c>
      <c r="I50" s="13">
        <f>+'Detailed Disclosure'!AL46/-1000</f>
        <v>0.86050000000000004</v>
      </c>
      <c r="J50" s="13">
        <f>+'Detailed Disclosure'!AM46/-1000</f>
        <v>4.4603039999999998</v>
      </c>
    </row>
    <row r="51" spans="1:10">
      <c r="A51" s="5" t="s">
        <v>1527</v>
      </c>
      <c r="B51" s="17"/>
      <c r="C51" s="17" t="e">
        <f t="shared" ref="C51:F51" si="22">+C50/C37*1000000+C48</f>
        <v>#DIV/0!</v>
      </c>
      <c r="D51" s="17" t="e">
        <f t="shared" si="22"/>
        <v>#DIV/0!</v>
      </c>
      <c r="E51" s="17" t="e">
        <f t="shared" si="22"/>
        <v>#DIV/0!</v>
      </c>
      <c r="F51" s="17" t="e">
        <f t="shared" si="22"/>
        <v>#DIV/0!</v>
      </c>
      <c r="G51" s="5"/>
      <c r="H51" s="17">
        <f>+H50/H37*1000000+H48</f>
        <v>86.271958360442412</v>
      </c>
      <c r="I51" s="17">
        <f t="shared" ref="I51:J51" si="23">+I50/I37*1000000+I48</f>
        <v>124.36604680131684</v>
      </c>
      <c r="J51" s="17">
        <f t="shared" si="23"/>
        <v>215.9633081343413</v>
      </c>
    </row>
    <row r="53" spans="1:10">
      <c r="A53" t="s">
        <v>126</v>
      </c>
      <c r="C53" s="9">
        <f>+'Detailed Disclosure'!Y110</f>
        <v>764.55338045137876</v>
      </c>
      <c r="D53" s="9">
        <f>+'Detailed Disclosure'!Z110</f>
        <v>776</v>
      </c>
      <c r="E53" s="9">
        <f>+'Detailed Disclosure'!AA110</f>
        <v>693.6497804599702</v>
      </c>
      <c r="F53" s="9">
        <f>+'Detailed Disclosure'!AB110</f>
        <v>712</v>
      </c>
      <c r="H53">
        <f>+'Detailed Disclosure'!AK110</f>
        <v>700</v>
      </c>
      <c r="I53">
        <f>+'Detailed Disclosure'!AL110</f>
        <v>757</v>
      </c>
      <c r="J53">
        <f>+'Detailed Disclosure'!AM110</f>
        <v>723</v>
      </c>
    </row>
    <row r="54" spans="1:10" ht="16">
      <c r="A54" t="s">
        <v>1528</v>
      </c>
      <c r="B54" s="33"/>
      <c r="C54" s="33">
        <f>+'Detailed Disclosure'!Y21</f>
        <v>0.81027125485387297</v>
      </c>
      <c r="D54" s="33">
        <f>+'Detailed Disclosure'!Z21</f>
        <v>0.76854157738038797</v>
      </c>
      <c r="E54" s="33">
        <f>+'Detailed Disclosure'!AA21</f>
        <v>0.72336935668274738</v>
      </c>
      <c r="F54" s="33">
        <f>+'Detailed Disclosure'!AB21</f>
        <v>0.73787325762491884</v>
      </c>
      <c r="H54" s="33">
        <f>+'Detailed Disclosure'!AK21</f>
        <v>0.78520352035203522</v>
      </c>
      <c r="I54" s="33">
        <f>+'Detailed Disclosure'!AL21</f>
        <v>0.79557241811410073</v>
      </c>
      <c r="J54" s="33">
        <f>+'Detailed Disclosure'!AM21</f>
        <v>0.7425093407255634</v>
      </c>
    </row>
    <row r="55" spans="1:10">
      <c r="A55" s="5" t="s">
        <v>1529</v>
      </c>
      <c r="B55" s="9"/>
      <c r="C55" s="9">
        <f t="shared" ref="C55:F55" si="24">+C54*C53</f>
        <v>619.49562698110924</v>
      </c>
      <c r="D55" s="9">
        <f t="shared" si="24"/>
        <v>596.38826404718111</v>
      </c>
      <c r="E55" s="9">
        <f t="shared" si="24"/>
        <v>501.76499545445762</v>
      </c>
      <c r="F55" s="9">
        <f t="shared" si="24"/>
        <v>525.36575942894217</v>
      </c>
      <c r="G55" s="5"/>
      <c r="H55" s="9">
        <f>+H54*H53</f>
        <v>549.64246424642465</v>
      </c>
      <c r="I55" s="9">
        <f t="shared" ref="I55:J55" si="25">+I54*I53</f>
        <v>602.24832051237422</v>
      </c>
      <c r="J55" s="9">
        <f t="shared" si="25"/>
        <v>536.83425334458229</v>
      </c>
    </row>
    <row r="56" spans="1:10" ht="16">
      <c r="A56" t="s">
        <v>1530</v>
      </c>
      <c r="B56" s="33"/>
      <c r="C56" s="33">
        <f>+'Detailed Disclosure'!Y40</f>
        <v>0.26378705246210121</v>
      </c>
      <c r="D56" s="33">
        <f>+'Detailed Disclosure'!Z40</f>
        <v>0.27994601591911539</v>
      </c>
      <c r="E56" s="33">
        <f>+'Detailed Disclosure'!AA40</f>
        <v>0.20489015573317029</v>
      </c>
      <c r="F56" s="33">
        <f>+'Detailed Disclosure'!AB40</f>
        <v>0.21733535202003687</v>
      </c>
      <c r="H56" s="33">
        <f>+'Detailed Disclosure'!AK40</f>
        <v>0.25621716287215412</v>
      </c>
      <c r="I56" s="33">
        <f>+'Detailed Disclosure'!AL40</f>
        <v>0.28062653132656634</v>
      </c>
      <c r="J56" s="33">
        <f>+'Detailed Disclosure'!AM40</f>
        <v>0.23780715081864312</v>
      </c>
    </row>
    <row r="57" spans="1:10">
      <c r="A57" s="5" t="s">
        <v>1531</v>
      </c>
      <c r="B57" s="9"/>
      <c r="C57" s="9">
        <f t="shared" ref="C57:F57" si="26">+C56*C55</f>
        <v>163.41492545450814</v>
      </c>
      <c r="D57" s="9">
        <f t="shared" si="26"/>
        <v>166.95651846092576</v>
      </c>
      <c r="E57" s="9">
        <f t="shared" si="26"/>
        <v>102.8067080601173</v>
      </c>
      <c r="F57" s="9">
        <f t="shared" si="26"/>
        <v>114.18055226476315</v>
      </c>
      <c r="G57" s="5"/>
      <c r="H57" s="9">
        <f>+H56*H55</f>
        <v>140.82783278327832</v>
      </c>
      <c r="I57" s="9">
        <f t="shared" ref="I57:J57" si="27">+I56*I55</f>
        <v>169.00685718263776</v>
      </c>
      <c r="J57" s="9">
        <f t="shared" si="27"/>
        <v>127.66302424972875</v>
      </c>
    </row>
    <row r="59" spans="1:10">
      <c r="A59" t="s">
        <v>1532</v>
      </c>
      <c r="B59" s="17"/>
      <c r="C59" s="17" t="e">
        <f t="shared" ref="C59:E59" si="28">+C57-C48</f>
        <v>#DIV/0!</v>
      </c>
      <c r="D59" s="17" t="e">
        <f t="shared" si="28"/>
        <v>#DIV/0!</v>
      </c>
      <c r="E59" s="17" t="e">
        <f t="shared" si="28"/>
        <v>#DIV/0!</v>
      </c>
      <c r="F59" s="17" t="e">
        <f>+F57-F48</f>
        <v>#DIV/0!</v>
      </c>
      <c r="H59" s="17">
        <f>+H57-H48</f>
        <v>87.347026016850222</v>
      </c>
      <c r="I59" s="17">
        <f t="shared" ref="I59:J59" si="29">+I57-I48</f>
        <v>82.922685993030143</v>
      </c>
      <c r="J59" s="17">
        <f t="shared" si="29"/>
        <v>-28.831942618263213</v>
      </c>
    </row>
    <row r="60" spans="1:10">
      <c r="A60" s="91" t="s">
        <v>1533</v>
      </c>
      <c r="B60" s="27"/>
      <c r="C60" s="27" t="e">
        <f t="shared" ref="C60:E60" si="30">+C59/C55</f>
        <v>#DIV/0!</v>
      </c>
      <c r="D60" s="27" t="e">
        <f t="shared" si="30"/>
        <v>#DIV/0!</v>
      </c>
      <c r="E60" s="27" t="e">
        <f t="shared" si="30"/>
        <v>#DIV/0!</v>
      </c>
      <c r="F60" s="27" t="e">
        <f>+F59/F55</f>
        <v>#DIV/0!</v>
      </c>
      <c r="G60" s="91"/>
      <c r="H60" s="27">
        <f>+H59/H55</f>
        <v>0.15891608035890287</v>
      </c>
      <c r="I60" s="27">
        <f t="shared" ref="I60:J60" si="31">+I59/I55</f>
        <v>0.13768853007756351</v>
      </c>
      <c r="J60" s="27">
        <f t="shared" si="31"/>
        <v>-5.3707345309347489E-2</v>
      </c>
    </row>
    <row r="62" spans="1:10">
      <c r="A62" t="s">
        <v>1534</v>
      </c>
      <c r="B62" s="17"/>
      <c r="C62" s="17" t="e">
        <f t="shared" ref="C62:F62" si="32">+C57-C51</f>
        <v>#DIV/0!</v>
      </c>
      <c r="D62" s="17" t="e">
        <f t="shared" si="32"/>
        <v>#DIV/0!</v>
      </c>
      <c r="E62" s="17" t="e">
        <f t="shared" si="32"/>
        <v>#DIV/0!</v>
      </c>
      <c r="F62" s="17" t="e">
        <f t="shared" si="32"/>
        <v>#DIV/0!</v>
      </c>
      <c r="H62" s="17">
        <f t="shared" ref="H62:I62" si="33">+H57-H51</f>
        <v>54.555874422835913</v>
      </c>
      <c r="I62" s="17">
        <f t="shared" si="33"/>
        <v>44.640810381320918</v>
      </c>
      <c r="J62" s="17">
        <f>+J57-J51</f>
        <v>-88.300283884612554</v>
      </c>
    </row>
    <row r="63" spans="1:10">
      <c r="A63" s="91" t="s">
        <v>1533</v>
      </c>
      <c r="B63" s="27"/>
      <c r="C63" s="27" t="e">
        <f t="shared" ref="C63:E63" si="34">+C62/C55</f>
        <v>#DIV/0!</v>
      </c>
      <c r="D63" s="27" t="e">
        <f t="shared" si="34"/>
        <v>#DIV/0!</v>
      </c>
      <c r="E63" s="27" t="e">
        <f t="shared" si="34"/>
        <v>#DIV/0!</v>
      </c>
      <c r="F63" s="27" t="e">
        <f>+F62/F55</f>
        <v>#DIV/0!</v>
      </c>
      <c r="G63" s="91"/>
      <c r="H63" s="27">
        <f>+H62/H55</f>
        <v>9.9257022467566361E-2</v>
      </c>
      <c r="I63" s="27">
        <f t="shared" ref="I63:J63" si="35">+I62/I55</f>
        <v>7.4123594638407453E-2</v>
      </c>
      <c r="J63" s="27">
        <f t="shared" si="35"/>
        <v>-0.16448332671487434</v>
      </c>
    </row>
    <row r="66" spans="1:10">
      <c r="A66" s="3" t="s">
        <v>1535</v>
      </c>
      <c r="G66" s="3"/>
    </row>
    <row r="67" spans="1:10">
      <c r="A67" t="s">
        <v>126</v>
      </c>
      <c r="C67" s="177">
        <f t="shared" ref="C67:E67" si="36">+C53</f>
        <v>764.55338045137876</v>
      </c>
      <c r="D67" s="177">
        <f t="shared" si="36"/>
        <v>776</v>
      </c>
      <c r="E67" s="177">
        <f t="shared" si="36"/>
        <v>693.6497804599702</v>
      </c>
      <c r="F67" s="177">
        <f>+F53</f>
        <v>712</v>
      </c>
      <c r="H67">
        <f>+H53</f>
        <v>700</v>
      </c>
      <c r="I67">
        <f t="shared" ref="I67:J67" si="37">+I53</f>
        <v>757</v>
      </c>
      <c r="J67">
        <f t="shared" si="37"/>
        <v>723</v>
      </c>
    </row>
    <row r="68" spans="1:10" ht="16">
      <c r="A68" t="s">
        <v>1536</v>
      </c>
      <c r="B68" s="125"/>
      <c r="C68" s="125">
        <v>0.7</v>
      </c>
      <c r="D68" s="125">
        <v>0.7</v>
      </c>
      <c r="E68" s="125">
        <v>0.7</v>
      </c>
      <c r="F68" s="125">
        <v>0.7</v>
      </c>
      <c r="H68" s="125">
        <v>0.7</v>
      </c>
      <c r="I68" s="125">
        <v>0.7</v>
      </c>
      <c r="J68" s="125">
        <v>0.7</v>
      </c>
    </row>
    <row r="69" spans="1:10">
      <c r="A69" s="5" t="s">
        <v>1537</v>
      </c>
      <c r="B69" s="9"/>
      <c r="C69" s="9">
        <f t="shared" ref="C69:E69" si="38">+C68*C67</f>
        <v>535.18736631596505</v>
      </c>
      <c r="D69" s="9">
        <f t="shared" si="38"/>
        <v>543.19999999999993</v>
      </c>
      <c r="E69" s="9">
        <f t="shared" si="38"/>
        <v>485.55484632197908</v>
      </c>
      <c r="F69" s="9">
        <f>+F68*F67</f>
        <v>498.4</v>
      </c>
      <c r="G69" s="5"/>
      <c r="H69" s="9">
        <f>+H68*H67</f>
        <v>489.99999999999994</v>
      </c>
      <c r="I69" s="9">
        <f t="shared" ref="I69:J69" si="39">+I68*I67</f>
        <v>529.9</v>
      </c>
      <c r="J69" s="9">
        <f t="shared" si="39"/>
        <v>506.09999999999997</v>
      </c>
    </row>
    <row r="70" spans="1:10" ht="16">
      <c r="A70" t="s">
        <v>1538</v>
      </c>
      <c r="B70" s="125"/>
      <c r="C70" s="125">
        <v>0.2</v>
      </c>
      <c r="D70" s="125">
        <v>0.2</v>
      </c>
      <c r="E70" s="125">
        <v>0.2</v>
      </c>
      <c r="F70" s="125">
        <v>0.2</v>
      </c>
      <c r="H70" s="125">
        <v>0.2</v>
      </c>
      <c r="I70" s="125">
        <v>0.2</v>
      </c>
      <c r="J70" s="125">
        <v>0.2</v>
      </c>
    </row>
    <row r="71" spans="1:10">
      <c r="A71" s="5" t="s">
        <v>1539</v>
      </c>
      <c r="B71" s="9"/>
      <c r="C71" s="9">
        <f t="shared" ref="C71:E71" si="40">+C70*C69</f>
        <v>107.03747326319302</v>
      </c>
      <c r="D71" s="9">
        <f t="shared" si="40"/>
        <v>108.63999999999999</v>
      </c>
      <c r="E71" s="9">
        <f t="shared" si="40"/>
        <v>97.11096926439582</v>
      </c>
      <c r="F71" s="9">
        <f>+F70*F69</f>
        <v>99.68</v>
      </c>
      <c r="G71" s="5"/>
      <c r="H71" s="9">
        <f>+H70*H69</f>
        <v>98</v>
      </c>
      <c r="I71" s="9">
        <f t="shared" ref="I71" si="41">+I70*I69</f>
        <v>105.98</v>
      </c>
      <c r="J71" s="9">
        <f t="shared" ref="J71" si="42">+J70*J69</f>
        <v>101.22</v>
      </c>
    </row>
    <row r="73" spans="1:10">
      <c r="A73" t="s">
        <v>1540</v>
      </c>
      <c r="B73" s="17"/>
      <c r="C73" s="17" t="e">
        <f t="shared" ref="C73:E73" si="43">+C71-C48</f>
        <v>#DIV/0!</v>
      </c>
      <c r="D73" s="17" t="e">
        <f t="shared" si="43"/>
        <v>#DIV/0!</v>
      </c>
      <c r="E73" s="17" t="e">
        <f t="shared" si="43"/>
        <v>#DIV/0!</v>
      </c>
      <c r="F73" s="17" t="e">
        <f>+F71-F48</f>
        <v>#DIV/0!</v>
      </c>
      <c r="H73" s="17">
        <f>+H71-H48</f>
        <v>44.519193233571897</v>
      </c>
      <c r="I73" s="17">
        <f t="shared" ref="I73:J73" si="44">+I71-I48</f>
        <v>19.895828810392388</v>
      </c>
      <c r="J73" s="17">
        <f t="shared" si="44"/>
        <v>-55.274966867991964</v>
      </c>
    </row>
    <row r="74" spans="1:10">
      <c r="A74" s="91" t="s">
        <v>1533</v>
      </c>
      <c r="B74" s="27"/>
      <c r="C74" s="27" t="e">
        <f t="shared" ref="C74:E74" si="45">+C73/C69</f>
        <v>#DIV/0!</v>
      </c>
      <c r="D74" s="27" t="e">
        <f t="shared" si="45"/>
        <v>#DIV/0!</v>
      </c>
      <c r="E74" s="27" t="e">
        <f t="shared" si="45"/>
        <v>#DIV/0!</v>
      </c>
      <c r="F74" s="27" t="e">
        <f>+F73/F69</f>
        <v>#DIV/0!</v>
      </c>
      <c r="G74" s="91"/>
      <c r="H74" s="27">
        <f>+H73/H69</f>
        <v>9.0855496395044699E-2</v>
      </c>
      <c r="I74" s="27">
        <f t="shared" ref="I74" si="46">+I73/I69</f>
        <v>3.7546383865620661E-2</v>
      </c>
      <c r="J74" s="27">
        <f t="shared" ref="J74" si="47">+J73/J69</f>
        <v>-0.10921748047419871</v>
      </c>
    </row>
    <row r="76" spans="1:10">
      <c r="A76" t="s">
        <v>1541</v>
      </c>
      <c r="B76" s="17"/>
      <c r="C76" s="17" t="e">
        <f t="shared" ref="C76:E76" si="48">+C71-C51</f>
        <v>#DIV/0!</v>
      </c>
      <c r="D76" s="17" t="e">
        <f t="shared" si="48"/>
        <v>#DIV/0!</v>
      </c>
      <c r="E76" s="17" t="e">
        <f t="shared" si="48"/>
        <v>#DIV/0!</v>
      </c>
      <c r="F76" s="17" t="e">
        <f>+F71-F51</f>
        <v>#DIV/0!</v>
      </c>
      <c r="H76" s="17">
        <f>+H71-H51</f>
        <v>11.728041639557588</v>
      </c>
      <c r="I76" s="17">
        <f t="shared" ref="I76:J76" si="49">+I71-I51</f>
        <v>-18.386046801316837</v>
      </c>
      <c r="J76" s="17">
        <f t="shared" si="49"/>
        <v>-114.74330813434131</v>
      </c>
    </row>
    <row r="77" spans="1:10">
      <c r="A77" s="91" t="s">
        <v>1533</v>
      </c>
      <c r="B77" s="27"/>
      <c r="C77" s="27" t="e">
        <f t="shared" ref="C77:E77" si="50">+C76/C69</f>
        <v>#DIV/0!</v>
      </c>
      <c r="D77" s="27" t="e">
        <f t="shared" si="50"/>
        <v>#DIV/0!</v>
      </c>
      <c r="E77" s="27" t="e">
        <f t="shared" si="50"/>
        <v>#DIV/0!</v>
      </c>
      <c r="F77" s="27" t="e">
        <f>+F76/F69</f>
        <v>#DIV/0!</v>
      </c>
      <c r="G77" s="91"/>
      <c r="H77" s="27">
        <f>+H76/H69</f>
        <v>2.3934778856239979E-2</v>
      </c>
      <c r="I77" s="27">
        <f t="shared" ref="I77" si="51">+I76/I69</f>
        <v>-3.4697200983802301E-2</v>
      </c>
      <c r="J77" s="27">
        <f t="shared" ref="J77" si="52">+J76/J69</f>
        <v>-0.22672062464797729</v>
      </c>
    </row>
    <row r="79" spans="1:10">
      <c r="A79" t="s">
        <v>1542</v>
      </c>
      <c r="H79" s="17">
        <f>+'Detailed Disclosure'!AK39/1000</f>
        <v>1.4630000000000001</v>
      </c>
      <c r="I79" s="17">
        <f>+'Detailed Disclosure'!AL39/1000</f>
        <v>6.4139999999999997</v>
      </c>
      <c r="J79" s="17">
        <f>+'Detailed Disclosure'!AM39/1000</f>
        <v>21.975520999999993</v>
      </c>
    </row>
    <row r="80" spans="1:10">
      <c r="H80" s="17"/>
      <c r="I80" s="17"/>
      <c r="J80" s="17"/>
    </row>
    <row r="81" spans="1:10">
      <c r="A81" s="2" t="s">
        <v>1543</v>
      </c>
    </row>
    <row r="82" spans="1:10">
      <c r="A82" t="s">
        <v>340</v>
      </c>
      <c r="H82" s="17">
        <f t="shared" ref="H82:I82" si="53">+H37</f>
        <v>7685</v>
      </c>
      <c r="I82" s="17">
        <f t="shared" si="53"/>
        <v>22478</v>
      </c>
      <c r="J82" s="17">
        <f>+J37</f>
        <v>75003</v>
      </c>
    </row>
    <row r="83" spans="1:10" ht="16">
      <c r="A83" t="s">
        <v>1544</v>
      </c>
      <c r="B83" s="13"/>
      <c r="C83" s="13"/>
      <c r="D83" s="13"/>
      <c r="E83" s="13"/>
      <c r="F83" s="13"/>
      <c r="H83" s="13">
        <f t="shared" ref="H83:I83" si="54">+H51</f>
        <v>86.271958360442412</v>
      </c>
      <c r="I83" s="13">
        <f t="shared" si="54"/>
        <v>124.36604680131684</v>
      </c>
      <c r="J83" s="13">
        <f>+J51</f>
        <v>215.9633081343413</v>
      </c>
    </row>
    <row r="84" spans="1:10">
      <c r="A84" s="5" t="str">
        <f>+A46</f>
        <v>Sales and Marketing ex-Brand</v>
      </c>
      <c r="B84" s="17"/>
      <c r="C84" s="17"/>
      <c r="D84" s="17"/>
      <c r="E84" s="17"/>
      <c r="F84" s="17"/>
      <c r="G84" s="5"/>
      <c r="H84" s="17">
        <f t="shared" ref="H84:I84" si="55">+H82*H83/1000000</f>
        <v>0.66299999999999992</v>
      </c>
      <c r="I84" s="17">
        <f t="shared" si="55"/>
        <v>2.7955000000000001</v>
      </c>
      <c r="J84" s="17">
        <f>+J82*J83/1000000</f>
        <v>16.197896</v>
      </c>
    </row>
    <row r="85" spans="1:10">
      <c r="A85" t="str">
        <f>+'Detailed Disclosure'!A47</f>
        <v>Employee Benefits Expense</v>
      </c>
      <c r="H85" s="17">
        <f>+'Detailed Disclosure'!AK47/-1000</f>
        <v>0.153</v>
      </c>
      <c r="I85" s="17">
        <f>+'Detailed Disclosure'!AL47/-1000</f>
        <v>0.35049999999999998</v>
      </c>
      <c r="J85" s="17">
        <f>+'Detailed Disclosure'!AM47/-1000</f>
        <v>1.8652390000000001</v>
      </c>
    </row>
    <row r="86" spans="1:10" ht="16">
      <c r="A86" t="str">
        <f>+'Detailed Disclosure'!A48</f>
        <v>General and Administrative Expense</v>
      </c>
      <c r="B86" s="13"/>
      <c r="C86" s="13"/>
      <c r="D86" s="13"/>
      <c r="E86" s="13"/>
      <c r="F86" s="13"/>
      <c r="H86" s="13">
        <f>+'Detailed Disclosure'!AK48/-1000</f>
        <v>0.18</v>
      </c>
      <c r="I86" s="13">
        <f>+'Detailed Disclosure'!AL48/-1000</f>
        <v>1.2010000000000001</v>
      </c>
      <c r="J86" s="13">
        <f>+'Detailed Disclosure'!AM48/-1000</f>
        <v>3.374657</v>
      </c>
    </row>
    <row r="87" spans="1:10" s="2" customFormat="1">
      <c r="A87" s="6" t="s">
        <v>1545</v>
      </c>
      <c r="B87" s="26"/>
      <c r="C87" s="26"/>
      <c r="D87" s="26"/>
      <c r="E87" s="26"/>
      <c r="F87" s="26"/>
      <c r="G87" s="6"/>
      <c r="H87" s="26">
        <f t="shared" ref="H87:I87" si="56">+SUM(H84:H86)</f>
        <v>0.996</v>
      </c>
      <c r="I87" s="26">
        <f t="shared" si="56"/>
        <v>4.3469999999999995</v>
      </c>
      <c r="J87" s="26">
        <f>+SUM(J84:J86)</f>
        <v>21.437791999999998</v>
      </c>
    </row>
    <row r="89" spans="1:10">
      <c r="A89" t="s">
        <v>461</v>
      </c>
      <c r="H89" s="17">
        <f>+'Detailed Disclosure'!AK77/1000</f>
        <v>0.60599999999999998</v>
      </c>
      <c r="I89" s="17">
        <f>+'Detailed Disclosure'!AL77/1000</f>
        <v>2.7549999999999999</v>
      </c>
      <c r="J89" s="17">
        <f>+'Detailed Disclosure'!AM77/1000</f>
        <v>2.2850000000000001</v>
      </c>
    </row>
    <row r="90" spans="1:10">
      <c r="H90" s="115"/>
      <c r="I90" s="115"/>
      <c r="J90" s="115"/>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CB6134-5917-4240-B09E-F3CB4CB36D41}">
  <ds:schemaRefs>
    <ds:schemaRef ds:uri="http://purl.org/dc/dcmitype/"/>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purl.org/dc/terms/"/>
    <ds:schemaRef ds:uri="http://schemas.openxmlformats.org/package/2006/metadata/core-properties"/>
    <ds:schemaRef ds:uri="684023ab-f3fa-4f75-8c85-aad38775666c"/>
    <ds:schemaRef ds:uri="700f816a-2d70-48f7-98b4-aa062cbdb163"/>
    <ds:schemaRef ds:uri="http://www.w3.org/XML/1998/namespace"/>
  </ds:schemaRefs>
</ds:datastoreItem>
</file>

<file path=customXml/itemProps2.xml><?xml version="1.0" encoding="utf-8"?>
<ds:datastoreItem xmlns:ds="http://schemas.openxmlformats.org/officeDocument/2006/customXml" ds:itemID="{7C0470BA-8633-473A-A6DD-9BAA8050F9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AFB87D3-FEC5-45B5-A8E8-5727B78943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48</vt:i4>
      </vt:variant>
    </vt:vector>
  </HeadingPairs>
  <TitlesOfParts>
    <vt:vector size="81" baseType="lpstr">
      <vt:lpstr>Simple - 5%</vt:lpstr>
      <vt:lpstr>Simple - 3%</vt:lpstr>
      <vt:lpstr>Simple - 1%</vt:lpstr>
      <vt:lpstr>Historical - USD</vt:lpstr>
      <vt:lpstr>Q4 FY21e analysis</vt:lpstr>
      <vt:lpstr>Detailed Disclosures - USD</vt:lpstr>
      <vt:lpstr>AUD disclosed &gt;&gt;</vt:lpstr>
      <vt:lpstr>Historical</vt:lpstr>
      <vt:lpstr>Detailed Disclosure</vt:lpstr>
      <vt:lpstr>Upside</vt:lpstr>
      <vt:lpstr>Down</vt:lpstr>
      <vt:lpstr>Credibility</vt:lpstr>
      <vt:lpstr>Monthly FQ4</vt:lpstr>
      <vt:lpstr>AOVs</vt:lpstr>
      <vt:lpstr>Merchant Fees</vt:lpstr>
      <vt:lpstr>Receipts analysis</vt:lpstr>
      <vt:lpstr>Comp Table</vt:lpstr>
      <vt:lpstr>2Q24 Webinar Charts</vt:lpstr>
      <vt:lpstr>Guidance Commentary</vt:lpstr>
      <vt:lpstr>AOV analysis</vt:lpstr>
      <vt:lpstr>Simple</vt:lpstr>
      <vt:lpstr>YNAP</vt:lpstr>
      <vt:lpstr>PF to Statutory Historicals</vt:lpstr>
      <vt:lpstr>Tracking Pack - Quarterly</vt:lpstr>
      <vt:lpstr>Tracking Pack - Monthly</vt:lpstr>
      <vt:lpstr>Google Trends Raw</vt:lpstr>
      <vt:lpstr>SEM Rush Raw</vt:lpstr>
      <vt:lpstr>Webinar Charts</vt:lpstr>
      <vt:lpstr>FTCH margin comp 1</vt:lpstr>
      <vt:lpstr>FTCH margin comp 2</vt:lpstr>
      <vt:lpstr>FTCH margin comp 4</vt:lpstr>
      <vt:lpstr>SEM Rush Traffic</vt:lpstr>
      <vt:lpstr>Cohort Analysis</vt:lpstr>
      <vt:lpstr>'SEM Rush Traffic'!a</vt:lpstr>
      <vt:lpstr>'SEM Rush Traffic'!b</vt:lpstr>
      <vt:lpstr>'SEM Rush Traffic'!d</vt:lpstr>
      <vt:lpstr>'SEM Rush Traffic'!e</vt:lpstr>
      <vt:lpstr>'SEM Rush Traffic'!f</vt:lpstr>
      <vt:lpstr>'SEM Rush Traffic'!g</vt:lpstr>
      <vt:lpstr>'SEM Rush Traffic'!h</vt:lpstr>
      <vt:lpstr>'SEM Rush Traffic'!j</vt:lpstr>
      <vt:lpstr>'SEM Rush Traffic'!k</vt:lpstr>
      <vt:lpstr>'SEM Rush Traffic'!l</vt:lpstr>
      <vt:lpstr>'SEM Rush Traffic'!m</vt:lpstr>
      <vt:lpstr>'SEM Rush Traffic'!n</vt:lpstr>
      <vt:lpstr>'SEM Rush Traffic'!o</vt:lpstr>
      <vt:lpstr>'AUD disclosed &gt;&gt;'!Print_Area</vt:lpstr>
      <vt:lpstr>'Comp Table'!Print_Area</vt:lpstr>
      <vt:lpstr>Credibility!Print_Area</vt:lpstr>
      <vt:lpstr>'Detailed Disclosure'!Print_Area</vt:lpstr>
      <vt:lpstr>'Detailed Disclosures - USD'!Print_Area</vt:lpstr>
      <vt:lpstr>Down!Print_Area</vt:lpstr>
      <vt:lpstr>'FTCH margin comp 1'!Print_Area</vt:lpstr>
      <vt:lpstr>'FTCH margin comp 2'!Print_Area</vt:lpstr>
      <vt:lpstr>'FTCH margin comp 4'!Print_Area</vt:lpstr>
      <vt:lpstr>Historical!Print_Area</vt:lpstr>
      <vt:lpstr>'Historical - USD'!Print_Area</vt:lpstr>
      <vt:lpstr>'PF to Statutory Historicals'!Print_Area</vt:lpstr>
      <vt:lpstr>'Q4 FY21e analysis'!Print_Area</vt:lpstr>
      <vt:lpstr>'Receipts analysis'!Print_Area</vt:lpstr>
      <vt:lpstr>'SEM Rush Traffic'!Print_Area</vt:lpstr>
      <vt:lpstr>Simple!Print_Area</vt:lpstr>
      <vt:lpstr>'Simple - 1%'!Print_Area</vt:lpstr>
      <vt:lpstr>'Simple - 3%'!Print_Area</vt:lpstr>
      <vt:lpstr>'Simple - 5%'!Print_Area</vt:lpstr>
      <vt:lpstr>'Tracking Pack - Monthly'!Print_Area</vt:lpstr>
      <vt:lpstr>'Tracking Pack - Quarterly'!Print_Area</vt:lpstr>
      <vt:lpstr>Upside!Print_Area</vt:lpstr>
      <vt:lpstr>'Detailed Disclosure'!Print_Titles</vt:lpstr>
      <vt:lpstr>'Detailed Disclosures - USD'!Print_Titles</vt:lpstr>
      <vt:lpstr>'FTCH margin comp 1'!Print_Titles</vt:lpstr>
      <vt:lpstr>'FTCH margin comp 2'!Print_Titles</vt:lpstr>
      <vt:lpstr>'SEM Rush Traffic'!Print_Titles</vt:lpstr>
      <vt:lpstr>'Tracking Pack - Quarterly'!Print_Titles</vt:lpstr>
      <vt:lpstr>'SEM Rush Traffic'!s</vt:lpstr>
      <vt:lpstr>'SEM Rush Traffic'!t</vt:lpstr>
      <vt:lpstr>'SEM Rush Traffic'!u</vt:lpstr>
      <vt:lpstr>'SEM Rush Traffic'!v</vt:lpstr>
      <vt:lpstr>'SEM Rush Traffic'!w</vt:lpstr>
      <vt:lpstr>'SEM Rush Traffic'!y</vt:lpstr>
      <vt:lpstr>'SEM Rush Traffic'!z</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Berring</dc:creator>
  <cp:keywords/>
  <dc:description/>
  <cp:lastModifiedBy>Dan Berring</cp:lastModifiedBy>
  <cp:revision/>
  <cp:lastPrinted>2024-10-01T11:48:28Z</cp:lastPrinted>
  <dcterms:created xsi:type="dcterms:W3CDTF">2021-03-05T12:39:38Z</dcterms:created>
  <dcterms:modified xsi:type="dcterms:W3CDTF">2025-05-20T20:43:03Z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0x01010097B54F80F9326D4AB5846AC1C3383526</vt:lpwstr>
  </property>
  <property fmtid="{D5CDD505-2E9C-101B-9397-08002B2CF9AE}" pid="3" name="MediaServiceImageTags">
    <vt:lpwstr/>
  </property>
  <property fmtid="{D5CDD505-2E9C-101B-9397-08002B2CF9AE}" pid="4" name="{A44787D4-0540-4523-9961-78E4036D8C6D}">
    <vt:lpwstr>{63EF3FE3-40F6-45A6-BA15-FA1026E127C4}</vt:lpwstr>
  </property>
</Properties>
</file>